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-reporting\EC\"/>
    </mc:Choice>
  </mc:AlternateContent>
  <bookViews>
    <workbookView xWindow="0" yWindow="0" windowWidth="28800" windowHeight="148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Enforcements!$A$2:$N$26</definedName>
    <definedName name="_xlnm._FilterDatabase" localSheetId="0" hidden="1">'Train Runs'!$A$2:$AA$101</definedName>
    <definedName name="Denver_Train_Runs_04122016" localSheetId="0">'Train Runs'!$A$2:$J$107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1" i="1" l="1"/>
  <c r="V61" i="1"/>
  <c r="W61" i="1"/>
  <c r="X61" i="1"/>
  <c r="Y61" i="1"/>
  <c r="U61" i="1" s="1"/>
  <c r="Z61" i="1"/>
  <c r="T62" i="1"/>
  <c r="V62" i="1"/>
  <c r="W62" i="1"/>
  <c r="X62" i="1"/>
  <c r="Y62" i="1"/>
  <c r="U62" i="1" s="1"/>
  <c r="Z62" i="1"/>
  <c r="T63" i="1"/>
  <c r="V63" i="1"/>
  <c r="W63" i="1"/>
  <c r="X63" i="1"/>
  <c r="Y63" i="1"/>
  <c r="U63" i="1" s="1"/>
  <c r="Z63" i="1"/>
  <c r="T64" i="1"/>
  <c r="V64" i="1"/>
  <c r="W64" i="1"/>
  <c r="Y64" i="1" s="1"/>
  <c r="U64" i="1" s="1"/>
  <c r="X64" i="1"/>
  <c r="Z64" i="1"/>
  <c r="T65" i="1"/>
  <c r="V65" i="1"/>
  <c r="W65" i="1"/>
  <c r="X65" i="1"/>
  <c r="Y65" i="1"/>
  <c r="U65" i="1" s="1"/>
  <c r="Z65" i="1"/>
  <c r="T66" i="1"/>
  <c r="V66" i="1"/>
  <c r="W66" i="1"/>
  <c r="Y66" i="1" s="1"/>
  <c r="U66" i="1" s="1"/>
  <c r="X66" i="1"/>
  <c r="Z66" i="1"/>
  <c r="T67" i="1"/>
  <c r="V67" i="1"/>
  <c r="W67" i="1"/>
  <c r="X67" i="1"/>
  <c r="Y67" i="1"/>
  <c r="U67" i="1" s="1"/>
  <c r="Z67" i="1"/>
  <c r="T68" i="1"/>
  <c r="V68" i="1"/>
  <c r="W68" i="1"/>
  <c r="Y68" i="1" s="1"/>
  <c r="U68" i="1" s="1"/>
  <c r="X68" i="1"/>
  <c r="Z68" i="1"/>
  <c r="T69" i="1"/>
  <c r="V69" i="1"/>
  <c r="W69" i="1"/>
  <c r="X69" i="1"/>
  <c r="Y69" i="1"/>
  <c r="U69" i="1" s="1"/>
  <c r="Z69" i="1"/>
  <c r="T70" i="1"/>
  <c r="V70" i="1"/>
  <c r="W70" i="1"/>
  <c r="X70" i="1"/>
  <c r="Y70" i="1"/>
  <c r="U70" i="1" s="1"/>
  <c r="Z70" i="1"/>
  <c r="T71" i="1"/>
  <c r="V71" i="1"/>
  <c r="W71" i="1"/>
  <c r="Y71" i="1" s="1"/>
  <c r="U71" i="1" s="1"/>
  <c r="X71" i="1"/>
  <c r="Z71" i="1"/>
  <c r="T72" i="1"/>
  <c r="V72" i="1"/>
  <c r="W72" i="1"/>
  <c r="X72" i="1"/>
  <c r="Y72" i="1"/>
  <c r="U72" i="1" s="1"/>
  <c r="Z72" i="1"/>
  <c r="T73" i="1"/>
  <c r="V73" i="1"/>
  <c r="W73" i="1"/>
  <c r="X73" i="1"/>
  <c r="Y73" i="1"/>
  <c r="U73" i="1" s="1"/>
  <c r="Z73" i="1"/>
  <c r="T74" i="1"/>
  <c r="V74" i="1"/>
  <c r="W74" i="1"/>
  <c r="X74" i="1"/>
  <c r="Y74" i="1" s="1"/>
  <c r="U74" i="1" s="1"/>
  <c r="Z74" i="1"/>
  <c r="T75" i="1"/>
  <c r="V75" i="1"/>
  <c r="W75" i="1"/>
  <c r="X75" i="1"/>
  <c r="Y75" i="1"/>
  <c r="U75" i="1" s="1"/>
  <c r="Z75" i="1"/>
  <c r="T76" i="1"/>
  <c r="V76" i="1"/>
  <c r="W76" i="1"/>
  <c r="X76" i="1"/>
  <c r="Y76" i="1"/>
  <c r="U76" i="1" s="1"/>
  <c r="Z76" i="1"/>
  <c r="T77" i="1"/>
  <c r="V77" i="1"/>
  <c r="W77" i="1"/>
  <c r="X77" i="1"/>
  <c r="Y77" i="1"/>
  <c r="U77" i="1" s="1"/>
  <c r="Z77" i="1"/>
  <c r="T78" i="1"/>
  <c r="V78" i="1"/>
  <c r="W78" i="1"/>
  <c r="X78" i="1"/>
  <c r="Y78" i="1"/>
  <c r="U78" i="1" s="1"/>
  <c r="Z78" i="1"/>
  <c r="T79" i="1"/>
  <c r="V79" i="1"/>
  <c r="W79" i="1"/>
  <c r="X79" i="1"/>
  <c r="Y79" i="1"/>
  <c r="U79" i="1" s="1"/>
  <c r="Z79" i="1"/>
  <c r="T80" i="1"/>
  <c r="V80" i="1"/>
  <c r="W80" i="1"/>
  <c r="X80" i="1"/>
  <c r="Y80" i="1"/>
  <c r="U80" i="1" s="1"/>
  <c r="Z80" i="1"/>
  <c r="T81" i="1"/>
  <c r="V81" i="1"/>
  <c r="W81" i="1"/>
  <c r="Y81" i="1" s="1"/>
  <c r="U81" i="1" s="1"/>
  <c r="X81" i="1"/>
  <c r="Z81" i="1"/>
  <c r="T82" i="1"/>
  <c r="V82" i="1"/>
  <c r="W82" i="1"/>
  <c r="X82" i="1"/>
  <c r="Y82" i="1"/>
  <c r="U82" i="1" s="1"/>
  <c r="Z82" i="1"/>
  <c r="T83" i="1"/>
  <c r="V83" i="1"/>
  <c r="W83" i="1"/>
  <c r="X83" i="1"/>
  <c r="Y83" i="1" s="1"/>
  <c r="U83" i="1" s="1"/>
  <c r="Z83" i="1"/>
  <c r="T84" i="1"/>
  <c r="V84" i="1"/>
  <c r="W84" i="1"/>
  <c r="X84" i="1"/>
  <c r="Y84" i="1"/>
  <c r="U84" i="1" s="1"/>
  <c r="Z84" i="1"/>
  <c r="T85" i="1"/>
  <c r="V85" i="1"/>
  <c r="W85" i="1"/>
  <c r="X85" i="1"/>
  <c r="Y85" i="1"/>
  <c r="U85" i="1" s="1"/>
  <c r="Z85" i="1"/>
  <c r="T86" i="1"/>
  <c r="V86" i="1"/>
  <c r="W86" i="1"/>
  <c r="X86" i="1"/>
  <c r="Y86" i="1"/>
  <c r="U86" i="1" s="1"/>
  <c r="Z86" i="1"/>
  <c r="T87" i="1"/>
  <c r="V87" i="1"/>
  <c r="W87" i="1"/>
  <c r="X87" i="1"/>
  <c r="Y87" i="1"/>
  <c r="U87" i="1" s="1"/>
  <c r="Z87" i="1"/>
  <c r="T88" i="1"/>
  <c r="V88" i="1"/>
  <c r="W88" i="1"/>
  <c r="X88" i="1"/>
  <c r="Y88" i="1" s="1"/>
  <c r="U88" i="1" s="1"/>
  <c r="Z88" i="1"/>
  <c r="T89" i="1"/>
  <c r="V89" i="1"/>
  <c r="W89" i="1"/>
  <c r="X89" i="1"/>
  <c r="Y89" i="1"/>
  <c r="U89" i="1" s="1"/>
  <c r="Z89" i="1"/>
  <c r="T90" i="1"/>
  <c r="V90" i="1"/>
  <c r="W90" i="1"/>
  <c r="Y90" i="1" s="1"/>
  <c r="U90" i="1" s="1"/>
  <c r="X90" i="1"/>
  <c r="Z90" i="1"/>
  <c r="T91" i="1"/>
  <c r="V91" i="1"/>
  <c r="W91" i="1"/>
  <c r="X91" i="1"/>
  <c r="Y91" i="1"/>
  <c r="U91" i="1" s="1"/>
  <c r="Z91" i="1"/>
  <c r="T92" i="1"/>
  <c r="V92" i="1"/>
  <c r="W92" i="1"/>
  <c r="X92" i="1"/>
  <c r="Y92" i="1"/>
  <c r="U92" i="1" s="1"/>
  <c r="Z92" i="1"/>
  <c r="T93" i="1"/>
  <c r="V93" i="1"/>
  <c r="W93" i="1"/>
  <c r="X93" i="1"/>
  <c r="Y93" i="1"/>
  <c r="U93" i="1" s="1"/>
  <c r="Z93" i="1"/>
  <c r="T94" i="1"/>
  <c r="V94" i="1"/>
  <c r="W94" i="1"/>
  <c r="X94" i="1"/>
  <c r="Y94" i="1"/>
  <c r="U94" i="1" s="1"/>
  <c r="Z94" i="1"/>
  <c r="T95" i="1"/>
  <c r="V95" i="1"/>
  <c r="W95" i="1"/>
  <c r="Y95" i="1" s="1"/>
  <c r="U95" i="1" s="1"/>
  <c r="X95" i="1"/>
  <c r="Z95" i="1"/>
  <c r="T96" i="1"/>
  <c r="V96" i="1"/>
  <c r="W96" i="1"/>
  <c r="X96" i="1"/>
  <c r="Y96" i="1"/>
  <c r="U96" i="1" s="1"/>
  <c r="Z96" i="1"/>
  <c r="T97" i="1"/>
  <c r="V97" i="1"/>
  <c r="W97" i="1"/>
  <c r="X97" i="1"/>
  <c r="Y97" i="1"/>
  <c r="U97" i="1" s="1"/>
  <c r="Z97" i="1"/>
  <c r="T98" i="1"/>
  <c r="V98" i="1"/>
  <c r="W98" i="1"/>
  <c r="X98" i="1"/>
  <c r="Y98" i="1" s="1"/>
  <c r="U98" i="1" s="1"/>
  <c r="Z98" i="1"/>
  <c r="P15" i="1"/>
  <c r="AA88" i="1" l="1"/>
  <c r="AA89" i="1"/>
  <c r="AA90" i="1"/>
  <c r="AA91" i="1"/>
  <c r="AA92" i="1"/>
  <c r="AA93" i="1"/>
  <c r="AA94" i="1"/>
  <c r="AA95" i="1"/>
  <c r="AA96" i="1"/>
  <c r="AA97" i="1"/>
  <c r="AA98" i="1"/>
  <c r="T99" i="1"/>
  <c r="V99" i="1"/>
  <c r="W99" i="1"/>
  <c r="X99" i="1"/>
  <c r="Y99" i="1" s="1"/>
  <c r="U99" i="1" s="1"/>
  <c r="Z99" i="1"/>
  <c r="AA99" i="1"/>
  <c r="T100" i="1"/>
  <c r="V100" i="1"/>
  <c r="W100" i="1"/>
  <c r="X100" i="1"/>
  <c r="Y100" i="1" s="1"/>
  <c r="U100" i="1" s="1"/>
  <c r="Z100" i="1"/>
  <c r="AA100" i="1"/>
  <c r="T101" i="1"/>
  <c r="V101" i="1"/>
  <c r="W101" i="1"/>
  <c r="X101" i="1"/>
  <c r="Y101" i="1" s="1"/>
  <c r="U101" i="1" s="1"/>
  <c r="Z101" i="1"/>
  <c r="AA101" i="1"/>
  <c r="M38" i="1" l="1"/>
  <c r="P38" i="1" s="1"/>
  <c r="K85" i="1"/>
  <c r="L85" i="1"/>
  <c r="M85" i="1"/>
  <c r="P85" i="1" s="1"/>
  <c r="K89" i="1"/>
  <c r="L89" i="1"/>
  <c r="M89" i="1"/>
  <c r="K90" i="1"/>
  <c r="L90" i="1"/>
  <c r="M90" i="1"/>
  <c r="P90" i="1" s="1"/>
  <c r="K91" i="1"/>
  <c r="L91" i="1"/>
  <c r="M91" i="1"/>
  <c r="K77" i="1"/>
  <c r="L77" i="1"/>
  <c r="M77" i="1"/>
  <c r="K32" i="1"/>
  <c r="L32" i="1"/>
  <c r="M32" i="1"/>
  <c r="K9" i="1"/>
  <c r="L9" i="1"/>
  <c r="M9" i="1"/>
  <c r="K8" i="1"/>
  <c r="L8" i="1"/>
  <c r="M8" i="1"/>
  <c r="K55" i="1"/>
  <c r="L55" i="1"/>
  <c r="M55" i="1"/>
  <c r="K35" i="1"/>
  <c r="L35" i="1"/>
  <c r="M35" i="1"/>
  <c r="K43" i="1"/>
  <c r="L43" i="1"/>
  <c r="M43" i="1"/>
  <c r="K52" i="1"/>
  <c r="L52" i="1"/>
  <c r="M52" i="1"/>
  <c r="K48" i="1"/>
  <c r="L48" i="1"/>
  <c r="M48" i="1"/>
  <c r="K58" i="1"/>
  <c r="L58" i="1"/>
  <c r="M58" i="1"/>
  <c r="K37" i="1"/>
  <c r="L37" i="1"/>
  <c r="M37" i="1"/>
  <c r="P37" i="1" s="1"/>
  <c r="K49" i="1"/>
  <c r="L49" i="1"/>
  <c r="M49" i="1"/>
  <c r="K33" i="1"/>
  <c r="L33" i="1"/>
  <c r="M33" i="1"/>
  <c r="K50" i="1"/>
  <c r="L50" i="1"/>
  <c r="M50" i="1"/>
  <c r="P50" i="1" s="1"/>
  <c r="K31" i="1"/>
  <c r="L31" i="1"/>
  <c r="M31" i="1"/>
  <c r="P31" i="1" s="1"/>
  <c r="K23" i="1"/>
  <c r="L23" i="1"/>
  <c r="M23" i="1"/>
  <c r="P23" i="1" s="1"/>
  <c r="K29" i="1"/>
  <c r="L29" i="1"/>
  <c r="M29" i="1"/>
  <c r="P29" i="1" s="1"/>
  <c r="K34" i="1"/>
  <c r="L34" i="1"/>
  <c r="M34" i="1"/>
  <c r="P34" i="1" s="1"/>
  <c r="V38" i="1"/>
  <c r="V3" i="1"/>
  <c r="V9" i="1"/>
  <c r="V23" i="1"/>
  <c r="V27" i="1"/>
  <c r="V11" i="1"/>
  <c r="V44" i="1"/>
  <c r="V29" i="1"/>
  <c r="V19" i="1"/>
  <c r="V57" i="1"/>
  <c r="V21" i="1"/>
  <c r="V18" i="1"/>
  <c r="V40" i="1"/>
  <c r="V53" i="1"/>
  <c r="V25" i="1"/>
  <c r="V54" i="1"/>
  <c r="V60" i="1"/>
  <c r="V52" i="1"/>
  <c r="V10" i="1"/>
  <c r="V50" i="1"/>
  <c r="V55" i="1"/>
  <c r="V12" i="1"/>
  <c r="V56" i="1"/>
  <c r="V49" i="1"/>
  <c r="V6" i="1"/>
  <c r="V26" i="1"/>
  <c r="V15" i="1"/>
  <c r="V17" i="1"/>
  <c r="V46" i="1"/>
  <c r="V58" i="1"/>
  <c r="V47" i="1"/>
  <c r="V14" i="1"/>
  <c r="V51" i="1"/>
  <c r="V39" i="1"/>
  <c r="V13" i="1"/>
  <c r="V16" i="1"/>
  <c r="V31" i="1"/>
  <c r="V45" i="1"/>
  <c r="V59" i="1"/>
  <c r="V35" i="1"/>
  <c r="V48" i="1"/>
  <c r="V36" i="1"/>
  <c r="V22" i="1"/>
  <c r="V24" i="1"/>
  <c r="V4" i="1"/>
  <c r="V8" i="1"/>
  <c r="V30" i="1"/>
  <c r="V28" i="1"/>
  <c r="V7" i="1"/>
  <c r="V37" i="1"/>
  <c r="V33" i="1"/>
  <c r="V43" i="1"/>
  <c r="V34" i="1"/>
  <c r="V20" i="1"/>
  <c r="V41" i="1"/>
  <c r="V5" i="1"/>
  <c r="V32" i="1"/>
  <c r="V42" i="1"/>
  <c r="K4" i="1"/>
  <c r="L4" i="1"/>
  <c r="M4" i="1"/>
  <c r="P4" i="1" s="1"/>
  <c r="K38" i="1"/>
  <c r="L38" i="1"/>
  <c r="K63" i="1"/>
  <c r="L63" i="1"/>
  <c r="M63" i="1"/>
  <c r="P63" i="1" s="1"/>
  <c r="K65" i="1"/>
  <c r="L65" i="1"/>
  <c r="M65" i="1"/>
  <c r="P65" i="1" s="1"/>
  <c r="K70" i="1"/>
  <c r="L70" i="1"/>
  <c r="M70" i="1"/>
  <c r="P70" i="1" s="1"/>
  <c r="K72" i="1"/>
  <c r="L72" i="1"/>
  <c r="M72" i="1"/>
  <c r="P72" i="1" s="1"/>
  <c r="K74" i="1"/>
  <c r="L74" i="1"/>
  <c r="M74" i="1"/>
  <c r="P74" i="1" s="1"/>
  <c r="K80" i="1"/>
  <c r="L80" i="1"/>
  <c r="M80" i="1"/>
  <c r="K82" i="1"/>
  <c r="L82" i="1"/>
  <c r="M82" i="1"/>
  <c r="K95" i="1"/>
  <c r="L95" i="1"/>
  <c r="M95" i="1"/>
  <c r="E21" i="6"/>
  <c r="F21" i="6"/>
  <c r="G21" i="6"/>
  <c r="E22" i="6"/>
  <c r="F22" i="6"/>
  <c r="G22" i="6"/>
  <c r="E23" i="6"/>
  <c r="F23" i="6"/>
  <c r="G23" i="6"/>
  <c r="E24" i="6"/>
  <c r="F24" i="6"/>
  <c r="G24" i="6"/>
  <c r="E25" i="6"/>
  <c r="F25" i="6"/>
  <c r="G25" i="6"/>
  <c r="E26" i="6"/>
  <c r="F26" i="6"/>
  <c r="G26" i="6"/>
  <c r="E27" i="6"/>
  <c r="F27" i="6"/>
  <c r="G27" i="6"/>
  <c r="E28" i="6"/>
  <c r="F28" i="6"/>
  <c r="G28" i="6"/>
  <c r="E29" i="6"/>
  <c r="F29" i="6"/>
  <c r="G29" i="6"/>
  <c r="E30" i="6"/>
  <c r="F30" i="6"/>
  <c r="G30" i="6"/>
  <c r="E31" i="6"/>
  <c r="F31" i="6"/>
  <c r="G31" i="6"/>
  <c r="E32" i="6"/>
  <c r="F32" i="6"/>
  <c r="G32" i="6"/>
  <c r="E33" i="6"/>
  <c r="F33" i="6"/>
  <c r="G33" i="6"/>
  <c r="E34" i="6"/>
  <c r="F34" i="6"/>
  <c r="G34" i="6"/>
  <c r="E35" i="6"/>
  <c r="F35" i="6"/>
  <c r="G35" i="6"/>
  <c r="E36" i="6"/>
  <c r="F36" i="6"/>
  <c r="G36" i="6"/>
  <c r="E37" i="6"/>
  <c r="F37" i="6"/>
  <c r="G37" i="6"/>
  <c r="E38" i="6"/>
  <c r="F38" i="6"/>
  <c r="G38" i="6"/>
  <c r="E39" i="6"/>
  <c r="F39" i="6"/>
  <c r="G39" i="6"/>
  <c r="E40" i="6"/>
  <c r="F40" i="6"/>
  <c r="G40" i="6"/>
  <c r="E41" i="6"/>
  <c r="F41" i="6"/>
  <c r="G41" i="6"/>
  <c r="E42" i="6"/>
  <c r="F42" i="6"/>
  <c r="G42" i="6"/>
  <c r="E43" i="6"/>
  <c r="F43" i="6"/>
  <c r="G43" i="6"/>
  <c r="E44" i="6"/>
  <c r="F44" i="6"/>
  <c r="G44" i="6"/>
  <c r="E45" i="6"/>
  <c r="F45" i="6"/>
  <c r="G45" i="6"/>
  <c r="E46" i="6"/>
  <c r="F46" i="6"/>
  <c r="G46" i="6"/>
  <c r="E47" i="6"/>
  <c r="F47" i="6"/>
  <c r="G47" i="6"/>
  <c r="E48" i="6"/>
  <c r="F48" i="6"/>
  <c r="G48" i="6"/>
  <c r="E49" i="6"/>
  <c r="F49" i="6"/>
  <c r="G49" i="6"/>
  <c r="E50" i="6"/>
  <c r="F50" i="6"/>
  <c r="G50" i="6"/>
  <c r="E51" i="6"/>
  <c r="F51" i="6"/>
  <c r="G51" i="6"/>
  <c r="E52" i="6"/>
  <c r="F52" i="6"/>
  <c r="G52" i="6"/>
  <c r="E53" i="6"/>
  <c r="F53" i="6"/>
  <c r="G53" i="6"/>
  <c r="E54" i="6"/>
  <c r="F54" i="6"/>
  <c r="G54" i="6"/>
  <c r="E55" i="6"/>
  <c r="F55" i="6"/>
  <c r="G55" i="6"/>
  <c r="E56" i="6"/>
  <c r="F56" i="6"/>
  <c r="G56" i="6"/>
  <c r="E57" i="6"/>
  <c r="F57" i="6"/>
  <c r="G57" i="6"/>
  <c r="E58" i="6"/>
  <c r="F58" i="6"/>
  <c r="G58" i="6"/>
  <c r="E15" i="6"/>
  <c r="F15" i="6"/>
  <c r="G15" i="6"/>
  <c r="E16" i="6"/>
  <c r="F16" i="6"/>
  <c r="G16" i="6"/>
  <c r="E17" i="6"/>
  <c r="F17" i="6"/>
  <c r="G17" i="6"/>
  <c r="E18" i="6"/>
  <c r="F18" i="6"/>
  <c r="G18" i="6"/>
  <c r="E19" i="6"/>
  <c r="F19" i="6"/>
  <c r="G19" i="6"/>
  <c r="E20" i="6"/>
  <c r="F20" i="6"/>
  <c r="G20" i="6"/>
  <c r="T9" i="1" l="1"/>
  <c r="W9" i="1"/>
  <c r="X9" i="1"/>
  <c r="Z9" i="1"/>
  <c r="AA9" i="1"/>
  <c r="T23" i="1"/>
  <c r="W23" i="1"/>
  <c r="X23" i="1"/>
  <c r="Z23" i="1"/>
  <c r="AA23" i="1"/>
  <c r="T27" i="1"/>
  <c r="W27" i="1"/>
  <c r="X27" i="1"/>
  <c r="Y27" i="1" s="1"/>
  <c r="U27" i="1" s="1"/>
  <c r="Z27" i="1"/>
  <c r="AA27" i="1"/>
  <c r="AA82" i="1"/>
  <c r="T11" i="1"/>
  <c r="W11" i="1"/>
  <c r="X11" i="1"/>
  <c r="Z11" i="1"/>
  <c r="AA11" i="1"/>
  <c r="T44" i="1"/>
  <c r="W44" i="1"/>
  <c r="X44" i="1"/>
  <c r="Z44" i="1"/>
  <c r="AA44" i="1"/>
  <c r="T29" i="1"/>
  <c r="W29" i="1"/>
  <c r="X29" i="1"/>
  <c r="Z29" i="1"/>
  <c r="AA29" i="1"/>
  <c r="AA83" i="1"/>
  <c r="AA84" i="1"/>
  <c r="AA63" i="1"/>
  <c r="T19" i="1"/>
  <c r="W19" i="1"/>
  <c r="X19" i="1"/>
  <c r="Z19" i="1"/>
  <c r="AA19" i="1"/>
  <c r="AA61" i="1"/>
  <c r="AA80" i="1"/>
  <c r="AA68" i="1"/>
  <c r="AA73" i="1"/>
  <c r="T57" i="1"/>
  <c r="W57" i="1"/>
  <c r="X57" i="1"/>
  <c r="Z57" i="1"/>
  <c r="AA57" i="1"/>
  <c r="T21" i="1"/>
  <c r="W21" i="1"/>
  <c r="X21" i="1"/>
  <c r="Z21" i="1"/>
  <c r="AA21" i="1"/>
  <c r="T18" i="1"/>
  <c r="W18" i="1"/>
  <c r="X18" i="1"/>
  <c r="Z18" i="1"/>
  <c r="AA18" i="1"/>
  <c r="T40" i="1"/>
  <c r="W40" i="1"/>
  <c r="X40" i="1"/>
  <c r="Z40" i="1"/>
  <c r="AA40" i="1"/>
  <c r="T53" i="1"/>
  <c r="W53" i="1"/>
  <c r="X53" i="1"/>
  <c r="Z53" i="1"/>
  <c r="AA53" i="1"/>
  <c r="AA69" i="1"/>
  <c r="AA67" i="1"/>
  <c r="AA64" i="1"/>
  <c r="AA76" i="1"/>
  <c r="T25" i="1"/>
  <c r="W25" i="1"/>
  <c r="X25" i="1"/>
  <c r="Z25" i="1"/>
  <c r="AA25" i="1"/>
  <c r="T54" i="1"/>
  <c r="W54" i="1"/>
  <c r="X54" i="1"/>
  <c r="Z54" i="1"/>
  <c r="AA54" i="1"/>
  <c r="T60" i="1"/>
  <c r="W60" i="1"/>
  <c r="X60" i="1"/>
  <c r="Z60" i="1"/>
  <c r="AA60" i="1"/>
  <c r="T52" i="1"/>
  <c r="W52" i="1"/>
  <c r="X52" i="1"/>
  <c r="Z52" i="1"/>
  <c r="AA52" i="1"/>
  <c r="T10" i="1"/>
  <c r="W10" i="1"/>
  <c r="X10" i="1"/>
  <c r="Y10" i="1" s="1"/>
  <c r="U10" i="1" s="1"/>
  <c r="Z10" i="1"/>
  <c r="AA10" i="1"/>
  <c r="T50" i="1"/>
  <c r="W50" i="1"/>
  <c r="X50" i="1"/>
  <c r="Z50" i="1"/>
  <c r="AA50" i="1"/>
  <c r="T55" i="1"/>
  <c r="W55" i="1"/>
  <c r="X55" i="1"/>
  <c r="Z55" i="1"/>
  <c r="AA55" i="1"/>
  <c r="T12" i="1"/>
  <c r="W12" i="1"/>
  <c r="X12" i="1"/>
  <c r="Z12" i="1"/>
  <c r="AA12" i="1"/>
  <c r="T56" i="1"/>
  <c r="W56" i="1"/>
  <c r="X56" i="1"/>
  <c r="Z56" i="1"/>
  <c r="AA56" i="1"/>
  <c r="T49" i="1"/>
  <c r="W49" i="1"/>
  <c r="X49" i="1"/>
  <c r="Z49" i="1"/>
  <c r="AA49" i="1"/>
  <c r="T6" i="1"/>
  <c r="W6" i="1"/>
  <c r="X6" i="1"/>
  <c r="Z6" i="1"/>
  <c r="T26" i="1"/>
  <c r="W26" i="1"/>
  <c r="X26" i="1"/>
  <c r="Z26" i="1"/>
  <c r="AA26" i="1"/>
  <c r="T15" i="1"/>
  <c r="W15" i="1"/>
  <c r="X15" i="1"/>
  <c r="Z15" i="1"/>
  <c r="AA15" i="1"/>
  <c r="AA81" i="1"/>
  <c r="T17" i="1"/>
  <c r="W17" i="1"/>
  <c r="X17" i="1"/>
  <c r="Z17" i="1"/>
  <c r="AA17" i="1"/>
  <c r="T46" i="1"/>
  <c r="W46" i="1"/>
  <c r="X46" i="1"/>
  <c r="Z46" i="1"/>
  <c r="AA46" i="1"/>
  <c r="AA74" i="1"/>
  <c r="AA62" i="1"/>
  <c r="AA77" i="1"/>
  <c r="T58" i="1"/>
  <c r="W58" i="1"/>
  <c r="X58" i="1"/>
  <c r="Z58" i="1"/>
  <c r="AA58" i="1"/>
  <c r="T47" i="1"/>
  <c r="W47" i="1"/>
  <c r="X47" i="1"/>
  <c r="Z47" i="1"/>
  <c r="AA47" i="1"/>
  <c r="T14" i="1"/>
  <c r="W14" i="1"/>
  <c r="X14" i="1"/>
  <c r="Z14" i="1"/>
  <c r="AA14" i="1"/>
  <c r="T51" i="1"/>
  <c r="W51" i="1"/>
  <c r="X51" i="1"/>
  <c r="Y51" i="1" s="1"/>
  <c r="U51" i="1" s="1"/>
  <c r="Z51" i="1"/>
  <c r="AA51" i="1"/>
  <c r="T39" i="1"/>
  <c r="W39" i="1"/>
  <c r="X39" i="1"/>
  <c r="Z39" i="1"/>
  <c r="AA39" i="1"/>
  <c r="T13" i="1"/>
  <c r="W13" i="1"/>
  <c r="X13" i="1"/>
  <c r="Z13" i="1"/>
  <c r="AA13" i="1"/>
  <c r="T16" i="1"/>
  <c r="W16" i="1"/>
  <c r="X16" i="1"/>
  <c r="Z16" i="1"/>
  <c r="AA16" i="1"/>
  <c r="T31" i="1"/>
  <c r="W31" i="1"/>
  <c r="X31" i="1"/>
  <c r="Z31" i="1"/>
  <c r="AA31" i="1"/>
  <c r="T45" i="1"/>
  <c r="W45" i="1"/>
  <c r="X45" i="1"/>
  <c r="Z45" i="1"/>
  <c r="AA45" i="1"/>
  <c r="T59" i="1"/>
  <c r="W59" i="1"/>
  <c r="X59" i="1"/>
  <c r="Z59" i="1"/>
  <c r="AA59" i="1"/>
  <c r="T35" i="1"/>
  <c r="W35" i="1"/>
  <c r="X35" i="1"/>
  <c r="Z35" i="1"/>
  <c r="AA35" i="1"/>
  <c r="T48" i="1"/>
  <c r="W48" i="1"/>
  <c r="X48" i="1"/>
  <c r="Z48" i="1"/>
  <c r="AA48" i="1"/>
  <c r="AA66" i="1"/>
  <c r="T36" i="1"/>
  <c r="W36" i="1"/>
  <c r="X36" i="1"/>
  <c r="Z36" i="1"/>
  <c r="AA36" i="1"/>
  <c r="T22" i="1"/>
  <c r="W22" i="1"/>
  <c r="X22" i="1"/>
  <c r="Z22" i="1"/>
  <c r="AA22" i="1"/>
  <c r="T24" i="1"/>
  <c r="W24" i="1"/>
  <c r="X24" i="1"/>
  <c r="Z24" i="1"/>
  <c r="AA24" i="1"/>
  <c r="T4" i="1"/>
  <c r="W4" i="1"/>
  <c r="X4" i="1"/>
  <c r="Z4" i="1"/>
  <c r="AA8" i="1"/>
  <c r="AA85" i="1"/>
  <c r="T8" i="1"/>
  <c r="W8" i="1"/>
  <c r="X8" i="1"/>
  <c r="Z8" i="1"/>
  <c r="AA42" i="1"/>
  <c r="T30" i="1"/>
  <c r="W30" i="1"/>
  <c r="X30" i="1"/>
  <c r="Z30" i="1"/>
  <c r="AA30" i="1"/>
  <c r="AA78" i="1"/>
  <c r="T38" i="1"/>
  <c r="W38" i="1"/>
  <c r="X38" i="1"/>
  <c r="Z38" i="1"/>
  <c r="AA38" i="1"/>
  <c r="AA71" i="1"/>
  <c r="T3" i="1"/>
  <c r="W3" i="1"/>
  <c r="X3" i="1"/>
  <c r="Z3" i="1"/>
  <c r="AA7" i="1"/>
  <c r="T28" i="1"/>
  <c r="W28" i="1"/>
  <c r="X28" i="1"/>
  <c r="Z28" i="1"/>
  <c r="AA28" i="1"/>
  <c r="AA6" i="1"/>
  <c r="AA79" i="1"/>
  <c r="T7" i="1"/>
  <c r="W7" i="1"/>
  <c r="X7" i="1"/>
  <c r="Z7" i="1"/>
  <c r="AA5" i="1"/>
  <c r="T37" i="1"/>
  <c r="W37" i="1"/>
  <c r="X37" i="1"/>
  <c r="Z37" i="1"/>
  <c r="AA37" i="1"/>
  <c r="T33" i="1"/>
  <c r="W33" i="1"/>
  <c r="X33" i="1"/>
  <c r="Z33" i="1"/>
  <c r="AA33" i="1"/>
  <c r="T43" i="1"/>
  <c r="W43" i="1"/>
  <c r="X43" i="1"/>
  <c r="Z43" i="1"/>
  <c r="AA43" i="1"/>
  <c r="T34" i="1"/>
  <c r="W34" i="1"/>
  <c r="X34" i="1"/>
  <c r="Z34" i="1"/>
  <c r="AA34" i="1"/>
  <c r="T20" i="1"/>
  <c r="W20" i="1"/>
  <c r="X20" i="1"/>
  <c r="Y20" i="1" s="1"/>
  <c r="U20" i="1" s="1"/>
  <c r="Z20" i="1"/>
  <c r="AA20" i="1"/>
  <c r="T41" i="1"/>
  <c r="W41" i="1"/>
  <c r="X41" i="1"/>
  <c r="Z41" i="1"/>
  <c r="AA70" i="1"/>
  <c r="T5" i="1"/>
  <c r="W5" i="1"/>
  <c r="X5" i="1"/>
  <c r="Z5" i="1"/>
  <c r="AA41" i="1"/>
  <c r="T32" i="1"/>
  <c r="W32" i="1"/>
  <c r="X32" i="1"/>
  <c r="Y32" i="1" s="1"/>
  <c r="U32" i="1" s="1"/>
  <c r="Z32" i="1"/>
  <c r="AA32" i="1"/>
  <c r="AA72" i="1"/>
  <c r="T42" i="1"/>
  <c r="W42" i="1"/>
  <c r="X42" i="1"/>
  <c r="Z42" i="1"/>
  <c r="AA86" i="1"/>
  <c r="AA65" i="1"/>
  <c r="Y33" i="1" l="1"/>
  <c r="U33" i="1" s="1"/>
  <c r="Y7" i="1"/>
  <c r="U7" i="1" s="1"/>
  <c r="Y5" i="1"/>
  <c r="U5" i="1" s="1"/>
  <c r="Y29" i="1"/>
  <c r="U29" i="1" s="1"/>
  <c r="Y19" i="1"/>
  <c r="U19" i="1" s="1"/>
  <c r="Y48" i="1"/>
  <c r="U48" i="1" s="1"/>
  <c r="Y24" i="1"/>
  <c r="U24" i="1" s="1"/>
  <c r="Y52" i="1"/>
  <c r="U52" i="1" s="1"/>
  <c r="Y37" i="1"/>
  <c r="U37" i="1" s="1"/>
  <c r="Y3" i="1"/>
  <c r="U3" i="1" s="1"/>
  <c r="Y38" i="1"/>
  <c r="U38" i="1" s="1"/>
  <c r="Y34" i="1"/>
  <c r="U34" i="1" s="1"/>
  <c r="Y42" i="1"/>
  <c r="U42" i="1" s="1"/>
  <c r="Y8" i="1"/>
  <c r="U8" i="1" s="1"/>
  <c r="Y23" i="1"/>
  <c r="U23" i="1" s="1"/>
  <c r="Y59" i="1"/>
  <c r="U59" i="1" s="1"/>
  <c r="Y16" i="1"/>
  <c r="U16" i="1" s="1"/>
  <c r="Y54" i="1"/>
  <c r="U54" i="1" s="1"/>
  <c r="Y45" i="1"/>
  <c r="U45" i="1" s="1"/>
  <c r="Y49" i="1"/>
  <c r="U49" i="1" s="1"/>
  <c r="Y25" i="1"/>
  <c r="U25" i="1" s="1"/>
  <c r="Y18" i="1"/>
  <c r="U18" i="1" s="1"/>
  <c r="Y58" i="1"/>
  <c r="U58" i="1" s="1"/>
  <c r="Y12" i="1"/>
  <c r="U12" i="1" s="1"/>
  <c r="Y55" i="1"/>
  <c r="U55" i="1" s="1"/>
  <c r="Y15" i="1"/>
  <c r="U15" i="1" s="1"/>
  <c r="Y21" i="1"/>
  <c r="U21" i="1" s="1"/>
  <c r="Y57" i="1"/>
  <c r="U57" i="1" s="1"/>
  <c r="Y44" i="1"/>
  <c r="U44" i="1" s="1"/>
  <c r="Y30" i="1"/>
  <c r="U30" i="1" s="1"/>
  <c r="Y46" i="1"/>
  <c r="U46" i="1" s="1"/>
  <c r="Y26" i="1"/>
  <c r="U26" i="1" s="1"/>
  <c r="Y53" i="1"/>
  <c r="U53" i="1" s="1"/>
  <c r="Y9" i="1"/>
  <c r="U9" i="1" s="1"/>
  <c r="Y13" i="1"/>
  <c r="U13" i="1" s="1"/>
  <c r="Y22" i="1"/>
  <c r="U22" i="1" s="1"/>
  <c r="Y35" i="1"/>
  <c r="U35" i="1" s="1"/>
  <c r="Y17" i="1"/>
  <c r="U17" i="1" s="1"/>
  <c r="Y6" i="1"/>
  <c r="U6" i="1" s="1"/>
  <c r="Y11" i="1"/>
  <c r="U11" i="1" s="1"/>
  <c r="Y14" i="1"/>
  <c r="U14" i="1" s="1"/>
  <c r="Y60" i="1"/>
  <c r="U60" i="1" s="1"/>
  <c r="Y36" i="1"/>
  <c r="U36" i="1" s="1"/>
  <c r="Y43" i="1"/>
  <c r="U43" i="1" s="1"/>
  <c r="Y4" i="1"/>
  <c r="U4" i="1" s="1"/>
  <c r="Y41" i="1"/>
  <c r="U41" i="1" s="1"/>
  <c r="Y47" i="1"/>
  <c r="U47" i="1" s="1"/>
  <c r="Y40" i="1"/>
  <c r="U40" i="1" s="1"/>
  <c r="Y39" i="1"/>
  <c r="U39" i="1" s="1"/>
  <c r="Y50" i="1"/>
  <c r="U50" i="1" s="1"/>
  <c r="Y28" i="1"/>
  <c r="U28" i="1" s="1"/>
  <c r="Y31" i="1"/>
  <c r="U31" i="1" s="1"/>
  <c r="Y56" i="1"/>
  <c r="U56" i="1" s="1"/>
  <c r="K94" i="1"/>
  <c r="L94" i="1"/>
  <c r="M94" i="1"/>
  <c r="N94" i="1" s="1"/>
  <c r="K96" i="1"/>
  <c r="L96" i="1"/>
  <c r="M96" i="1"/>
  <c r="N96" i="1" s="1"/>
  <c r="G3" i="6"/>
  <c r="G4" i="6"/>
  <c r="G5" i="6"/>
  <c r="G6" i="6"/>
  <c r="G7" i="6"/>
  <c r="G8" i="6"/>
  <c r="G9" i="6"/>
  <c r="G10" i="6"/>
  <c r="G11" i="6"/>
  <c r="G12" i="6"/>
  <c r="G13" i="6"/>
  <c r="G14" i="6"/>
  <c r="F3" i="6"/>
  <c r="F4" i="6"/>
  <c r="F5" i="6"/>
  <c r="F6" i="6"/>
  <c r="F7" i="6"/>
  <c r="F8" i="6"/>
  <c r="F9" i="6"/>
  <c r="F10" i="6"/>
  <c r="F11" i="6"/>
  <c r="F12" i="6"/>
  <c r="F13" i="6"/>
  <c r="F14" i="6"/>
  <c r="E14" i="6" l="1"/>
  <c r="E3" i="6"/>
  <c r="E4" i="6"/>
  <c r="E5" i="6"/>
  <c r="E6" i="6"/>
  <c r="E7" i="6"/>
  <c r="E8" i="6"/>
  <c r="E9" i="6"/>
  <c r="E10" i="6"/>
  <c r="E11" i="6"/>
  <c r="E12" i="6"/>
  <c r="E13" i="6"/>
  <c r="I104" i="1"/>
  <c r="J108" i="1"/>
  <c r="K98" i="1" l="1"/>
  <c r="L98" i="1"/>
  <c r="M98" i="1"/>
  <c r="N98" i="1" s="1"/>
  <c r="K99" i="1"/>
  <c r="L99" i="1"/>
  <c r="M99" i="1"/>
  <c r="N99" i="1" s="1"/>
  <c r="K100" i="1"/>
  <c r="L100" i="1"/>
  <c r="M100" i="1"/>
  <c r="N100" i="1" s="1"/>
  <c r="K81" i="1"/>
  <c r="L81" i="1"/>
  <c r="M81" i="1"/>
  <c r="N81" i="1" s="1"/>
  <c r="K83" i="1"/>
  <c r="L83" i="1"/>
  <c r="M83" i="1"/>
  <c r="P83" i="1" s="1"/>
  <c r="K86" i="1"/>
  <c r="L86" i="1"/>
  <c r="M86" i="1"/>
  <c r="P86" i="1" s="1"/>
  <c r="K84" i="1"/>
  <c r="L84" i="1"/>
  <c r="M84" i="1"/>
  <c r="N84" i="1" s="1"/>
  <c r="L5" i="1"/>
  <c r="L6" i="1"/>
  <c r="L7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4" i="1"/>
  <c r="L25" i="1"/>
  <c r="L26" i="1"/>
  <c r="L27" i="1"/>
  <c r="L28" i="1"/>
  <c r="L30" i="1"/>
  <c r="L36" i="1"/>
  <c r="L39" i="1"/>
  <c r="L40" i="1"/>
  <c r="L41" i="1"/>
  <c r="L42" i="1"/>
  <c r="L44" i="1"/>
  <c r="L45" i="1"/>
  <c r="L46" i="1"/>
  <c r="L47" i="1"/>
  <c r="L51" i="1"/>
  <c r="L53" i="1"/>
  <c r="L54" i="1"/>
  <c r="L56" i="1"/>
  <c r="L57" i="1"/>
  <c r="L59" i="1"/>
  <c r="L60" i="1"/>
  <c r="L61" i="1"/>
  <c r="L62" i="1"/>
  <c r="L64" i="1"/>
  <c r="L66" i="1"/>
  <c r="L67" i="1"/>
  <c r="L68" i="1"/>
  <c r="L69" i="1"/>
  <c r="L73" i="1"/>
  <c r="L71" i="1"/>
  <c r="L75" i="1"/>
  <c r="L76" i="1"/>
  <c r="L78" i="1"/>
  <c r="L79" i="1"/>
  <c r="L87" i="1"/>
  <c r="L88" i="1"/>
  <c r="L92" i="1"/>
  <c r="L93" i="1"/>
  <c r="L97" i="1"/>
  <c r="L101" i="1"/>
  <c r="K5" i="1"/>
  <c r="M5" i="1"/>
  <c r="N5" i="1" s="1"/>
  <c r="K6" i="1"/>
  <c r="M6" i="1"/>
  <c r="N6" i="1" s="1"/>
  <c r="L3" i="1"/>
  <c r="K54" i="1" l="1"/>
  <c r="M54" i="1"/>
  <c r="P54" i="1" s="1"/>
  <c r="K53" i="1"/>
  <c r="M53" i="1"/>
  <c r="K47" i="1"/>
  <c r="M47" i="1"/>
  <c r="P47" i="1" s="1"/>
  <c r="K45" i="1"/>
  <c r="M45" i="1"/>
  <c r="P45" i="1" s="1"/>
  <c r="K42" i="1"/>
  <c r="M42" i="1"/>
  <c r="K41" i="1"/>
  <c r="M41" i="1"/>
  <c r="N41" i="1" s="1"/>
  <c r="K46" i="1"/>
  <c r="M46" i="1"/>
  <c r="N46" i="1" s="1"/>
  <c r="K39" i="1"/>
  <c r="M39" i="1"/>
  <c r="N39" i="1" s="1"/>
  <c r="AA87" i="1"/>
  <c r="L13" i="3"/>
  <c r="L8" i="3"/>
  <c r="L6" i="3"/>
  <c r="L5" i="3"/>
  <c r="L21" i="3"/>
  <c r="Q25" i="3"/>
  <c r="Q26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L18" i="3"/>
  <c r="L17" i="3"/>
  <c r="L22" i="3"/>
  <c r="L16" i="3"/>
  <c r="L23" i="3"/>
  <c r="L14" i="3"/>
  <c r="L26" i="3"/>
  <c r="L15" i="3"/>
  <c r="L4" i="3"/>
  <c r="L20" i="3"/>
  <c r="L7" i="3"/>
  <c r="L9" i="3"/>
  <c r="L19" i="3"/>
  <c r="L25" i="3"/>
  <c r="L12" i="3"/>
  <c r="L11" i="3"/>
  <c r="L10" i="3"/>
  <c r="L3" i="3"/>
  <c r="P25" i="3" l="1"/>
  <c r="P6" i="3"/>
  <c r="P17" i="3"/>
  <c r="P26" i="3"/>
  <c r="P10" i="3"/>
  <c r="P13" i="3"/>
  <c r="P8" i="3"/>
  <c r="P11" i="3"/>
  <c r="P12" i="3"/>
  <c r="P5" i="3"/>
  <c r="P3" i="3"/>
  <c r="P4" i="3"/>
  <c r="P9" i="3"/>
  <c r="P7" i="3"/>
  <c r="K79" i="1" l="1"/>
  <c r="M79" i="1"/>
  <c r="N79" i="1" s="1"/>
  <c r="K15" i="1"/>
  <c r="M15" i="1"/>
  <c r="K59" i="1" l="1"/>
  <c r="M59" i="1"/>
  <c r="K51" i="1"/>
  <c r="M51" i="1"/>
  <c r="P51" i="1" s="1"/>
  <c r="K44" i="1"/>
  <c r="M44" i="1"/>
  <c r="N44" i="1" s="1"/>
  <c r="K36" i="1"/>
  <c r="M36" i="1"/>
  <c r="P42" i="1"/>
  <c r="P35" i="1" l="1"/>
  <c r="K64" i="1"/>
  <c r="M64" i="1"/>
  <c r="N64" i="1" s="1"/>
  <c r="K71" i="1"/>
  <c r="M71" i="1"/>
  <c r="N71" i="1" s="1"/>
  <c r="P14" i="3" l="1"/>
  <c r="P15" i="3"/>
  <c r="P16" i="3"/>
  <c r="M27" i="1" l="1"/>
  <c r="P27" i="1" s="1"/>
  <c r="K27" i="1"/>
  <c r="Q19" i="3"/>
  <c r="Q20" i="3"/>
  <c r="Q21" i="3"/>
  <c r="Q22" i="3"/>
  <c r="L24" i="3"/>
  <c r="Q23" i="3"/>
  <c r="Q24" i="3"/>
  <c r="K60" i="1" l="1"/>
  <c r="M60" i="1"/>
  <c r="P60" i="1" s="1"/>
  <c r="P52" i="1"/>
  <c r="P22" i="3"/>
  <c r="K97" i="1"/>
  <c r="M97" i="1"/>
  <c r="N97" i="1" s="1"/>
  <c r="K93" i="1"/>
  <c r="M93" i="1"/>
  <c r="N93" i="1" s="1"/>
  <c r="K101" i="1"/>
  <c r="M101" i="1"/>
  <c r="N101" i="1" s="1"/>
  <c r="P24" i="3" l="1"/>
  <c r="P23" i="3"/>
  <c r="K87" i="1" l="1"/>
  <c r="M87" i="1"/>
  <c r="N87" i="1" s="1"/>
  <c r="K69" i="1"/>
  <c r="M69" i="1"/>
  <c r="N69" i="1" s="1"/>
  <c r="K61" i="1"/>
  <c r="M61" i="1"/>
  <c r="N61" i="1" s="1"/>
  <c r="K68" i="1"/>
  <c r="M68" i="1"/>
  <c r="P68" i="1" s="1"/>
  <c r="K66" i="1"/>
  <c r="M66" i="1"/>
  <c r="P66" i="1" s="1"/>
  <c r="K57" i="1"/>
  <c r="M57" i="1"/>
  <c r="P57" i="1" s="1"/>
  <c r="P19" i="3"/>
  <c r="K56" i="1"/>
  <c r="M56" i="1"/>
  <c r="P55" i="1" s="1"/>
  <c r="K62" i="1"/>
  <c r="M62" i="1"/>
  <c r="N62" i="1" s="1"/>
  <c r="K40" i="1"/>
  <c r="M40" i="1"/>
  <c r="P40" i="1" s="1"/>
  <c r="P32" i="1"/>
  <c r="K25" i="1"/>
  <c r="M25" i="1"/>
  <c r="P25" i="1" s="1"/>
  <c r="K30" i="1"/>
  <c r="M30" i="1"/>
  <c r="P30" i="1" s="1"/>
  <c r="K28" i="1"/>
  <c r="M28" i="1"/>
  <c r="N28" i="1" s="1"/>
  <c r="K21" i="1"/>
  <c r="M21" i="1"/>
  <c r="P21" i="1" s="1"/>
  <c r="K26" i="1"/>
  <c r="M26" i="1"/>
  <c r="P26" i="1" s="1"/>
  <c r="K19" i="1"/>
  <c r="M19" i="1"/>
  <c r="P19" i="1" s="1"/>
  <c r="K17" i="1"/>
  <c r="M17" i="1"/>
  <c r="P17" i="1" s="1"/>
  <c r="K24" i="1"/>
  <c r="M24" i="1"/>
  <c r="N24" i="1" s="1"/>
  <c r="K22" i="1"/>
  <c r="M22" i="1"/>
  <c r="P22" i="1" s="1"/>
  <c r="K20" i="1"/>
  <c r="M20" i="1"/>
  <c r="N20" i="1" s="1"/>
  <c r="K12" i="1"/>
  <c r="M12" i="1"/>
  <c r="N12" i="1" s="1"/>
  <c r="K18" i="1"/>
  <c r="M18" i="1"/>
  <c r="N18" i="1" s="1"/>
  <c r="K10" i="1"/>
  <c r="M10" i="1"/>
  <c r="N10" i="1" s="1"/>
  <c r="K16" i="1"/>
  <c r="M16" i="1"/>
  <c r="N16" i="1" s="1"/>
  <c r="K14" i="1"/>
  <c r="M14" i="1"/>
  <c r="N14" i="1" s="1"/>
  <c r="K13" i="1"/>
  <c r="M13" i="1"/>
  <c r="P13" i="1" s="1"/>
  <c r="K11" i="1"/>
  <c r="M11" i="1"/>
  <c r="N11" i="1" s="1"/>
  <c r="K7" i="1"/>
  <c r="M7" i="1"/>
  <c r="N7" i="1" s="1"/>
  <c r="K3" i="1"/>
  <c r="M3" i="1"/>
  <c r="P3" i="1" s="1"/>
  <c r="K88" i="1"/>
  <c r="M88" i="1"/>
  <c r="N88" i="1" s="1"/>
  <c r="K92" i="1"/>
  <c r="M92" i="1"/>
  <c r="N92" i="1" s="1"/>
  <c r="K75" i="1"/>
  <c r="M75" i="1"/>
  <c r="P75" i="1" s="1"/>
  <c r="K78" i="1"/>
  <c r="M78" i="1"/>
  <c r="P78" i="1" s="1"/>
  <c r="K73" i="1"/>
  <c r="M73" i="1"/>
  <c r="N73" i="1" s="1"/>
  <c r="K76" i="1"/>
  <c r="M76" i="1"/>
  <c r="P76" i="1" s="1"/>
  <c r="P58" i="1" l="1"/>
  <c r="P48" i="1"/>
  <c r="P8" i="1"/>
  <c r="P21" i="3"/>
  <c r="P20" i="3"/>
  <c r="K67" i="1" l="1"/>
  <c r="A1" i="1" l="1"/>
  <c r="Q18" i="3"/>
  <c r="H40" i="6" l="1"/>
  <c r="H58" i="6"/>
  <c r="H26" i="6"/>
  <c r="H46" i="6"/>
  <c r="H7" i="6"/>
  <c r="H48" i="6"/>
  <c r="H36" i="6"/>
  <c r="H20" i="6"/>
  <c r="H21" i="6"/>
  <c r="H41" i="6"/>
  <c r="H23" i="6"/>
  <c r="H43" i="6"/>
  <c r="H24" i="6"/>
  <c r="H44" i="6"/>
  <c r="H45" i="6"/>
  <c r="H47" i="6"/>
  <c r="H11" i="6"/>
  <c r="H29" i="6"/>
  <c r="H51" i="6"/>
  <c r="H12" i="6"/>
  <c r="H30" i="6"/>
  <c r="H52" i="6"/>
  <c r="H18" i="6"/>
  <c r="H37" i="6"/>
  <c r="H57" i="6"/>
  <c r="H22" i="6"/>
  <c r="H42" i="6"/>
  <c r="H3" i="6"/>
  <c r="H6" i="6"/>
  <c r="H27" i="6"/>
  <c r="H9" i="6"/>
  <c r="H50" i="6"/>
  <c r="H10" i="6"/>
  <c r="H28" i="6"/>
  <c r="H35" i="6"/>
  <c r="H56" i="6"/>
  <c r="H25" i="6"/>
  <c r="H5" i="6"/>
  <c r="H8" i="6"/>
  <c r="H49" i="6"/>
  <c r="H39" i="6"/>
  <c r="H4" i="6"/>
  <c r="H38" i="6"/>
  <c r="H19" i="6"/>
  <c r="H17" i="6"/>
  <c r="H13" i="6"/>
  <c r="H31" i="6"/>
  <c r="H53" i="6"/>
  <c r="H34" i="6"/>
  <c r="H55" i="6"/>
  <c r="H14" i="6"/>
  <c r="H32" i="6"/>
  <c r="H54" i="6"/>
  <c r="H15" i="6"/>
  <c r="H33" i="6"/>
  <c r="H16" i="6"/>
  <c r="P18" i="3"/>
  <c r="M67" i="1" l="1"/>
  <c r="N67" i="1" s="1"/>
  <c r="J109" i="1" l="1"/>
  <c r="J106" i="1"/>
  <c r="J107" i="1"/>
  <c r="N110" i="1"/>
  <c r="J110" i="1"/>
  <c r="J111" i="1" l="1"/>
  <c r="A1" i="6"/>
  <c r="M28" i="3"/>
  <c r="M29" i="3" s="1"/>
  <c r="A1" i="3"/>
  <c r="O108" i="1"/>
  <c r="N108" i="1"/>
  <c r="M108" i="1"/>
  <c r="O110" i="1" l="1"/>
  <c r="O107" i="1"/>
  <c r="M110" i="1"/>
  <c r="N107" i="1"/>
  <c r="M107" i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<sst xmlns="http://schemas.openxmlformats.org/spreadsheetml/2006/main" count="1875" uniqueCount="559">
  <si>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</si>
  <si>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</si>
  <si>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</si>
  <si>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</si>
  <si>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</si>
  <si>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</si>
  <si>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</si>
  <si>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</si>
  <si>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</si>
  <si>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</si>
  <si>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</si>
  <si>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</si>
  <si>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</si>
  <si>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</si>
  <si>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</si>
  <si>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</si>
  <si>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</si>
  <si>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</si>
  <si>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</si>
  <si>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</si>
  <si>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</si>
  <si>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</si>
  <si>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</si>
  <si>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</si>
  <si>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</si>
  <si>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</si>
  <si>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</si>
  <si>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</si>
  <si>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</si>
  <si>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</si>
  <si>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</si>
  <si>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</si>
  <si>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</si>
  <si>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</si>
  <si>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</si>
  <si>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</si>
  <si>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</si>
  <si>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</si>
  <si>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</si>
  <si>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</si>
  <si>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</si>
  <si>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</si>
  <si>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</si>
  <si>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</si>
  <si>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</si>
  <si>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</si>
  <si>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</si>
  <si>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</si>
  <si>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</si>
  <si>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</si>
  <si>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</si>
  <si>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</si>
  <si>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</si>
  <si>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</si>
  <si>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</si>
  <si>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</si>
  <si>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</si>
  <si>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</si>
  <si>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</si>
  <si>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</si>
  <si>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</si>
  <si>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</si>
  <si>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</si>
  <si>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204:451</t>
  </si>
  <si>
    <t>204:152</t>
  </si>
  <si>
    <t>204:232994</t>
  </si>
  <si>
    <t>N</t>
  </si>
  <si>
    <t>baselines:</t>
  </si>
  <si>
    <t>sunday - thu - 144/day</t>
  </si>
  <si>
    <t>fri-sat - 146/day</t>
  </si>
  <si>
    <t>Married Pair</t>
  </si>
  <si>
    <t>204:147</t>
  </si>
  <si>
    <t>204:232996</t>
  </si>
  <si>
    <t>204:460</t>
  </si>
  <si>
    <t>rtdc.l.rtdc.4032:itc</t>
  </si>
  <si>
    <t>Y</t>
  </si>
  <si>
    <t>204:232977</t>
  </si>
  <si>
    <t>204:466</t>
  </si>
  <si>
    <t>Kibana URL</t>
  </si>
  <si>
    <t>204:457</t>
  </si>
  <si>
    <t>204:141</t>
  </si>
  <si>
    <t>204:149</t>
  </si>
  <si>
    <t>GRADE CROSSING</t>
  </si>
  <si>
    <t>Bulletin (2)</t>
  </si>
  <si>
    <t>GRASTON</t>
  </si>
  <si>
    <t>204:453</t>
  </si>
  <si>
    <t>rtdc.l.rtdc.4043:itc</t>
  </si>
  <si>
    <t>204:232978</t>
  </si>
  <si>
    <t>204:154</t>
  </si>
  <si>
    <t>SANTIZO</t>
  </si>
  <si>
    <t>204:233299</t>
  </si>
  <si>
    <t>rtdc.l.rtdc.4019:itc</t>
  </si>
  <si>
    <t>rtdc.l.rtdc.4020:itc</t>
  </si>
  <si>
    <t>rtdc.l.rtdc.4018:itc</t>
  </si>
  <si>
    <t>rtdc.l.rtdc.4017:itc</t>
  </si>
  <si>
    <t>rtdc.l.rtdc.4023:itc</t>
  </si>
  <si>
    <t>YOUNG</t>
  </si>
  <si>
    <t>LOZA</t>
  </si>
  <si>
    <t>204:233315</t>
  </si>
  <si>
    <t>STARKS</t>
  </si>
  <si>
    <t>STORY</t>
  </si>
  <si>
    <t>BEAM</t>
  </si>
  <si>
    <t>STEWART</t>
  </si>
  <si>
    <t>ADANE</t>
  </si>
  <si>
    <t>rtdc.l.rtdc.4024:itc</t>
  </si>
  <si>
    <t>LEVERE</t>
  </si>
  <si>
    <t>rtdc.l.rtdc.4008:itc</t>
  </si>
  <si>
    <t>rtdc.l.rtdc.4030:itc</t>
  </si>
  <si>
    <t>rtdc.l.rtdc.4007:itc</t>
  </si>
  <si>
    <t>rtdc.l.rtdc.4044:itc</t>
  </si>
  <si>
    <t>rtdc.l.rtdc.4031:itc</t>
  </si>
  <si>
    <t>193-09</t>
  </si>
  <si>
    <t>rtdc.l.rtdc.4014:itc</t>
  </si>
  <si>
    <t>195-09</t>
  </si>
  <si>
    <t>rtdc.l.rtdc.4013:itc</t>
  </si>
  <si>
    <t>196-09</t>
  </si>
  <si>
    <t>202-09</t>
  </si>
  <si>
    <t>207-09</t>
  </si>
  <si>
    <t>rtdc.l.rtdc.4056:itc</t>
  </si>
  <si>
    <t>4056-09</t>
  </si>
  <si>
    <t>206-09</t>
  </si>
  <si>
    <t>210-09</t>
  </si>
  <si>
    <t>212-09</t>
  </si>
  <si>
    <t>218-09</t>
  </si>
  <si>
    <t>226-09</t>
  </si>
  <si>
    <t>239-09</t>
  </si>
  <si>
    <t>241-09</t>
  </si>
  <si>
    <t>MAYBERRY</t>
  </si>
  <si>
    <t>ROCHA</t>
  </si>
  <si>
    <t>BARTLETT</t>
  </si>
  <si>
    <t>MALAVE</t>
  </si>
  <si>
    <t>rtdc.l.rtdc.4055:itc</t>
  </si>
  <si>
    <t>GOODNIGHT</t>
  </si>
  <si>
    <t>rtdc.l.rtdc.4029:itc</t>
  </si>
  <si>
    <t>HONTZ</t>
  </si>
  <si>
    <t>216-09</t>
  </si>
  <si>
    <t>240-09</t>
  </si>
  <si>
    <t>NEWELL</t>
  </si>
  <si>
    <t>234-09</t>
  </si>
  <si>
    <t>237-09</t>
  </si>
  <si>
    <t>224-09</t>
  </si>
  <si>
    <t>211-09</t>
  </si>
  <si>
    <t>213-09</t>
  </si>
  <si>
    <t>225-09</t>
  </si>
  <si>
    <t>191-09</t>
  </si>
  <si>
    <t>209-09</t>
  </si>
  <si>
    <t>227-09</t>
  </si>
  <si>
    <t>243-09</t>
  </si>
  <si>
    <t>233-09</t>
  </si>
  <si>
    <t>238-09</t>
  </si>
  <si>
    <t>236-09</t>
  </si>
  <si>
    <t>203-09</t>
  </si>
  <si>
    <t>244-09</t>
  </si>
  <si>
    <t>YOUNG-09</t>
  </si>
  <si>
    <t>201-09</t>
  </si>
  <si>
    <t>230-09</t>
  </si>
  <si>
    <t>208-09</t>
  </si>
  <si>
    <t>190-09</t>
  </si>
  <si>
    <t>235-09</t>
  </si>
  <si>
    <t>232-09</t>
  </si>
  <si>
    <t>222-09</t>
  </si>
  <si>
    <t>197-09</t>
  </si>
  <si>
    <t>217-09</t>
  </si>
  <si>
    <t>229-09</t>
  </si>
  <si>
    <t>204-09</t>
  </si>
  <si>
    <t>192-09</t>
  </si>
  <si>
    <t>189-09</t>
  </si>
  <si>
    <t>200-09</t>
  </si>
  <si>
    <t>215-09</t>
  </si>
  <si>
    <t>204:232985</t>
  </si>
  <si>
    <t>204:232981</t>
  </si>
  <si>
    <t>Possible Explanation</t>
  </si>
  <si>
    <t>Recorded Operator</t>
  </si>
  <si>
    <t>Trip ID</t>
  </si>
  <si>
    <t># Of Times Offered</t>
  </si>
  <si>
    <t>Loco</t>
  </si>
  <si>
    <t>rtdc.l.rtdc.4016:itc</t>
  </si>
  <si>
    <t>231-12</t>
  </si>
  <si>
    <t>204:232987</t>
  </si>
  <si>
    <t>204:233317</t>
  </si>
  <si>
    <t>204:233000</t>
  </si>
  <si>
    <t>204:447</t>
  </si>
  <si>
    <t>204:233289</t>
  </si>
  <si>
    <t>Comms</t>
  </si>
  <si>
    <t>rtdc.l.rtdc.4025:itc</t>
  </si>
  <si>
    <t>rtdc.l.rtdc.4040:itc</t>
  </si>
  <si>
    <t>rtdc.l.rtdc.4026:itc</t>
  </si>
  <si>
    <t>SPECTOR</t>
  </si>
  <si>
    <t>BRABO</t>
  </si>
  <si>
    <t>rtdc.l.rtdc.4039:itc</t>
  </si>
  <si>
    <t>204:232993</t>
  </si>
  <si>
    <t>204:233302</t>
  </si>
  <si>
    <t>204:449</t>
  </si>
  <si>
    <t>204:478</t>
  </si>
  <si>
    <t>202-14</t>
  </si>
  <si>
    <t>240-14</t>
  </si>
  <si>
    <t>243-14</t>
  </si>
  <si>
    <t>235-14</t>
  </si>
  <si>
    <t>232-14</t>
  </si>
  <si>
    <t>204:233293</t>
  </si>
  <si>
    <t>204:232972</t>
  </si>
  <si>
    <t>204:233308</t>
  </si>
  <si>
    <t>204:232980</t>
  </si>
  <si>
    <t>204:233297</t>
  </si>
  <si>
    <t>RIVERA</t>
  </si>
  <si>
    <t>YORK</t>
  </si>
  <si>
    <t>199-15</t>
  </si>
  <si>
    <t>198-15</t>
  </si>
  <si>
    <t>HAUSER</t>
  </si>
  <si>
    <t>213-15</t>
  </si>
  <si>
    <t>214-15</t>
  </si>
  <si>
    <t>230-15</t>
  </si>
  <si>
    <t>238-15</t>
  </si>
  <si>
    <t>rtdc.l.rtdc.4011:itc</t>
  </si>
  <si>
    <t>211-15</t>
  </si>
  <si>
    <t>rtdc.l.rtdc.4041:itc</t>
  </si>
  <si>
    <t>XO RAIL-15</t>
  </si>
  <si>
    <t>202-15</t>
  </si>
  <si>
    <t>193-15</t>
  </si>
  <si>
    <t>240-15</t>
  </si>
  <si>
    <t>223-15</t>
  </si>
  <si>
    <t>205-15</t>
  </si>
  <si>
    <t>BONDS</t>
  </si>
  <si>
    <t>229-15</t>
  </si>
  <si>
    <t>224-15</t>
  </si>
  <si>
    <t>203-15</t>
  </si>
  <si>
    <t>rtdc.l.rtdc.4042:itc</t>
  </si>
  <si>
    <t>191-15</t>
  </si>
  <si>
    <t>231-15</t>
  </si>
  <si>
    <t>200-15</t>
  </si>
  <si>
    <t>242-15</t>
  </si>
  <si>
    <t>189-15</t>
  </si>
  <si>
    <t>195-15</t>
  </si>
  <si>
    <t>208-15</t>
  </si>
  <si>
    <t>227-15</t>
  </si>
  <si>
    <t>STRICKLAND</t>
  </si>
  <si>
    <t>190-15</t>
  </si>
  <si>
    <t>197-15</t>
  </si>
  <si>
    <t>241-15</t>
  </si>
  <si>
    <t>196-15</t>
  </si>
  <si>
    <t>rtdc.l.rtdc.4012:itc</t>
  </si>
  <si>
    <t>228-15</t>
  </si>
  <si>
    <t>226-15</t>
  </si>
  <si>
    <t>192-15</t>
  </si>
  <si>
    <t>221-15</t>
  </si>
  <si>
    <t>194-15</t>
  </si>
  <si>
    <t>188-15</t>
  </si>
  <si>
    <t>220-15</t>
  </si>
  <si>
    <t>244-15</t>
  </si>
  <si>
    <t>239-15</t>
  </si>
  <si>
    <t>237-15</t>
  </si>
  <si>
    <t>222-15</t>
  </si>
  <si>
    <t>209-15</t>
  </si>
  <si>
    <t>233-15</t>
  </si>
  <si>
    <t>201-15</t>
  </si>
  <si>
    <t>232-15</t>
  </si>
  <si>
    <t>235-15</t>
  </si>
  <si>
    <t>236-15</t>
  </si>
  <si>
    <t>243-15</t>
  </si>
  <si>
    <t>204:232979</t>
  </si>
  <si>
    <t>204:232973</t>
  </si>
  <si>
    <t>204:442</t>
  </si>
  <si>
    <t>204:469</t>
  </si>
  <si>
    <t>204:232971</t>
  </si>
  <si>
    <t>204:233291</t>
  </si>
  <si>
    <t>rtdc.l.rtdc.4005:itc</t>
  </si>
  <si>
    <t>4005S-16</t>
  </si>
  <si>
    <t>rtdc.l.rtdc.4009:itc</t>
  </si>
  <si>
    <t>rtdc.l.rtdc.4006:itc</t>
  </si>
  <si>
    <t>4005N-16</t>
  </si>
  <si>
    <t>MOSES</t>
  </si>
  <si>
    <t>162-16</t>
  </si>
  <si>
    <t>195-16</t>
  </si>
  <si>
    <t>SHOOK</t>
  </si>
  <si>
    <t>CANFIELD</t>
  </si>
  <si>
    <t>219-16</t>
  </si>
  <si>
    <t>rtdc.l.rtdc.4010:itc</t>
  </si>
  <si>
    <t>MAELZER</t>
  </si>
  <si>
    <t>158-16</t>
  </si>
  <si>
    <t>REBOLETTI</t>
  </si>
  <si>
    <t>227-16</t>
  </si>
  <si>
    <t>STAMBAUGH</t>
  </si>
  <si>
    <t>DAVIS</t>
  </si>
  <si>
    <t>193-16</t>
  </si>
  <si>
    <t>188-16</t>
  </si>
  <si>
    <t>186-16</t>
  </si>
  <si>
    <t>238-16</t>
  </si>
  <si>
    <t>230-16</t>
  </si>
  <si>
    <t>152-16</t>
  </si>
  <si>
    <t>194-16</t>
  </si>
  <si>
    <t>167-16</t>
  </si>
  <si>
    <t>178-16</t>
  </si>
  <si>
    <t>174-16</t>
  </si>
  <si>
    <t>182-16</t>
  </si>
  <si>
    <t>192-16</t>
  </si>
  <si>
    <t>223-16</t>
  </si>
  <si>
    <t>191-16</t>
  </si>
  <si>
    <t>164-16</t>
  </si>
  <si>
    <t>143-16</t>
  </si>
  <si>
    <t>203-16</t>
  </si>
  <si>
    <t>161-16</t>
  </si>
  <si>
    <t>148-16</t>
  </si>
  <si>
    <t>217-16</t>
  </si>
  <si>
    <t>146-16</t>
  </si>
  <si>
    <t>204:455</t>
  </si>
  <si>
    <t>204:467</t>
  </si>
  <si>
    <t>204:233303</t>
  </si>
  <si>
    <t>204:232965</t>
  </si>
  <si>
    <t>204:233391</t>
  </si>
  <si>
    <t>204:233055</t>
  </si>
  <si>
    <t>204:233288</t>
  </si>
  <si>
    <t>204:477</t>
  </si>
  <si>
    <t>204:64712</t>
  </si>
  <si>
    <t>204:433</t>
  </si>
  <si>
    <t>204:484</t>
  </si>
  <si>
    <t>204:232969</t>
  </si>
  <si>
    <t>204:233282</t>
  </si>
  <si>
    <t>204:440</t>
  </si>
  <si>
    <t>Recorded Loco</t>
  </si>
  <si>
    <t>315-16</t>
  </si>
  <si>
    <t>117-17</t>
  </si>
  <si>
    <t>119-17</t>
  </si>
  <si>
    <t>123-17</t>
  </si>
  <si>
    <t>121-17</t>
  </si>
  <si>
    <t>122-17</t>
  </si>
  <si>
    <t>128-17</t>
  </si>
  <si>
    <t>130-17</t>
  </si>
  <si>
    <t>135-17</t>
  </si>
  <si>
    <t>139-17</t>
  </si>
  <si>
    <t>UNHEALTHY CROSSING</t>
  </si>
  <si>
    <t>Other (9)</t>
  </si>
  <si>
    <t>4005-17</t>
  </si>
  <si>
    <t>141-17</t>
  </si>
  <si>
    <t>147-17</t>
  </si>
  <si>
    <t>151-17</t>
  </si>
  <si>
    <t>164-17</t>
  </si>
  <si>
    <t>SWITCH UNKNOWN</t>
  </si>
  <si>
    <t>Track device (7)</t>
  </si>
  <si>
    <t>166-17</t>
  </si>
  <si>
    <t>174-17</t>
  </si>
  <si>
    <t>172-17</t>
  </si>
  <si>
    <t>rtdc.l.rtdc.4015:itc</t>
  </si>
  <si>
    <t>204-17</t>
  </si>
  <si>
    <t>218-17</t>
  </si>
  <si>
    <t>231-17</t>
  </si>
  <si>
    <t>Mid Subdivision Init Previous signal set to restricting</t>
  </si>
  <si>
    <t>124-17</t>
  </si>
  <si>
    <t>120-17</t>
  </si>
  <si>
    <t>STURGEON</t>
  </si>
  <si>
    <t>COOPER</t>
  </si>
  <si>
    <t>131-17</t>
  </si>
  <si>
    <t>242-17</t>
  </si>
  <si>
    <t>BRUDER</t>
  </si>
  <si>
    <t>133-17</t>
  </si>
  <si>
    <t>COCA</t>
  </si>
  <si>
    <t>144-17</t>
  </si>
  <si>
    <t>229-17</t>
  </si>
  <si>
    <t>116-17</t>
  </si>
  <si>
    <t>197-17</t>
  </si>
  <si>
    <t>126-17</t>
  </si>
  <si>
    <t>187-17</t>
  </si>
  <si>
    <t>NELSON</t>
  </si>
  <si>
    <t>180-17</t>
  </si>
  <si>
    <t>183-17</t>
  </si>
  <si>
    <t>159-17</t>
  </si>
  <si>
    <t>152-17</t>
  </si>
  <si>
    <t>134-17</t>
  </si>
  <si>
    <t>155-17</t>
  </si>
  <si>
    <t>146-17</t>
  </si>
  <si>
    <t>153-17</t>
  </si>
  <si>
    <t>177-17</t>
  </si>
  <si>
    <t>WEBSTER</t>
  </si>
  <si>
    <t>137-17</t>
  </si>
  <si>
    <t>232-17</t>
  </si>
  <si>
    <t>114-17</t>
  </si>
  <si>
    <t>238-17</t>
  </si>
  <si>
    <t>245-17</t>
  </si>
  <si>
    <t>191-17</t>
  </si>
  <si>
    <t>188-17</t>
  </si>
  <si>
    <t>235-17</t>
  </si>
  <si>
    <t>244-17</t>
  </si>
  <si>
    <t>162-17</t>
  </si>
  <si>
    <t>163-17</t>
  </si>
  <si>
    <t>219-17</t>
  </si>
  <si>
    <t>165-17</t>
  </si>
  <si>
    <t>243-17</t>
  </si>
  <si>
    <t>160-17</t>
  </si>
  <si>
    <t>200-17</t>
  </si>
  <si>
    <t>167-17</t>
  </si>
  <si>
    <t>171-17</t>
  </si>
  <si>
    <t>239-17</t>
  </si>
  <si>
    <t>154-17</t>
  </si>
  <si>
    <t>118-17</t>
  </si>
  <si>
    <t>205-17</t>
  </si>
  <si>
    <t>127-17</t>
  </si>
  <si>
    <t>173-17</t>
  </si>
  <si>
    <t>132-17</t>
  </si>
  <si>
    <t>142-17</t>
  </si>
  <si>
    <t>140-17</t>
  </si>
  <si>
    <t>143-17</t>
  </si>
  <si>
    <t>136-17</t>
  </si>
  <si>
    <t>CLAIBORNE</t>
  </si>
  <si>
    <t>169-17</t>
  </si>
  <si>
    <t>103-17</t>
  </si>
  <si>
    <t>125-17</t>
  </si>
  <si>
    <t>101-17</t>
  </si>
  <si>
    <t>156-17</t>
  </si>
  <si>
    <t>168-17</t>
  </si>
  <si>
    <t>185-17</t>
  </si>
  <si>
    <t>234-17</t>
  </si>
  <si>
    <t>186-17</t>
  </si>
  <si>
    <t>222-17</t>
  </si>
  <si>
    <t>224-17</t>
  </si>
  <si>
    <t>KILLION</t>
  </si>
  <si>
    <t>226-17</t>
  </si>
  <si>
    <t>230-17</t>
  </si>
  <si>
    <t>129-17</t>
  </si>
  <si>
    <t>237-17</t>
  </si>
  <si>
    <t>189-17</t>
  </si>
  <si>
    <t>236-17</t>
  </si>
  <si>
    <t>170-17</t>
  </si>
  <si>
    <t>240-17</t>
  </si>
  <si>
    <t>150-17</t>
  </si>
  <si>
    <t>138-17</t>
  </si>
  <si>
    <t>204:719</t>
  </si>
  <si>
    <t>204:154013</t>
  </si>
  <si>
    <t>204:150973</t>
  </si>
  <si>
    <t>204:86352</t>
  </si>
  <si>
    <t>204:84683</t>
  </si>
  <si>
    <t>204:688</t>
  </si>
  <si>
    <t>204:232989</t>
  </si>
  <si>
    <t>204:232917</t>
  </si>
  <si>
    <t>204:232642</t>
  </si>
  <si>
    <t>204:18707</t>
  </si>
  <si>
    <t>204:697</t>
  </si>
  <si>
    <t>204:233287</t>
  </si>
  <si>
    <t>204:18784</t>
  </si>
  <si>
    <t>204:17924</t>
  </si>
  <si>
    <t>204:232983</t>
  </si>
  <si>
    <t>204:64131</t>
  </si>
  <si>
    <t>204:232984</t>
  </si>
  <si>
    <t>204:61668</t>
  </si>
  <si>
    <t>204:61571</t>
  </si>
  <si>
    <t>204:60912</t>
  </si>
  <si>
    <t>204:19133</t>
  </si>
  <si>
    <t>204:233347</t>
  </si>
  <si>
    <t>204:60896</t>
  </si>
  <si>
    <t>204:233301</t>
  </si>
  <si>
    <t>204:232967</t>
  </si>
  <si>
    <t>204:63516</t>
  </si>
  <si>
    <t>204:19128</t>
  </si>
  <si>
    <t>204:233323</t>
  </si>
  <si>
    <t>204:60916</t>
  </si>
  <si>
    <t>204:444</t>
  </si>
  <si>
    <t>204:1009</t>
  </si>
  <si>
    <t>204:64732</t>
  </si>
  <si>
    <t>204:62361</t>
  </si>
  <si>
    <t>204:6698</t>
  </si>
  <si>
    <t>204:64125</t>
  </si>
  <si>
    <t>204:233210</t>
  </si>
  <si>
    <t>204:232883</t>
  </si>
  <si>
    <t>204:61174</t>
  </si>
  <si>
    <t>204:233311</t>
  </si>
  <si>
    <t>204:18800</t>
  </si>
  <si>
    <t>204:58509</t>
  </si>
  <si>
    <t>204:351</t>
  </si>
  <si>
    <t>204:61506</t>
  </si>
  <si>
    <t>204:233318</t>
  </si>
  <si>
    <t>204:61085</t>
  </si>
  <si>
    <t>204:438</t>
  </si>
  <si>
    <t>204:9644</t>
  </si>
  <si>
    <t>204:64694</t>
  </si>
  <si>
    <t>204:60508</t>
  </si>
  <si>
    <t>204:232992</t>
  </si>
  <si>
    <t>204:138</t>
  </si>
  <si>
    <t>204:19134</t>
  </si>
  <si>
    <t>204:5287</t>
  </si>
  <si>
    <t>204:233006</t>
  </si>
  <si>
    <t>204:231880</t>
  </si>
  <si>
    <t>204:19122</t>
  </si>
  <si>
    <t>204:6385</t>
  </si>
  <si>
    <t>204:233078</t>
  </si>
  <si>
    <t>204:205966</t>
  </si>
  <si>
    <t>204:19142</t>
  </si>
  <si>
    <t>204:6666</t>
  </si>
  <si>
    <t>204:232970</t>
  </si>
  <si>
    <t>204:256</t>
  </si>
  <si>
    <t>204:233316</t>
  </si>
  <si>
    <t>204:150</t>
  </si>
  <si>
    <t>204:158198</t>
  </si>
  <si>
    <t>204:233307</t>
  </si>
  <si>
    <t>204:167</t>
  </si>
  <si>
    <t>204:183</t>
  </si>
  <si>
    <t>204:232952</t>
  </si>
  <si>
    <t>204:473</t>
  </si>
  <si>
    <t>204:233244</t>
  </si>
  <si>
    <t>204:232957</t>
  </si>
  <si>
    <t>204:176</t>
  </si>
  <si>
    <t>204:233300</t>
  </si>
  <si>
    <t>246-17</t>
  </si>
  <si>
    <t>102-17</t>
  </si>
  <si>
    <t>104-17</t>
  </si>
  <si>
    <t>105-17</t>
  </si>
  <si>
    <t>106-17</t>
  </si>
  <si>
    <t>107-17</t>
  </si>
  <si>
    <t>108-17</t>
  </si>
  <si>
    <t>109-17</t>
  </si>
  <si>
    <t>110-17</t>
  </si>
  <si>
    <t>111-17</t>
  </si>
  <si>
    <t>112-17</t>
  </si>
  <si>
    <t>113-17</t>
  </si>
  <si>
    <t>115-17</t>
  </si>
  <si>
    <t>145-17</t>
  </si>
  <si>
    <t>148-17</t>
  </si>
  <si>
    <t>149-17</t>
  </si>
  <si>
    <t>157-17</t>
  </si>
  <si>
    <t>158-17</t>
  </si>
  <si>
    <t>161-17</t>
  </si>
  <si>
    <t>175-17</t>
  </si>
  <si>
    <t>176-17</t>
  </si>
  <si>
    <t>178-17</t>
  </si>
  <si>
    <t>179-17</t>
  </si>
  <si>
    <t>181-17</t>
  </si>
  <si>
    <t>182-17</t>
  </si>
  <si>
    <t>184-17</t>
  </si>
  <si>
    <t>190-17</t>
  </si>
  <si>
    <t>192-17</t>
  </si>
  <si>
    <t>193-17</t>
  </si>
  <si>
    <t>194-17</t>
  </si>
  <si>
    <t>195-17</t>
  </si>
  <si>
    <t>196-17</t>
  </si>
  <si>
    <t>198-17</t>
  </si>
  <si>
    <t>199-17</t>
  </si>
  <si>
    <t>201-17</t>
  </si>
  <si>
    <t>202-17</t>
  </si>
  <si>
    <t>203-17</t>
  </si>
  <si>
    <t>206-17</t>
  </si>
  <si>
    <t>207-17</t>
  </si>
  <si>
    <t>208-17</t>
  </si>
  <si>
    <t>209-17</t>
  </si>
  <si>
    <t>210-17</t>
  </si>
  <si>
    <t>211-17</t>
  </si>
  <si>
    <t>212-17</t>
  </si>
  <si>
    <t>213-17</t>
  </si>
  <si>
    <t>214-17</t>
  </si>
  <si>
    <t>215-17</t>
  </si>
  <si>
    <t>216-17</t>
  </si>
  <si>
    <t>217-17</t>
  </si>
  <si>
    <t>220-17</t>
  </si>
  <si>
    <t>221-17</t>
  </si>
  <si>
    <t>223-17</t>
  </si>
  <si>
    <t>225-17</t>
  </si>
  <si>
    <t>227-17</t>
  </si>
  <si>
    <t>228-17</t>
  </si>
  <si>
    <t>233-17</t>
  </si>
  <si>
    <t>241-17</t>
  </si>
  <si>
    <t>Recorded Time</t>
  </si>
  <si>
    <t>Double Check</t>
  </si>
  <si>
    <t>Office System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</si>
</sst>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</borders>
  <cellStyleXfs count="1">
    <xf numFmtId="0" fontId="0" fillId="0" borderId="0"/>
  </cellStyleXfs>
  <cellXfs count="102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15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5" xfId="0" applyFill="1" applyBorder="1" applyAlignment="1">
      <alignment horizontal="center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19"/>
  <sheetViews>
    <sheetView showGridLines="0" tabSelected="1" zoomScale="85" zoomScaleNormal="85" workbookViewId="0">
      <selection activeCell="A2" sqref="A2"/>
    </sheetView>
  </sheetViews>
  <sheetFormatPr defaultRowHeight="15" x14ac:dyDescent="0.25"/>
  <cols>
    <col min="1" max="1" width="10.5703125" style="2" customWidth="1"/>
    <col min="2" max="2" width="10.7109375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67.5703125" bestFit="1" customWidth="1"/>
    <col min="19" max="19" width="4.28515625" customWidth="1"/>
    <col min="20" max="20" width="19.28515625" style="54" customWidth="1"/>
    <col min="21" max="21" width="10.140625" style="54" customWidth="1"/>
    <col min="22" max="22" width="14.140625" style="54" customWidth="1"/>
    <col min="23" max="25" width="9.140625" style="54"/>
    <col min="26" max="26" width="10.7109375" style="55" bestFit="1" customWidth="1"/>
    <col min="27" max="27" width="30.5703125" style="55" bestFit="1" customWidth="1"/>
  </cols>
  <sheetData>
    <row r="1" spans="1:89" ht="57.75" customHeight="1" thickBot="1" x14ac:dyDescent="0.3">
      <c r="A1" s="99" t="str">
        <f>"Eagle P3 System Performance - "&amp;TEXT(Variables!A2,"yyyy-mm-dd")</f>
        <v>Eagle P3 System Performance - 2016-06-17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70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1" t="s">
        <v>47</v>
      </c>
      <c r="U2" s="71" t="s">
        <v>23</v>
      </c>
      <c r="V2" s="71" t="s">
        <v>51</v>
      </c>
      <c r="W2" s="71" t="s">
        <v>20</v>
      </c>
      <c r="X2" s="71" t="s">
        <v>21</v>
      </c>
      <c r="Y2" s="71" t="s">
        <v>22</v>
      </c>
      <c r="Z2" s="72" t="s">
        <v>41</v>
      </c>
      <c r="AA2" s="72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0" t="s">
        <v>405</v>
      </c>
      <c r="B3" s="60">
        <v>4014</v>
      </c>
      <c r="C3" s="60" t="s">
        <v>62</v>
      </c>
      <c r="D3" s="60" t="s">
        <v>424</v>
      </c>
      <c r="E3" s="30">
        <v>42538.125567129631</v>
      </c>
      <c r="F3" s="30">
        <v>42538.12699074074</v>
      </c>
      <c r="G3" s="38">
        <v>2</v>
      </c>
      <c r="H3" s="30" t="s">
        <v>264</v>
      </c>
      <c r="I3" s="30">
        <v>42538.323981481481</v>
      </c>
      <c r="J3" s="60">
        <v>0</v>
      </c>
      <c r="K3" s="60" t="str">
        <f t="shared" ref="K3:K34" si="0">IF(ISEVEN(B3),(B3-1)&amp;"/"&amp;B3,B3&amp;"/"&amp;(B3+1))</f>
        <v>4013/4014</v>
      </c>
      <c r="L3" s="60" t="str">
        <f>VLOOKUP(A3,'Trips&amp;Operators'!$C$1:$E$10000,3,FALSE)</f>
        <v>YORK</v>
      </c>
      <c r="M3" s="12">
        <f t="shared" ref="M3:M34" si="1">I3-F3</f>
        <v>0.19699074074014788</v>
      </c>
      <c r="N3" s="13"/>
      <c r="O3" s="13"/>
      <c r="P3" s="13">
        <f>24*60*SUM($M3:$M3)</f>
        <v>283.66666666581295</v>
      </c>
      <c r="Q3" s="61"/>
      <c r="R3" s="61" t="s">
        <v>558</v>
      </c>
      <c r="T3" s="73" t="str">
        <f t="shared" ref="T3:T34" si="2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https://search-rtdc-monitor-bjffxe2xuh6vdkpspy63sjmuny.us-east-1.es.amazonaws.com/_plugin/kibana/#/discover/Steve-Slow-Train-Analysis-(2080s-and-2083s)?_g=(refreshInterval:(display:Off,section:0,value:0),time:(from:'2016-06-17 02:59:49-0600',mode:absolute,to:'2016-06-17 07:47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3" s="73" t="str">
        <f t="shared" ref="U3:U34" si="3">IF(Y3&lt;23,"Y","N")</f>
        <v>N</v>
      </c>
      <c r="V3" s="73" t="e">
        <f t="shared" ref="V3:V34" si="4">VALUE(LEFT(A3,3))-VALUE(LEFT(A2,3))</f>
        <v>#VALUE!</v>
      </c>
      <c r="W3" s="73">
        <f t="shared" ref="W3:W34" si="5">RIGHT(D3,LEN(D3)-4)/10000</f>
        <v>7.1900000000000006E-2</v>
      </c>
      <c r="X3" s="73">
        <f t="shared" ref="X3:X34" si="6">RIGHT(H3,LEN(H3)-4)/10000</f>
        <v>23.3291</v>
      </c>
      <c r="Y3" s="73">
        <f t="shared" ref="Y3:Y34" si="7">ABS(X3-W3)</f>
        <v>23.257200000000001</v>
      </c>
      <c r="Z3" s="74" t="e">
        <f>VLOOKUP(A3,Enforcements!$C$18:$J$26,8,0)</f>
        <v>#N/A</v>
      </c>
      <c r="AA3" s="74"/>
    </row>
    <row r="4" spans="1:89" s="2" customFormat="1" x14ac:dyDescent="0.25">
      <c r="A4" s="60" t="s">
        <v>403</v>
      </c>
      <c r="B4" s="60">
        <v>4040</v>
      </c>
      <c r="C4" s="60"/>
      <c r="D4" s="60"/>
      <c r="E4" s="30"/>
      <c r="F4" s="30">
        <v>42538.148206018515</v>
      </c>
      <c r="G4" s="38"/>
      <c r="H4" s="30"/>
      <c r="I4" s="30">
        <v>42538.148773148147</v>
      </c>
      <c r="J4" s="60"/>
      <c r="K4" s="60" t="str">
        <f t="shared" si="0"/>
        <v>4039/4040</v>
      </c>
      <c r="L4" s="60" t="str">
        <f>VLOOKUP(A4,'Trips&amp;Operators'!$C$1:$E$10000,3,FALSE)</f>
        <v>STURGEON</v>
      </c>
      <c r="M4" s="12">
        <f t="shared" si="1"/>
        <v>5.671296312357299E-4</v>
      </c>
      <c r="N4" s="13"/>
      <c r="O4" s="13"/>
      <c r="P4" s="13">
        <f>24*60*SUM($M4:$M4)</f>
        <v>0.81666666897945106</v>
      </c>
      <c r="Q4" s="61"/>
      <c r="R4" s="61" t="s">
        <v>558</v>
      </c>
      <c r="T4" s="73" t="e">
        <f t="shared" si="2"/>
        <v>#VALUE!</v>
      </c>
      <c r="U4" s="73" t="e">
        <f t="shared" si="3"/>
        <v>#VALUE!</v>
      </c>
      <c r="V4" s="73">
        <f t="shared" si="4"/>
        <v>2</v>
      </c>
      <c r="W4" s="73" t="e">
        <f t="shared" si="5"/>
        <v>#VALUE!</v>
      </c>
      <c r="X4" s="73" t="e">
        <f t="shared" si="6"/>
        <v>#VALUE!</v>
      </c>
      <c r="Y4" s="73" t="e">
        <f t="shared" si="7"/>
        <v>#VALUE!</v>
      </c>
      <c r="Z4" s="74" t="e">
        <f>VLOOKUP(A4,Enforcements!$C$18:$J$26,8,0)</f>
        <v>#N/A</v>
      </c>
      <c r="AA4" s="74"/>
    </row>
    <row r="5" spans="1:89" s="2" customFormat="1" x14ac:dyDescent="0.25">
      <c r="A5" s="60" t="s">
        <v>374</v>
      </c>
      <c r="B5" s="60">
        <v>4013</v>
      </c>
      <c r="C5" s="60" t="s">
        <v>62</v>
      </c>
      <c r="D5" s="60" t="s">
        <v>202</v>
      </c>
      <c r="E5" s="30">
        <v>42538.258750000001</v>
      </c>
      <c r="F5" s="30">
        <v>42538.259479166663</v>
      </c>
      <c r="G5" s="38">
        <v>1</v>
      </c>
      <c r="H5" s="30" t="s">
        <v>81</v>
      </c>
      <c r="I5" s="30">
        <v>42538.29011574074</v>
      </c>
      <c r="J5" s="60">
        <v>0</v>
      </c>
      <c r="K5" s="60" t="str">
        <f t="shared" si="0"/>
        <v>4013/4014</v>
      </c>
      <c r="L5" s="60" t="str">
        <f>VLOOKUP(A5,'Trips&amp;Operators'!$C$1:$E$10000,3,FALSE)</f>
        <v>STAMBAUGH</v>
      </c>
      <c r="M5" s="12">
        <f t="shared" si="1"/>
        <v>3.0636574076197576E-2</v>
      </c>
      <c r="N5" s="13">
        <f>24*60*SUM($M5:$M5)</f>
        <v>44.116666669724509</v>
      </c>
      <c r="O5" s="13"/>
      <c r="P5" s="13"/>
      <c r="Q5" s="61"/>
      <c r="R5" s="61"/>
      <c r="T5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https://search-rtdc-monitor-bjffxe2xuh6vdkpspy63sjmuny.us-east-1.es.amazonaws.com/_plugin/kibana/#/discover/Steve-Slow-Train-Analysis-(2080s-and-2083s)?_g=(refreshInterval:(display:Off,section:0,value:0),time:(from:'2016-06-17 06:11:36-0600',mode:absolute,to:'2016-06-17 06:58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5" s="73" t="str">
        <f t="shared" si="3"/>
        <v>N</v>
      </c>
      <c r="V5" s="73">
        <f t="shared" si="4"/>
        <v>11</v>
      </c>
      <c r="W5" s="73">
        <f t="shared" si="5"/>
        <v>23.297999999999998</v>
      </c>
      <c r="X5" s="73">
        <f t="shared" si="6"/>
        <v>1.49E-2</v>
      </c>
      <c r="Y5" s="73">
        <f t="shared" si="7"/>
        <v>23.283099999999997</v>
      </c>
      <c r="Z5" s="74" t="e">
        <f>VLOOKUP(A5,Enforcements!$C$18:$J$26,8,0)</f>
        <v>#N/A</v>
      </c>
      <c r="AA5" s="74" t="e">
        <f>VLOOKUP(A5,Enforcements!$C$18:$J$26,3,0)</f>
        <v>#N/A</v>
      </c>
    </row>
    <row r="6" spans="1:89" s="2" customFormat="1" x14ac:dyDescent="0.25">
      <c r="A6" s="60" t="s">
        <v>357</v>
      </c>
      <c r="B6" s="60">
        <v>4043</v>
      </c>
      <c r="C6" s="60" t="s">
        <v>62</v>
      </c>
      <c r="D6" s="60" t="s">
        <v>178</v>
      </c>
      <c r="E6" s="30">
        <v>42538.262337962966</v>
      </c>
      <c r="F6" s="30">
        <v>42538.263124999998</v>
      </c>
      <c r="G6" s="38">
        <v>1</v>
      </c>
      <c r="H6" s="30" t="s">
        <v>71</v>
      </c>
      <c r="I6" s="30">
        <v>42538.295254629629</v>
      </c>
      <c r="J6" s="60">
        <v>0</v>
      </c>
      <c r="K6" s="60" t="str">
        <f t="shared" si="0"/>
        <v>4043/4044</v>
      </c>
      <c r="L6" s="60" t="str">
        <f>VLOOKUP(A6,'Trips&amp;Operators'!$C$1:$E$10000,3,FALSE)</f>
        <v>YORK</v>
      </c>
      <c r="M6" s="12">
        <f t="shared" si="1"/>
        <v>3.2129629631526768E-2</v>
      </c>
      <c r="N6" s="13">
        <f>24*60*SUM($M6:$M6)</f>
        <v>46.266666669398546</v>
      </c>
      <c r="O6" s="13"/>
      <c r="P6" s="13"/>
      <c r="Q6" s="61"/>
      <c r="R6" s="61"/>
      <c r="T6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https://search-rtdc-monitor-bjffxe2xuh6vdkpspy63sjmuny.us-east-1.es.amazonaws.com/_plugin/kibana/#/discover/Steve-Slow-Train-Analysis-(2080s-and-2083s)?_g=(refreshInterval:(display:Off,section:0,value:0),time:(from:'2016-06-17 06:16:46-0600',mode:absolute,to:'2016-06-17 07:06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6" s="73" t="str">
        <f t="shared" si="3"/>
        <v>N</v>
      </c>
      <c r="V6" s="73">
        <f t="shared" si="4"/>
        <v>2</v>
      </c>
      <c r="W6" s="73">
        <f t="shared" si="5"/>
        <v>23.2987</v>
      </c>
      <c r="X6" s="73">
        <f t="shared" si="6"/>
        <v>1.47E-2</v>
      </c>
      <c r="Y6" s="73">
        <f t="shared" si="7"/>
        <v>23.283999999999999</v>
      </c>
      <c r="Z6" s="74" t="e">
        <f>VLOOKUP(A6,Enforcements!$C$18:$J$26,8,0)</f>
        <v>#N/A</v>
      </c>
      <c r="AA6" s="74" t="e">
        <f>VLOOKUP(A6,Enforcements!$C$18:$J$26,3,0)</f>
        <v>#N/A</v>
      </c>
    </row>
    <row r="7" spans="1:89" s="2" customFormat="1" x14ac:dyDescent="0.25">
      <c r="A7" s="60" t="s">
        <v>320</v>
      </c>
      <c r="B7" s="60">
        <v>4009</v>
      </c>
      <c r="C7" s="60" t="s">
        <v>62</v>
      </c>
      <c r="D7" s="60" t="s">
        <v>313</v>
      </c>
      <c r="E7" s="30">
        <v>42538.240636574075</v>
      </c>
      <c r="F7" s="30">
        <v>42538.241851851853</v>
      </c>
      <c r="G7" s="38">
        <v>1</v>
      </c>
      <c r="H7" s="30" t="s">
        <v>201</v>
      </c>
      <c r="I7" s="30">
        <v>42538.274826388886</v>
      </c>
      <c r="J7" s="60">
        <v>1</v>
      </c>
      <c r="K7" s="60" t="str">
        <f t="shared" si="0"/>
        <v>4009/4010</v>
      </c>
      <c r="L7" s="60" t="str">
        <f>VLOOKUP(A7,'Trips&amp;Operators'!$C$1:$E$10000,3,FALSE)</f>
        <v>STURGEON</v>
      </c>
      <c r="M7" s="12">
        <f t="shared" si="1"/>
        <v>3.2974537032714579E-2</v>
      </c>
      <c r="N7" s="13">
        <f>24*60*SUM($M7:$M7)</f>
        <v>47.483333327108994</v>
      </c>
      <c r="O7" s="13"/>
      <c r="P7" s="13"/>
      <c r="Q7" s="61"/>
      <c r="R7" s="61"/>
      <c r="T7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https://search-rtdc-monitor-bjffxe2xuh6vdkpspy63sjmuny.us-east-1.es.amazonaws.com/_plugin/kibana/#/discover/Steve-Slow-Train-Analysis-(2080s-and-2083s)?_g=(refreshInterval:(display:Off,section:0,value:0),time:(from:'2016-06-17 05:45:31-0600',mode:absolute,to:'2016-06-17 06:36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7" s="73" t="str">
        <f t="shared" si="3"/>
        <v>N</v>
      </c>
      <c r="V7" s="73">
        <f t="shared" si="4"/>
        <v>1</v>
      </c>
      <c r="W7" s="73">
        <f t="shared" si="5"/>
        <v>4.3299999999999998E-2</v>
      </c>
      <c r="X7" s="73">
        <f t="shared" si="6"/>
        <v>23.3308</v>
      </c>
      <c r="Y7" s="73">
        <f t="shared" si="7"/>
        <v>23.287500000000001</v>
      </c>
      <c r="Z7" s="74" t="e">
        <f>VLOOKUP(A7,Enforcements!$C$18:$J$26,8,0)</f>
        <v>#N/A</v>
      </c>
      <c r="AA7" s="74" t="e">
        <f>VLOOKUP(A7,Enforcements!$C$18:$J$26,3,0)</f>
        <v>#N/A</v>
      </c>
    </row>
    <row r="8" spans="1:89" s="2" customFormat="1" x14ac:dyDescent="0.25">
      <c r="A8" s="60" t="s">
        <v>392</v>
      </c>
      <c r="B8" s="60">
        <v>4039</v>
      </c>
      <c r="C8" s="60" t="s">
        <v>62</v>
      </c>
      <c r="D8" s="60" t="s">
        <v>425</v>
      </c>
      <c r="E8" s="30">
        <v>42538.288495370369</v>
      </c>
      <c r="F8" s="30">
        <v>42538.289224537039</v>
      </c>
      <c r="G8" s="38">
        <v>1</v>
      </c>
      <c r="H8" s="30" t="s">
        <v>426</v>
      </c>
      <c r="I8" s="30">
        <v>42538.290949074071</v>
      </c>
      <c r="J8" s="60">
        <v>0</v>
      </c>
      <c r="K8" s="60" t="str">
        <f t="shared" si="0"/>
        <v>4039/4040</v>
      </c>
      <c r="L8" s="60" t="str">
        <f>VLOOKUP(A8,'Trips&amp;Operators'!$C$1:$E$10000,3,FALSE)</f>
        <v>DAVIS</v>
      </c>
      <c r="M8" s="12">
        <f t="shared" si="1"/>
        <v>1.7245370327145793E-3</v>
      </c>
      <c r="N8" s="13"/>
      <c r="O8" s="13"/>
      <c r="P8" s="13">
        <f>24*60*SUM($M8:$M9)</f>
        <v>4.2499999876599759</v>
      </c>
      <c r="Q8" s="61"/>
      <c r="R8" s="61" t="s">
        <v>558</v>
      </c>
      <c r="T8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https://search-rtdc-monitor-bjffxe2xuh6vdkpspy63sjmuny.us-east-1.es.amazonaws.com/_plugin/kibana/#/discover/Steve-Slow-Train-Analysis-(2080s-and-2083s)?_g=(refreshInterval:(display:Off,section:0,value:0),time:(from:'2016-06-17 06:54:26-0600',mode:absolute,to:'2016-06-17 06:59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8" s="73" t="str">
        <f t="shared" si="3"/>
        <v>Y</v>
      </c>
      <c r="V8" s="73">
        <f t="shared" si="4"/>
        <v>1</v>
      </c>
      <c r="W8" s="73">
        <f t="shared" si="5"/>
        <v>15.401300000000001</v>
      </c>
      <c r="X8" s="73">
        <f t="shared" si="6"/>
        <v>15.097300000000001</v>
      </c>
      <c r="Y8" s="73">
        <f t="shared" si="7"/>
        <v>0.30400000000000027</v>
      </c>
      <c r="Z8" s="74" t="e">
        <f>VLOOKUP(A8,Enforcements!$C$18:$J$26,8,0)</f>
        <v>#N/A</v>
      </c>
      <c r="AA8" s="74" t="e">
        <f>VLOOKUP(A8,Enforcements!$C$18:$J$26,3,0)</f>
        <v>#N/A</v>
      </c>
    </row>
    <row r="9" spans="1:89" s="2" customFormat="1" x14ac:dyDescent="0.25">
      <c r="A9" s="60" t="s">
        <v>392</v>
      </c>
      <c r="B9" s="60">
        <v>4039</v>
      </c>
      <c r="C9" s="60" t="s">
        <v>62</v>
      </c>
      <c r="D9" s="60" t="s">
        <v>427</v>
      </c>
      <c r="E9" s="30">
        <v>42538.297048611108</v>
      </c>
      <c r="F9" s="30">
        <v>42538.297824074078</v>
      </c>
      <c r="G9" s="38">
        <v>1</v>
      </c>
      <c r="H9" s="30" t="s">
        <v>428</v>
      </c>
      <c r="I9" s="30">
        <v>42538.299050925925</v>
      </c>
      <c r="J9" s="60">
        <v>0</v>
      </c>
      <c r="K9" s="60" t="str">
        <f t="shared" si="0"/>
        <v>4039/4040</v>
      </c>
      <c r="L9" s="60" t="str">
        <f>VLOOKUP(A9,'Trips&amp;Operators'!$C$1:$E$10000,3,FALSE)</f>
        <v>DAVIS</v>
      </c>
      <c r="M9" s="12">
        <f t="shared" si="1"/>
        <v>1.2268518476048484E-3</v>
      </c>
      <c r="N9" s="13"/>
      <c r="O9" s="13"/>
      <c r="P9" s="13"/>
      <c r="Q9" s="61"/>
      <c r="R9" s="61"/>
      <c r="T9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https://search-rtdc-monitor-bjffxe2xuh6vdkpspy63sjmuny.us-east-1.es.amazonaws.com/_plugin/kibana/#/discover/Steve-Slow-Train-Analysis-(2080s-and-2083s)?_g=(refreshInterval:(display:Off,section:0,value:0),time:(from:'2016-06-17 07:06:45-0600',mode:absolute,to:'2016-06-17 07:11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9" s="73" t="str">
        <f t="shared" si="3"/>
        <v>Y</v>
      </c>
      <c r="V9" s="73">
        <f t="shared" si="4"/>
        <v>0</v>
      </c>
      <c r="W9" s="73">
        <f t="shared" si="5"/>
        <v>8.6351999999999993</v>
      </c>
      <c r="X9" s="73">
        <f t="shared" si="6"/>
        <v>8.4682999999999993</v>
      </c>
      <c r="Y9" s="73">
        <f t="shared" si="7"/>
        <v>0.16690000000000005</v>
      </c>
      <c r="Z9" s="74" t="e">
        <f>VLOOKUP(A9,Enforcements!$C$18:$J$26,8,0)</f>
        <v>#N/A</v>
      </c>
      <c r="AA9" s="74" t="e">
        <f>VLOOKUP(A9,Enforcements!$C$18:$J$26,3,0)</f>
        <v>#N/A</v>
      </c>
    </row>
    <row r="10" spans="1:89" s="2" customFormat="1" x14ac:dyDescent="0.25">
      <c r="A10" s="60" t="s">
        <v>321</v>
      </c>
      <c r="B10" s="60">
        <v>4024</v>
      </c>
      <c r="C10" s="60" t="s">
        <v>62</v>
      </c>
      <c r="D10" s="60" t="s">
        <v>429</v>
      </c>
      <c r="E10" s="30">
        <v>42538.257268518515</v>
      </c>
      <c r="F10" s="30">
        <v>42538.258668981478</v>
      </c>
      <c r="G10" s="38">
        <v>2</v>
      </c>
      <c r="H10" s="30" t="s">
        <v>90</v>
      </c>
      <c r="I10" s="30">
        <v>42538.293969907405</v>
      </c>
      <c r="J10" s="60">
        <v>1</v>
      </c>
      <c r="K10" s="60" t="str">
        <f t="shared" si="0"/>
        <v>4023/4024</v>
      </c>
      <c r="L10" s="60" t="str">
        <f>VLOOKUP(A10,'Trips&amp;Operators'!$C$1:$E$10000,3,FALSE)</f>
        <v>CANFIELD</v>
      </c>
      <c r="M10" s="12">
        <f t="shared" si="1"/>
        <v>3.5300925927003846E-2</v>
      </c>
      <c r="N10" s="13">
        <f>24*60*SUM($M10:$M10)</f>
        <v>50.833333334885538</v>
      </c>
      <c r="O10" s="13"/>
      <c r="P10" s="13"/>
      <c r="Q10" s="61"/>
      <c r="R10" s="61"/>
      <c r="T10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https://search-rtdc-monitor-bjffxe2xuh6vdkpspy63sjmuny.us-east-1.es.amazonaws.com/_plugin/kibana/#/discover/Steve-Slow-Train-Analysis-(2080s-and-2083s)?_g=(refreshInterval:(display:Off,section:0,value:0),time:(from:'2016-06-17 06:09:28-0600',mode:absolute,to:'2016-06-17 07:04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0" s="73" t="str">
        <f t="shared" si="3"/>
        <v>N</v>
      </c>
      <c r="V10" s="73">
        <f t="shared" si="4"/>
        <v>1</v>
      </c>
      <c r="W10" s="73">
        <f t="shared" si="5"/>
        <v>6.88E-2</v>
      </c>
      <c r="X10" s="73">
        <f t="shared" si="6"/>
        <v>23.329899999999999</v>
      </c>
      <c r="Y10" s="73">
        <f t="shared" si="7"/>
        <v>23.261099999999999</v>
      </c>
      <c r="Z10" s="74" t="e">
        <f>VLOOKUP(A10,Enforcements!$C$18:$J$26,8,0)</f>
        <v>#N/A</v>
      </c>
      <c r="AA10" s="74" t="e">
        <f>VLOOKUP(A10,Enforcements!$C$18:$J$26,3,0)</f>
        <v>#N/A</v>
      </c>
    </row>
    <row r="11" spans="1:89" s="2" customFormat="1" x14ac:dyDescent="0.25">
      <c r="A11" s="60" t="s">
        <v>347</v>
      </c>
      <c r="B11" s="60">
        <v>4010</v>
      </c>
      <c r="C11" s="60" t="s">
        <v>62</v>
      </c>
      <c r="D11" s="60" t="s">
        <v>430</v>
      </c>
      <c r="E11" s="30">
        <v>42538.283877314818</v>
      </c>
      <c r="F11" s="30">
        <v>42538.285000000003</v>
      </c>
      <c r="G11" s="38">
        <v>1</v>
      </c>
      <c r="H11" s="30" t="s">
        <v>80</v>
      </c>
      <c r="I11" s="30">
        <v>42538.319467592592</v>
      </c>
      <c r="J11" s="60">
        <v>0</v>
      </c>
      <c r="K11" s="60" t="str">
        <f t="shared" si="0"/>
        <v>4009/4010</v>
      </c>
      <c r="L11" s="60" t="str">
        <f>VLOOKUP(A11,'Trips&amp;Operators'!$C$1:$E$10000,3,FALSE)</f>
        <v>STURGEON</v>
      </c>
      <c r="M11" s="12">
        <f t="shared" si="1"/>
        <v>3.4467592588043772E-2</v>
      </c>
      <c r="N11" s="13">
        <f>24*60*SUM($M11:$M11)</f>
        <v>49.633333326783031</v>
      </c>
      <c r="O11" s="13"/>
      <c r="P11" s="13"/>
      <c r="Q11" s="61"/>
      <c r="R11" s="61"/>
      <c r="T11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https://search-rtdc-monitor-bjffxe2xuh6vdkpspy63sjmuny.us-east-1.es.amazonaws.com/_plugin/kibana/#/discover/Steve-Slow-Train-Analysis-(2080s-and-2083s)?_g=(refreshInterval:(display:Off,section:0,value:0),time:(from:'2016-06-17 06:47:47-0600',mode:absolute,to:'2016-06-17 07:41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1" s="73" t="str">
        <f t="shared" si="3"/>
        <v>N</v>
      </c>
      <c r="V11" s="73">
        <f t="shared" si="4"/>
        <v>1</v>
      </c>
      <c r="W11" s="73">
        <f t="shared" si="5"/>
        <v>23.2989</v>
      </c>
      <c r="X11" s="73">
        <f t="shared" si="6"/>
        <v>1.41E-2</v>
      </c>
      <c r="Y11" s="73">
        <f t="shared" si="7"/>
        <v>23.284800000000001</v>
      </c>
      <c r="Z11" s="74" t="e">
        <f>VLOOKUP(A11,Enforcements!$C$18:$J$26,8,0)</f>
        <v>#N/A</v>
      </c>
      <c r="AA11" s="74" t="e">
        <f>VLOOKUP(A11,Enforcements!$C$18:$J$26,3,0)</f>
        <v>#N/A</v>
      </c>
    </row>
    <row r="12" spans="1:89" s="2" customFormat="1" x14ac:dyDescent="0.25">
      <c r="A12" s="60" t="s">
        <v>323</v>
      </c>
      <c r="B12" s="60">
        <v>4018</v>
      </c>
      <c r="C12" s="60" t="s">
        <v>62</v>
      </c>
      <c r="D12" s="60" t="s">
        <v>192</v>
      </c>
      <c r="E12" s="30">
        <v>42538.25885416667</v>
      </c>
      <c r="F12" s="30">
        <v>42538.25984953704</v>
      </c>
      <c r="G12" s="38">
        <v>1</v>
      </c>
      <c r="H12" s="30" t="s">
        <v>431</v>
      </c>
      <c r="I12" s="30">
        <v>42538.299178240741</v>
      </c>
      <c r="J12" s="60">
        <v>1</v>
      </c>
      <c r="K12" s="60" t="str">
        <f t="shared" si="0"/>
        <v>4017/4018</v>
      </c>
      <c r="L12" s="60" t="str">
        <f>VLOOKUP(A12,'Trips&amp;Operators'!$C$1:$E$10000,3,FALSE)</f>
        <v>STARKS</v>
      </c>
      <c r="M12" s="12">
        <f t="shared" si="1"/>
        <v>3.9328703700448386E-2</v>
      </c>
      <c r="N12" s="13">
        <f>24*60*SUM($M12:$M12)</f>
        <v>56.633333328645676</v>
      </c>
      <c r="O12" s="13"/>
      <c r="P12" s="13"/>
      <c r="Q12" s="61"/>
      <c r="R12" s="61"/>
      <c r="T12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https://search-rtdc-monitor-bjffxe2xuh6vdkpspy63sjmuny.us-east-1.es.amazonaws.com/_plugin/kibana/#/discover/Steve-Slow-Train-Analysis-(2080s-and-2083s)?_g=(refreshInterval:(display:Off,section:0,value:0),time:(from:'2016-06-17 06:11:45-0600',mode:absolute,to:'2016-06-17 07:11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2" s="73" t="str">
        <f t="shared" si="3"/>
        <v>N</v>
      </c>
      <c r="V12" s="73">
        <f t="shared" si="4"/>
        <v>1</v>
      </c>
      <c r="W12" s="73">
        <f t="shared" si="5"/>
        <v>4.4900000000000002E-2</v>
      </c>
      <c r="X12" s="73">
        <f t="shared" si="6"/>
        <v>23.291699999999999</v>
      </c>
      <c r="Y12" s="73">
        <f t="shared" si="7"/>
        <v>23.2468</v>
      </c>
      <c r="Z12" s="74">
        <f>VLOOKUP(A12,Enforcements!$C$18:$J$26,8,0)</f>
        <v>233491</v>
      </c>
      <c r="AA12" s="74" t="str">
        <f>VLOOKUP(A12,Enforcements!$C$18:$J$26,3,0)</f>
        <v>TRACK WARRANT AUTHORITY</v>
      </c>
    </row>
    <row r="13" spans="1:89" s="2" customFormat="1" x14ac:dyDescent="0.25">
      <c r="A13" s="60" t="s">
        <v>324</v>
      </c>
      <c r="B13" s="60">
        <v>4017</v>
      </c>
      <c r="C13" s="60" t="s">
        <v>62</v>
      </c>
      <c r="D13" s="60" t="s">
        <v>432</v>
      </c>
      <c r="E13" s="30">
        <v>42538.30704861111</v>
      </c>
      <c r="F13" s="30">
        <v>42538.30810185185</v>
      </c>
      <c r="G13" s="38">
        <v>1</v>
      </c>
      <c r="H13" s="30" t="s">
        <v>433</v>
      </c>
      <c r="I13" s="30">
        <v>42538.333703703705</v>
      </c>
      <c r="J13" s="60">
        <v>1</v>
      </c>
      <c r="K13" s="60" t="str">
        <f t="shared" si="0"/>
        <v>4017/4018</v>
      </c>
      <c r="L13" s="60" t="str">
        <f>VLOOKUP(A13,'Trips&amp;Operators'!$C$1:$E$10000,3,FALSE)</f>
        <v>CANFIELD</v>
      </c>
      <c r="M13" s="12">
        <f t="shared" si="1"/>
        <v>2.5601851855753921E-2</v>
      </c>
      <c r="N13" s="13"/>
      <c r="O13" s="13"/>
      <c r="P13" s="13">
        <f>24*60*SUM($M13:$M13)</f>
        <v>36.866666672285646</v>
      </c>
      <c r="Q13" s="61"/>
      <c r="R13" s="61" t="s">
        <v>558</v>
      </c>
      <c r="T13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https://search-rtdc-monitor-bjffxe2xuh6vdkpspy63sjmuny.us-east-1.es.amazonaws.com/_plugin/kibana/#/discover/Steve-Slow-Train-Analysis-(2080s-and-2083s)?_g=(refreshInterval:(display:Off,section:0,value:0),time:(from:'2016-06-17 07:21:09-0600',mode:absolute,to:'2016-06-17 08:01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3" s="73" t="str">
        <f t="shared" si="3"/>
        <v>Y</v>
      </c>
      <c r="V13" s="73">
        <f t="shared" si="4"/>
        <v>1</v>
      </c>
      <c r="W13" s="73">
        <f t="shared" si="5"/>
        <v>23.264199999999999</v>
      </c>
      <c r="X13" s="73">
        <f t="shared" si="6"/>
        <v>1.8707</v>
      </c>
      <c r="Y13" s="73">
        <f t="shared" si="7"/>
        <v>21.3935</v>
      </c>
      <c r="Z13" s="74" t="e">
        <f>VLOOKUP(A13,Enforcements!$C$18:$J$26,8,0)</f>
        <v>#N/A</v>
      </c>
      <c r="AA13" s="74" t="e">
        <f>VLOOKUP(A13,Enforcements!$C$18:$J$26,3,0)</f>
        <v>#N/A</v>
      </c>
    </row>
    <row r="14" spans="1:89" s="2" customFormat="1" x14ac:dyDescent="0.25">
      <c r="A14" s="60" t="s">
        <v>322</v>
      </c>
      <c r="B14" s="60">
        <v>4042</v>
      </c>
      <c r="C14" s="60" t="s">
        <v>62</v>
      </c>
      <c r="D14" s="60" t="s">
        <v>434</v>
      </c>
      <c r="E14" s="30">
        <v>42538.270069444443</v>
      </c>
      <c r="F14" s="30">
        <v>42538.270949074074</v>
      </c>
      <c r="G14" s="38">
        <v>1</v>
      </c>
      <c r="H14" s="30" t="s">
        <v>435</v>
      </c>
      <c r="I14" s="30">
        <v>42538.297881944447</v>
      </c>
      <c r="J14" s="60">
        <v>1</v>
      </c>
      <c r="K14" s="60" t="str">
        <f t="shared" si="0"/>
        <v>4041/4042</v>
      </c>
      <c r="L14" s="60" t="str">
        <f>VLOOKUP(A14,'Trips&amp;Operators'!$C$1:$E$10000,3,FALSE)</f>
        <v>MALAVE</v>
      </c>
      <c r="M14" s="12">
        <f t="shared" si="1"/>
        <v>2.6932870372547768E-2</v>
      </c>
      <c r="N14" s="13">
        <f>24*60*SUM($M14:$M14)</f>
        <v>38.783333336468786</v>
      </c>
      <c r="O14" s="13"/>
      <c r="P14" s="13"/>
      <c r="Q14" s="61"/>
      <c r="R14" s="61"/>
      <c r="T14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https://search-rtdc-monitor-bjffxe2xuh6vdkpspy63sjmuny.us-east-1.es.amazonaws.com/_plugin/kibana/#/discover/Steve-Slow-Train-Analysis-(2080s-and-2083s)?_g=(refreshInterval:(display:Off,section:0,value:0),time:(from:'2016-06-17 06:27:54-0600',mode:absolute,to:'2016-06-17 07:09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4" s="73" t="str">
        <f t="shared" si="3"/>
        <v>N</v>
      </c>
      <c r="V14" s="73">
        <f t="shared" si="4"/>
        <v>1</v>
      </c>
      <c r="W14" s="73">
        <f t="shared" si="5"/>
        <v>6.9699999999999998E-2</v>
      </c>
      <c r="X14" s="73">
        <f t="shared" si="6"/>
        <v>23.328700000000001</v>
      </c>
      <c r="Y14" s="73">
        <f t="shared" si="7"/>
        <v>23.259</v>
      </c>
      <c r="Z14" s="74" t="e">
        <f>VLOOKUP(A14,Enforcements!$C$18:$J$26,8,0)</f>
        <v>#N/A</v>
      </c>
      <c r="AA14" s="74" t="e">
        <f>VLOOKUP(A14,Enforcements!$C$18:$J$26,3,0)</f>
        <v>#N/A</v>
      </c>
    </row>
    <row r="15" spans="1:89" s="2" customFormat="1" x14ac:dyDescent="0.25">
      <c r="A15" s="60" t="s">
        <v>346</v>
      </c>
      <c r="B15" s="60">
        <v>4041</v>
      </c>
      <c r="C15" s="60" t="s">
        <v>62</v>
      </c>
      <c r="D15" s="60" t="s">
        <v>200</v>
      </c>
      <c r="E15" s="30">
        <v>42538.312835648147</v>
      </c>
      <c r="F15" s="30">
        <v>42538.313645833332</v>
      </c>
      <c r="G15" s="38">
        <v>1</v>
      </c>
      <c r="H15" s="30" t="s">
        <v>436</v>
      </c>
      <c r="I15" s="30">
        <v>42538.337766203702</v>
      </c>
      <c r="J15" s="60">
        <v>0</v>
      </c>
      <c r="K15" s="60" t="str">
        <f t="shared" si="0"/>
        <v>4041/4042</v>
      </c>
      <c r="L15" s="60" t="str">
        <f>VLOOKUP(A15,'Trips&amp;Operators'!$C$1:$E$10000,3,FALSE)</f>
        <v>MALAVE</v>
      </c>
      <c r="M15" s="12">
        <f t="shared" si="1"/>
        <v>2.4120370369928423E-2</v>
      </c>
      <c r="N15" s="13"/>
      <c r="O15" s="13"/>
      <c r="P15" s="13">
        <f>24*60*SUM($M15:$M15)</f>
        <v>34.73333333269693</v>
      </c>
      <c r="Q15" s="61"/>
      <c r="R15" s="61"/>
      <c r="T15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https://search-rtdc-monitor-bjffxe2xuh6vdkpspy63sjmuny.us-east-1.es.amazonaws.com/_plugin/kibana/#/discover/Steve-Slow-Train-Analysis-(2080s-and-2083s)?_g=(refreshInterval:(display:Off,section:0,value:0),time:(from:'2016-06-17 07:29:29-0600',mode:absolute,to:'2016-06-17 08:07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5" s="73" t="str">
        <f t="shared" si="3"/>
        <v>Y</v>
      </c>
      <c r="V15" s="73">
        <f t="shared" si="4"/>
        <v>1</v>
      </c>
      <c r="W15" s="73">
        <f t="shared" si="5"/>
        <v>23.2972</v>
      </c>
      <c r="X15" s="73">
        <f t="shared" si="6"/>
        <v>1.8784000000000001</v>
      </c>
      <c r="Y15" s="73">
        <f t="shared" si="7"/>
        <v>21.418800000000001</v>
      </c>
      <c r="Z15" s="74" t="e">
        <f>VLOOKUP(A15,Enforcements!$C$18:$J$26,8,0)</f>
        <v>#N/A</v>
      </c>
      <c r="AA15" s="74" t="e">
        <f>VLOOKUP(A15,Enforcements!$C$18:$J$26,3,0)</f>
        <v>#N/A</v>
      </c>
    </row>
    <row r="16" spans="1:89" s="2" customFormat="1" x14ac:dyDescent="0.25">
      <c r="A16" s="60" t="s">
        <v>404</v>
      </c>
      <c r="B16" s="60">
        <v>4020</v>
      </c>
      <c r="C16" s="60" t="s">
        <v>62</v>
      </c>
      <c r="D16" s="60" t="s">
        <v>85</v>
      </c>
      <c r="E16" s="30">
        <v>42538.280011574076</v>
      </c>
      <c r="F16" s="30">
        <v>42538.281018518515</v>
      </c>
      <c r="G16" s="38">
        <v>1</v>
      </c>
      <c r="H16" s="30" t="s">
        <v>182</v>
      </c>
      <c r="I16" s="30">
        <v>42538.312060185184</v>
      </c>
      <c r="J16" s="60">
        <v>0</v>
      </c>
      <c r="K16" s="60" t="str">
        <f t="shared" si="0"/>
        <v>4019/4020</v>
      </c>
      <c r="L16" s="60" t="str">
        <f>VLOOKUP(A16,'Trips&amp;Operators'!$C$1:$E$10000,3,FALSE)</f>
        <v>RIVERA</v>
      </c>
      <c r="M16" s="12">
        <f t="shared" si="1"/>
        <v>3.104166666889796E-2</v>
      </c>
      <c r="N16" s="13">
        <f>24*60*SUM($M16:$M16)</f>
        <v>44.700000003213063</v>
      </c>
      <c r="O16" s="13"/>
      <c r="P16" s="13"/>
      <c r="Q16" s="61"/>
      <c r="R16" s="61"/>
      <c r="T16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https://search-rtdc-monitor-bjffxe2xuh6vdkpspy63sjmuny.us-east-1.es.amazonaws.com/_plugin/kibana/#/discover/Steve-Slow-Train-Analysis-(2080s-and-2083s)?_g=(refreshInterval:(display:Off,section:0,value:0),time:(from:'2016-06-17 06:42:13-0600',mode:absolute,to:'2016-06-17 07:30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6" s="73" t="str">
        <f t="shared" si="3"/>
        <v>N</v>
      </c>
      <c r="V16" s="73">
        <f t="shared" si="4"/>
        <v>1</v>
      </c>
      <c r="W16" s="73">
        <f t="shared" si="5"/>
        <v>4.53E-2</v>
      </c>
      <c r="X16" s="73">
        <f t="shared" si="6"/>
        <v>23.328900000000001</v>
      </c>
      <c r="Y16" s="73">
        <f t="shared" si="7"/>
        <v>23.2836</v>
      </c>
      <c r="Z16" s="74" t="e">
        <f>VLOOKUP(A16,Enforcements!$C$18:$J$26,8,0)</f>
        <v>#N/A</v>
      </c>
      <c r="AA16" s="74" t="e">
        <f>VLOOKUP(A16,Enforcements!$C$18:$J$26,3,0)</f>
        <v>#N/A</v>
      </c>
    </row>
    <row r="17" spans="1:27" s="2" customFormat="1" x14ac:dyDescent="0.25">
      <c r="A17" s="60" t="s">
        <v>359</v>
      </c>
      <c r="B17" s="60">
        <v>4019</v>
      </c>
      <c r="C17" s="60" t="s">
        <v>62</v>
      </c>
      <c r="D17" s="60" t="s">
        <v>76</v>
      </c>
      <c r="E17" s="30">
        <v>42538.316134259258</v>
      </c>
      <c r="F17" s="30">
        <v>42538.317210648151</v>
      </c>
      <c r="G17" s="38">
        <v>1</v>
      </c>
      <c r="H17" s="30" t="s">
        <v>437</v>
      </c>
      <c r="I17" s="30">
        <v>42538.344884259262</v>
      </c>
      <c r="J17" s="60">
        <v>0</v>
      </c>
      <c r="K17" s="60" t="str">
        <f t="shared" si="0"/>
        <v>4019/4020</v>
      </c>
      <c r="L17" s="60" t="str">
        <f>VLOOKUP(A17,'Trips&amp;Operators'!$C$1:$E$10000,3,FALSE)</f>
        <v>RIVERA</v>
      </c>
      <c r="M17" s="12">
        <f t="shared" si="1"/>
        <v>2.7673611111822538E-2</v>
      </c>
      <c r="N17" s="13"/>
      <c r="O17" s="13"/>
      <c r="P17" s="13">
        <f>24*60*SUM($M17:$M17)</f>
        <v>39.850000001024455</v>
      </c>
      <c r="Q17" s="61"/>
      <c r="R17" s="61" t="s">
        <v>558</v>
      </c>
      <c r="T17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https://search-rtdc-monitor-bjffxe2xuh6vdkpspy63sjmuny.us-east-1.es.amazonaws.com/_plugin/kibana/#/discover/Steve-Slow-Train-Analysis-(2080s-and-2083s)?_g=(refreshInterval:(display:Off,section:0,value:0),time:(from:'2016-06-17 07:34:14-0600',mode:absolute,to:'2016-06-17 08:17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7" s="73" t="str">
        <f t="shared" si="3"/>
        <v>Y</v>
      </c>
      <c r="V17" s="73">
        <f t="shared" si="4"/>
        <v>1</v>
      </c>
      <c r="W17" s="73">
        <f t="shared" si="5"/>
        <v>23.297699999999999</v>
      </c>
      <c r="X17" s="73">
        <f t="shared" si="6"/>
        <v>1.7924</v>
      </c>
      <c r="Y17" s="73">
        <f t="shared" si="7"/>
        <v>21.505299999999998</v>
      </c>
      <c r="Z17" s="74" t="e">
        <f>VLOOKUP(A17,Enforcements!$C$18:$J$26,8,0)</f>
        <v>#N/A</v>
      </c>
      <c r="AA17" s="74" t="e">
        <f>VLOOKUP(A17,Enforcements!$C$18:$J$26,3,0)</f>
        <v>#N/A</v>
      </c>
    </row>
    <row r="18" spans="1:27" s="2" customFormat="1" x14ac:dyDescent="0.25">
      <c r="A18" s="60" t="s">
        <v>394</v>
      </c>
      <c r="B18" s="60">
        <v>4014</v>
      </c>
      <c r="C18" s="60" t="s">
        <v>62</v>
      </c>
      <c r="D18" s="60" t="s">
        <v>85</v>
      </c>
      <c r="E18" s="30">
        <v>42538.291261574072</v>
      </c>
      <c r="F18" s="30">
        <v>42538.292488425926</v>
      </c>
      <c r="G18" s="38">
        <v>1</v>
      </c>
      <c r="H18" s="30" t="s">
        <v>264</v>
      </c>
      <c r="I18" s="30">
        <v>42538.323981481481</v>
      </c>
      <c r="J18" s="60">
        <v>0</v>
      </c>
      <c r="K18" s="60" t="str">
        <f t="shared" si="0"/>
        <v>4013/4014</v>
      </c>
      <c r="L18" s="60" t="str">
        <f>VLOOKUP(A18,'Trips&amp;Operators'!$C$1:$E$10000,3,FALSE)</f>
        <v>STAMBAUGH</v>
      </c>
      <c r="M18" s="12">
        <f t="shared" si="1"/>
        <v>3.1493055554165039E-2</v>
      </c>
      <c r="N18" s="13">
        <f>24*60*SUM($M18:$M18)</f>
        <v>45.349999997997656</v>
      </c>
      <c r="O18" s="13"/>
      <c r="P18" s="13"/>
      <c r="Q18" s="61"/>
      <c r="R18" s="61"/>
      <c r="T18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https://search-rtdc-monitor-bjffxe2xuh6vdkpspy63sjmuny.us-east-1.es.amazonaws.com/_plugin/kibana/#/discover/Steve-Slow-Train-Analysis-(2080s-and-2083s)?_g=(refreshInterval:(display:Off,section:0,value:0),time:(from:'2016-06-17 06:58:25-0600',mode:absolute,to:'2016-06-17 07:47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8" s="73" t="str">
        <f t="shared" si="3"/>
        <v>N</v>
      </c>
      <c r="V18" s="73">
        <f t="shared" si="4"/>
        <v>1</v>
      </c>
      <c r="W18" s="73">
        <f t="shared" si="5"/>
        <v>4.53E-2</v>
      </c>
      <c r="X18" s="73">
        <f t="shared" si="6"/>
        <v>23.3291</v>
      </c>
      <c r="Y18" s="73">
        <f t="shared" si="7"/>
        <v>23.283799999999999</v>
      </c>
      <c r="Z18" s="74" t="e">
        <f>VLOOKUP(A18,Enforcements!$C$18:$J$26,8,0)</f>
        <v>#N/A</v>
      </c>
      <c r="AA18" s="74" t="e">
        <f>VLOOKUP(A18,Enforcements!$C$18:$J$26,3,0)</f>
        <v>#N/A</v>
      </c>
    </row>
    <row r="19" spans="1:27" s="2" customFormat="1" x14ac:dyDescent="0.25">
      <c r="A19" s="60" t="s">
        <v>325</v>
      </c>
      <c r="B19" s="60">
        <v>4013</v>
      </c>
      <c r="C19" s="60" t="s">
        <v>62</v>
      </c>
      <c r="D19" s="60" t="s">
        <v>438</v>
      </c>
      <c r="E19" s="30">
        <v>42538.326018518521</v>
      </c>
      <c r="F19" s="30">
        <v>42538.327407407407</v>
      </c>
      <c r="G19" s="38">
        <v>2</v>
      </c>
      <c r="H19" s="30" t="s">
        <v>439</v>
      </c>
      <c r="I19" s="30">
        <v>42538.348090277781</v>
      </c>
      <c r="J19" s="60">
        <v>1</v>
      </c>
      <c r="K19" s="60" t="str">
        <f t="shared" si="0"/>
        <v>4013/4014</v>
      </c>
      <c r="L19" s="60" t="str">
        <f>VLOOKUP(A19,'Trips&amp;Operators'!$C$1:$E$10000,3,FALSE)</f>
        <v>STAMBAUGH</v>
      </c>
      <c r="M19" s="12">
        <f t="shared" si="1"/>
        <v>2.068287037400296E-2</v>
      </c>
      <c r="N19" s="13"/>
      <c r="O19" s="13"/>
      <c r="P19" s="13">
        <f>24*60*SUM($M19:$M19)</f>
        <v>29.783333338564262</v>
      </c>
      <c r="Q19" s="61"/>
      <c r="R19" s="61" t="s">
        <v>558</v>
      </c>
      <c r="T19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https://search-rtdc-monitor-bjffxe2xuh6vdkpspy63sjmuny.us-east-1.es.amazonaws.com/_plugin/kibana/#/discover/Steve-Slow-Train-Analysis-(2080s-and-2083s)?_g=(refreshInterval:(display:Off,section:0,value:0),time:(from:'2016-06-17 07:48:28-0600',mode:absolute,to:'2016-06-17 08:22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9" s="73" t="str">
        <f t="shared" si="3"/>
        <v>Y</v>
      </c>
      <c r="V19" s="73">
        <f t="shared" si="4"/>
        <v>1</v>
      </c>
      <c r="W19" s="73">
        <f t="shared" si="5"/>
        <v>23.298300000000001</v>
      </c>
      <c r="X19" s="73">
        <f t="shared" si="6"/>
        <v>6.4131</v>
      </c>
      <c r="Y19" s="73">
        <f t="shared" si="7"/>
        <v>16.885200000000001</v>
      </c>
      <c r="Z19" s="74" t="e">
        <f>VLOOKUP(A19,Enforcements!$C$18:$J$26,8,0)</f>
        <v>#N/A</v>
      </c>
      <c r="AA19" s="74" t="e">
        <f>VLOOKUP(A19,Enforcements!$C$18:$J$26,3,0)</f>
        <v>#N/A</v>
      </c>
    </row>
    <row r="20" spans="1:27" s="2" customFormat="1" x14ac:dyDescent="0.25">
      <c r="A20" s="60" t="s">
        <v>416</v>
      </c>
      <c r="B20" s="60">
        <v>4044</v>
      </c>
      <c r="C20" s="60" t="s">
        <v>62</v>
      </c>
      <c r="D20" s="60" t="s">
        <v>304</v>
      </c>
      <c r="E20" s="30">
        <v>42538.297442129631</v>
      </c>
      <c r="F20" s="30">
        <v>42538.29855324074</v>
      </c>
      <c r="G20" s="38">
        <v>1</v>
      </c>
      <c r="H20" s="30" t="s">
        <v>306</v>
      </c>
      <c r="I20" s="30">
        <v>42538.32849537037</v>
      </c>
      <c r="J20" s="60">
        <v>0</v>
      </c>
      <c r="K20" s="60" t="str">
        <f t="shared" si="0"/>
        <v>4043/4044</v>
      </c>
      <c r="L20" s="60" t="str">
        <f>VLOOKUP(A20,'Trips&amp;Operators'!$C$1:$E$10000,3,FALSE)</f>
        <v>YORK</v>
      </c>
      <c r="M20" s="12">
        <f t="shared" si="1"/>
        <v>2.99421296294895E-2</v>
      </c>
      <c r="N20" s="13">
        <f>24*60*SUM($M20:$M20)</f>
        <v>43.11666666646488</v>
      </c>
      <c r="O20" s="13"/>
      <c r="P20" s="13"/>
      <c r="Q20" s="61"/>
      <c r="R20" s="61"/>
      <c r="T20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https://search-rtdc-monitor-bjffxe2xuh6vdkpspy63sjmuny.us-east-1.es.amazonaws.com/_plugin/kibana/#/discover/Steve-Slow-Train-Analysis-(2080s-and-2083s)?_g=(refreshInterval:(display:Off,section:0,value:0),time:(from:'2016-06-17 07:07:19-0600',mode:absolute,to:'2016-06-17 07:54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20" s="73" t="str">
        <f t="shared" si="3"/>
        <v>N</v>
      </c>
      <c r="V20" s="73">
        <f t="shared" si="4"/>
        <v>1</v>
      </c>
      <c r="W20" s="73">
        <f t="shared" si="5"/>
        <v>4.5499999999999999E-2</v>
      </c>
      <c r="X20" s="73">
        <f t="shared" si="6"/>
        <v>23.330300000000001</v>
      </c>
      <c r="Y20" s="73">
        <f t="shared" si="7"/>
        <v>23.284800000000001</v>
      </c>
      <c r="Z20" s="74" t="e">
        <f>VLOOKUP(A20,Enforcements!$C$18:$J$26,8,0)</f>
        <v>#N/A</v>
      </c>
      <c r="AA20" s="74" t="e">
        <f>VLOOKUP(A20,Enforcements!$C$18:$J$26,3,0)</f>
        <v>#N/A</v>
      </c>
    </row>
    <row r="21" spans="1:27" s="2" customFormat="1" x14ac:dyDescent="0.25">
      <c r="A21" s="60" t="s">
        <v>326</v>
      </c>
      <c r="B21" s="60">
        <v>4043</v>
      </c>
      <c r="C21" s="60" t="s">
        <v>62</v>
      </c>
      <c r="D21" s="60" t="s">
        <v>440</v>
      </c>
      <c r="E21" s="30">
        <v>42538.337245370371</v>
      </c>
      <c r="F21" s="30">
        <v>42538.338067129633</v>
      </c>
      <c r="G21" s="38">
        <v>1</v>
      </c>
      <c r="H21" s="30" t="s">
        <v>441</v>
      </c>
      <c r="I21" s="30">
        <v>42538.362696759257</v>
      </c>
      <c r="J21" s="60">
        <v>1</v>
      </c>
      <c r="K21" s="60" t="str">
        <f t="shared" si="0"/>
        <v>4043/4044</v>
      </c>
      <c r="L21" s="60" t="str">
        <f>VLOOKUP(A21,'Trips&amp;Operators'!$C$1:$E$10000,3,FALSE)</f>
        <v>YORK</v>
      </c>
      <c r="M21" s="12">
        <f t="shared" si="1"/>
        <v>2.4629629624541849E-2</v>
      </c>
      <c r="N21" s="13"/>
      <c r="O21" s="13"/>
      <c r="P21" s="13">
        <f>24*60*SUM($M21:$M21)</f>
        <v>35.466666659340262</v>
      </c>
      <c r="Q21" s="61"/>
      <c r="R21" s="61" t="s">
        <v>558</v>
      </c>
      <c r="T21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https://search-rtdc-monitor-bjffxe2xuh6vdkpspy63sjmuny.us-east-1.es.amazonaws.com/_plugin/kibana/#/discover/Steve-Slow-Train-Analysis-(2080s-and-2083s)?_g=(refreshInterval:(display:Off,section:0,value:0),time:(from:'2016-06-17 08:04:38-0600',mode:absolute,to:'2016-06-17 08:43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21" s="73" t="str">
        <f t="shared" si="3"/>
        <v>Y</v>
      </c>
      <c r="V21" s="73">
        <f t="shared" si="4"/>
        <v>1</v>
      </c>
      <c r="W21" s="73">
        <f t="shared" si="5"/>
        <v>23.298400000000001</v>
      </c>
      <c r="X21" s="73">
        <f t="shared" si="6"/>
        <v>6.1668000000000003</v>
      </c>
      <c r="Y21" s="73">
        <f t="shared" si="7"/>
        <v>17.131599999999999</v>
      </c>
      <c r="Z21" s="74" t="e">
        <f>VLOOKUP(A21,Enforcements!$C$18:$J$26,8,0)</f>
        <v>#N/A</v>
      </c>
      <c r="AA21" s="74" t="e">
        <f>VLOOKUP(A21,Enforcements!$C$18:$J$26,3,0)</f>
        <v>#N/A</v>
      </c>
    </row>
    <row r="22" spans="1:27" s="2" customFormat="1" x14ac:dyDescent="0.25">
      <c r="A22" s="60" t="s">
        <v>350</v>
      </c>
      <c r="B22" s="60">
        <v>4040</v>
      </c>
      <c r="C22" s="60" t="s">
        <v>62</v>
      </c>
      <c r="D22" s="60" t="s">
        <v>304</v>
      </c>
      <c r="E22" s="30">
        <v>42538.312395833331</v>
      </c>
      <c r="F22" s="30">
        <v>42538.313645833332</v>
      </c>
      <c r="G22" s="38">
        <v>1</v>
      </c>
      <c r="H22" s="30" t="s">
        <v>316</v>
      </c>
      <c r="I22" s="30">
        <v>42539.309965277775</v>
      </c>
      <c r="J22" s="60">
        <v>2</v>
      </c>
      <c r="K22" s="60" t="str">
        <f t="shared" si="0"/>
        <v>4039/4040</v>
      </c>
      <c r="L22" s="60" t="str">
        <f>VLOOKUP(A22,'Trips&amp;Operators'!$C$1:$E$10000,3,FALSE)</f>
        <v>DAVIS</v>
      </c>
      <c r="M22" s="12">
        <f t="shared" si="1"/>
        <v>0.99631944444263354</v>
      </c>
      <c r="N22" s="13"/>
      <c r="O22" s="13"/>
      <c r="P22" s="13">
        <f>24*60*SUM($M22:$M22)</f>
        <v>1434.6999999973923</v>
      </c>
      <c r="Q22" s="61"/>
      <c r="R22" s="61" t="s">
        <v>558</v>
      </c>
      <c r="T22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https://search-rtdc-monitor-bjffxe2xuh6vdkpspy63sjmuny.us-east-1.es.amazonaws.com/_plugin/kibana/#/discover/Steve-Slow-Train-Analysis-(2080s-and-2083s)?_g=(refreshInterval:(display:Off,section:0,value:0),time:(from:'2016-06-17 07:28:51-0600',mode:absolute,to:'2016-06-18 07:27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22" s="73" t="str">
        <f t="shared" si="3"/>
        <v>N</v>
      </c>
      <c r="V22" s="73">
        <f t="shared" si="4"/>
        <v>1</v>
      </c>
      <c r="W22" s="73">
        <f t="shared" si="5"/>
        <v>4.5499999999999999E-2</v>
      </c>
      <c r="X22" s="73">
        <f t="shared" si="6"/>
        <v>23.328199999999999</v>
      </c>
      <c r="Y22" s="73">
        <f t="shared" si="7"/>
        <v>23.282699999999998</v>
      </c>
      <c r="Z22" s="74" t="e">
        <f>VLOOKUP(A22,Enforcements!$C$18:$J$26,8,0)</f>
        <v>#N/A</v>
      </c>
      <c r="AA22" s="74" t="e">
        <f>VLOOKUP(A22,Enforcements!$C$18:$J$26,3,0)</f>
        <v>#N/A</v>
      </c>
    </row>
    <row r="23" spans="1:27" s="2" customFormat="1" x14ac:dyDescent="0.25">
      <c r="A23" s="60" t="s">
        <v>396</v>
      </c>
      <c r="B23" s="60">
        <v>4039</v>
      </c>
      <c r="C23" s="60" t="s">
        <v>62</v>
      </c>
      <c r="D23" s="60" t="s">
        <v>180</v>
      </c>
      <c r="E23" s="30">
        <v>42538.350231481483</v>
      </c>
      <c r="F23" s="30">
        <v>42538.351226851853</v>
      </c>
      <c r="G23" s="38">
        <v>1</v>
      </c>
      <c r="H23" s="30" t="s">
        <v>442</v>
      </c>
      <c r="I23" s="30">
        <v>42538.369814814818</v>
      </c>
      <c r="J23" s="60">
        <v>0</v>
      </c>
      <c r="K23" s="60" t="str">
        <f t="shared" si="0"/>
        <v>4039/4040</v>
      </c>
      <c r="L23" s="60" t="str">
        <f>VLOOKUP(A23,'Trips&amp;Operators'!$C$1:$E$10000,3,FALSE)</f>
        <v>DAVIS</v>
      </c>
      <c r="M23" s="12">
        <f t="shared" si="1"/>
        <v>1.8587962964375038E-2</v>
      </c>
      <c r="N23" s="13"/>
      <c r="O23" s="13"/>
      <c r="P23" s="13">
        <f>24*60*SUM($M23:$M23)</f>
        <v>26.766666668700054</v>
      </c>
      <c r="Q23" s="61"/>
      <c r="R23" s="61" t="s">
        <v>558</v>
      </c>
      <c r="T23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https://search-rtdc-monitor-bjffxe2xuh6vdkpspy63sjmuny.us-east-1.es.amazonaws.com/_plugin/kibana/#/discover/Steve-Slow-Train-Analysis-(2080s-and-2083s)?_g=(refreshInterval:(display:Off,section:0,value:0),time:(from:'2016-06-17 08:23:20-0600',mode:absolute,to:'2016-06-17 08:53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23" s="73" t="str">
        <f t="shared" si="3"/>
        <v>Y</v>
      </c>
      <c r="V23" s="73">
        <f t="shared" si="4"/>
        <v>1</v>
      </c>
      <c r="W23" s="73">
        <f t="shared" si="5"/>
        <v>23.3</v>
      </c>
      <c r="X23" s="73">
        <f t="shared" si="6"/>
        <v>6.1570999999999998</v>
      </c>
      <c r="Y23" s="73">
        <f t="shared" si="7"/>
        <v>17.142900000000001</v>
      </c>
      <c r="Z23" s="74" t="e">
        <f>VLOOKUP(A23,Enforcements!$C$18:$J$26,8,0)</f>
        <v>#N/A</v>
      </c>
      <c r="AA23" s="74" t="e">
        <f>VLOOKUP(A23,Enforcements!$C$18:$J$26,3,0)</f>
        <v>#N/A</v>
      </c>
    </row>
    <row r="24" spans="1:27" s="2" customFormat="1" x14ac:dyDescent="0.25">
      <c r="A24" s="60" t="s">
        <v>353</v>
      </c>
      <c r="B24" s="60">
        <v>4009</v>
      </c>
      <c r="C24" s="60" t="s">
        <v>62</v>
      </c>
      <c r="D24" s="60" t="s">
        <v>181</v>
      </c>
      <c r="E24" s="30">
        <v>42538.320798611108</v>
      </c>
      <c r="F24" s="30">
        <v>42538.321863425925</v>
      </c>
      <c r="G24" s="38">
        <v>1</v>
      </c>
      <c r="H24" s="30" t="s">
        <v>310</v>
      </c>
      <c r="I24" s="30">
        <v>42538.349733796298</v>
      </c>
      <c r="J24" s="60">
        <v>0</v>
      </c>
      <c r="K24" s="60" t="str">
        <f t="shared" si="0"/>
        <v>4009/4010</v>
      </c>
      <c r="L24" s="60" t="str">
        <f>VLOOKUP(A24,'Trips&amp;Operators'!$C$1:$E$10000,3,FALSE)</f>
        <v>STURGEON</v>
      </c>
      <c r="M24" s="12">
        <f t="shared" si="1"/>
        <v>2.7870370373420883E-2</v>
      </c>
      <c r="N24" s="13">
        <f>24*60*SUM($M24:$M24)</f>
        <v>40.133333337726071</v>
      </c>
      <c r="O24" s="13"/>
      <c r="P24" s="13"/>
      <c r="Q24" s="61"/>
      <c r="R24" s="61"/>
      <c r="T24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https://search-rtdc-monitor-bjffxe2xuh6vdkpspy63sjmuny.us-east-1.es.amazonaws.com/_plugin/kibana/#/discover/Steve-Slow-Train-Analysis-(2080s-and-2083s)?_g=(refreshInterval:(display:Off,section:0,value:0),time:(from:'2016-06-17 07:40:57-0600',mode:absolute,to:'2016-06-17 08:24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24" s="73" t="str">
        <f t="shared" si="3"/>
        <v>N</v>
      </c>
      <c r="V24" s="73">
        <f t="shared" si="4"/>
        <v>1</v>
      </c>
      <c r="W24" s="73">
        <f t="shared" si="5"/>
        <v>4.4699999999999997E-2</v>
      </c>
      <c r="X24" s="73">
        <f t="shared" si="6"/>
        <v>23.328800000000001</v>
      </c>
      <c r="Y24" s="73">
        <f t="shared" si="7"/>
        <v>23.284100000000002</v>
      </c>
      <c r="Z24" s="74" t="e">
        <f>VLOOKUP(A24,Enforcements!$C$18:$J$26,8,0)</f>
        <v>#N/A</v>
      </c>
      <c r="AA24" s="74" t="e">
        <f>VLOOKUP(A24,Enforcements!$C$18:$J$26,3,0)</f>
        <v>#N/A</v>
      </c>
    </row>
    <row r="25" spans="1:27" s="2" customFormat="1" x14ac:dyDescent="0.25">
      <c r="A25" s="60" t="s">
        <v>366</v>
      </c>
      <c r="B25" s="60">
        <v>4010</v>
      </c>
      <c r="C25" s="60" t="s">
        <v>62</v>
      </c>
      <c r="D25" s="60" t="s">
        <v>307</v>
      </c>
      <c r="E25" s="30">
        <v>42538.353078703702</v>
      </c>
      <c r="F25" s="30">
        <v>42538.354212962964</v>
      </c>
      <c r="G25" s="38">
        <v>1</v>
      </c>
      <c r="H25" s="30" t="s">
        <v>443</v>
      </c>
      <c r="I25" s="30">
        <v>42538.381793981483</v>
      </c>
      <c r="J25" s="60">
        <v>0</v>
      </c>
      <c r="K25" s="60" t="str">
        <f t="shared" si="0"/>
        <v>4009/4010</v>
      </c>
      <c r="L25" s="60" t="str">
        <f>VLOOKUP(A25,'Trips&amp;Operators'!$C$1:$E$10000,3,FALSE)</f>
        <v>STURGEON</v>
      </c>
      <c r="M25" s="12">
        <f t="shared" si="1"/>
        <v>2.7581018519413192E-2</v>
      </c>
      <c r="N25" s="13"/>
      <c r="O25" s="13"/>
      <c r="P25" s="13">
        <f>24*60*SUM($M25:$M25)</f>
        <v>39.716666667954996</v>
      </c>
      <c r="Q25" s="61"/>
      <c r="R25" s="61" t="s">
        <v>558</v>
      </c>
      <c r="T25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https://search-rtdc-monitor-bjffxe2xuh6vdkpspy63sjmuny.us-east-1.es.amazonaws.com/_plugin/kibana/#/discover/Steve-Slow-Train-Analysis-(2080s-and-2083s)?_g=(refreshInterval:(display:Off,section:0,value:0),time:(from:'2016-06-17 08:27:26-0600',mode:absolute,to:'2016-06-17 09:10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25" s="73" t="str">
        <f t="shared" si="3"/>
        <v>Y</v>
      </c>
      <c r="V25" s="73">
        <f t="shared" si="4"/>
        <v>1</v>
      </c>
      <c r="W25" s="73">
        <f t="shared" si="5"/>
        <v>23.296500000000002</v>
      </c>
      <c r="X25" s="73">
        <f t="shared" si="6"/>
        <v>6.0911999999999997</v>
      </c>
      <c r="Y25" s="73">
        <f t="shared" si="7"/>
        <v>17.205300000000001</v>
      </c>
      <c r="Z25" s="74" t="e">
        <f>VLOOKUP(A25,Enforcements!$C$18:$J$26,8,0)</f>
        <v>#N/A</v>
      </c>
      <c r="AA25" s="74" t="e">
        <f>VLOOKUP(A25,Enforcements!$C$18:$J$26,3,0)</f>
        <v>#N/A</v>
      </c>
    </row>
    <row r="26" spans="1:27" s="2" customFormat="1" x14ac:dyDescent="0.25">
      <c r="A26" s="60" t="s">
        <v>327</v>
      </c>
      <c r="B26" s="60">
        <v>4016</v>
      </c>
      <c r="C26" s="60" t="s">
        <v>62</v>
      </c>
      <c r="D26" s="60" t="s">
        <v>444</v>
      </c>
      <c r="E26" s="30">
        <v>42538.338750000003</v>
      </c>
      <c r="F26" s="30">
        <v>42538.339629629627</v>
      </c>
      <c r="G26" s="38">
        <v>1</v>
      </c>
      <c r="H26" s="30" t="s">
        <v>445</v>
      </c>
      <c r="I26" s="30">
        <v>42538.365486111114</v>
      </c>
      <c r="J26" s="60">
        <v>1</v>
      </c>
      <c r="K26" s="60" t="str">
        <f t="shared" si="0"/>
        <v>4015/4016</v>
      </c>
      <c r="L26" s="60" t="str">
        <f>VLOOKUP(A26,'Trips&amp;Operators'!$C$1:$E$10000,3,FALSE)</f>
        <v>CLAIBORNE</v>
      </c>
      <c r="M26" s="12">
        <f t="shared" si="1"/>
        <v>2.5856481486698613E-2</v>
      </c>
      <c r="N26" s="13"/>
      <c r="O26" s="13"/>
      <c r="P26" s="13">
        <f>24*60*SUM($M26:$M26)</f>
        <v>37.233333340846002</v>
      </c>
      <c r="Q26" s="61"/>
      <c r="R26" s="61" t="s">
        <v>558</v>
      </c>
      <c r="T26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https://search-rtdc-monitor-bjffxe2xuh6vdkpspy63sjmuny.us-east-1.es.amazonaws.com/_plugin/kibana/#/discover/Steve-Slow-Train-Analysis-(2080s-and-2083s)?_g=(refreshInterval:(display:Off,section:0,value:0),time:(from:'2016-06-17 08:06:48-0600',mode:absolute,to:'2016-06-17 08:47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26" s="73" t="str">
        <f t="shared" si="3"/>
        <v>Y</v>
      </c>
      <c r="V26" s="73">
        <f t="shared" si="4"/>
        <v>1</v>
      </c>
      <c r="W26" s="73">
        <f t="shared" si="5"/>
        <v>1.9133</v>
      </c>
      <c r="X26" s="73">
        <f t="shared" si="6"/>
        <v>23.334700000000002</v>
      </c>
      <c r="Y26" s="73">
        <f t="shared" si="7"/>
        <v>21.421400000000002</v>
      </c>
      <c r="Z26" s="74">
        <f>VLOOKUP(A26,Enforcements!$C$18:$J$26,8,0)</f>
        <v>233491</v>
      </c>
      <c r="AA26" s="74" t="str">
        <f>VLOOKUP(A26,Enforcements!$C$18:$J$26,3,0)</f>
        <v>TRACK WARRANT AUTHORITY</v>
      </c>
    </row>
    <row r="27" spans="1:27" s="2" customFormat="1" x14ac:dyDescent="0.25">
      <c r="A27" s="60" t="s">
        <v>400</v>
      </c>
      <c r="B27" s="60">
        <v>4015</v>
      </c>
      <c r="C27" s="60" t="s">
        <v>62</v>
      </c>
      <c r="D27" s="60" t="s">
        <v>309</v>
      </c>
      <c r="E27" s="30">
        <v>42538.371180555558</v>
      </c>
      <c r="F27" s="30">
        <v>42538.372175925928</v>
      </c>
      <c r="G27" s="38">
        <v>1</v>
      </c>
      <c r="H27" s="30" t="s">
        <v>446</v>
      </c>
      <c r="I27" s="30">
        <v>42538.393333333333</v>
      </c>
      <c r="J27" s="60">
        <v>0</v>
      </c>
      <c r="K27" s="60" t="str">
        <f t="shared" si="0"/>
        <v>4015/4016</v>
      </c>
      <c r="L27" s="60" t="str">
        <f>VLOOKUP(A27,'Trips&amp;Operators'!$C$1:$E$10000,3,FALSE)</f>
        <v>CLAIBORNE</v>
      </c>
      <c r="M27" s="12">
        <f t="shared" si="1"/>
        <v>2.1157407405553386E-2</v>
      </c>
      <c r="N27" s="13"/>
      <c r="O27" s="13"/>
      <c r="P27" s="13">
        <f>24*60*SUM($M27:$M27)</f>
        <v>30.466666663996875</v>
      </c>
      <c r="Q27" s="61"/>
      <c r="R27" s="61" t="s">
        <v>558</v>
      </c>
      <c r="T27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https://search-rtdc-monitor-bjffxe2xuh6vdkpspy63sjmuny.us-east-1.es.amazonaws.com/_plugin/kibana/#/discover/Steve-Slow-Train-Analysis-(2080s-and-2083s)?_g=(refreshInterval:(display:Off,section:0,value:0),time:(from:'2016-06-17 08:53:30-0600',mode:absolute,to:'2016-06-17 09:27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27" s="73" t="str">
        <f t="shared" si="3"/>
        <v>Y</v>
      </c>
      <c r="V27" s="73">
        <f t="shared" si="4"/>
        <v>1</v>
      </c>
      <c r="W27" s="73">
        <f t="shared" si="5"/>
        <v>23.305499999999999</v>
      </c>
      <c r="X27" s="73">
        <f t="shared" si="6"/>
        <v>6.0895999999999999</v>
      </c>
      <c r="Y27" s="73">
        <f t="shared" si="7"/>
        <v>17.215899999999998</v>
      </c>
      <c r="Z27" s="74" t="e">
        <f>VLOOKUP(A27,Enforcements!$C$18:$J$26,8,0)</f>
        <v>#N/A</v>
      </c>
      <c r="AA27" s="74" t="e">
        <f>VLOOKUP(A27,Enforcements!$C$18:$J$26,3,0)</f>
        <v>#N/A</v>
      </c>
    </row>
    <row r="28" spans="1:27" s="2" customFormat="1" x14ac:dyDescent="0.25">
      <c r="A28" s="60" t="s">
        <v>372</v>
      </c>
      <c r="B28" s="60">
        <v>4042</v>
      </c>
      <c r="C28" s="60" t="s">
        <v>62</v>
      </c>
      <c r="D28" s="60" t="s">
        <v>79</v>
      </c>
      <c r="E28" s="30">
        <v>42538.346597222226</v>
      </c>
      <c r="F28" s="30">
        <v>42538.347673611112</v>
      </c>
      <c r="G28" s="38">
        <v>1</v>
      </c>
      <c r="H28" s="30" t="s">
        <v>447</v>
      </c>
      <c r="I28" s="30">
        <v>42538.378969907404</v>
      </c>
      <c r="J28" s="60">
        <v>0</v>
      </c>
      <c r="K28" s="60" t="str">
        <f t="shared" si="0"/>
        <v>4041/4042</v>
      </c>
      <c r="L28" s="60" t="str">
        <f>VLOOKUP(A28,'Trips&amp;Operators'!$C$1:$E$10000,3,FALSE)</f>
        <v>MALAVE</v>
      </c>
      <c r="M28" s="12">
        <f t="shared" si="1"/>
        <v>3.1296296292566694E-2</v>
      </c>
      <c r="N28" s="13">
        <f>24*60*SUM($M28:$M28)</f>
        <v>45.06666666129604</v>
      </c>
      <c r="O28" s="13"/>
      <c r="P28" s="13"/>
      <c r="Q28" s="61"/>
      <c r="R28" s="61"/>
      <c r="T28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https://search-rtdc-monitor-bjffxe2xuh6vdkpspy63sjmuny.us-east-1.es.amazonaws.com/_plugin/kibana/#/discover/Steve-Slow-Train-Analysis-(2080s-and-2083s)?_g=(refreshInterval:(display:Off,section:0,value:0),time:(from:'2016-06-17 08:18:06-0600',mode:absolute,to:'2016-06-17 09:06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28" s="73" t="str">
        <f t="shared" si="3"/>
        <v>N</v>
      </c>
      <c r="V28" s="73">
        <f t="shared" si="4"/>
        <v>1</v>
      </c>
      <c r="W28" s="73">
        <f t="shared" si="5"/>
        <v>4.5699999999999998E-2</v>
      </c>
      <c r="X28" s="73">
        <f t="shared" si="6"/>
        <v>23.330100000000002</v>
      </c>
      <c r="Y28" s="73">
        <f t="shared" si="7"/>
        <v>23.284400000000002</v>
      </c>
      <c r="Z28" s="74" t="e">
        <f>VLOOKUP(A28,Enforcements!$C$18:$J$26,8,0)</f>
        <v>#N/A</v>
      </c>
      <c r="AA28" s="74" t="e">
        <f>VLOOKUP(A28,Enforcements!$C$18:$J$26,3,0)</f>
        <v>#N/A</v>
      </c>
    </row>
    <row r="29" spans="1:27" s="2" customFormat="1" x14ac:dyDescent="0.25">
      <c r="A29" s="60" t="s">
        <v>423</v>
      </c>
      <c r="B29" s="60">
        <v>4041</v>
      </c>
      <c r="C29" s="60" t="s">
        <v>62</v>
      </c>
      <c r="D29" s="60" t="s">
        <v>448</v>
      </c>
      <c r="E29" s="30">
        <v>42538.382893518516</v>
      </c>
      <c r="F29" s="30">
        <v>42538.383877314816</v>
      </c>
      <c r="G29" s="38">
        <v>1</v>
      </c>
      <c r="H29" s="30" t="s">
        <v>449</v>
      </c>
      <c r="I29" s="30">
        <v>42538.403032407405</v>
      </c>
      <c r="J29" s="60">
        <v>0</v>
      </c>
      <c r="K29" s="60" t="str">
        <f t="shared" si="0"/>
        <v>4041/4042</v>
      </c>
      <c r="L29" s="60" t="str">
        <f>VLOOKUP(A29,'Trips&amp;Operators'!$C$1:$E$10000,3,FALSE)</f>
        <v>MALAVE</v>
      </c>
      <c r="M29" s="12">
        <f t="shared" si="1"/>
        <v>1.915509258833481E-2</v>
      </c>
      <c r="N29" s="13"/>
      <c r="O29" s="13"/>
      <c r="P29" s="13">
        <f>24*60*SUM($M29:$M29)</f>
        <v>27.583333327202126</v>
      </c>
      <c r="Q29" s="61"/>
      <c r="R29" s="61" t="s">
        <v>558</v>
      </c>
      <c r="T29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https://search-rtdc-monitor-bjffxe2xuh6vdkpspy63sjmuny.us-east-1.es.amazonaws.com/_plugin/kibana/#/discover/Steve-Slow-Train-Analysis-(2080s-and-2083s)?_g=(refreshInterval:(display:Off,section:0,value:0),time:(from:'2016-06-17 09:10:22-0600',mode:absolute,to:'2016-06-17 09:41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29" s="73" t="str">
        <f t="shared" si="3"/>
        <v>Y</v>
      </c>
      <c r="V29" s="73">
        <f t="shared" si="4"/>
        <v>1</v>
      </c>
      <c r="W29" s="73">
        <f t="shared" si="5"/>
        <v>23.296700000000001</v>
      </c>
      <c r="X29" s="73">
        <f t="shared" si="6"/>
        <v>6.3516000000000004</v>
      </c>
      <c r="Y29" s="73">
        <f t="shared" si="7"/>
        <v>16.9451</v>
      </c>
      <c r="Z29" s="74" t="e">
        <f>VLOOKUP(A29,Enforcements!$C$18:$J$26,8,0)</f>
        <v>#N/A</v>
      </c>
      <c r="AA29" s="74" t="e">
        <f>VLOOKUP(A29,Enforcements!$C$18:$J$26,3,0)</f>
        <v>#N/A</v>
      </c>
    </row>
    <row r="30" spans="1:27" s="2" customFormat="1" x14ac:dyDescent="0.25">
      <c r="A30" s="60" t="s">
        <v>328</v>
      </c>
      <c r="B30" s="60">
        <v>4020</v>
      </c>
      <c r="C30" s="60" t="s">
        <v>62</v>
      </c>
      <c r="D30" s="60" t="s">
        <v>450</v>
      </c>
      <c r="E30" s="30">
        <v>42538.368425925924</v>
      </c>
      <c r="F30" s="30">
        <v>42538.369351851848</v>
      </c>
      <c r="G30" s="38">
        <v>1</v>
      </c>
      <c r="H30" s="30" t="s">
        <v>451</v>
      </c>
      <c r="I30" s="30">
        <v>42538.392696759256</v>
      </c>
      <c r="J30" s="60">
        <v>1</v>
      </c>
      <c r="K30" s="60" t="str">
        <f t="shared" si="0"/>
        <v>4019/4020</v>
      </c>
      <c r="L30" s="60" t="str">
        <f>VLOOKUP(A30,'Trips&amp;Operators'!$C$1:$E$10000,3,FALSE)</f>
        <v>RIVERA</v>
      </c>
      <c r="M30" s="12">
        <f t="shared" si="1"/>
        <v>2.3344907407590654E-2</v>
      </c>
      <c r="N30" s="13"/>
      <c r="O30" s="13"/>
      <c r="P30" s="13">
        <f>24*60*SUM($M30:$M30)</f>
        <v>33.616666666930541</v>
      </c>
      <c r="Q30" s="61"/>
      <c r="R30" s="61" t="s">
        <v>558</v>
      </c>
      <c r="T30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https://search-rtdc-monitor-bjffxe2xuh6vdkpspy63sjmuny.us-east-1.es.amazonaws.com/_plugin/kibana/#/discover/Steve-Slow-Train-Analysis-(2080s-and-2083s)?_g=(refreshInterval:(display:Off,section:0,value:0),time:(from:'2016-06-17 08:49:32-0600',mode:absolute,to:'2016-06-17 09:26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30" s="73" t="str">
        <f t="shared" si="3"/>
        <v>Y</v>
      </c>
      <c r="V30" s="73">
        <f t="shared" si="4"/>
        <v>1</v>
      </c>
      <c r="W30" s="73">
        <f t="shared" si="5"/>
        <v>1.9128000000000001</v>
      </c>
      <c r="X30" s="73">
        <f t="shared" si="6"/>
        <v>23.3323</v>
      </c>
      <c r="Y30" s="73">
        <f t="shared" si="7"/>
        <v>21.419499999999999</v>
      </c>
      <c r="Z30" s="74">
        <f>VLOOKUP(A30,Enforcements!$C$18:$J$26,8,0)</f>
        <v>30830</v>
      </c>
      <c r="AA30" s="74" t="str">
        <f>VLOOKUP(A30,Enforcements!$C$18:$J$26,3,0)</f>
        <v>UNHEALTHY CROSSING</v>
      </c>
    </row>
    <row r="31" spans="1:27" s="2" customFormat="1" x14ac:dyDescent="0.25">
      <c r="A31" s="60" t="s">
        <v>398</v>
      </c>
      <c r="B31" s="60">
        <v>4019</v>
      </c>
      <c r="C31" s="60" t="s">
        <v>62</v>
      </c>
      <c r="D31" s="60" t="s">
        <v>178</v>
      </c>
      <c r="E31" s="30">
        <v>42538.394375000003</v>
      </c>
      <c r="F31" s="30">
        <v>42538.395104166666</v>
      </c>
      <c r="G31" s="38">
        <v>1</v>
      </c>
      <c r="H31" s="30" t="s">
        <v>452</v>
      </c>
      <c r="I31" s="30">
        <v>42538.412962962961</v>
      </c>
      <c r="J31" s="60">
        <v>0</v>
      </c>
      <c r="K31" s="60" t="str">
        <f t="shared" si="0"/>
        <v>4019/4020</v>
      </c>
      <c r="L31" s="60" t="str">
        <f>VLOOKUP(A31,'Trips&amp;Operators'!$C$1:$E$10000,3,FALSE)</f>
        <v>RIVERA</v>
      </c>
      <c r="M31" s="12">
        <f t="shared" si="1"/>
        <v>1.7858796294603962E-2</v>
      </c>
      <c r="N31" s="13"/>
      <c r="O31" s="13"/>
      <c r="P31" s="13">
        <f>24*60*SUM($M31:$M31)</f>
        <v>25.716666664229706</v>
      </c>
      <c r="Q31" s="61"/>
      <c r="R31" s="61" t="s">
        <v>558</v>
      </c>
      <c r="T31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https://search-rtdc-monitor-bjffxe2xuh6vdkpspy63sjmuny.us-east-1.es.amazonaws.com/_plugin/kibana/#/discover/Steve-Slow-Train-Analysis-(2080s-and-2083s)?_g=(refreshInterval:(display:Off,section:0,value:0),time:(from:'2016-06-17 09:26:54-0600',mode:absolute,to:'2016-06-17 09:55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31" s="73" t="str">
        <f t="shared" si="3"/>
        <v>Y</v>
      </c>
      <c r="V31" s="73">
        <f t="shared" si="4"/>
        <v>1</v>
      </c>
      <c r="W31" s="73">
        <f t="shared" si="5"/>
        <v>23.2987</v>
      </c>
      <c r="X31" s="73">
        <f t="shared" si="6"/>
        <v>6.0915999999999997</v>
      </c>
      <c r="Y31" s="73">
        <f t="shared" si="7"/>
        <v>17.207100000000001</v>
      </c>
      <c r="Z31" s="74" t="e">
        <f>VLOOKUP(A31,Enforcements!$C$18:$J$26,8,0)</f>
        <v>#N/A</v>
      </c>
      <c r="AA31" s="74" t="e">
        <f>VLOOKUP(A31,Enforcements!$C$18:$J$26,3,0)</f>
        <v>#N/A</v>
      </c>
    </row>
    <row r="32" spans="1:27" s="2" customFormat="1" x14ac:dyDescent="0.25">
      <c r="A32" s="60" t="s">
        <v>332</v>
      </c>
      <c r="B32" s="60">
        <v>4014</v>
      </c>
      <c r="C32" s="60" t="s">
        <v>62</v>
      </c>
      <c r="D32" s="60" t="s">
        <v>453</v>
      </c>
      <c r="E32" s="30">
        <v>42538.377245370371</v>
      </c>
      <c r="F32" s="30">
        <v>42538.378692129627</v>
      </c>
      <c r="G32" s="38">
        <v>2</v>
      </c>
      <c r="H32" s="30" t="s">
        <v>454</v>
      </c>
      <c r="I32" s="30">
        <v>42538.37945601852</v>
      </c>
      <c r="J32" s="60">
        <v>0</v>
      </c>
      <c r="K32" s="60" t="str">
        <f t="shared" si="0"/>
        <v>4013/4014</v>
      </c>
      <c r="L32" s="60" t="str">
        <f>VLOOKUP(A32,'Trips&amp;Operators'!$C$1:$E$10000,3,FALSE)</f>
        <v>STAMBAUGH</v>
      </c>
      <c r="M32" s="12">
        <f t="shared" si="1"/>
        <v>7.638888928340748E-4</v>
      </c>
      <c r="N32" s="13"/>
      <c r="O32" s="13"/>
      <c r="P32" s="13">
        <f>24*60*SUM($M32:$M33)</f>
        <v>26.26666666707024</v>
      </c>
      <c r="Q32" s="61"/>
      <c r="R32" s="61" t="s">
        <v>558</v>
      </c>
      <c r="T32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https://search-rtdc-monitor-bjffxe2xuh6vdkpspy63sjmuny.us-east-1.es.amazonaws.com/_plugin/kibana/#/discover/Steve-Slow-Train-Analysis-(2080s-and-2083s)?_g=(refreshInterval:(display:Off,section:0,value:0),time:(from:'2016-06-17 09:02:14-0600',mode:absolute,to:'2016-06-17 09:07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32" s="73" t="str">
        <f t="shared" si="3"/>
        <v>Y</v>
      </c>
      <c r="V32" s="73">
        <f t="shared" si="4"/>
        <v>1</v>
      </c>
      <c r="W32" s="73">
        <f t="shared" si="5"/>
        <v>4.4400000000000002E-2</v>
      </c>
      <c r="X32" s="73">
        <f t="shared" si="6"/>
        <v>0.1009</v>
      </c>
      <c r="Y32" s="73">
        <f t="shared" si="7"/>
        <v>5.6500000000000002E-2</v>
      </c>
      <c r="Z32" s="74">
        <f>VLOOKUP(A32,Enforcements!$C$18:$J$26,8,0)</f>
        <v>233491</v>
      </c>
      <c r="AA32" s="74" t="str">
        <f>VLOOKUP(A32,Enforcements!$C$18:$J$26,3,0)</f>
        <v>TRACK WARRANT AUTHORITY</v>
      </c>
    </row>
    <row r="33" spans="1:27" s="2" customFormat="1" x14ac:dyDescent="0.25">
      <c r="A33" s="60" t="s">
        <v>332</v>
      </c>
      <c r="B33" s="60">
        <v>4014</v>
      </c>
      <c r="C33" s="60" t="s">
        <v>62</v>
      </c>
      <c r="D33" s="60" t="s">
        <v>455</v>
      </c>
      <c r="E33" s="30">
        <v>42538.392974537041</v>
      </c>
      <c r="F33" s="30">
        <v>42538.393773148149</v>
      </c>
      <c r="G33" s="38">
        <v>1</v>
      </c>
      <c r="H33" s="30" t="s">
        <v>310</v>
      </c>
      <c r="I33" s="30">
        <v>42538.411249999997</v>
      </c>
      <c r="J33" s="60">
        <v>0</v>
      </c>
      <c r="K33" s="60" t="str">
        <f t="shared" si="0"/>
        <v>4013/4014</v>
      </c>
      <c r="L33" s="60" t="str">
        <f>VLOOKUP(A33,'Trips&amp;Operators'!$C$1:$E$10000,3,FALSE)</f>
        <v>STAMBAUGH</v>
      </c>
      <c r="M33" s="12">
        <f t="shared" si="1"/>
        <v>1.7476851848186925E-2</v>
      </c>
      <c r="N33" s="13"/>
      <c r="O33" s="13"/>
      <c r="P33" s="13"/>
      <c r="Q33" s="61"/>
      <c r="R33" s="61"/>
      <c r="T33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https://search-rtdc-monitor-bjffxe2xuh6vdkpspy63sjmuny.us-east-1.es.amazonaws.com/_plugin/kibana/#/discover/Steve-Slow-Train-Analysis-(2080s-and-2083s)?_g=(refreshInterval:(display:Off,section:0,value:0),time:(from:'2016-06-17 09:24:53-0600',mode:absolute,to:'2016-06-17 09:53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33" s="73" t="str">
        <f t="shared" si="3"/>
        <v>Y</v>
      </c>
      <c r="V33" s="73">
        <f t="shared" si="4"/>
        <v>0</v>
      </c>
      <c r="W33" s="73">
        <f t="shared" si="5"/>
        <v>6.4732000000000003</v>
      </c>
      <c r="X33" s="73">
        <f t="shared" si="6"/>
        <v>23.328800000000001</v>
      </c>
      <c r="Y33" s="73">
        <f t="shared" si="7"/>
        <v>16.855600000000003</v>
      </c>
      <c r="Z33" s="74">
        <f>VLOOKUP(A33,Enforcements!$C$18:$J$26,8,0)</f>
        <v>233491</v>
      </c>
      <c r="AA33" s="74" t="str">
        <f>VLOOKUP(A33,Enforcements!$C$18:$J$26,3,0)</f>
        <v>TRACK WARRANT AUTHORITY</v>
      </c>
    </row>
    <row r="34" spans="1:27" s="2" customFormat="1" x14ac:dyDescent="0.25">
      <c r="A34" s="60" t="s">
        <v>397</v>
      </c>
      <c r="B34" s="60">
        <v>4013</v>
      </c>
      <c r="C34" s="60" t="s">
        <v>62</v>
      </c>
      <c r="D34" s="60" t="s">
        <v>263</v>
      </c>
      <c r="E34" s="30">
        <v>42538.412754629629</v>
      </c>
      <c r="F34" s="30">
        <v>42538.413657407407</v>
      </c>
      <c r="G34" s="38">
        <v>1</v>
      </c>
      <c r="H34" s="30" t="s">
        <v>456</v>
      </c>
      <c r="I34" s="30">
        <v>42538.433796296296</v>
      </c>
      <c r="J34" s="60">
        <v>0</v>
      </c>
      <c r="K34" s="60" t="str">
        <f t="shared" si="0"/>
        <v>4013/4014</v>
      </c>
      <c r="L34" s="60" t="str">
        <f>VLOOKUP(A34,'Trips&amp;Operators'!$C$1:$E$10000,3,FALSE)</f>
        <v>STAMBAUGH</v>
      </c>
      <c r="M34" s="12">
        <f t="shared" si="1"/>
        <v>2.0138888889050577E-2</v>
      </c>
      <c r="N34" s="13"/>
      <c r="O34" s="13"/>
      <c r="P34" s="13">
        <f>24*60*SUM($M34:$M34)</f>
        <v>29.000000000232831</v>
      </c>
      <c r="Q34" s="61"/>
      <c r="R34" s="61" t="s">
        <v>558</v>
      </c>
      <c r="T34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https://search-rtdc-monitor-bjffxe2xuh6vdkpspy63sjmuny.us-east-1.es.amazonaws.com/_plugin/kibana/#/discover/Steve-Slow-Train-Analysis-(2080s-and-2083s)?_g=(refreshInterval:(display:Off,section:0,value:0),time:(from:'2016-06-17 09:53:22-0600',mode:absolute,to:'2016-06-17 10:25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34" s="73" t="str">
        <f t="shared" si="3"/>
        <v>Y</v>
      </c>
      <c r="V34" s="73">
        <f t="shared" si="4"/>
        <v>1</v>
      </c>
      <c r="W34" s="73">
        <f t="shared" si="5"/>
        <v>23.2971</v>
      </c>
      <c r="X34" s="73">
        <f t="shared" si="6"/>
        <v>6.2361000000000004</v>
      </c>
      <c r="Y34" s="73">
        <f t="shared" si="7"/>
        <v>17.061</v>
      </c>
      <c r="Z34" s="74" t="e">
        <f>VLOOKUP(A34,Enforcements!$C$18:$J$26,8,0)</f>
        <v>#N/A</v>
      </c>
      <c r="AA34" s="74" t="e">
        <f>VLOOKUP(A34,Enforcements!$C$18:$J$26,3,0)</f>
        <v>#N/A</v>
      </c>
    </row>
    <row r="35" spans="1:27" s="2" customFormat="1" x14ac:dyDescent="0.25">
      <c r="A35" s="60" t="s">
        <v>399</v>
      </c>
      <c r="B35" s="60">
        <v>4044</v>
      </c>
      <c r="C35" s="60" t="s">
        <v>62</v>
      </c>
      <c r="D35" s="60" t="s">
        <v>77</v>
      </c>
      <c r="E35" s="30">
        <v>42538.383622685185</v>
      </c>
      <c r="F35" s="30">
        <v>42538.384409722225</v>
      </c>
      <c r="G35" s="38">
        <v>1</v>
      </c>
      <c r="H35" s="30" t="s">
        <v>457</v>
      </c>
      <c r="I35" s="30">
        <v>42538.387465277781</v>
      </c>
      <c r="J35" s="60">
        <v>0</v>
      </c>
      <c r="K35" s="60" t="str">
        <f t="shared" ref="K35:K66" si="8">IF(ISEVEN(B35),(B35-1)&amp;"/"&amp;B35,B35&amp;"/"&amp;(B35+1))</f>
        <v>4043/4044</v>
      </c>
      <c r="L35" s="60" t="str">
        <f>VLOOKUP(A35,'Trips&amp;Operators'!$C$1:$E$10000,3,FALSE)</f>
        <v>YORK</v>
      </c>
      <c r="M35" s="12">
        <f t="shared" ref="M35:M66" si="9">I35-F35</f>
        <v>3.055555556784384E-3</v>
      </c>
      <c r="N35" s="13"/>
      <c r="O35" s="13"/>
      <c r="P35" s="13">
        <f>24*60*SUM($M35:$M36)</f>
        <v>33.466666673775762</v>
      </c>
      <c r="Q35" s="61"/>
      <c r="R35" s="61" t="s">
        <v>558</v>
      </c>
      <c r="T35" s="73" t="str">
        <f t="shared" ref="T35:T60" si="10">"https://search-rtdc-monitor-bjffxe2xuh6vdkpspy63sjmuny.us-east-1.es.amazonaws.com/_plugin/kibana/#/discover/Steve-Slow-Train-Analysis-(2080s-and-2083s)?_g=(refreshInterval:(display:Off,section:0,value:0),time:(from:'"&amp;TEXT(E35-1/24/60,"yyyy-MM-DD hh:mm:ss")&amp;"-0600',mode:absolute,to:'"&amp;TEXT(I35+1/24/60,"yyyy-MM-DD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35&amp;"%22')),sort:!(Time,asc))"</f>
        <v>https://search-rtdc-monitor-bjffxe2xuh6vdkpspy63sjmuny.us-east-1.es.amazonaws.com/_plugin/kibana/#/discover/Steve-Slow-Train-Analysis-(2080s-and-2083s)?_g=(refreshInterval:(display:Off,section:0,value:0),time:(from:'2016-06-17 09:11:25-0600',mode:absolute,to:'2016-06-17 09:18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35" s="73" t="str">
        <f t="shared" ref="U35:U60" si="11">IF(Y35&lt;23,"Y","N")</f>
        <v>Y</v>
      </c>
      <c r="V35" s="73">
        <f t="shared" ref="V35:V60" si="12">VALUE(LEFT(A35,3))-VALUE(LEFT(A34,3))</f>
        <v>1</v>
      </c>
      <c r="W35" s="73">
        <f t="shared" ref="W35:W60" si="13">RIGHT(D35,LEN(D35)-4)/10000</f>
        <v>4.6600000000000003E-2</v>
      </c>
      <c r="X35" s="73">
        <f t="shared" ref="X35:X60" si="14">RIGHT(H35,LEN(H35)-4)/10000</f>
        <v>0.66979999999999995</v>
      </c>
      <c r="Y35" s="73">
        <f t="shared" ref="Y35:Y60" si="15">ABS(X35-W35)</f>
        <v>0.62319999999999998</v>
      </c>
      <c r="Z35" s="74" t="e">
        <f>VLOOKUP(A35,Enforcements!$C$18:$J$26,8,0)</f>
        <v>#N/A</v>
      </c>
      <c r="AA35" s="74" t="e">
        <f>VLOOKUP(A35,Enforcements!$C$18:$J$26,3,0)</f>
        <v>#N/A</v>
      </c>
    </row>
    <row r="36" spans="1:27" s="2" customFormat="1" x14ac:dyDescent="0.25">
      <c r="A36" s="60" t="s">
        <v>399</v>
      </c>
      <c r="B36" s="60">
        <v>4044</v>
      </c>
      <c r="C36" s="60" t="s">
        <v>62</v>
      </c>
      <c r="D36" s="60" t="s">
        <v>312</v>
      </c>
      <c r="E36" s="30">
        <v>42538.398229166669</v>
      </c>
      <c r="F36" s="30">
        <v>42538.398935185185</v>
      </c>
      <c r="G36" s="38">
        <v>1</v>
      </c>
      <c r="H36" s="30" t="s">
        <v>191</v>
      </c>
      <c r="I36" s="30">
        <v>42538.419120370374</v>
      </c>
      <c r="J36" s="60">
        <v>0</v>
      </c>
      <c r="K36" s="60" t="str">
        <f t="shared" si="8"/>
        <v>4043/4044</v>
      </c>
      <c r="L36" s="60" t="str">
        <f>VLOOKUP(A36,'Trips&amp;Operators'!$C$1:$E$10000,3,FALSE)</f>
        <v>YORK</v>
      </c>
      <c r="M36" s="12">
        <f t="shared" si="9"/>
        <v>2.0185185188893229E-2</v>
      </c>
      <c r="N36" s="13"/>
      <c r="O36" s="13"/>
      <c r="P36" s="13"/>
      <c r="Q36" s="61"/>
      <c r="R36" s="61"/>
      <c r="T36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https://search-rtdc-monitor-bjffxe2xuh6vdkpspy63sjmuny.us-east-1.es.amazonaws.com/_plugin/kibana/#/discover/Steve-Slow-Train-Analysis-(2080s-and-2083s)?_g=(refreshInterval:(display:Off,section:0,value:0),time:(from:'2016-06-17 09:32:27-0600',mode:absolute,to:'2016-06-17 10:04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36" s="73" t="str">
        <f t="shared" si="11"/>
        <v>Y</v>
      </c>
      <c r="V36" s="73">
        <f t="shared" si="12"/>
        <v>0</v>
      </c>
      <c r="W36" s="73">
        <f t="shared" si="13"/>
        <v>6.4711999999999996</v>
      </c>
      <c r="X36" s="73">
        <f t="shared" si="14"/>
        <v>23.330200000000001</v>
      </c>
      <c r="Y36" s="73">
        <f t="shared" si="15"/>
        <v>16.859000000000002</v>
      </c>
      <c r="Z36" s="74" t="e">
        <f>VLOOKUP(A36,Enforcements!$C$18:$J$26,8,0)</f>
        <v>#N/A</v>
      </c>
      <c r="AA36" s="74" t="e">
        <f>VLOOKUP(A36,Enforcements!$C$18:$J$26,3,0)</f>
        <v>#N/A</v>
      </c>
    </row>
    <row r="37" spans="1:27" s="2" customFormat="1" x14ac:dyDescent="0.25">
      <c r="A37" s="60" t="s">
        <v>355</v>
      </c>
      <c r="B37" s="60">
        <v>4043</v>
      </c>
      <c r="C37" s="60" t="s">
        <v>62</v>
      </c>
      <c r="D37" s="60" t="s">
        <v>170</v>
      </c>
      <c r="E37" s="30">
        <v>42538.424016203702</v>
      </c>
      <c r="F37" s="30">
        <v>42538.425196759257</v>
      </c>
      <c r="G37" s="38">
        <v>1</v>
      </c>
      <c r="H37" s="30" t="s">
        <v>458</v>
      </c>
      <c r="I37" s="30">
        <v>42538.441319444442</v>
      </c>
      <c r="J37" s="60">
        <v>0</v>
      </c>
      <c r="K37" s="60" t="str">
        <f t="shared" si="8"/>
        <v>4043/4044</v>
      </c>
      <c r="L37" s="60" t="str">
        <f>VLOOKUP(A37,'Trips&amp;Operators'!$C$1:$E$10000,3,FALSE)</f>
        <v>YORK</v>
      </c>
      <c r="M37" s="12">
        <f t="shared" si="9"/>
        <v>1.6122685185109731E-2</v>
      </c>
      <c r="N37" s="13"/>
      <c r="O37" s="13"/>
      <c r="P37" s="13">
        <f>24*60*SUM($M37:$M37)</f>
        <v>23.216666666558012</v>
      </c>
      <c r="Q37" s="61"/>
      <c r="R37" s="61" t="s">
        <v>558</v>
      </c>
      <c r="T37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https://search-rtdc-monitor-bjffxe2xuh6vdkpspy63sjmuny.us-east-1.es.amazonaws.com/_plugin/kibana/#/discover/Steve-Slow-Train-Analysis-(2080s-and-2083s)?_g=(refreshInterval:(display:Off,section:0,value:0),time:(from:'2016-06-17 10:09:35-0600',mode:absolute,to:'2016-06-17 10:36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37" s="73" t="str">
        <f t="shared" si="11"/>
        <v>Y</v>
      </c>
      <c r="V37" s="73">
        <f t="shared" si="12"/>
        <v>1</v>
      </c>
      <c r="W37" s="73">
        <f t="shared" si="13"/>
        <v>23.298100000000002</v>
      </c>
      <c r="X37" s="73">
        <f t="shared" si="14"/>
        <v>6.4124999999999996</v>
      </c>
      <c r="Y37" s="73">
        <f t="shared" si="15"/>
        <v>16.885600000000004</v>
      </c>
      <c r="Z37" s="74" t="e">
        <f>VLOOKUP(A37,Enforcements!$C$18:$J$26,8,0)</f>
        <v>#N/A</v>
      </c>
      <c r="AA37" s="74" t="e">
        <f>VLOOKUP(A37,Enforcements!$C$18:$J$26,3,0)</f>
        <v>#N/A</v>
      </c>
    </row>
    <row r="38" spans="1:27" s="2" customFormat="1" x14ac:dyDescent="0.25">
      <c r="A38" s="60" t="s">
        <v>368</v>
      </c>
      <c r="B38" s="60">
        <v>4023</v>
      </c>
      <c r="C38" s="60"/>
      <c r="D38" s="60"/>
      <c r="E38" s="30"/>
      <c r="F38" s="30">
        <v>42538.4453125</v>
      </c>
      <c r="G38" s="38"/>
      <c r="H38" s="30"/>
      <c r="I38" s="30">
        <v>42538.446331018517</v>
      </c>
      <c r="J38" s="60"/>
      <c r="K38" s="60" t="str">
        <f t="shared" si="8"/>
        <v>4023/4024</v>
      </c>
      <c r="L38" s="60" t="str">
        <f>VLOOKUP(A38,'Trips&amp;Operators'!$C$1:$E$10000,3,FALSE)</f>
        <v>STARKS</v>
      </c>
      <c r="M38" s="12">
        <f t="shared" si="9"/>
        <v>1.0185185165028088E-3</v>
      </c>
      <c r="N38" s="13"/>
      <c r="O38" s="13"/>
      <c r="P38" s="13">
        <f>24*60*SUM($M38:$M38)</f>
        <v>1.4666666637640446</v>
      </c>
      <c r="Q38" s="61"/>
      <c r="R38" s="61" t="s">
        <v>558</v>
      </c>
      <c r="T38" s="73" t="e">
        <f t="shared" si="10"/>
        <v>#VALUE!</v>
      </c>
      <c r="U38" s="73" t="e">
        <f t="shared" si="11"/>
        <v>#VALUE!</v>
      </c>
      <c r="V38" s="73">
        <f t="shared" si="12"/>
        <v>2</v>
      </c>
      <c r="W38" s="73" t="e">
        <f t="shared" si="13"/>
        <v>#VALUE!</v>
      </c>
      <c r="X38" s="73" t="e">
        <f t="shared" si="14"/>
        <v>#VALUE!</v>
      </c>
      <c r="Y38" s="73" t="e">
        <f t="shared" si="15"/>
        <v>#VALUE!</v>
      </c>
      <c r="Z38" s="74" t="e">
        <f>VLOOKUP(A38,Enforcements!$C$18:$J$26,8,0)</f>
        <v>#N/A</v>
      </c>
      <c r="AA38" s="74" t="e">
        <f>VLOOKUP(A38,Enforcements!$C$18:$J$26,3,0)</f>
        <v>#N/A</v>
      </c>
    </row>
    <row r="39" spans="1:27" s="2" customFormat="1" x14ac:dyDescent="0.25">
      <c r="A39" s="60" t="s">
        <v>333</v>
      </c>
      <c r="B39" s="60">
        <v>4009</v>
      </c>
      <c r="C39" s="60" t="s">
        <v>62</v>
      </c>
      <c r="D39" s="60" t="s">
        <v>317</v>
      </c>
      <c r="E39" s="30">
        <v>42538.408206018517</v>
      </c>
      <c r="F39" s="30">
        <v>42538.409432870372</v>
      </c>
      <c r="G39" s="38">
        <v>1</v>
      </c>
      <c r="H39" s="30" t="s">
        <v>459</v>
      </c>
      <c r="I39" s="30">
        <v>42538.441076388888</v>
      </c>
      <c r="J39" s="60">
        <v>1</v>
      </c>
      <c r="K39" s="60" t="str">
        <f t="shared" si="8"/>
        <v>4009/4010</v>
      </c>
      <c r="L39" s="60" t="str">
        <f>VLOOKUP(A39,'Trips&amp;Operators'!$C$1:$E$10000,3,FALSE)</f>
        <v>STURGEON</v>
      </c>
      <c r="M39" s="12">
        <f t="shared" si="9"/>
        <v>3.1643518515920732E-2</v>
      </c>
      <c r="N39" s="13">
        <f>24*60*SUM($M39:$M39)</f>
        <v>45.566666662925854</v>
      </c>
      <c r="O39" s="13"/>
      <c r="P39" s="13"/>
      <c r="Q39" s="61"/>
      <c r="R39" s="61"/>
      <c r="T39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https://search-rtdc-monitor-bjffxe2xuh6vdkpspy63sjmuny.us-east-1.es.amazonaws.com/_plugin/kibana/#/discover/Steve-Slow-Train-Analysis-(2080s-and-2083s)?_g=(refreshInterval:(display:Off,section:0,value:0),time:(from:'2016-06-17 09:46:49-0600',mode:absolute,to:'2016-06-17 10:36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39" s="73" t="str">
        <f t="shared" si="11"/>
        <v>N</v>
      </c>
      <c r="V39" s="73">
        <f t="shared" si="12"/>
        <v>1</v>
      </c>
      <c r="W39" s="73">
        <f t="shared" si="13"/>
        <v>4.3999999999999997E-2</v>
      </c>
      <c r="X39" s="73">
        <f t="shared" si="14"/>
        <v>23.321000000000002</v>
      </c>
      <c r="Y39" s="73">
        <f t="shared" si="15"/>
        <v>23.277000000000001</v>
      </c>
      <c r="Z39" s="74">
        <f>VLOOKUP(A39,Enforcements!$C$18:$J$26,8,0)</f>
        <v>233491</v>
      </c>
      <c r="AA39" s="74" t="str">
        <f>VLOOKUP(A39,Enforcements!$C$18:$J$26,3,0)</f>
        <v>TRACK WARRANT AUTHORITY</v>
      </c>
    </row>
    <row r="40" spans="1:27" s="2" customFormat="1" x14ac:dyDescent="0.25">
      <c r="A40" s="60" t="s">
        <v>422</v>
      </c>
      <c r="B40" s="60">
        <v>4010</v>
      </c>
      <c r="C40" s="60" t="s">
        <v>62</v>
      </c>
      <c r="D40" s="60" t="s">
        <v>460</v>
      </c>
      <c r="E40" s="30">
        <v>42538.444340277776</v>
      </c>
      <c r="F40" s="30">
        <v>42538.445277777777</v>
      </c>
      <c r="G40" s="38">
        <v>1</v>
      </c>
      <c r="H40" s="30" t="s">
        <v>461</v>
      </c>
      <c r="I40" s="30">
        <v>42538.46702546296</v>
      </c>
      <c r="J40" s="60">
        <v>0</v>
      </c>
      <c r="K40" s="60" t="str">
        <f t="shared" si="8"/>
        <v>4009/4010</v>
      </c>
      <c r="L40" s="60" t="str">
        <f>VLOOKUP(A40,'Trips&amp;Operators'!$C$1:$E$10000,3,FALSE)</f>
        <v>STURGEON</v>
      </c>
      <c r="M40" s="12">
        <f t="shared" si="9"/>
        <v>2.1747685183072463E-2</v>
      </c>
      <c r="N40" s="13"/>
      <c r="O40" s="13"/>
      <c r="P40" s="13">
        <f>24*60*SUM($M40:$M40)</f>
        <v>31.316666663624346</v>
      </c>
      <c r="Q40" s="61"/>
      <c r="R40" s="61" t="s">
        <v>558</v>
      </c>
      <c r="T40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https://search-rtdc-monitor-bjffxe2xuh6vdkpspy63sjmuny.us-east-1.es.amazonaws.com/_plugin/kibana/#/discover/Steve-Slow-Train-Analysis-(2080s-and-2083s)?_g=(refreshInterval:(display:Off,section:0,value:0),time:(from:'2016-06-17 10:38:51-0600',mode:absolute,to:'2016-06-17 11:13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40" s="73" t="str">
        <f t="shared" si="11"/>
        <v>Y</v>
      </c>
      <c r="V40" s="73">
        <f t="shared" si="12"/>
        <v>3</v>
      </c>
      <c r="W40" s="73">
        <f t="shared" si="13"/>
        <v>23.2883</v>
      </c>
      <c r="X40" s="73">
        <f t="shared" si="14"/>
        <v>6.1173999999999999</v>
      </c>
      <c r="Y40" s="73">
        <f t="shared" si="15"/>
        <v>17.1709</v>
      </c>
      <c r="Z40" s="74" t="e">
        <f>VLOOKUP(A40,Enforcements!$C$18:$J$26,8,0)</f>
        <v>#N/A</v>
      </c>
      <c r="AA40" s="74" t="e">
        <f>VLOOKUP(A40,Enforcements!$C$18:$J$26,3,0)</f>
        <v>#N/A</v>
      </c>
    </row>
    <row r="41" spans="1:27" s="2" customFormat="1" x14ac:dyDescent="0.25">
      <c r="A41" s="60" t="s">
        <v>334</v>
      </c>
      <c r="B41" s="60">
        <v>4016</v>
      </c>
      <c r="C41" s="60" t="s">
        <v>62</v>
      </c>
      <c r="D41" s="60" t="s">
        <v>261</v>
      </c>
      <c r="E41" s="30">
        <v>42538.418402777781</v>
      </c>
      <c r="F41" s="30">
        <v>42538.419178240743</v>
      </c>
      <c r="G41" s="38">
        <v>1</v>
      </c>
      <c r="H41" s="30" t="s">
        <v>462</v>
      </c>
      <c r="I41" s="30">
        <v>42538.450358796297</v>
      </c>
      <c r="J41" s="60">
        <v>1</v>
      </c>
      <c r="K41" s="60" t="str">
        <f t="shared" si="8"/>
        <v>4015/4016</v>
      </c>
      <c r="L41" s="60" t="str">
        <f>VLOOKUP(A41,'Trips&amp;Operators'!$C$1:$E$10000,3,FALSE)</f>
        <v>SHOOK</v>
      </c>
      <c r="M41" s="12">
        <f t="shared" si="9"/>
        <v>3.1180555553874001E-2</v>
      </c>
      <c r="N41" s="13">
        <f>24*60*SUM($M41:$M41)</f>
        <v>44.899999997578561</v>
      </c>
      <c r="O41" s="13"/>
      <c r="P41" s="13"/>
      <c r="Q41" s="61"/>
      <c r="R41" s="61"/>
      <c r="T41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https://search-rtdc-monitor-bjffxe2xuh6vdkpspy63sjmuny.us-east-1.es.amazonaws.com/_plugin/kibana/#/discover/Steve-Slow-Train-Analysis-(2080s-and-2083s)?_g=(refreshInterval:(display:Off,section:0,value:0),time:(from:'2016-06-17 10:01:30-0600',mode:absolute,to:'2016-06-17 10:49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41" s="73" t="str">
        <f t="shared" si="11"/>
        <v>N</v>
      </c>
      <c r="V41" s="73">
        <f t="shared" si="12"/>
        <v>1</v>
      </c>
      <c r="W41" s="73">
        <f t="shared" si="13"/>
        <v>4.4200000000000003E-2</v>
      </c>
      <c r="X41" s="73">
        <f t="shared" si="14"/>
        <v>23.331099999999999</v>
      </c>
      <c r="Y41" s="73">
        <f t="shared" si="15"/>
        <v>23.286899999999999</v>
      </c>
      <c r="Z41" s="74">
        <f>VLOOKUP(A41,Enforcements!$C$18:$J$26,8,0)</f>
        <v>233491</v>
      </c>
      <c r="AA41" s="74" t="str">
        <f>VLOOKUP(A41,Enforcements!$C$18:$J$26,3,0)</f>
        <v>TRACK WARRANT AUTHORITY</v>
      </c>
    </row>
    <row r="42" spans="1:27" s="2" customFormat="1" x14ac:dyDescent="0.25">
      <c r="A42" s="60" t="s">
        <v>365</v>
      </c>
      <c r="B42" s="60">
        <v>4015</v>
      </c>
      <c r="C42" s="60" t="s">
        <v>62</v>
      </c>
      <c r="D42" s="60" t="s">
        <v>180</v>
      </c>
      <c r="E42" s="30">
        <v>42538.452199074076</v>
      </c>
      <c r="F42" s="30">
        <v>42538.453599537039</v>
      </c>
      <c r="G42" s="38">
        <v>2</v>
      </c>
      <c r="H42" s="30" t="s">
        <v>464</v>
      </c>
      <c r="I42" s="30">
        <v>42538.477754629632</v>
      </c>
      <c r="J42" s="60">
        <v>0</v>
      </c>
      <c r="K42" s="60" t="str">
        <f t="shared" si="8"/>
        <v>4015/4016</v>
      </c>
      <c r="L42" s="60" t="str">
        <f>VLOOKUP(A42,'Trips&amp;Operators'!$C$1:$E$10000,3,FALSE)</f>
        <v>SHOOK</v>
      </c>
      <c r="M42" s="12">
        <f t="shared" si="9"/>
        <v>2.4155092592991423E-2</v>
      </c>
      <c r="N42" s="13"/>
      <c r="O42" s="13"/>
      <c r="P42" s="13">
        <f>24*60*SUM($M42:$M43)</f>
        <v>40.816666673636064</v>
      </c>
      <c r="Q42" s="61"/>
      <c r="R42" s="61" t="s">
        <v>558</v>
      </c>
      <c r="T42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https://search-rtdc-monitor-bjffxe2xuh6vdkpspy63sjmuny.us-east-1.es.amazonaws.com/_plugin/kibana/#/discover/Steve-Slow-Train-Analysis-(2080s-and-2083s)?_g=(refreshInterval:(display:Off,section:0,value:0),time:(from:'2016-06-17 10:50:10-0600',mode:absolute,to:'2016-06-17 11:28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42" s="73" t="str">
        <f t="shared" si="11"/>
        <v>Y</v>
      </c>
      <c r="V42" s="73">
        <f t="shared" si="12"/>
        <v>1</v>
      </c>
      <c r="W42" s="73">
        <f t="shared" si="13"/>
        <v>23.3</v>
      </c>
      <c r="X42" s="73">
        <f t="shared" si="14"/>
        <v>5.8509000000000002</v>
      </c>
      <c r="Y42" s="73">
        <f t="shared" si="15"/>
        <v>17.449100000000001</v>
      </c>
      <c r="Z42" s="74" t="e">
        <f>VLOOKUP(A42,Enforcements!$C$18:$J$26,8,0)</f>
        <v>#N/A</v>
      </c>
      <c r="AA42" s="74" t="e">
        <f>VLOOKUP(A42,Enforcements!$C$18:$J$26,3,0)</f>
        <v>#N/A</v>
      </c>
    </row>
    <row r="43" spans="1:27" s="2" customFormat="1" x14ac:dyDescent="0.25">
      <c r="A43" s="60" t="s">
        <v>365</v>
      </c>
      <c r="B43" s="60">
        <v>4015</v>
      </c>
      <c r="C43" s="60" t="s">
        <v>62</v>
      </c>
      <c r="D43" s="60" t="s">
        <v>463</v>
      </c>
      <c r="E43" s="30">
        <v>42538.489108796297</v>
      </c>
      <c r="F43" s="30">
        <v>42538.489942129629</v>
      </c>
      <c r="G43" s="38">
        <v>1</v>
      </c>
      <c r="H43" s="30" t="s">
        <v>88</v>
      </c>
      <c r="I43" s="30">
        <v>42538.494131944448</v>
      </c>
      <c r="J43" s="60">
        <v>0</v>
      </c>
      <c r="K43" s="60" t="str">
        <f t="shared" si="8"/>
        <v>4015/4016</v>
      </c>
      <c r="L43" s="60" t="str">
        <f>VLOOKUP(A43,'Trips&amp;Operators'!$C$1:$E$10000,3,FALSE)</f>
        <v>SHOOK</v>
      </c>
      <c r="M43" s="12">
        <f t="shared" si="9"/>
        <v>4.1898148192558438E-3</v>
      </c>
      <c r="N43" s="13"/>
      <c r="O43" s="13"/>
      <c r="P43" s="13"/>
      <c r="Q43" s="61"/>
      <c r="R43" s="61"/>
      <c r="T43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https://search-rtdc-monitor-bjffxe2xuh6vdkpspy63sjmuny.us-east-1.es.amazonaws.com/_plugin/kibana/#/discover/Steve-Slow-Train-Analysis-(2080s-and-2083s)?_g=(refreshInterval:(display:Off,section:0,value:0),time:(from:'2016-06-17 11:43:19-0600',mode:absolute,to:'2016-06-17 11:52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43" s="73" t="str">
        <f t="shared" si="11"/>
        <v>Y</v>
      </c>
      <c r="V43" s="73">
        <f t="shared" si="12"/>
        <v>0</v>
      </c>
      <c r="W43" s="73">
        <f t="shared" si="13"/>
        <v>1.88</v>
      </c>
      <c r="X43" s="73">
        <f t="shared" si="14"/>
        <v>1.54E-2</v>
      </c>
      <c r="Y43" s="73">
        <f t="shared" si="15"/>
        <v>1.8645999999999998</v>
      </c>
      <c r="Z43" s="74" t="e">
        <f>VLOOKUP(A43,Enforcements!$C$18:$J$26,8,0)</f>
        <v>#N/A</v>
      </c>
      <c r="AA43" s="74" t="e">
        <f>VLOOKUP(A43,Enforcements!$C$18:$J$26,3,0)</f>
        <v>#N/A</v>
      </c>
    </row>
    <row r="44" spans="1:27" s="2" customFormat="1" x14ac:dyDescent="0.25">
      <c r="A44" s="60" t="s">
        <v>369</v>
      </c>
      <c r="B44" s="60">
        <v>4042</v>
      </c>
      <c r="C44" s="60" t="s">
        <v>62</v>
      </c>
      <c r="D44" s="60" t="s">
        <v>465</v>
      </c>
      <c r="E44" s="30">
        <v>42538.430833333332</v>
      </c>
      <c r="F44" s="30">
        <v>42538.43178240741</v>
      </c>
      <c r="G44" s="38">
        <v>1</v>
      </c>
      <c r="H44" s="30" t="s">
        <v>435</v>
      </c>
      <c r="I44" s="30">
        <v>42538.463356481479</v>
      </c>
      <c r="J44" s="60">
        <v>0</v>
      </c>
      <c r="K44" s="60" t="str">
        <f t="shared" si="8"/>
        <v>4041/4042</v>
      </c>
      <c r="L44" s="60" t="str">
        <f>VLOOKUP(A44,'Trips&amp;Operators'!$C$1:$E$10000,3,FALSE)</f>
        <v>CANFIELD</v>
      </c>
      <c r="M44" s="12">
        <f t="shared" si="9"/>
        <v>3.1574074069794733E-2</v>
      </c>
      <c r="N44" s="13">
        <f>24*60*SUM($M44:$M44)</f>
        <v>45.466666660504416</v>
      </c>
      <c r="O44" s="13"/>
      <c r="P44" s="13"/>
      <c r="Q44" s="61"/>
      <c r="R44" s="61"/>
      <c r="T44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https://search-rtdc-monitor-bjffxe2xuh6vdkpspy63sjmuny.us-east-1.es.amazonaws.com/_plugin/kibana/#/discover/Steve-Slow-Train-Analysis-(2080s-and-2083s)?_g=(refreshInterval:(display:Off,section:0,value:0),time:(from:'2016-06-17 10:19:24-0600',mode:absolute,to:'2016-06-17 11:08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44" s="73" t="str">
        <f t="shared" si="11"/>
        <v>N</v>
      </c>
      <c r="V44" s="73">
        <f t="shared" si="12"/>
        <v>1</v>
      </c>
      <c r="W44" s="73">
        <f t="shared" si="13"/>
        <v>3.5099999999999999E-2</v>
      </c>
      <c r="X44" s="73">
        <f t="shared" si="14"/>
        <v>23.328700000000001</v>
      </c>
      <c r="Y44" s="73">
        <f t="shared" si="15"/>
        <v>23.293600000000001</v>
      </c>
      <c r="Z44" s="74" t="e">
        <f>VLOOKUP(A44,Enforcements!$C$18:$J$26,8,0)</f>
        <v>#N/A</v>
      </c>
      <c r="AA44" s="74" t="e">
        <f>VLOOKUP(A44,Enforcements!$C$18:$J$26,3,0)</f>
        <v>#N/A</v>
      </c>
    </row>
    <row r="45" spans="1:27" s="2" customFormat="1" x14ac:dyDescent="0.25">
      <c r="A45" s="60" t="s">
        <v>391</v>
      </c>
      <c r="B45" s="60">
        <v>4041</v>
      </c>
      <c r="C45" s="60" t="s">
        <v>62</v>
      </c>
      <c r="D45" s="60" t="s">
        <v>169</v>
      </c>
      <c r="E45" s="30">
        <v>42538.465069444443</v>
      </c>
      <c r="F45" s="30">
        <v>42538.466249999998</v>
      </c>
      <c r="G45" s="38">
        <v>1</v>
      </c>
      <c r="H45" s="30" t="s">
        <v>466</v>
      </c>
      <c r="I45" s="30">
        <v>42538.490497685183</v>
      </c>
      <c r="J45" s="60">
        <v>0</v>
      </c>
      <c r="K45" s="60" t="str">
        <f t="shared" si="8"/>
        <v>4041/4042</v>
      </c>
      <c r="L45" s="60" t="str">
        <f>VLOOKUP(A45,'Trips&amp;Operators'!$C$1:$E$10000,3,FALSE)</f>
        <v>CANFIELD</v>
      </c>
      <c r="M45" s="12">
        <f t="shared" si="9"/>
        <v>2.4247685185400769E-2</v>
      </c>
      <c r="N45" s="13"/>
      <c r="O45" s="13"/>
      <c r="P45" s="13">
        <f>24*60*SUM($M45:$M45)</f>
        <v>34.916666666977108</v>
      </c>
      <c r="Q45" s="61"/>
      <c r="R45" s="61" t="s">
        <v>558</v>
      </c>
      <c r="T45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https://search-rtdc-monitor-bjffxe2xuh6vdkpspy63sjmuny.us-east-1.es.amazonaws.com/_plugin/kibana/#/discover/Steve-Slow-Train-Analysis-(2080s-and-2083s)?_g=(refreshInterval:(display:Off,section:0,value:0),time:(from:'2016-06-17 11:08:42-0600',mode:absolute,to:'2016-06-17 11:47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45" s="73" t="str">
        <f t="shared" si="11"/>
        <v>Y</v>
      </c>
      <c r="V45" s="73">
        <f t="shared" si="12"/>
        <v>1</v>
      </c>
      <c r="W45" s="73">
        <f t="shared" si="13"/>
        <v>23.298500000000001</v>
      </c>
      <c r="X45" s="73">
        <f t="shared" si="14"/>
        <v>6.1505999999999998</v>
      </c>
      <c r="Y45" s="73">
        <f t="shared" si="15"/>
        <v>17.1479</v>
      </c>
      <c r="Z45" s="74" t="e">
        <f>VLOOKUP(A45,Enforcements!$C$18:$J$26,8,0)</f>
        <v>#N/A</v>
      </c>
      <c r="AA45" s="74" t="e">
        <f>VLOOKUP(A45,Enforcements!$C$18:$J$26,3,0)</f>
        <v>#N/A</v>
      </c>
    </row>
    <row r="46" spans="1:27" s="2" customFormat="1" ht="16.5" customHeight="1" x14ac:dyDescent="0.25">
      <c r="A46" s="60" t="s">
        <v>367</v>
      </c>
      <c r="B46" s="60">
        <v>4020</v>
      </c>
      <c r="C46" s="60" t="s">
        <v>62</v>
      </c>
      <c r="D46" s="60" t="s">
        <v>63</v>
      </c>
      <c r="E46" s="30">
        <v>42538.443136574075</v>
      </c>
      <c r="F46" s="30">
        <v>42538.447222222225</v>
      </c>
      <c r="G46" s="38">
        <v>5</v>
      </c>
      <c r="H46" s="30" t="s">
        <v>467</v>
      </c>
      <c r="I46" s="30">
        <v>42538.476423611108</v>
      </c>
      <c r="J46" s="60">
        <v>0</v>
      </c>
      <c r="K46" s="60" t="str">
        <f t="shared" si="8"/>
        <v>4019/4020</v>
      </c>
      <c r="L46" s="60" t="str">
        <f>VLOOKUP(A46,'Trips&amp;Operators'!$C$1:$E$10000,3,FALSE)</f>
        <v>COCA</v>
      </c>
      <c r="M46" s="12">
        <f t="shared" si="9"/>
        <v>2.9201388882938772E-2</v>
      </c>
      <c r="N46" s="13">
        <f>24*60*SUM($M46:$M46)</f>
        <v>42.049999991431832</v>
      </c>
      <c r="O46" s="13"/>
      <c r="P46" s="13"/>
      <c r="Q46" s="61"/>
      <c r="R46" s="61"/>
      <c r="T46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https://search-rtdc-monitor-bjffxe2xuh6vdkpspy63sjmuny.us-east-1.es.amazonaws.com/_plugin/kibana/#/discover/Steve-Slow-Train-Analysis-(2080s-and-2083s)?_g=(refreshInterval:(display:Off,section:0,value:0),time:(from:'2016-06-17 10:37:07-0600',mode:absolute,to:'2016-06-17 11:27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46" s="73" t="str">
        <f t="shared" si="11"/>
        <v>N</v>
      </c>
      <c r="V46" s="73">
        <f t="shared" si="12"/>
        <v>1</v>
      </c>
      <c r="W46" s="73">
        <f t="shared" si="13"/>
        <v>4.5100000000000001E-2</v>
      </c>
      <c r="X46" s="73">
        <f t="shared" si="14"/>
        <v>23.331800000000001</v>
      </c>
      <c r="Y46" s="73">
        <f t="shared" si="15"/>
        <v>23.2867</v>
      </c>
      <c r="Z46" s="74" t="e">
        <f>VLOOKUP(A46,Enforcements!$C$18:$J$26,8,0)</f>
        <v>#N/A</v>
      </c>
      <c r="AA46" s="74" t="e">
        <f>VLOOKUP(A46,Enforcements!$C$18:$J$26,3,0)</f>
        <v>#N/A</v>
      </c>
    </row>
    <row r="47" spans="1:27" s="2" customFormat="1" ht="16.5" customHeight="1" x14ac:dyDescent="0.25">
      <c r="A47" s="60" t="s">
        <v>406</v>
      </c>
      <c r="B47" s="60">
        <v>4019</v>
      </c>
      <c r="C47" s="60" t="s">
        <v>62</v>
      </c>
      <c r="D47" s="60" t="s">
        <v>440</v>
      </c>
      <c r="E47" s="30">
        <v>42538.478101851855</v>
      </c>
      <c r="F47" s="30">
        <v>42538.478993055556</v>
      </c>
      <c r="G47" s="38">
        <v>1</v>
      </c>
      <c r="H47" s="30" t="s">
        <v>468</v>
      </c>
      <c r="I47" s="30">
        <v>42538.499780092592</v>
      </c>
      <c r="J47" s="60">
        <v>0</v>
      </c>
      <c r="K47" s="60" t="str">
        <f t="shared" si="8"/>
        <v>4019/4020</v>
      </c>
      <c r="L47" s="60" t="str">
        <f>VLOOKUP(A47,'Trips&amp;Operators'!$C$1:$E$10000,3,FALSE)</f>
        <v>COCA</v>
      </c>
      <c r="M47" s="12">
        <f t="shared" si="9"/>
        <v>2.0787037035916001E-2</v>
      </c>
      <c r="N47" s="13"/>
      <c r="O47" s="13"/>
      <c r="P47" s="13">
        <f>24*60*SUM($M47:$M47)</f>
        <v>29.933333331719041</v>
      </c>
      <c r="Q47" s="61"/>
      <c r="R47" s="61" t="s">
        <v>558</v>
      </c>
      <c r="T47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https://search-rtdc-monitor-bjffxe2xuh6vdkpspy63sjmuny.us-east-1.es.amazonaws.com/_plugin/kibana/#/discover/Steve-Slow-Train-Analysis-(2080s-and-2083s)?_g=(refreshInterval:(display:Off,section:0,value:0),time:(from:'2016-06-17 11:27:28-0600',mode:absolute,to:'2016-06-17 12:00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47" s="73" t="str">
        <f t="shared" si="11"/>
        <v>Y</v>
      </c>
      <c r="V47" s="73">
        <f t="shared" si="12"/>
        <v>1</v>
      </c>
      <c r="W47" s="73">
        <f t="shared" si="13"/>
        <v>23.298400000000001</v>
      </c>
      <c r="X47" s="73">
        <f t="shared" si="14"/>
        <v>6.1085000000000003</v>
      </c>
      <c r="Y47" s="73">
        <f t="shared" si="15"/>
        <v>17.189900000000002</v>
      </c>
      <c r="Z47" s="74" t="e">
        <f>VLOOKUP(A47,Enforcements!$C$18:$J$26,8,0)</f>
        <v>#N/A</v>
      </c>
      <c r="AA47" s="74" t="e">
        <f>VLOOKUP(A47,Enforcements!$C$18:$J$26,3,0)</f>
        <v>#N/A</v>
      </c>
    </row>
    <row r="48" spans="1:27" s="2" customFormat="1" x14ac:dyDescent="0.25">
      <c r="A48" s="60" t="s">
        <v>364</v>
      </c>
      <c r="B48" s="60">
        <v>4014</v>
      </c>
      <c r="C48" s="60" t="s">
        <v>62</v>
      </c>
      <c r="D48" s="60" t="s">
        <v>469</v>
      </c>
      <c r="E48" s="30">
        <v>42538.457094907404</v>
      </c>
      <c r="F48" s="30">
        <v>42538.458715277775</v>
      </c>
      <c r="G48" s="38">
        <v>2</v>
      </c>
      <c r="H48" s="30" t="s">
        <v>470</v>
      </c>
      <c r="I48" s="30">
        <v>42538.463171296295</v>
      </c>
      <c r="J48" s="60">
        <v>0</v>
      </c>
      <c r="K48" s="60" t="str">
        <f t="shared" si="8"/>
        <v>4013/4014</v>
      </c>
      <c r="L48" s="60" t="str">
        <f>VLOOKUP(A48,'Trips&amp;Operators'!$C$1:$E$10000,3,FALSE)</f>
        <v>ROCHA</v>
      </c>
      <c r="M48" s="12">
        <f t="shared" si="9"/>
        <v>4.4560185197042301E-3</v>
      </c>
      <c r="N48" s="13"/>
      <c r="O48" s="13"/>
      <c r="P48" s="13">
        <f>24*60*SUM($M48:$M49)</f>
        <v>29.966666662367061</v>
      </c>
      <c r="Q48" s="61"/>
      <c r="R48" s="61" t="s">
        <v>558</v>
      </c>
      <c r="T48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https://search-rtdc-monitor-bjffxe2xuh6vdkpspy63sjmuny.us-east-1.es.amazonaws.com/_plugin/kibana/#/discover/Steve-Slow-Train-Analysis-(2080s-and-2083s)?_g=(refreshInterval:(display:Off,section:0,value:0),time:(from:'2016-06-17 10:57:13-0600',mode:absolute,to:'2016-06-17 11:07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48" s="73" t="str">
        <f t="shared" si="11"/>
        <v>Y</v>
      </c>
      <c r="V48" s="73">
        <f t="shared" si="12"/>
        <v>3</v>
      </c>
      <c r="W48" s="73">
        <f t="shared" si="13"/>
        <v>4.3799999999999999E-2</v>
      </c>
      <c r="X48" s="73">
        <f t="shared" si="14"/>
        <v>0.96440000000000003</v>
      </c>
      <c r="Y48" s="73">
        <f t="shared" si="15"/>
        <v>0.92060000000000008</v>
      </c>
      <c r="Z48" s="74" t="e">
        <f>VLOOKUP(A48,Enforcements!$C$18:$J$26,8,0)</f>
        <v>#N/A</v>
      </c>
      <c r="AA48" s="74" t="e">
        <f>VLOOKUP(A48,Enforcements!$C$18:$J$26,3,0)</f>
        <v>#N/A</v>
      </c>
    </row>
    <row r="49" spans="1:27" s="2" customFormat="1" x14ac:dyDescent="0.25">
      <c r="A49" s="60" t="s">
        <v>364</v>
      </c>
      <c r="B49" s="60">
        <v>4014</v>
      </c>
      <c r="C49" s="60" t="s">
        <v>62</v>
      </c>
      <c r="D49" s="60" t="s">
        <v>471</v>
      </c>
      <c r="E49" s="30">
        <v>42538.472361111111</v>
      </c>
      <c r="F49" s="30">
        <v>42538.473055555558</v>
      </c>
      <c r="G49" s="38">
        <v>1</v>
      </c>
      <c r="H49" s="30" t="s">
        <v>199</v>
      </c>
      <c r="I49" s="30">
        <v>42538.48940972222</v>
      </c>
      <c r="J49" s="60">
        <v>0</v>
      </c>
      <c r="K49" s="60" t="str">
        <f t="shared" si="8"/>
        <v>4013/4014</v>
      </c>
      <c r="L49" s="60" t="str">
        <f>VLOOKUP(A49,'Trips&amp;Operators'!$C$1:$E$10000,3,FALSE)</f>
        <v>ROCHA</v>
      </c>
      <c r="M49" s="12">
        <f t="shared" si="9"/>
        <v>1.6354166662495118E-2</v>
      </c>
      <c r="N49" s="13"/>
      <c r="O49" s="13"/>
      <c r="P49" s="13"/>
      <c r="Q49" s="61"/>
      <c r="R49" s="61"/>
      <c r="T49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https://search-rtdc-monitor-bjffxe2xuh6vdkpspy63sjmuny.us-east-1.es.amazonaws.com/_plugin/kibana/#/discover/Steve-Slow-Train-Analysis-(2080s-and-2083s)?_g=(refreshInterval:(display:Off,section:0,value:0),time:(from:'2016-06-17 11:19:12-0600',mode:absolute,to:'2016-06-17 11:45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49" s="73" t="str">
        <f t="shared" si="11"/>
        <v>Y</v>
      </c>
      <c r="V49" s="73">
        <f t="shared" si="12"/>
        <v>0</v>
      </c>
      <c r="W49" s="73">
        <f t="shared" si="13"/>
        <v>6.4694000000000003</v>
      </c>
      <c r="X49" s="73">
        <f t="shared" si="14"/>
        <v>23.3293</v>
      </c>
      <c r="Y49" s="73">
        <f t="shared" si="15"/>
        <v>16.8599</v>
      </c>
      <c r="Z49" s="74" t="e">
        <f>VLOOKUP(A49,Enforcements!$C$18:$J$26,8,0)</f>
        <v>#N/A</v>
      </c>
      <c r="AA49" s="74" t="e">
        <f>VLOOKUP(A49,Enforcements!$C$18:$J$26,3,0)</f>
        <v>#N/A</v>
      </c>
    </row>
    <row r="50" spans="1:27" s="2" customFormat="1" x14ac:dyDescent="0.25">
      <c r="A50" s="60" t="s">
        <v>386</v>
      </c>
      <c r="B50" s="60">
        <v>4013</v>
      </c>
      <c r="C50" s="60" t="s">
        <v>62</v>
      </c>
      <c r="D50" s="60" t="s">
        <v>438</v>
      </c>
      <c r="E50" s="30">
        <v>42538.495034722226</v>
      </c>
      <c r="F50" s="30">
        <v>42538.497372685182</v>
      </c>
      <c r="G50" s="38">
        <v>3</v>
      </c>
      <c r="H50" s="30" t="s">
        <v>472</v>
      </c>
      <c r="I50" s="30">
        <v>42538.515219907407</v>
      </c>
      <c r="J50" s="60">
        <v>0</v>
      </c>
      <c r="K50" s="60" t="str">
        <f t="shared" si="8"/>
        <v>4013/4014</v>
      </c>
      <c r="L50" s="60" t="str">
        <f>VLOOKUP(A50,'Trips&amp;Operators'!$C$1:$E$10000,3,FALSE)</f>
        <v>ROCHA</v>
      </c>
      <c r="M50" s="12">
        <f t="shared" si="9"/>
        <v>1.7847222225100268E-2</v>
      </c>
      <c r="N50" s="13"/>
      <c r="O50" s="13"/>
      <c r="P50" s="13">
        <f>24*60*SUM($M50:$M50)</f>
        <v>25.700000004144385</v>
      </c>
      <c r="Q50" s="61"/>
      <c r="R50" s="61" t="s">
        <v>558</v>
      </c>
      <c r="T50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https://search-rtdc-monitor-bjffxe2xuh6vdkpspy63sjmuny.us-east-1.es.amazonaws.com/_plugin/kibana/#/discover/Steve-Slow-Train-Analysis-(2080s-and-2083s)?_g=(refreshInterval:(display:Off,section:0,value:0),time:(from:'2016-06-17 11:51:51-0600',mode:absolute,to:'2016-06-17 12:22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50" s="73" t="str">
        <f t="shared" si="11"/>
        <v>Y</v>
      </c>
      <c r="V50" s="73">
        <f t="shared" si="12"/>
        <v>1</v>
      </c>
      <c r="W50" s="73">
        <f t="shared" si="13"/>
        <v>23.298300000000001</v>
      </c>
      <c r="X50" s="73">
        <f t="shared" si="14"/>
        <v>6.0507999999999997</v>
      </c>
      <c r="Y50" s="73">
        <f t="shared" si="15"/>
        <v>17.247500000000002</v>
      </c>
      <c r="Z50" s="74" t="e">
        <f>VLOOKUP(A50,Enforcements!$C$18:$J$26,8,0)</f>
        <v>#N/A</v>
      </c>
      <c r="AA50" s="74" t="e">
        <f>VLOOKUP(A50,Enforcements!$C$18:$J$26,3,0)</f>
        <v>#N/A</v>
      </c>
    </row>
    <row r="51" spans="1:27" s="2" customFormat="1" x14ac:dyDescent="0.25">
      <c r="A51" s="60" t="s">
        <v>381</v>
      </c>
      <c r="B51" s="60">
        <v>4043</v>
      </c>
      <c r="C51" s="60" t="s">
        <v>62</v>
      </c>
      <c r="D51" s="60" t="s">
        <v>473</v>
      </c>
      <c r="E51" s="30">
        <v>42538.503263888888</v>
      </c>
      <c r="F51" s="30">
        <v>42538.505347222221</v>
      </c>
      <c r="G51" s="38">
        <v>2</v>
      </c>
      <c r="H51" s="30" t="s">
        <v>474</v>
      </c>
      <c r="I51" s="30">
        <v>42539.317326388889</v>
      </c>
      <c r="J51" s="60">
        <v>0</v>
      </c>
      <c r="K51" s="60" t="str">
        <f t="shared" si="8"/>
        <v>4043/4044</v>
      </c>
      <c r="L51" s="60" t="str">
        <f>VLOOKUP(A51,'Trips&amp;Operators'!$C$1:$E$10000,3,FALSE)</f>
        <v>SANTIZO</v>
      </c>
      <c r="M51" s="12">
        <f t="shared" si="9"/>
        <v>0.81197916666860692</v>
      </c>
      <c r="N51" s="13"/>
      <c r="O51" s="13"/>
      <c r="P51" s="13">
        <f>24*60*SUM($M51:$M51)</f>
        <v>1169.250000002794</v>
      </c>
      <c r="Q51" s="61"/>
      <c r="R51" s="61" t="s">
        <v>558</v>
      </c>
      <c r="T51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https://search-rtdc-monitor-bjffxe2xuh6vdkpspy63sjmuny.us-east-1.es.amazonaws.com/_plugin/kibana/#/discover/Steve-Slow-Train-Analysis-(2080s-and-2083s)?_g=(refreshInterval:(display:Off,section:0,value:0),time:(from:'2016-06-17 12:03:42-0600',mode:absolute,to:'2016-06-18 07:37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51" s="73" t="str">
        <f t="shared" si="11"/>
        <v>N</v>
      </c>
      <c r="V51" s="73">
        <f t="shared" si="12"/>
        <v>2</v>
      </c>
      <c r="W51" s="73">
        <f t="shared" si="13"/>
        <v>23.299199999999999</v>
      </c>
      <c r="X51" s="73">
        <f t="shared" si="14"/>
        <v>1.38E-2</v>
      </c>
      <c r="Y51" s="73">
        <f t="shared" si="15"/>
        <v>23.285399999999999</v>
      </c>
      <c r="Z51" s="74" t="e">
        <f>VLOOKUP(A51,Enforcements!$C$18:$J$26,8,0)</f>
        <v>#N/A</v>
      </c>
      <c r="AA51" s="74" t="e">
        <f>VLOOKUP(A51,Enforcements!$C$18:$J$26,3,0)</f>
        <v>#N/A</v>
      </c>
    </row>
    <row r="52" spans="1:27" s="2" customFormat="1" x14ac:dyDescent="0.25">
      <c r="A52" s="60" t="s">
        <v>382</v>
      </c>
      <c r="B52" s="60">
        <v>4024</v>
      </c>
      <c r="C52" s="60" t="s">
        <v>62</v>
      </c>
      <c r="D52" s="60" t="s">
        <v>193</v>
      </c>
      <c r="E52" s="30">
        <v>42538.481168981481</v>
      </c>
      <c r="F52" s="30">
        <v>42538.482465277775</v>
      </c>
      <c r="G52" s="38">
        <v>1</v>
      </c>
      <c r="H52" s="30" t="s">
        <v>476</v>
      </c>
      <c r="I52" s="30">
        <v>42538.486770833333</v>
      </c>
      <c r="J52" s="60">
        <v>0</v>
      </c>
      <c r="K52" s="60" t="str">
        <f t="shared" si="8"/>
        <v>4023/4024</v>
      </c>
      <c r="L52" s="60" t="str">
        <f>VLOOKUP(A52,'Trips&amp;Operators'!$C$1:$E$10000,3,FALSE)</f>
        <v>SPECTOR</v>
      </c>
      <c r="M52" s="12">
        <f t="shared" si="9"/>
        <v>4.3055555579485372E-3</v>
      </c>
      <c r="N52" s="13"/>
      <c r="O52" s="13"/>
      <c r="P52" s="13">
        <f>24*60*SUM($M52:$M53)</f>
        <v>39.633333346573636</v>
      </c>
      <c r="Q52" s="61"/>
      <c r="R52" s="61" t="s">
        <v>558</v>
      </c>
      <c r="T52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https://search-rtdc-monitor-bjffxe2xuh6vdkpspy63sjmuny.us-east-1.es.amazonaws.com/_plugin/kibana/#/discover/Steve-Slow-Train-Analysis-(2080s-and-2083s)?_g=(refreshInterval:(display:Off,section:0,value:0),time:(from:'2016-06-17 11:31:53-0600',mode:absolute,to:'2016-06-17 11:41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52" s="73" t="str">
        <f t="shared" si="11"/>
        <v>Y</v>
      </c>
      <c r="V52" s="73">
        <f t="shared" si="12"/>
        <v>1</v>
      </c>
      <c r="W52" s="73">
        <f t="shared" si="13"/>
        <v>4.7800000000000002E-2</v>
      </c>
      <c r="X52" s="73">
        <f t="shared" si="14"/>
        <v>0.52869999999999995</v>
      </c>
      <c r="Y52" s="73">
        <f t="shared" si="15"/>
        <v>0.48089999999999994</v>
      </c>
      <c r="Z52" s="74" t="e">
        <f>VLOOKUP(A52,Enforcements!$C$18:$J$26,8,0)</f>
        <v>#N/A</v>
      </c>
      <c r="AA52" s="74" t="e">
        <f>VLOOKUP(A52,Enforcements!$C$18:$J$26,3,0)</f>
        <v>#N/A</v>
      </c>
    </row>
    <row r="53" spans="1:27" s="90" customFormat="1" x14ac:dyDescent="0.25">
      <c r="A53" s="60" t="s">
        <v>382</v>
      </c>
      <c r="B53" s="60">
        <v>4024</v>
      </c>
      <c r="C53" s="60" t="s">
        <v>62</v>
      </c>
      <c r="D53" s="60" t="s">
        <v>475</v>
      </c>
      <c r="E53" s="30">
        <v>42538.492268518516</v>
      </c>
      <c r="F53" s="30">
        <v>42538.493356481478</v>
      </c>
      <c r="G53" s="38">
        <v>1</v>
      </c>
      <c r="H53" s="30" t="s">
        <v>98</v>
      </c>
      <c r="I53" s="30">
        <v>42538.516574074078</v>
      </c>
      <c r="J53" s="60">
        <v>0</v>
      </c>
      <c r="K53" s="60" t="str">
        <f t="shared" si="8"/>
        <v>4023/4024</v>
      </c>
      <c r="L53" s="60" t="str">
        <f>VLOOKUP(A53,'Trips&amp;Operators'!$C$1:$E$10000,3,FALSE)</f>
        <v>SPECTOR</v>
      </c>
      <c r="M53" s="12">
        <f t="shared" si="9"/>
        <v>2.3217592599394266E-2</v>
      </c>
      <c r="N53" s="13"/>
      <c r="O53" s="13"/>
      <c r="P53" s="13"/>
      <c r="Q53" s="61"/>
      <c r="R53" s="61"/>
      <c r="S53" s="2"/>
      <c r="T53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https://search-rtdc-monitor-bjffxe2xuh6vdkpspy63sjmuny.us-east-1.es.amazonaws.com/_plugin/kibana/#/discover/Steve-Slow-Train-Analysis-(2080s-and-2083s)?_g=(refreshInterval:(display:Off,section:0,value:0),time:(from:'2016-06-17 11:47:52-0600',mode:absolute,to:'2016-06-17 12:24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53" s="73" t="str">
        <f t="shared" si="11"/>
        <v>Y</v>
      </c>
      <c r="V53" s="73">
        <f t="shared" si="12"/>
        <v>0</v>
      </c>
      <c r="W53" s="73">
        <f t="shared" si="13"/>
        <v>1.9134</v>
      </c>
      <c r="X53" s="73">
        <f t="shared" si="14"/>
        <v>23.331499999999998</v>
      </c>
      <c r="Y53" s="73">
        <f t="shared" si="15"/>
        <v>21.418099999999999</v>
      </c>
      <c r="Z53" s="74" t="e">
        <f>VLOOKUP(A53,Enforcements!$C$18:$J$26,8,0)</f>
        <v>#N/A</v>
      </c>
      <c r="AA53" s="74" t="e">
        <f>VLOOKUP(A53,Enforcements!$C$18:$J$26,3,0)</f>
        <v>#N/A</v>
      </c>
    </row>
    <row r="54" spans="1:27" s="2" customFormat="1" x14ac:dyDescent="0.25">
      <c r="A54" s="60" t="s">
        <v>335</v>
      </c>
      <c r="B54" s="60">
        <v>4023</v>
      </c>
      <c r="C54" s="60" t="s">
        <v>62</v>
      </c>
      <c r="D54" s="60" t="s">
        <v>477</v>
      </c>
      <c r="E54" s="30">
        <v>42538.518773148149</v>
      </c>
      <c r="F54" s="30">
        <v>42538.520740740743</v>
      </c>
      <c r="G54" s="38">
        <v>2</v>
      </c>
      <c r="H54" s="30" t="s">
        <v>478</v>
      </c>
      <c r="I54" s="30">
        <v>42538.559560185182</v>
      </c>
      <c r="J54" s="60">
        <v>3</v>
      </c>
      <c r="K54" s="60" t="str">
        <f t="shared" si="8"/>
        <v>4023/4024</v>
      </c>
      <c r="L54" s="60" t="str">
        <f>VLOOKUP(A54,'Trips&amp;Operators'!$C$1:$E$10000,3,FALSE)</f>
        <v>SPECTOR</v>
      </c>
      <c r="M54" s="12">
        <f t="shared" si="9"/>
        <v>3.8819444438559003E-2</v>
      </c>
      <c r="N54" s="13"/>
      <c r="O54" s="13"/>
      <c r="P54" s="13">
        <f>24*60*SUM($M54:$M54)</f>
        <v>55.899999991524965</v>
      </c>
      <c r="Q54" s="61"/>
      <c r="R54" s="61" t="s">
        <v>558</v>
      </c>
      <c r="T54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https://search-rtdc-monitor-bjffxe2xuh6vdkpspy63sjmuny.us-east-1.es.amazonaws.com/_plugin/kibana/#/discover/Steve-Slow-Train-Analysis-(2080s-and-2083s)?_g=(refreshInterval:(display:Off,section:0,value:0),time:(from:'2016-06-17 12:26:02-0600',mode:absolute,to:'2016-06-17 13:26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54" s="73" t="str">
        <f t="shared" si="11"/>
        <v>Y</v>
      </c>
      <c r="V54" s="73">
        <f t="shared" si="12"/>
        <v>1</v>
      </c>
      <c r="W54" s="73">
        <f t="shared" si="13"/>
        <v>23.300599999999999</v>
      </c>
      <c r="X54" s="73">
        <f t="shared" si="14"/>
        <v>23.187999999999999</v>
      </c>
      <c r="Y54" s="73">
        <f t="shared" si="15"/>
        <v>0.11260000000000048</v>
      </c>
      <c r="Z54" s="74" t="e">
        <f>VLOOKUP(A54,Enforcements!$C$18:$J$26,8,0)</f>
        <v>#N/A</v>
      </c>
      <c r="AA54" s="74" t="e">
        <f>VLOOKUP(A54,Enforcements!$C$18:$J$26,3,0)</f>
        <v>#N/A</v>
      </c>
    </row>
    <row r="55" spans="1:27" s="2" customFormat="1" ht="14.25" customHeight="1" x14ac:dyDescent="0.25">
      <c r="A55" s="60" t="s">
        <v>384</v>
      </c>
      <c r="B55" s="60">
        <v>4009</v>
      </c>
      <c r="C55" s="60" t="s">
        <v>62</v>
      </c>
      <c r="D55" s="60" t="s">
        <v>192</v>
      </c>
      <c r="E55" s="30">
        <v>42538.492129629631</v>
      </c>
      <c r="F55" s="30">
        <v>42538.493136574078</v>
      </c>
      <c r="G55" s="38">
        <v>1</v>
      </c>
      <c r="H55" s="30" t="s">
        <v>480</v>
      </c>
      <c r="I55" s="30">
        <v>42538.495370370372</v>
      </c>
      <c r="J55" s="60">
        <v>0</v>
      </c>
      <c r="K55" s="60" t="str">
        <f t="shared" si="8"/>
        <v>4009/4010</v>
      </c>
      <c r="L55" s="60" t="str">
        <f>VLOOKUP(A55,'Trips&amp;Operators'!$C$1:$E$10000,3,FALSE)</f>
        <v>MOSES</v>
      </c>
      <c r="M55" s="12">
        <f t="shared" si="9"/>
        <v>2.2337962946039625E-3</v>
      </c>
      <c r="N55" s="13"/>
      <c r="O55" s="13"/>
      <c r="P55" s="13">
        <f>24*60*SUM($M55:$M56)</f>
        <v>36.283333328319713</v>
      </c>
      <c r="Q55" s="61"/>
      <c r="R55" s="61" t="s">
        <v>558</v>
      </c>
      <c r="T55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https://search-rtdc-monitor-bjffxe2xuh6vdkpspy63sjmuny.us-east-1.es.amazonaws.com/_plugin/kibana/#/discover/Steve-Slow-Train-Analysis-(2080s-and-2083s)?_g=(refreshInterval:(display:Off,section:0,value:0),time:(from:'2016-06-17 11:47:40-0600',mode:absolute,to:'2016-06-17 11:54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55" s="73" t="str">
        <f t="shared" si="11"/>
        <v>Y</v>
      </c>
      <c r="V55" s="73">
        <f t="shared" si="12"/>
        <v>1</v>
      </c>
      <c r="W55" s="73">
        <f t="shared" si="13"/>
        <v>4.4900000000000002E-2</v>
      </c>
      <c r="X55" s="73">
        <f t="shared" si="14"/>
        <v>0.63849999999999996</v>
      </c>
      <c r="Y55" s="73">
        <f t="shared" si="15"/>
        <v>0.59359999999999991</v>
      </c>
      <c r="Z55" s="74" t="e">
        <f>VLOOKUP(A55,Enforcements!$C$18:$J$26,8,0)</f>
        <v>#N/A</v>
      </c>
      <c r="AA55" s="74" t="e">
        <f>VLOOKUP(A55,Enforcements!$C$18:$J$26,3,0)</f>
        <v>#N/A</v>
      </c>
    </row>
    <row r="56" spans="1:27" s="2" customFormat="1" x14ac:dyDescent="0.25">
      <c r="A56" s="60" t="s">
        <v>384</v>
      </c>
      <c r="B56" s="60">
        <v>4009</v>
      </c>
      <c r="C56" s="60" t="s">
        <v>62</v>
      </c>
      <c r="D56" s="60" t="s">
        <v>479</v>
      </c>
      <c r="E56" s="30">
        <v>42538.499942129631</v>
      </c>
      <c r="F56" s="30">
        <v>42538.50105324074</v>
      </c>
      <c r="G56" s="38">
        <v>1</v>
      </c>
      <c r="H56" s="30" t="s">
        <v>308</v>
      </c>
      <c r="I56" s="30">
        <v>42538.524016203701</v>
      </c>
      <c r="J56" s="60">
        <v>0</v>
      </c>
      <c r="K56" s="60" t="str">
        <f t="shared" si="8"/>
        <v>4009/4010</v>
      </c>
      <c r="L56" s="60" t="str">
        <f>VLOOKUP(A56,'Trips&amp;Operators'!$C$1:$E$10000,3,FALSE)</f>
        <v>MOSES</v>
      </c>
      <c r="M56" s="12">
        <f t="shared" si="9"/>
        <v>2.2962962961173616E-2</v>
      </c>
      <c r="N56" s="13"/>
      <c r="O56" s="13"/>
      <c r="P56" s="13"/>
      <c r="Q56" s="61"/>
      <c r="R56" s="61"/>
      <c r="T56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https://search-rtdc-monitor-bjffxe2xuh6vdkpspy63sjmuny.us-east-1.es.amazonaws.com/_plugin/kibana/#/discover/Steve-Slow-Train-Analysis-(2080s-and-2083s)?_g=(refreshInterval:(display:Off,section:0,value:0),time:(from:'2016-06-17 11:58:55-0600',mode:absolute,to:'2016-06-17 12:35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56" s="73" t="str">
        <f t="shared" si="11"/>
        <v>Y</v>
      </c>
      <c r="V56" s="73">
        <f t="shared" si="12"/>
        <v>0</v>
      </c>
      <c r="W56" s="73">
        <f t="shared" si="13"/>
        <v>1.9121999999999999</v>
      </c>
      <c r="X56" s="73">
        <f t="shared" si="14"/>
        <v>23.339099999999998</v>
      </c>
      <c r="Y56" s="73">
        <f t="shared" si="15"/>
        <v>21.4269</v>
      </c>
      <c r="Z56" s="74" t="e">
        <f>VLOOKUP(A56,Enforcements!$C$18:$J$26,8,0)</f>
        <v>#N/A</v>
      </c>
      <c r="AA56" s="74" t="e">
        <f>VLOOKUP(A56,Enforcements!$C$18:$J$26,3,0)</f>
        <v>#N/A</v>
      </c>
    </row>
    <row r="57" spans="1:27" s="2" customFormat="1" x14ac:dyDescent="0.25">
      <c r="A57" s="60" t="s">
        <v>338</v>
      </c>
      <c r="B57" s="60">
        <v>4010</v>
      </c>
      <c r="C57" s="60" t="s">
        <v>62</v>
      </c>
      <c r="D57" s="60" t="s">
        <v>481</v>
      </c>
      <c r="E57" s="30">
        <v>42538.526238425926</v>
      </c>
      <c r="F57" s="30">
        <v>42538.527453703704</v>
      </c>
      <c r="G57" s="38">
        <v>1</v>
      </c>
      <c r="H57" s="30" t="s">
        <v>482</v>
      </c>
      <c r="I57" s="30">
        <v>42538.739942129629</v>
      </c>
      <c r="J57" s="60">
        <v>0</v>
      </c>
      <c r="K57" s="60" t="str">
        <f t="shared" si="8"/>
        <v>4009/4010</v>
      </c>
      <c r="L57" s="60" t="str">
        <f>VLOOKUP(A57,'Trips&amp;Operators'!$C$1:$E$10000,3,FALSE)</f>
        <v>MOSES</v>
      </c>
      <c r="M57" s="12">
        <f t="shared" si="9"/>
        <v>0.21248842592467554</v>
      </c>
      <c r="N57" s="13"/>
      <c r="O57" s="13"/>
      <c r="P57" s="13">
        <f>24*60*SUM($M57:$M57)</f>
        <v>305.98333333153278</v>
      </c>
      <c r="Q57" s="61"/>
      <c r="R57" s="61" t="s">
        <v>558</v>
      </c>
      <c r="T57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https://search-rtdc-monitor-bjffxe2xuh6vdkpspy63sjmuny.us-east-1.es.amazonaws.com/_plugin/kibana/#/discover/Steve-Slow-Train-Analysis-(2080s-and-2083s)?_g=(refreshInterval:(display:Off,section:0,value:0),time:(from:'2016-06-17 12:36:47-0600',mode:absolute,to:'2016-06-17 17:46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57" s="73" t="str">
        <f t="shared" si="11"/>
        <v>Y</v>
      </c>
      <c r="V57" s="73">
        <f t="shared" si="12"/>
        <v>1</v>
      </c>
      <c r="W57" s="73">
        <f t="shared" si="13"/>
        <v>23.3078</v>
      </c>
      <c r="X57" s="73">
        <f t="shared" si="14"/>
        <v>20.596599999999999</v>
      </c>
      <c r="Y57" s="73">
        <f t="shared" si="15"/>
        <v>2.7112000000000016</v>
      </c>
      <c r="Z57" s="74" t="e">
        <f>VLOOKUP(A57,Enforcements!$C$18:$J$26,8,0)</f>
        <v>#N/A</v>
      </c>
      <c r="AA57" s="74" t="e">
        <f>VLOOKUP(A57,Enforcements!$C$18:$J$26,3,0)</f>
        <v>#N/A</v>
      </c>
    </row>
    <row r="58" spans="1:27" s="2" customFormat="1" x14ac:dyDescent="0.25">
      <c r="A58" s="60" t="s">
        <v>388</v>
      </c>
      <c r="B58" s="60">
        <v>4016</v>
      </c>
      <c r="C58" s="60" t="s">
        <v>62</v>
      </c>
      <c r="D58" s="60" t="s">
        <v>77</v>
      </c>
      <c r="E58" s="30">
        <v>42538.495532407411</v>
      </c>
      <c r="F58" s="30">
        <v>42538.496388888889</v>
      </c>
      <c r="G58" s="38">
        <v>1</v>
      </c>
      <c r="H58" s="30" t="s">
        <v>484</v>
      </c>
      <c r="I58" s="30">
        <v>42538.503055555557</v>
      </c>
      <c r="J58" s="60">
        <v>0</v>
      </c>
      <c r="K58" s="60" t="str">
        <f t="shared" si="8"/>
        <v>4015/4016</v>
      </c>
      <c r="L58" s="60" t="str">
        <f>VLOOKUP(A58,'Trips&amp;Operators'!$C$1:$E$10000,3,FALSE)</f>
        <v>SHOOK</v>
      </c>
      <c r="M58" s="12">
        <f t="shared" si="9"/>
        <v>6.6666666680248454E-3</v>
      </c>
      <c r="N58" s="13"/>
      <c r="O58" s="13"/>
      <c r="P58" s="13">
        <f>24*60*SUM($M58:$M59)</f>
        <v>49.166666676755995</v>
      </c>
      <c r="Q58" s="61"/>
      <c r="R58" s="61" t="s">
        <v>558</v>
      </c>
      <c r="T58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https://search-rtdc-monitor-bjffxe2xuh6vdkpspy63sjmuny.us-east-1.es.amazonaws.com/_plugin/kibana/#/discover/Steve-Slow-Train-Analysis-(2080s-and-2083s)?_g=(refreshInterval:(display:Off,section:0,value:0),time:(from:'2016-06-17 11:52:34-0600',mode:absolute,to:'2016-06-17 12:05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58" s="73" t="str">
        <f t="shared" si="11"/>
        <v>Y</v>
      </c>
      <c r="V58" s="73">
        <f t="shared" si="12"/>
        <v>1</v>
      </c>
      <c r="W58" s="73">
        <f t="shared" si="13"/>
        <v>4.6600000000000003E-2</v>
      </c>
      <c r="X58" s="73">
        <f t="shared" si="14"/>
        <v>0.66659999999999997</v>
      </c>
      <c r="Y58" s="73">
        <f t="shared" si="15"/>
        <v>0.62</v>
      </c>
      <c r="Z58" s="74" t="e">
        <f>VLOOKUP(A58,Enforcements!$C$18:$J$26,8,0)</f>
        <v>#N/A</v>
      </c>
      <c r="AA58" s="74" t="e">
        <f>VLOOKUP(A58,Enforcements!$C$18:$J$26,3,0)</f>
        <v>#N/A</v>
      </c>
    </row>
    <row r="59" spans="1:27" s="2" customFormat="1" x14ac:dyDescent="0.25">
      <c r="A59" s="60" t="s">
        <v>388</v>
      </c>
      <c r="B59" s="60">
        <v>4016</v>
      </c>
      <c r="C59" s="60" t="s">
        <v>62</v>
      </c>
      <c r="D59" s="60" t="s">
        <v>483</v>
      </c>
      <c r="E59" s="30">
        <v>42538.507048611114</v>
      </c>
      <c r="F59" s="30">
        <v>42538.507800925923</v>
      </c>
      <c r="G59" s="38">
        <v>1</v>
      </c>
      <c r="H59" s="30" t="s">
        <v>201</v>
      </c>
      <c r="I59" s="30">
        <v>42538.535277777781</v>
      </c>
      <c r="J59" s="60">
        <v>0</v>
      </c>
      <c r="K59" s="60" t="str">
        <f t="shared" si="8"/>
        <v>4015/4016</v>
      </c>
      <c r="L59" s="60" t="str">
        <f>VLOOKUP(A59,'Trips&amp;Operators'!$C$1:$E$10000,3,FALSE)</f>
        <v>SHOOK</v>
      </c>
      <c r="M59" s="12">
        <f t="shared" si="9"/>
        <v>2.7476851857500151E-2</v>
      </c>
      <c r="N59" s="13"/>
      <c r="O59" s="13"/>
      <c r="P59" s="13"/>
      <c r="Q59" s="61"/>
      <c r="R59" s="61"/>
      <c r="T59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https://search-rtdc-monitor-bjffxe2xuh6vdkpspy63sjmuny.us-east-1.es.amazonaws.com/_plugin/kibana/#/discover/Steve-Slow-Train-Analysis-(2080s-and-2083s)?_g=(refreshInterval:(display:Off,section:0,value:0),time:(from:'2016-06-17 12:09:09-0600',mode:absolute,to:'2016-06-17 12:51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59" s="73" t="str">
        <f t="shared" si="11"/>
        <v>Y</v>
      </c>
      <c r="V59" s="73">
        <f t="shared" si="12"/>
        <v>0</v>
      </c>
      <c r="W59" s="73">
        <f t="shared" si="13"/>
        <v>1.9141999999999999</v>
      </c>
      <c r="X59" s="73">
        <f t="shared" si="14"/>
        <v>23.3308</v>
      </c>
      <c r="Y59" s="73">
        <f t="shared" si="15"/>
        <v>21.416599999999999</v>
      </c>
      <c r="Z59" s="74" t="e">
        <f>VLOOKUP(A59,Enforcements!$C$18:$J$26,8,0)</f>
        <v>#N/A</v>
      </c>
      <c r="AA59" s="74" t="e">
        <f>VLOOKUP(A59,Enforcements!$C$18:$J$26,3,0)</f>
        <v>#N/A</v>
      </c>
    </row>
    <row r="60" spans="1:27" s="2" customFormat="1" x14ac:dyDescent="0.25">
      <c r="A60" s="60" t="s">
        <v>407</v>
      </c>
      <c r="B60" s="60">
        <v>4015</v>
      </c>
      <c r="C60" s="60" t="s">
        <v>62</v>
      </c>
      <c r="D60" s="60" t="s">
        <v>485</v>
      </c>
      <c r="E60" s="30">
        <v>42538.537465277775</v>
      </c>
      <c r="F60" s="30">
        <v>42538.538900462961</v>
      </c>
      <c r="G60" s="38">
        <v>2</v>
      </c>
      <c r="H60" s="30" t="s">
        <v>486</v>
      </c>
      <c r="I60" s="30">
        <v>42538.754143518519</v>
      </c>
      <c r="J60" s="60">
        <v>1</v>
      </c>
      <c r="K60" s="60" t="str">
        <f t="shared" si="8"/>
        <v>4015/4016</v>
      </c>
      <c r="L60" s="60" t="str">
        <f>VLOOKUP(A60,'Trips&amp;Operators'!$C$1:$E$10000,3,FALSE)</f>
        <v>SHOOK</v>
      </c>
      <c r="M60" s="12">
        <f t="shared" si="9"/>
        <v>0.21524305555794854</v>
      </c>
      <c r="N60" s="13"/>
      <c r="O60" s="13"/>
      <c r="P60" s="13">
        <f>24*60*SUM($M60:$M60)</f>
        <v>309.95000000344589</v>
      </c>
      <c r="Q60" s="61"/>
      <c r="R60" s="61" t="s">
        <v>558</v>
      </c>
      <c r="T60" s="73" t="str">
        <f t="shared" si="10"/>
        <v>https://search-rtdc-monitor-bjffxe2xuh6vdkpspy63sjmuny.us-east-1.es.amazonaws.com/_plugin/kibana/#/discover/Steve-Slow-Train-Analysis-(2080s-and-2083s)?_g=(refreshInterval:(display:Off,section:0,value:0),time:(from:'2016-06-17 12:52:57-0600',mode:absolute,to:'2016-06-17 18:06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60" s="73" t="str">
        <f t="shared" si="11"/>
        <v>N</v>
      </c>
      <c r="V60" s="73">
        <f t="shared" si="12"/>
        <v>1</v>
      </c>
      <c r="W60" s="73">
        <f t="shared" si="13"/>
        <v>23.297000000000001</v>
      </c>
      <c r="X60" s="73">
        <f t="shared" si="14"/>
        <v>2.5600000000000001E-2</v>
      </c>
      <c r="Y60" s="73">
        <f t="shared" si="15"/>
        <v>23.2714</v>
      </c>
      <c r="Z60" s="74" t="e">
        <f>VLOOKUP(A60,Enforcements!$C$18:$J$26,8,0)</f>
        <v>#N/A</v>
      </c>
      <c r="AA60" s="74" t="e">
        <f>VLOOKUP(A60,Enforcements!$C$18:$J$26,3,0)</f>
        <v>#N/A</v>
      </c>
    </row>
    <row r="61" spans="1:27" s="2" customFormat="1" x14ac:dyDescent="0.25">
      <c r="A61" s="60" t="s">
        <v>402</v>
      </c>
      <c r="B61" s="60">
        <v>4042</v>
      </c>
      <c r="C61" s="60" t="s">
        <v>62</v>
      </c>
      <c r="D61" s="60" t="s">
        <v>469</v>
      </c>
      <c r="E61" s="30">
        <v>42538.51462962963</v>
      </c>
      <c r="F61" s="30">
        <v>42538.515601851854</v>
      </c>
      <c r="G61" s="38">
        <v>1</v>
      </c>
      <c r="H61" s="30" t="s">
        <v>487</v>
      </c>
      <c r="I61" s="30">
        <v>42538.546041666668</v>
      </c>
      <c r="J61" s="60">
        <v>0</v>
      </c>
      <c r="K61" s="60" t="str">
        <f t="shared" si="8"/>
        <v>4041/4042</v>
      </c>
      <c r="L61" s="60" t="str">
        <f>VLOOKUP(A61,'Trips&amp;Operators'!$C$1:$E$10000,3,FALSE)</f>
        <v>STEWART</v>
      </c>
      <c r="M61" s="12">
        <f t="shared" si="9"/>
        <v>3.0439814814599231E-2</v>
      </c>
      <c r="N61" s="13">
        <f>24*60*SUM($M61:$M61)</f>
        <v>43.833333333022892</v>
      </c>
      <c r="O61" s="13"/>
      <c r="P61" s="13"/>
      <c r="Q61" s="61"/>
      <c r="R61" s="61"/>
      <c r="T61" s="73" t="str">
        <f t="shared" ref="T61:T98" si="16">"https://search-rtdc-monitor-bjffxe2xuh6vdkpspy63sjmuny.us-east-1.es.amazonaws.com/_plugin/kibana/#/discover/Steve-Slow-Train-Analysis-(2080s-and-2083s)?_g=(refreshInterval:(display:Off,section:0,value:0),time:(from:'"&amp;TEXT(E61-1/24/60,"yyyy-MM-DD hh:mm:ss")&amp;"-0600',mode:absolute,to:'"&amp;TEXT(I61+1/24/60,"yyyy-MM-DD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61&amp;"%22')),sort:!(Time,asc))"</f>
        <v>https://search-rtdc-monitor-bjffxe2xuh6vdkpspy63sjmuny.us-east-1.es.amazonaws.com/_plugin/kibana/#/discover/Steve-Slow-Train-Analysis-(2080s-and-2083s)?_g=(refreshInterval:(display:Off,section:0,value:0),time:(from:'2016-06-17 12:20:04-0600',mode:absolute,to:'2016-06-17 13:07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61" s="73" t="str">
        <f t="shared" ref="U61:U98" si="17">IF(Y61&lt;23,"Y","N")</f>
        <v>N</v>
      </c>
      <c r="V61" s="73">
        <f t="shared" ref="V61:V98" si="18">VALUE(LEFT(A61,3))-VALUE(LEFT(A60,3))</f>
        <v>1</v>
      </c>
      <c r="W61" s="73">
        <f t="shared" ref="W61:W98" si="19">RIGHT(D61,LEN(D61)-4)/10000</f>
        <v>4.3799999999999999E-2</v>
      </c>
      <c r="X61" s="73">
        <f t="shared" ref="X61:X98" si="20">RIGHT(H61,LEN(H61)-4)/10000</f>
        <v>23.331600000000002</v>
      </c>
      <c r="Y61" s="73">
        <f t="shared" ref="Y61:Y98" si="21">ABS(X61-W61)</f>
        <v>23.287800000000001</v>
      </c>
      <c r="Z61" s="74" t="e">
        <f>VLOOKUP(A61,Enforcements!$C$18:$J$26,8,0)</f>
        <v>#N/A</v>
      </c>
      <c r="AA61" s="74" t="e">
        <f>VLOOKUP(A61,Enforcements!$C$18:$J$26,3,0)</f>
        <v>#N/A</v>
      </c>
    </row>
    <row r="62" spans="1:27" s="2" customFormat="1" x14ac:dyDescent="0.25">
      <c r="A62" s="60" t="s">
        <v>420</v>
      </c>
      <c r="B62" s="60">
        <v>4041</v>
      </c>
      <c r="C62" s="60" t="s">
        <v>62</v>
      </c>
      <c r="D62" s="60" t="s">
        <v>315</v>
      </c>
      <c r="E62" s="30">
        <v>42538.548275462963</v>
      </c>
      <c r="F62" s="30">
        <v>42538.549791666665</v>
      </c>
      <c r="G62" s="38">
        <v>2</v>
      </c>
      <c r="H62" s="30" t="s">
        <v>81</v>
      </c>
      <c r="I62" s="30">
        <v>42538.580960648149</v>
      </c>
      <c r="J62" s="60">
        <v>0</v>
      </c>
      <c r="K62" s="60" t="str">
        <f t="shared" si="8"/>
        <v>4041/4042</v>
      </c>
      <c r="L62" s="60" t="str">
        <f>VLOOKUP(A62,'Trips&amp;Operators'!$C$1:$E$10000,3,FALSE)</f>
        <v>STEWART</v>
      </c>
      <c r="M62" s="12">
        <f t="shared" si="9"/>
        <v>3.1168981484370306E-2</v>
      </c>
      <c r="N62" s="13">
        <f>24*60*SUM($M62:$M62)</f>
        <v>44.883333337493241</v>
      </c>
      <c r="O62" s="13"/>
      <c r="P62" s="13"/>
      <c r="Q62" s="61"/>
      <c r="R62" s="61"/>
      <c r="T62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https://search-rtdc-monitor-bjffxe2xuh6vdkpspy63sjmuny.us-east-1.es.amazonaws.com/_plugin/kibana/#/discover/Steve-Slow-Train-Analysis-(2080s-and-2083s)?_g=(refreshInterval:(display:Off,section:0,value:0),time:(from:'2016-06-17 13:08:31-0600',mode:absolute,to:'2016-06-17 13:57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62" s="73" t="str">
        <f t="shared" si="17"/>
        <v>N</v>
      </c>
      <c r="V62" s="73">
        <f t="shared" si="18"/>
        <v>1</v>
      </c>
      <c r="W62" s="73">
        <f t="shared" si="19"/>
        <v>23.296900000000001</v>
      </c>
      <c r="X62" s="73">
        <f t="shared" si="20"/>
        <v>1.49E-2</v>
      </c>
      <c r="Y62" s="73">
        <f t="shared" si="21"/>
        <v>23.282</v>
      </c>
      <c r="Z62" s="74" t="e">
        <f>VLOOKUP(A62,Enforcements!$C$18:$J$26,8,0)</f>
        <v>#N/A</v>
      </c>
      <c r="AA62" s="74" t="e">
        <f>VLOOKUP(A62,Enforcements!$C$18:$J$26,3,0)</f>
        <v>#N/A</v>
      </c>
    </row>
    <row r="63" spans="1:27" s="2" customFormat="1" x14ac:dyDescent="0.25">
      <c r="A63" s="60" t="s">
        <v>389</v>
      </c>
      <c r="B63" s="60">
        <v>4020</v>
      </c>
      <c r="C63" s="60"/>
      <c r="D63" s="60"/>
      <c r="E63" s="30"/>
      <c r="F63" s="30">
        <v>42538.526180555556</v>
      </c>
      <c r="G63" s="38"/>
      <c r="H63" s="30"/>
      <c r="I63" s="30">
        <v>42538.546539351853</v>
      </c>
      <c r="J63" s="60"/>
      <c r="K63" s="60" t="str">
        <f t="shared" si="8"/>
        <v>4019/4020</v>
      </c>
      <c r="L63" s="60" t="str">
        <f>VLOOKUP(A63,'Trips&amp;Operators'!$C$1:$E$10000,3,FALSE)</f>
        <v>COCA</v>
      </c>
      <c r="M63" s="12">
        <f t="shared" si="9"/>
        <v>2.0358796296932269E-2</v>
      </c>
      <c r="N63" s="13"/>
      <c r="O63" s="13"/>
      <c r="P63" s="13">
        <f>24*60*SUM($M63:$M63)</f>
        <v>29.316666667582467</v>
      </c>
      <c r="Q63" s="61"/>
      <c r="R63" s="61" t="s">
        <v>558</v>
      </c>
      <c r="T63" s="73" t="e">
        <f t="shared" si="16"/>
        <v>#VALUE!</v>
      </c>
      <c r="U63" s="73" t="e">
        <f t="shared" si="17"/>
        <v>#VALUE!</v>
      </c>
      <c r="V63" s="73">
        <f t="shared" si="18"/>
        <v>1</v>
      </c>
      <c r="W63" s="73" t="e">
        <f t="shared" si="19"/>
        <v>#VALUE!</v>
      </c>
      <c r="X63" s="73" t="e">
        <f t="shared" si="20"/>
        <v>#VALUE!</v>
      </c>
      <c r="Y63" s="73" t="e">
        <f t="shared" si="21"/>
        <v>#VALUE!</v>
      </c>
      <c r="Z63" s="74" t="e">
        <f>VLOOKUP(A63,Enforcements!$C$18:$J$26,8,0)</f>
        <v>#N/A</v>
      </c>
      <c r="AA63" s="74" t="e">
        <f>VLOOKUP(A63,Enforcements!$C$18:$J$26,3,0)</f>
        <v>#N/A</v>
      </c>
    </row>
    <row r="64" spans="1:27" s="2" customFormat="1" x14ac:dyDescent="0.25">
      <c r="A64" s="60" t="s">
        <v>340</v>
      </c>
      <c r="B64" s="60">
        <v>4019</v>
      </c>
      <c r="C64" s="60" t="s">
        <v>62</v>
      </c>
      <c r="D64" s="60" t="s">
        <v>263</v>
      </c>
      <c r="E64" s="30">
        <v>42538.562141203707</v>
      </c>
      <c r="F64" s="30">
        <v>42538.562986111108</v>
      </c>
      <c r="G64" s="38">
        <v>1</v>
      </c>
      <c r="H64" s="30" t="s">
        <v>488</v>
      </c>
      <c r="I64" s="30">
        <v>42538.603171296294</v>
      </c>
      <c r="J64" s="60">
        <v>1</v>
      </c>
      <c r="K64" s="60" t="str">
        <f t="shared" si="8"/>
        <v>4019/4020</v>
      </c>
      <c r="L64" s="60" t="str">
        <f>VLOOKUP(A64,'Trips&amp;Operators'!$C$1:$E$10000,3,FALSE)</f>
        <v>COCA</v>
      </c>
      <c r="M64" s="12">
        <f t="shared" si="9"/>
        <v>4.0185185185691807E-2</v>
      </c>
      <c r="N64" s="13">
        <f>24*60*SUM($M64:$M64)</f>
        <v>57.866666667396203</v>
      </c>
      <c r="O64" s="13"/>
      <c r="P64" s="13"/>
      <c r="Q64" s="61"/>
      <c r="R64" s="61"/>
      <c r="T64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https://search-rtdc-monitor-bjffxe2xuh6vdkpspy63sjmuny.us-east-1.es.amazonaws.com/_plugin/kibana/#/discover/Steve-Slow-Train-Analysis-(2080s-and-2083s)?_g=(refreshInterval:(display:Off,section:0,value:0),time:(from:'2016-06-17 13:28:29-0600',mode:absolute,to:'2016-06-17 14:29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64" s="73" t="str">
        <f t="shared" si="17"/>
        <v>N</v>
      </c>
      <c r="V64" s="73">
        <f t="shared" si="18"/>
        <v>1</v>
      </c>
      <c r="W64" s="73">
        <f t="shared" si="19"/>
        <v>23.2971</v>
      </c>
      <c r="X64" s="73">
        <f t="shared" si="20"/>
        <v>1.4999999999999999E-2</v>
      </c>
      <c r="Y64" s="73">
        <f t="shared" si="21"/>
        <v>23.2821</v>
      </c>
      <c r="Z64" s="74">
        <f>VLOOKUP(A64,Enforcements!$C$18:$J$26,8,0)</f>
        <v>1</v>
      </c>
      <c r="AA64" s="74" t="str">
        <f>VLOOKUP(A64,Enforcements!$C$18:$J$26,3,0)</f>
        <v>TRACK WARRANT AUTHORITY</v>
      </c>
    </row>
    <row r="65" spans="1:27" s="2" customFormat="1" x14ac:dyDescent="0.25">
      <c r="A65" s="60" t="s">
        <v>395</v>
      </c>
      <c r="B65" s="60">
        <v>4014</v>
      </c>
      <c r="C65" s="60"/>
      <c r="D65" s="60"/>
      <c r="E65" s="30"/>
      <c r="F65" s="30">
        <v>42538.536435185182</v>
      </c>
      <c r="G65" s="38"/>
      <c r="H65" s="30"/>
      <c r="I65" s="30">
        <v>42538.546990740739</v>
      </c>
      <c r="J65" s="60"/>
      <c r="K65" s="60" t="str">
        <f t="shared" si="8"/>
        <v>4013/4014</v>
      </c>
      <c r="L65" s="60" t="str">
        <f>VLOOKUP(A65,'Trips&amp;Operators'!$C$1:$E$10000,3,FALSE)</f>
        <v>ROCHA</v>
      </c>
      <c r="M65" s="12">
        <f t="shared" si="9"/>
        <v>1.0555555556493346E-2</v>
      </c>
      <c r="N65" s="13"/>
      <c r="O65" s="13"/>
      <c r="P65" s="13">
        <f>24*60*SUM($M65:$M65)</f>
        <v>15.200000001350418</v>
      </c>
      <c r="Q65" s="61"/>
      <c r="R65" s="61" t="s">
        <v>558</v>
      </c>
      <c r="T65" s="73" t="e">
        <f t="shared" si="16"/>
        <v>#VALUE!</v>
      </c>
      <c r="U65" s="73" t="e">
        <f t="shared" si="17"/>
        <v>#VALUE!</v>
      </c>
      <c r="V65" s="73">
        <f t="shared" si="18"/>
        <v>1</v>
      </c>
      <c r="W65" s="73" t="e">
        <f t="shared" si="19"/>
        <v>#VALUE!</v>
      </c>
      <c r="X65" s="73" t="e">
        <f t="shared" si="20"/>
        <v>#VALUE!</v>
      </c>
      <c r="Y65" s="73" t="e">
        <f t="shared" si="21"/>
        <v>#VALUE!</v>
      </c>
      <c r="Z65" s="74" t="e">
        <f>VLOOKUP(A65,Enforcements!$C$18:$J$26,8,0)</f>
        <v>#N/A</v>
      </c>
      <c r="AA65" s="74" t="e">
        <f>VLOOKUP(A65,Enforcements!$C$18:$J$26,3,0)</f>
        <v>#N/A</v>
      </c>
    </row>
    <row r="66" spans="1:27" s="2" customFormat="1" x14ac:dyDescent="0.25">
      <c r="A66" s="60" t="s">
        <v>339</v>
      </c>
      <c r="B66" s="60">
        <v>4013</v>
      </c>
      <c r="C66" s="60" t="s">
        <v>62</v>
      </c>
      <c r="D66" s="60" t="s">
        <v>169</v>
      </c>
      <c r="E66" s="30">
        <v>42538.570196759261</v>
      </c>
      <c r="F66" s="30">
        <v>42538.571516203701</v>
      </c>
      <c r="G66" s="38">
        <v>1</v>
      </c>
      <c r="H66" s="30" t="s">
        <v>489</v>
      </c>
      <c r="I66" s="30">
        <v>42538.61</v>
      </c>
      <c r="J66" s="60">
        <v>1</v>
      </c>
      <c r="K66" s="60" t="str">
        <f t="shared" si="8"/>
        <v>4013/4014</v>
      </c>
      <c r="L66" s="60" t="str">
        <f>VLOOKUP(A66,'Trips&amp;Operators'!$C$1:$E$10000,3,FALSE)</f>
        <v>ROCHA</v>
      </c>
      <c r="M66" s="12">
        <f t="shared" si="9"/>
        <v>3.8483796299260575E-2</v>
      </c>
      <c r="N66" s="13"/>
      <c r="O66" s="13"/>
      <c r="P66" s="13">
        <f>24*60*SUM($M66:$M66)</f>
        <v>55.416666670935228</v>
      </c>
      <c r="Q66" s="61"/>
      <c r="R66" s="61" t="s">
        <v>558</v>
      </c>
      <c r="T66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https://search-rtdc-monitor-bjffxe2xuh6vdkpspy63sjmuny.us-east-1.es.amazonaws.com/_plugin/kibana/#/discover/Steve-Slow-Train-Analysis-(2080s-and-2083s)?_g=(refreshInterval:(display:Off,section:0,value:0),time:(from:'2016-06-17 13:40:05-0600',mode:absolute,to:'2016-06-17 14:39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66" s="73" t="str">
        <f t="shared" si="17"/>
        <v>Y</v>
      </c>
      <c r="V66" s="73">
        <f t="shared" si="18"/>
        <v>1</v>
      </c>
      <c r="W66" s="73">
        <f t="shared" si="19"/>
        <v>23.298500000000001</v>
      </c>
      <c r="X66" s="73">
        <f t="shared" si="20"/>
        <v>15.819800000000001</v>
      </c>
      <c r="Y66" s="73">
        <f t="shared" si="21"/>
        <v>7.4786999999999999</v>
      </c>
      <c r="Z66" s="74" t="e">
        <f>VLOOKUP(A66,Enforcements!$C$18:$J$26,8,0)</f>
        <v>#N/A</v>
      </c>
      <c r="AA66" s="74" t="e">
        <f>VLOOKUP(A66,Enforcements!$C$18:$J$26,3,0)</f>
        <v>#N/A</v>
      </c>
    </row>
    <row r="67" spans="1:27" s="2" customFormat="1" x14ac:dyDescent="0.25">
      <c r="A67" s="60" t="s">
        <v>370</v>
      </c>
      <c r="B67" s="60">
        <v>4044</v>
      </c>
      <c r="C67" s="60" t="s">
        <v>62</v>
      </c>
      <c r="D67" s="60" t="s">
        <v>261</v>
      </c>
      <c r="E67" s="30">
        <v>42538.549826388888</v>
      </c>
      <c r="F67" s="30">
        <v>42538.551122685189</v>
      </c>
      <c r="G67" s="38">
        <v>1</v>
      </c>
      <c r="H67" s="30" t="s">
        <v>490</v>
      </c>
      <c r="I67" s="30">
        <v>42538.580416666664</v>
      </c>
      <c r="J67" s="60">
        <v>0</v>
      </c>
      <c r="K67" s="60" t="str">
        <f t="shared" ref="K67:K101" si="22">IF(ISEVEN(B67),(B67-1)&amp;"/"&amp;B67,B67&amp;"/"&amp;(B67+1))</f>
        <v>4043/4044</v>
      </c>
      <c r="L67" s="60" t="str">
        <f>VLOOKUP(A67,'Trips&amp;Operators'!$C$1:$E$10000,3,FALSE)</f>
        <v>WEBSTER</v>
      </c>
      <c r="M67" s="12">
        <f t="shared" ref="M67:M101" si="23">I67-F67</f>
        <v>2.9293981475348119E-2</v>
      </c>
      <c r="N67" s="13">
        <f>24*60*SUM($M67:$M67)</f>
        <v>42.183333324501291</v>
      </c>
      <c r="O67" s="13"/>
      <c r="P67" s="13"/>
      <c r="Q67" s="61"/>
      <c r="R67" s="61"/>
      <c r="T67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https://search-rtdc-monitor-bjffxe2xuh6vdkpspy63sjmuny.us-east-1.es.amazonaws.com/_plugin/kibana/#/discover/Steve-Slow-Train-Analysis-(2080s-and-2083s)?_g=(refreshInterval:(display:Off,section:0,value:0),time:(from:'2016-06-17 13:10:45-0600',mode:absolute,to:'2016-06-17 13:56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67" s="73" t="str">
        <f t="shared" si="17"/>
        <v>N</v>
      </c>
      <c r="V67" s="73">
        <f t="shared" si="18"/>
        <v>3</v>
      </c>
      <c r="W67" s="73">
        <f t="shared" si="19"/>
        <v>4.4200000000000003E-2</v>
      </c>
      <c r="X67" s="73">
        <f t="shared" si="20"/>
        <v>23.3307</v>
      </c>
      <c r="Y67" s="73">
        <f t="shared" si="21"/>
        <v>23.2865</v>
      </c>
      <c r="Z67" s="74" t="e">
        <f>VLOOKUP(A67,Enforcements!$C$18:$J$26,8,0)</f>
        <v>#N/A</v>
      </c>
      <c r="AA67" s="74" t="e">
        <f>VLOOKUP(A67,Enforcements!$C$18:$J$26,3,0)</f>
        <v>#N/A</v>
      </c>
    </row>
    <row r="68" spans="1:27" s="2" customFormat="1" x14ac:dyDescent="0.25">
      <c r="A68" s="60" t="s">
        <v>362</v>
      </c>
      <c r="B68" s="60">
        <v>4039</v>
      </c>
      <c r="C68" s="60" t="s">
        <v>62</v>
      </c>
      <c r="D68" s="60" t="s">
        <v>72</v>
      </c>
      <c r="E68" s="30">
        <v>42538.602777777778</v>
      </c>
      <c r="F68" s="30">
        <v>42538.603784722225</v>
      </c>
      <c r="G68" s="38">
        <v>1</v>
      </c>
      <c r="H68" s="30" t="s">
        <v>88</v>
      </c>
      <c r="I68" s="30">
        <v>42539.244664351849</v>
      </c>
      <c r="J68" s="60">
        <v>0</v>
      </c>
      <c r="K68" s="60" t="str">
        <f t="shared" si="22"/>
        <v>4039/4040</v>
      </c>
      <c r="L68" s="60" t="str">
        <f>VLOOKUP(A68,'Trips&amp;Operators'!$C$1:$E$10000,3,FALSE)</f>
        <v>SPECTOR</v>
      </c>
      <c r="M68" s="12">
        <f t="shared" si="23"/>
        <v>0.64087962962366873</v>
      </c>
      <c r="N68" s="13"/>
      <c r="O68" s="13"/>
      <c r="P68" s="13">
        <f>24*60*SUM($M68:$M68)</f>
        <v>922.86666665808298</v>
      </c>
      <c r="Q68" s="61"/>
      <c r="R68" s="61" t="s">
        <v>558</v>
      </c>
      <c r="T68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https://search-rtdc-monitor-bjffxe2xuh6vdkpspy63sjmuny.us-east-1.es.amazonaws.com/_plugin/kibana/#/discover/Steve-Slow-Train-Analysis-(2080s-and-2083s)?_g=(refreshInterval:(display:Off,section:0,value:0),time:(from:'2016-06-17 14:27:00-0600',mode:absolute,to:'2016-06-18 05:53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68" s="73" t="str">
        <f t="shared" si="17"/>
        <v>N</v>
      </c>
      <c r="V68" s="73">
        <f t="shared" si="18"/>
        <v>3</v>
      </c>
      <c r="W68" s="73">
        <f t="shared" si="19"/>
        <v>23.299600000000002</v>
      </c>
      <c r="X68" s="73">
        <f t="shared" si="20"/>
        <v>1.54E-2</v>
      </c>
      <c r="Y68" s="73">
        <f t="shared" si="21"/>
        <v>23.284200000000002</v>
      </c>
      <c r="Z68" s="74" t="e">
        <f>VLOOKUP(A68,Enforcements!$C$18:$J$26,8,0)</f>
        <v>#N/A</v>
      </c>
      <c r="AA68" s="74" t="e">
        <f>VLOOKUP(A68,Enforcements!$C$18:$J$26,3,0)</f>
        <v>#N/A</v>
      </c>
    </row>
    <row r="69" spans="1:27" s="2" customFormat="1" x14ac:dyDescent="0.25">
      <c r="A69" s="60" t="s">
        <v>363</v>
      </c>
      <c r="B69" s="60">
        <v>4024</v>
      </c>
      <c r="C69" s="60" t="s">
        <v>62</v>
      </c>
      <c r="D69" s="60" t="s">
        <v>77</v>
      </c>
      <c r="E69" s="30">
        <v>42538.580231481479</v>
      </c>
      <c r="F69" s="30">
        <v>42538.581145833334</v>
      </c>
      <c r="G69" s="38">
        <v>1</v>
      </c>
      <c r="H69" s="30" t="s">
        <v>435</v>
      </c>
      <c r="I69" s="30">
        <v>42538.610173611109</v>
      </c>
      <c r="J69" s="60">
        <v>0</v>
      </c>
      <c r="K69" s="60" t="str">
        <f t="shared" si="22"/>
        <v>4023/4024</v>
      </c>
      <c r="L69" s="60" t="str">
        <f>VLOOKUP(A69,'Trips&amp;Operators'!$C$1:$E$10000,3,FALSE)</f>
        <v>SHOOK</v>
      </c>
      <c r="M69" s="12">
        <f t="shared" si="23"/>
        <v>2.9027777774899732E-2</v>
      </c>
      <c r="N69" s="13">
        <f>24*60*SUM($M69:$M69)</f>
        <v>41.799999995855615</v>
      </c>
      <c r="O69" s="13"/>
      <c r="P69" s="13"/>
      <c r="Q69" s="61"/>
      <c r="R69" s="61"/>
      <c r="T69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https://search-rtdc-monitor-bjffxe2xuh6vdkpspy63sjmuny.us-east-1.es.amazonaws.com/_plugin/kibana/#/discover/Steve-Slow-Train-Analysis-(2080s-and-2083s)?_g=(refreshInterval:(display:Off,section:0,value:0),time:(from:'2016-06-17 13:54:32-0600',mode:absolute,to:'2016-06-17 14:39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69" s="73" t="str">
        <f t="shared" si="17"/>
        <v>N</v>
      </c>
      <c r="V69" s="73">
        <f t="shared" si="18"/>
        <v>3</v>
      </c>
      <c r="W69" s="73">
        <f t="shared" si="19"/>
        <v>4.6600000000000003E-2</v>
      </c>
      <c r="X69" s="73">
        <f t="shared" si="20"/>
        <v>23.328700000000001</v>
      </c>
      <c r="Y69" s="73">
        <f t="shared" si="21"/>
        <v>23.2821</v>
      </c>
      <c r="Z69" s="74" t="e">
        <f>VLOOKUP(A69,Enforcements!$C$18:$J$26,8,0)</f>
        <v>#N/A</v>
      </c>
      <c r="AA69" s="74" t="e">
        <f>VLOOKUP(A69,Enforcements!$C$18:$J$26,3,0)</f>
        <v>#N/A</v>
      </c>
    </row>
    <row r="70" spans="1:27" s="2" customFormat="1" x14ac:dyDescent="0.25">
      <c r="A70" s="60" t="s">
        <v>408</v>
      </c>
      <c r="B70" s="60">
        <v>4042</v>
      </c>
      <c r="C70" s="60"/>
      <c r="D70" s="60"/>
      <c r="E70" s="30"/>
      <c r="F70" s="30">
        <v>42538.588136574072</v>
      </c>
      <c r="G70" s="38"/>
      <c r="H70" s="30"/>
      <c r="I70" s="30">
        <v>42538.589791666665</v>
      </c>
      <c r="J70" s="60"/>
      <c r="K70" s="60" t="str">
        <f t="shared" si="22"/>
        <v>4041/4042</v>
      </c>
      <c r="L70" s="60" t="str">
        <f>VLOOKUP(A70,'Trips&amp;Operators'!$C$1:$E$10000,3,FALSE)</f>
        <v>STEWART</v>
      </c>
      <c r="M70" s="12">
        <f t="shared" si="23"/>
        <v>1.6550925938645378E-3</v>
      </c>
      <c r="N70" s="13"/>
      <c r="O70" s="13"/>
      <c r="P70" s="13">
        <f>24*60*SUM($M70:$M70)</f>
        <v>2.3833333351649344</v>
      </c>
      <c r="Q70" s="61"/>
      <c r="R70" s="61" t="s">
        <v>558</v>
      </c>
      <c r="T70" s="73" t="e">
        <f t="shared" si="16"/>
        <v>#VALUE!</v>
      </c>
      <c r="U70" s="73" t="e">
        <f t="shared" si="17"/>
        <v>#VALUE!</v>
      </c>
      <c r="V70" s="73">
        <f t="shared" si="18"/>
        <v>2</v>
      </c>
      <c r="W70" s="73" t="e">
        <f t="shared" si="19"/>
        <v>#VALUE!</v>
      </c>
      <c r="X70" s="73" t="e">
        <f t="shared" si="20"/>
        <v>#VALUE!</v>
      </c>
      <c r="Y70" s="73" t="e">
        <f t="shared" si="21"/>
        <v>#VALUE!</v>
      </c>
      <c r="Z70" s="74" t="e">
        <f>VLOOKUP(A70,Enforcements!$C$18:$J$26,8,0)</f>
        <v>#N/A</v>
      </c>
      <c r="AA70" s="74" t="e">
        <f>VLOOKUP(A70,Enforcements!$C$18:$J$26,3,0)</f>
        <v>#N/A</v>
      </c>
    </row>
    <row r="71" spans="1:27" s="2" customFormat="1" x14ac:dyDescent="0.25">
      <c r="A71" s="60" t="s">
        <v>410</v>
      </c>
      <c r="B71" s="60">
        <v>4041</v>
      </c>
      <c r="C71" s="60" t="s">
        <v>62</v>
      </c>
      <c r="D71" s="60" t="s">
        <v>202</v>
      </c>
      <c r="E71" s="30">
        <v>42538.627534722225</v>
      </c>
      <c r="F71" s="30">
        <v>42538.629849537036</v>
      </c>
      <c r="G71" s="38">
        <v>3</v>
      </c>
      <c r="H71" s="30" t="s">
        <v>491</v>
      </c>
      <c r="I71" s="30">
        <v>42538.662106481483</v>
      </c>
      <c r="J71" s="60">
        <v>0</v>
      </c>
      <c r="K71" s="60" t="str">
        <f t="shared" si="22"/>
        <v>4041/4042</v>
      </c>
      <c r="L71" s="60" t="str">
        <f>VLOOKUP(A71,'Trips&amp;Operators'!$C$1:$E$10000,3,FALSE)</f>
        <v>STEWART</v>
      </c>
      <c r="M71" s="12">
        <f t="shared" si="23"/>
        <v>3.2256944446999114E-2</v>
      </c>
      <c r="N71" s="13">
        <f>24*60*SUM($M71:$M71)</f>
        <v>46.450000003678724</v>
      </c>
      <c r="O71" s="13"/>
      <c r="P71" s="13"/>
      <c r="Q71" s="61"/>
      <c r="R71" s="61"/>
      <c r="T71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https://search-rtdc-monitor-bjffxe2xuh6vdkpspy63sjmuny.us-east-1.es.amazonaws.com/_plugin/kibana/#/discover/Steve-Slow-Train-Analysis-(2080s-and-2083s)?_g=(refreshInterval:(display:Off,section:0,value:0),time:(from:'2016-06-17 15:02:39-0600',mode:absolute,to:'2016-06-17 15:54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71" s="73" t="str">
        <f t="shared" si="17"/>
        <v>N</v>
      </c>
      <c r="V71" s="73">
        <f t="shared" si="18"/>
        <v>1</v>
      </c>
      <c r="W71" s="73">
        <f t="shared" si="19"/>
        <v>23.297999999999998</v>
      </c>
      <c r="X71" s="73">
        <f t="shared" si="20"/>
        <v>1.67E-2</v>
      </c>
      <c r="Y71" s="73">
        <f t="shared" si="21"/>
        <v>23.281299999999998</v>
      </c>
      <c r="Z71" s="74" t="e">
        <f>VLOOKUP(A71,Enforcements!$C$18:$J$26,8,0)</f>
        <v>#N/A</v>
      </c>
      <c r="AA71" s="74" t="e">
        <f>VLOOKUP(A71,Enforcements!$C$18:$J$26,3,0)</f>
        <v>#N/A</v>
      </c>
    </row>
    <row r="72" spans="1:27" s="2" customFormat="1" x14ac:dyDescent="0.25">
      <c r="A72" s="60" t="s">
        <v>360</v>
      </c>
      <c r="B72" s="60">
        <v>4020</v>
      </c>
      <c r="C72" s="60"/>
      <c r="D72" s="60"/>
      <c r="E72" s="30"/>
      <c r="F72" s="30">
        <v>42538.606759259259</v>
      </c>
      <c r="G72" s="38"/>
      <c r="H72" s="30"/>
      <c r="I72" s="30">
        <v>42538.60765046296</v>
      </c>
      <c r="J72" s="60"/>
      <c r="K72" s="60" t="str">
        <f t="shared" si="22"/>
        <v>4019/4020</v>
      </c>
      <c r="L72" s="60" t="str">
        <f>VLOOKUP(A72,'Trips&amp;Operators'!$C$1:$E$10000,3,FALSE)</f>
        <v>NELSON</v>
      </c>
      <c r="M72" s="12">
        <f t="shared" si="23"/>
        <v>8.9120370103046298E-4</v>
      </c>
      <c r="N72" s="13"/>
      <c r="O72" s="13"/>
      <c r="P72" s="13">
        <f>24*60*SUM($M72:$M72)</f>
        <v>1.2833333294838667</v>
      </c>
      <c r="Q72" s="61"/>
      <c r="R72" s="61" t="s">
        <v>558</v>
      </c>
      <c r="T72" s="73" t="e">
        <f t="shared" si="16"/>
        <v>#VALUE!</v>
      </c>
      <c r="U72" s="73" t="e">
        <f t="shared" si="17"/>
        <v>#VALUE!</v>
      </c>
      <c r="V72" s="73">
        <f t="shared" si="18"/>
        <v>1</v>
      </c>
      <c r="W72" s="73" t="e">
        <f t="shared" si="19"/>
        <v>#VALUE!</v>
      </c>
      <c r="X72" s="73" t="e">
        <f t="shared" si="20"/>
        <v>#VALUE!</v>
      </c>
      <c r="Y72" s="73" t="e">
        <f t="shared" si="21"/>
        <v>#VALUE!</v>
      </c>
      <c r="Z72" s="74" t="e">
        <f>VLOOKUP(A72,Enforcements!$C$18:$J$26,8,0)</f>
        <v>#N/A</v>
      </c>
      <c r="AA72" s="74" t="e">
        <f>VLOOKUP(A72,Enforcements!$C$18:$J$26,3,0)</f>
        <v>#N/A</v>
      </c>
    </row>
    <row r="73" spans="1:27" s="2" customFormat="1" x14ac:dyDescent="0.25">
      <c r="A73" s="60" t="s">
        <v>378</v>
      </c>
      <c r="B73" s="60">
        <v>4019</v>
      </c>
      <c r="C73" s="60" t="s">
        <v>62</v>
      </c>
      <c r="D73" s="60" t="s">
        <v>259</v>
      </c>
      <c r="E73" s="30">
        <v>42538.639918981484</v>
      </c>
      <c r="F73" s="30">
        <v>42538.641134259262</v>
      </c>
      <c r="G73" s="38">
        <v>1</v>
      </c>
      <c r="H73" s="30" t="s">
        <v>80</v>
      </c>
      <c r="I73" s="30">
        <v>42538.671701388892</v>
      </c>
      <c r="J73" s="60">
        <v>0</v>
      </c>
      <c r="K73" s="60" t="str">
        <f t="shared" si="22"/>
        <v>4019/4020</v>
      </c>
      <c r="L73" s="60" t="str">
        <f>VLOOKUP(A73,'Trips&amp;Operators'!$C$1:$E$10000,3,FALSE)</f>
        <v>NELSON</v>
      </c>
      <c r="M73" s="12">
        <f t="shared" si="23"/>
        <v>3.0567129630071577E-2</v>
      </c>
      <c r="N73" s="13">
        <f>24*60*SUM($M73:$M73)</f>
        <v>44.01666666730307</v>
      </c>
      <c r="O73" s="13"/>
      <c r="P73" s="13"/>
      <c r="Q73" s="61"/>
      <c r="R73" s="61"/>
      <c r="T73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https://search-rtdc-monitor-bjffxe2xuh6vdkpspy63sjmuny.us-east-1.es.amazonaws.com/_plugin/kibana/#/discover/Steve-Slow-Train-Analysis-(2080s-and-2083s)?_g=(refreshInterval:(display:Off,section:0,value:0),time:(from:'2016-06-17 15:20:29-0600',mode:absolute,to:'2016-06-17 16:08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73" s="73" t="str">
        <f t="shared" si="17"/>
        <v>N</v>
      </c>
      <c r="V73" s="73">
        <f t="shared" si="18"/>
        <v>1</v>
      </c>
      <c r="W73" s="73">
        <f t="shared" si="19"/>
        <v>23.297899999999998</v>
      </c>
      <c r="X73" s="73">
        <f t="shared" si="20"/>
        <v>1.41E-2</v>
      </c>
      <c r="Y73" s="73">
        <f t="shared" si="21"/>
        <v>23.283799999999999</v>
      </c>
      <c r="Z73" s="74" t="e">
        <f>VLOOKUP(A73,Enforcements!$C$18:$J$26,8,0)</f>
        <v>#N/A</v>
      </c>
      <c r="AA73" s="74" t="e">
        <f>VLOOKUP(A73,Enforcements!$C$18:$J$26,3,0)</f>
        <v>#N/A</v>
      </c>
    </row>
    <row r="74" spans="1:27" s="2" customFormat="1" x14ac:dyDescent="0.25">
      <c r="A74" s="60" t="s">
        <v>418</v>
      </c>
      <c r="B74" s="60">
        <v>4014</v>
      </c>
      <c r="C74" s="60"/>
      <c r="D74" s="60"/>
      <c r="E74" s="30"/>
      <c r="F74" s="30">
        <v>42538.614444444444</v>
      </c>
      <c r="G74" s="38"/>
      <c r="H74" s="30"/>
      <c r="I74" s="30">
        <v>42538.619641203702</v>
      </c>
      <c r="J74" s="60"/>
      <c r="K74" s="60" t="str">
        <f t="shared" si="22"/>
        <v>4013/4014</v>
      </c>
      <c r="L74" s="60" t="str">
        <f>VLOOKUP(A74,'Trips&amp;Operators'!$C$1:$E$10000,3,FALSE)</f>
        <v>ROCHA</v>
      </c>
      <c r="M74" s="12">
        <f t="shared" si="23"/>
        <v>5.1967592589790002E-3</v>
      </c>
      <c r="N74" s="13"/>
      <c r="O74" s="13"/>
      <c r="P74" s="13">
        <f>24*60*SUM($M74:$M74)</f>
        <v>7.4833333329297602</v>
      </c>
      <c r="Q74" s="61"/>
      <c r="R74" s="61" t="s">
        <v>558</v>
      </c>
      <c r="T74" s="73" t="e">
        <f t="shared" si="16"/>
        <v>#VALUE!</v>
      </c>
      <c r="U74" s="73" t="e">
        <f t="shared" si="17"/>
        <v>#VALUE!</v>
      </c>
      <c r="V74" s="73">
        <f t="shared" si="18"/>
        <v>1</v>
      </c>
      <c r="W74" s="73" t="e">
        <f t="shared" si="19"/>
        <v>#VALUE!</v>
      </c>
      <c r="X74" s="73" t="e">
        <f t="shared" si="20"/>
        <v>#VALUE!</v>
      </c>
      <c r="Y74" s="73" t="e">
        <f t="shared" si="21"/>
        <v>#VALUE!</v>
      </c>
      <c r="Z74" s="74" t="e">
        <f>VLOOKUP(A74,Enforcements!$C$18:$J$26,8,0)</f>
        <v>#N/A</v>
      </c>
      <c r="AA74" s="74" t="e">
        <f>VLOOKUP(A74,Enforcements!$C$18:$J$26,3,0)</f>
        <v>#N/A</v>
      </c>
    </row>
    <row r="75" spans="1:27" s="2" customFormat="1" x14ac:dyDescent="0.25">
      <c r="A75" s="60" t="s">
        <v>377</v>
      </c>
      <c r="B75" s="60">
        <v>4044</v>
      </c>
      <c r="C75" s="60" t="s">
        <v>62</v>
      </c>
      <c r="D75" s="60" t="s">
        <v>305</v>
      </c>
      <c r="E75" s="30">
        <v>42538.622789351852</v>
      </c>
      <c r="F75" s="30">
        <v>42538.623877314814</v>
      </c>
      <c r="G75" s="38">
        <v>1</v>
      </c>
      <c r="H75" s="30" t="s">
        <v>203</v>
      </c>
      <c r="I75" s="30">
        <v>42539.202673611115</v>
      </c>
      <c r="J75" s="60">
        <v>0</v>
      </c>
      <c r="K75" s="60" t="str">
        <f t="shared" si="22"/>
        <v>4043/4044</v>
      </c>
      <c r="L75" s="60" t="str">
        <f>VLOOKUP(A75,'Trips&amp;Operators'!$C$1:$E$10000,3,FALSE)</f>
        <v>WEBSTER</v>
      </c>
      <c r="M75" s="12">
        <f t="shared" si="23"/>
        <v>0.57879629630042473</v>
      </c>
      <c r="N75" s="13"/>
      <c r="O75" s="13"/>
      <c r="P75" s="13">
        <f>24*60*SUM($M75:$M75)</f>
        <v>833.46666667261161</v>
      </c>
      <c r="Q75" s="61"/>
      <c r="R75" s="61" t="s">
        <v>558</v>
      </c>
      <c r="T75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https://search-rtdc-monitor-bjffxe2xuh6vdkpspy63sjmuny.us-east-1.es.amazonaws.com/_plugin/kibana/#/discover/Steve-Slow-Train-Analysis-(2080s-and-2083s)?_g=(refreshInterval:(display:Off,section:0,value:0),time:(from:'2016-06-17 14:55:49-0600',mode:absolute,to:'2016-06-18 04:52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75" s="73" t="str">
        <f t="shared" si="17"/>
        <v>N</v>
      </c>
      <c r="V75" s="73">
        <f t="shared" si="18"/>
        <v>2</v>
      </c>
      <c r="W75" s="73">
        <f t="shared" si="19"/>
        <v>4.6699999999999998E-2</v>
      </c>
      <c r="X75" s="73">
        <f t="shared" si="20"/>
        <v>23.329699999999999</v>
      </c>
      <c r="Y75" s="73">
        <f t="shared" si="21"/>
        <v>23.282999999999998</v>
      </c>
      <c r="Z75" s="74" t="e">
        <f>VLOOKUP(A75,Enforcements!$C$18:$J$26,8,0)</f>
        <v>#N/A</v>
      </c>
      <c r="AA75" s="74"/>
    </row>
    <row r="76" spans="1:27" s="2" customFormat="1" x14ac:dyDescent="0.25">
      <c r="A76" s="60" t="s">
        <v>358</v>
      </c>
      <c r="B76" s="60">
        <v>4024</v>
      </c>
      <c r="C76" s="60" t="s">
        <v>62</v>
      </c>
      <c r="D76" s="60" t="s">
        <v>304</v>
      </c>
      <c r="E76" s="30">
        <v>42538.653391203705</v>
      </c>
      <c r="F76" s="30">
        <v>42538.654652777775</v>
      </c>
      <c r="G76" s="38">
        <v>1</v>
      </c>
      <c r="H76" s="30" t="s">
        <v>314</v>
      </c>
      <c r="I76" s="30">
        <v>42538.804490740738</v>
      </c>
      <c r="J76" s="60">
        <v>0</v>
      </c>
      <c r="K76" s="60" t="str">
        <f t="shared" si="22"/>
        <v>4023/4024</v>
      </c>
      <c r="L76" s="60" t="str">
        <f>VLOOKUP(A76,'Trips&amp;Operators'!$C$1:$E$10000,3,FALSE)</f>
        <v>SHOOK</v>
      </c>
      <c r="M76" s="12">
        <f t="shared" si="23"/>
        <v>0.14983796296291985</v>
      </c>
      <c r="N76" s="13"/>
      <c r="O76" s="13"/>
      <c r="P76" s="13">
        <f>24*60*SUM($M76:$M77)</f>
        <v>216.40000000130385</v>
      </c>
      <c r="Q76" s="61"/>
      <c r="R76" s="61" t="s">
        <v>558</v>
      </c>
      <c r="T76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https://search-rtdc-monitor-bjffxe2xuh6vdkpspy63sjmuny.us-east-1.es.amazonaws.com/_plugin/kibana/#/discover/Steve-Slow-Train-Analysis-(2080s-and-2083s)?_g=(refreshInterval:(display:Off,section:0,value:0),time:(from:'2016-06-17 15:39:53-0600',mode:absolute,to:'2016-06-17 19:19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76" s="73" t="str">
        <f t="shared" si="17"/>
        <v>Y</v>
      </c>
      <c r="V76" s="73">
        <f t="shared" si="18"/>
        <v>6</v>
      </c>
      <c r="W76" s="73">
        <f t="shared" si="19"/>
        <v>4.5499999999999999E-2</v>
      </c>
      <c r="X76" s="73">
        <f t="shared" si="20"/>
        <v>4.8399999999999999E-2</v>
      </c>
      <c r="Y76" s="73">
        <f t="shared" si="21"/>
        <v>2.8999999999999998E-3</v>
      </c>
      <c r="Z76" s="74" t="e">
        <f>VLOOKUP(A76,Enforcements!$C$18:$J$26,8,0)</f>
        <v>#N/A</v>
      </c>
      <c r="AA76" s="74" t="e">
        <f>VLOOKUP(A76,Enforcements!$C$18:$J$26,3,0)</f>
        <v>#N/A</v>
      </c>
    </row>
    <row r="77" spans="1:27" s="2" customFormat="1" x14ac:dyDescent="0.25">
      <c r="A77" s="60" t="s">
        <v>358</v>
      </c>
      <c r="B77" s="60">
        <v>4024</v>
      </c>
      <c r="C77" s="60" t="s">
        <v>62</v>
      </c>
      <c r="D77" s="60" t="s">
        <v>311</v>
      </c>
      <c r="E77" s="30">
        <v>42538.802418981482</v>
      </c>
      <c r="F77" s="30">
        <v>42538.804050925923</v>
      </c>
      <c r="G77" s="38">
        <v>2</v>
      </c>
      <c r="H77" s="30" t="s">
        <v>314</v>
      </c>
      <c r="I77" s="30">
        <v>42538.804490740738</v>
      </c>
      <c r="J77" s="60">
        <v>0</v>
      </c>
      <c r="K77" s="60" t="str">
        <f t="shared" si="22"/>
        <v>4023/4024</v>
      </c>
      <c r="L77" s="60" t="str">
        <f>VLOOKUP(A77,'Trips&amp;Operators'!$C$1:$E$10000,3,FALSE)</f>
        <v>SHOOK</v>
      </c>
      <c r="M77" s="12">
        <f t="shared" si="23"/>
        <v>4.398148157633841E-4</v>
      </c>
      <c r="N77" s="13"/>
      <c r="O77" s="13"/>
      <c r="P77" s="13"/>
      <c r="Q77" s="61"/>
      <c r="R77" s="61"/>
      <c r="T77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https://search-rtdc-monitor-bjffxe2xuh6vdkpspy63sjmuny.us-east-1.es.amazonaws.com/_plugin/kibana/#/discover/Steve-Slow-Train-Analysis-(2080s-and-2083s)?_g=(refreshInterval:(display:Off,section:0,value:0),time:(from:'2016-06-17 19:14:29-0600',mode:absolute,to:'2016-06-17 19:19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77" s="73" t="str">
        <f t="shared" si="17"/>
        <v>Y</v>
      </c>
      <c r="V77" s="73">
        <f t="shared" si="18"/>
        <v>0</v>
      </c>
      <c r="W77" s="73">
        <f t="shared" si="19"/>
        <v>4.7699999999999999E-2</v>
      </c>
      <c r="X77" s="73">
        <f t="shared" si="20"/>
        <v>4.8399999999999999E-2</v>
      </c>
      <c r="Y77" s="73">
        <f t="shared" si="21"/>
        <v>6.9999999999999923E-4</v>
      </c>
      <c r="Z77" s="74" t="e">
        <f>VLOOKUP(A77,Enforcements!$C$18:$J$26,8,0)</f>
        <v>#N/A</v>
      </c>
      <c r="AA77" s="74" t="e">
        <f>VLOOKUP(A77,Enforcements!$C$18:$J$26,3,0)</f>
        <v>#N/A</v>
      </c>
    </row>
    <row r="78" spans="1:27" s="2" customFormat="1" x14ac:dyDescent="0.25">
      <c r="A78" s="60" t="s">
        <v>387</v>
      </c>
      <c r="B78" s="60">
        <v>4041</v>
      </c>
      <c r="C78" s="60" t="s">
        <v>62</v>
      </c>
      <c r="D78" s="60" t="s">
        <v>72</v>
      </c>
      <c r="E78" s="30">
        <v>42538.704502314817</v>
      </c>
      <c r="F78" s="30">
        <v>42538.705312500002</v>
      </c>
      <c r="G78" s="38">
        <v>1</v>
      </c>
      <c r="H78" s="30" t="s">
        <v>492</v>
      </c>
      <c r="I78" s="30">
        <v>42538.878981481481</v>
      </c>
      <c r="J78" s="60">
        <v>0</v>
      </c>
      <c r="K78" s="60" t="str">
        <f t="shared" si="22"/>
        <v>4041/4042</v>
      </c>
      <c r="L78" s="60" t="str">
        <f>VLOOKUP(A78,'Trips&amp;Operators'!$C$1:$E$10000,3,FALSE)</f>
        <v>STEWART</v>
      </c>
      <c r="M78" s="12">
        <f t="shared" si="23"/>
        <v>0.17366898147884058</v>
      </c>
      <c r="N78" s="13"/>
      <c r="O78" s="13"/>
      <c r="P78" s="13">
        <f>24*60*SUM($M78:$M78)</f>
        <v>250.08333332953043</v>
      </c>
      <c r="Q78" s="61"/>
      <c r="R78" s="61" t="s">
        <v>558</v>
      </c>
      <c r="T78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https://search-rtdc-monitor-bjffxe2xuh6vdkpspy63sjmuny.us-east-1.es.amazonaws.com/_plugin/kibana/#/discover/Steve-Slow-Train-Analysis-(2080s-and-2083s)?_g=(refreshInterval:(display:Off,section:0,value:0),time:(from:'2016-06-17 16:53:29-0600',mode:absolute,to:'2016-06-17 21:06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78" s="73" t="str">
        <f t="shared" si="17"/>
        <v>N</v>
      </c>
      <c r="V78" s="73">
        <f t="shared" si="18"/>
        <v>3</v>
      </c>
      <c r="W78" s="73">
        <f t="shared" si="19"/>
        <v>23.299600000000002</v>
      </c>
      <c r="X78" s="73">
        <f t="shared" si="20"/>
        <v>1.83E-2</v>
      </c>
      <c r="Y78" s="73">
        <f t="shared" si="21"/>
        <v>23.281300000000002</v>
      </c>
      <c r="Z78" s="74" t="e">
        <f>VLOOKUP(A78,Enforcements!$C$18:$J$26,8,0)</f>
        <v>#N/A</v>
      </c>
      <c r="AA78" s="74" t="e">
        <f>VLOOKUP(A78,Enforcements!$C$18:$J$26,3,0)</f>
        <v>#N/A</v>
      </c>
    </row>
    <row r="79" spans="1:27" s="2" customFormat="1" x14ac:dyDescent="0.25">
      <c r="A79" s="60" t="s">
        <v>342</v>
      </c>
      <c r="B79" s="60">
        <v>4015</v>
      </c>
      <c r="C79" s="60" t="s">
        <v>62</v>
      </c>
      <c r="D79" s="60" t="s">
        <v>430</v>
      </c>
      <c r="E79" s="30">
        <v>42538.723587962966</v>
      </c>
      <c r="F79" s="30">
        <v>42538.725023148145</v>
      </c>
      <c r="G79" s="38">
        <v>2</v>
      </c>
      <c r="H79" s="30" t="s">
        <v>486</v>
      </c>
      <c r="I79" s="30">
        <v>42538.754143518519</v>
      </c>
      <c r="J79" s="60">
        <v>1</v>
      </c>
      <c r="K79" s="60" t="str">
        <f t="shared" si="22"/>
        <v>4015/4016</v>
      </c>
      <c r="L79" s="60" t="str">
        <f>VLOOKUP(A79,'Trips&amp;Operators'!$C$1:$E$10000,3,FALSE)</f>
        <v>COCA</v>
      </c>
      <c r="M79" s="12">
        <f t="shared" si="23"/>
        <v>2.9120370374585036E-2</v>
      </c>
      <c r="N79" s="13">
        <f>24*60*SUM($M79:$M79)</f>
        <v>41.933333339402452</v>
      </c>
      <c r="O79" s="13"/>
      <c r="P79" s="13"/>
      <c r="Q79" s="61"/>
      <c r="R79" s="61"/>
      <c r="T79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https://search-rtdc-monitor-bjffxe2xuh6vdkpspy63sjmuny.us-east-1.es.amazonaws.com/_plugin/kibana/#/discover/Steve-Slow-Train-Analysis-(2080s-and-2083s)?_g=(refreshInterval:(display:Off,section:0,value:0),time:(from:'2016-06-17 17:20:58-0600',mode:absolute,to:'2016-06-17 18:06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79" s="73" t="str">
        <f t="shared" si="17"/>
        <v>N</v>
      </c>
      <c r="V79" s="73">
        <f t="shared" si="18"/>
        <v>4</v>
      </c>
      <c r="W79" s="73">
        <f t="shared" si="19"/>
        <v>23.2989</v>
      </c>
      <c r="X79" s="73">
        <f t="shared" si="20"/>
        <v>2.5600000000000001E-2</v>
      </c>
      <c r="Y79" s="73">
        <f t="shared" si="21"/>
        <v>23.273299999999999</v>
      </c>
      <c r="Z79" s="74">
        <f>VLOOKUP(A79,Enforcements!$C$18:$J$26,8,0)</f>
        <v>1</v>
      </c>
      <c r="AA79" s="74" t="str">
        <f>VLOOKUP(A79,Enforcements!$C$18:$J$26,3,0)</f>
        <v>TRACK WARRANT AUTHORITY</v>
      </c>
    </row>
    <row r="80" spans="1:27" s="2" customFormat="1" x14ac:dyDescent="0.25">
      <c r="A80" s="60" t="s">
        <v>393</v>
      </c>
      <c r="B80" s="60">
        <v>4018</v>
      </c>
      <c r="C80" s="60"/>
      <c r="D80" s="60"/>
      <c r="E80" s="30"/>
      <c r="F80" s="30">
        <v>42538.697152777779</v>
      </c>
      <c r="G80" s="38"/>
      <c r="H80" s="30"/>
      <c r="I80" s="30">
        <v>42538.697152777779</v>
      </c>
      <c r="J80" s="60"/>
      <c r="K80" s="60" t="str">
        <f t="shared" si="22"/>
        <v>4017/4018</v>
      </c>
      <c r="L80" s="60" t="str">
        <f>VLOOKUP(A80,'Trips&amp;Operators'!$C$1:$E$10000,3,FALSE)</f>
        <v>STORY</v>
      </c>
      <c r="M80" s="12">
        <f t="shared" si="23"/>
        <v>0</v>
      </c>
      <c r="N80" s="13"/>
      <c r="O80" s="13"/>
      <c r="P80" s="13">
        <v>1</v>
      </c>
      <c r="Q80" s="61"/>
      <c r="R80" s="61" t="s">
        <v>558</v>
      </c>
      <c r="T80" s="73" t="e">
        <f t="shared" si="16"/>
        <v>#VALUE!</v>
      </c>
      <c r="U80" s="73" t="e">
        <f t="shared" si="17"/>
        <v>#VALUE!</v>
      </c>
      <c r="V80" s="73">
        <f t="shared" si="18"/>
        <v>1</v>
      </c>
      <c r="W80" s="73" t="e">
        <f t="shared" si="19"/>
        <v>#VALUE!</v>
      </c>
      <c r="X80" s="73" t="e">
        <f t="shared" si="20"/>
        <v>#VALUE!</v>
      </c>
      <c r="Y80" s="73" t="e">
        <f t="shared" si="21"/>
        <v>#VALUE!</v>
      </c>
      <c r="Z80" s="74" t="e">
        <f>VLOOKUP(A80,Enforcements!$C$18:$J$26,8,0)</f>
        <v>#N/A</v>
      </c>
      <c r="AA80" s="74" t="e">
        <f>VLOOKUP(A80,Enforcements!$C$18:$J$26,3,0)</f>
        <v>#N/A</v>
      </c>
    </row>
    <row r="81" spans="1:27" s="2" customFormat="1" x14ac:dyDescent="0.25">
      <c r="A81" s="60" t="s">
        <v>343</v>
      </c>
      <c r="B81" s="60">
        <v>4015</v>
      </c>
      <c r="C81" s="60" t="s">
        <v>62</v>
      </c>
      <c r="D81" s="60" t="s">
        <v>87</v>
      </c>
      <c r="E81" s="30">
        <v>42538.796423611115</v>
      </c>
      <c r="F81" s="30">
        <v>42538.797453703701</v>
      </c>
      <c r="G81" s="38">
        <v>1</v>
      </c>
      <c r="H81" s="30" t="s">
        <v>488</v>
      </c>
      <c r="I81" s="30">
        <v>42538.826006944444</v>
      </c>
      <c r="J81" s="60">
        <v>1</v>
      </c>
      <c r="K81" s="60" t="str">
        <f t="shared" si="22"/>
        <v>4015/4016</v>
      </c>
      <c r="L81" s="60" t="str">
        <f>VLOOKUP(A81,'Trips&amp;Operators'!$C$1:$E$10000,3,FALSE)</f>
        <v>BRUDER</v>
      </c>
      <c r="M81" s="12">
        <f t="shared" si="23"/>
        <v>2.8553240743349306E-2</v>
      </c>
      <c r="N81" s="13">
        <f>24*60*SUM($M81:$M81)</f>
        <v>41.116666670423001</v>
      </c>
      <c r="O81" s="13"/>
      <c r="P81" s="13"/>
      <c r="Q81" s="61"/>
      <c r="R81" s="61"/>
      <c r="T81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https://search-rtdc-monitor-bjffxe2xuh6vdkpspy63sjmuny.us-east-1.es.amazonaws.com/_plugin/kibana/#/discover/Steve-Slow-Train-Analysis-(2080s-and-2083s)?_g=(refreshInterval:(display:Off,section:0,value:0),time:(from:'2016-06-17 19:05:51-0600',mode:absolute,to:'2016-06-17 19:50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81" s="73" t="str">
        <f t="shared" si="17"/>
        <v>N</v>
      </c>
      <c r="V81" s="73">
        <f t="shared" si="18"/>
        <v>13</v>
      </c>
      <c r="W81" s="73">
        <f t="shared" si="19"/>
        <v>23.297799999999999</v>
      </c>
      <c r="X81" s="73">
        <f t="shared" si="20"/>
        <v>1.4999999999999999E-2</v>
      </c>
      <c r="Y81" s="73">
        <f t="shared" si="21"/>
        <v>23.282799999999998</v>
      </c>
      <c r="Z81" s="74">
        <f>VLOOKUP(A81,Enforcements!$C$18:$J$26,8,0)</f>
        <v>1</v>
      </c>
      <c r="AA81" s="74" t="str">
        <f>VLOOKUP(A81,Enforcements!$C$18:$J$26,3,0)</f>
        <v>TRACK WARRANT AUTHORITY</v>
      </c>
    </row>
    <row r="82" spans="1:27" s="2" customFormat="1" x14ac:dyDescent="0.25">
      <c r="A82" s="60" t="s">
        <v>383</v>
      </c>
      <c r="B82" s="60">
        <v>4018</v>
      </c>
      <c r="C82" s="60"/>
      <c r="D82" s="60"/>
      <c r="E82" s="30"/>
      <c r="F82" s="30">
        <v>42538.771527777775</v>
      </c>
      <c r="G82" s="38"/>
      <c r="H82" s="30"/>
      <c r="I82" s="30">
        <v>42538.771527777775</v>
      </c>
      <c r="J82" s="60"/>
      <c r="K82" s="60" t="str">
        <f t="shared" si="22"/>
        <v>4017/4018</v>
      </c>
      <c r="L82" s="60" t="str">
        <f>VLOOKUP(A82,'Trips&amp;Operators'!$C$1:$E$10000,3,FALSE)</f>
        <v>GRASTON</v>
      </c>
      <c r="M82" s="12">
        <f t="shared" si="23"/>
        <v>0</v>
      </c>
      <c r="N82" s="13"/>
      <c r="O82" s="13"/>
      <c r="P82" s="13">
        <v>1</v>
      </c>
      <c r="Q82" s="61"/>
      <c r="R82" s="61" t="s">
        <v>558</v>
      </c>
      <c r="T82" s="73" t="e">
        <f t="shared" si="16"/>
        <v>#VALUE!</v>
      </c>
      <c r="U82" s="73" t="e">
        <f t="shared" si="17"/>
        <v>#VALUE!</v>
      </c>
      <c r="V82" s="73">
        <f t="shared" si="18"/>
        <v>1</v>
      </c>
      <c r="W82" s="73" t="e">
        <f t="shared" si="19"/>
        <v>#VALUE!</v>
      </c>
      <c r="X82" s="73" t="e">
        <f t="shared" si="20"/>
        <v>#VALUE!</v>
      </c>
      <c r="Y82" s="73" t="e">
        <f t="shared" si="21"/>
        <v>#VALUE!</v>
      </c>
      <c r="Z82" s="74" t="e">
        <f>VLOOKUP(A82,Enforcements!$C$18:$J$26,8,0)</f>
        <v>#N/A</v>
      </c>
      <c r="AA82" s="74" t="e">
        <f>VLOOKUP(A82,Enforcements!$C$18:$J$26,3,0)</f>
        <v>#N/A</v>
      </c>
    </row>
    <row r="83" spans="1:27" s="2" customFormat="1" x14ac:dyDescent="0.25">
      <c r="A83" s="60" t="s">
        <v>411</v>
      </c>
      <c r="B83" s="60">
        <v>4010</v>
      </c>
      <c r="C83" s="60" t="s">
        <v>62</v>
      </c>
      <c r="D83" s="60" t="s">
        <v>263</v>
      </c>
      <c r="E83" s="30">
        <v>42538.827372685184</v>
      </c>
      <c r="F83" s="30">
        <v>42538.82980324074</v>
      </c>
      <c r="G83" s="38">
        <v>3</v>
      </c>
      <c r="H83" s="30" t="s">
        <v>88</v>
      </c>
      <c r="I83" s="30">
        <v>42538.943310185183</v>
      </c>
      <c r="J83" s="60">
        <v>0</v>
      </c>
      <c r="K83" s="60" t="str">
        <f t="shared" si="22"/>
        <v>4009/4010</v>
      </c>
      <c r="L83" s="60" t="str">
        <f>VLOOKUP(A83,'Trips&amp;Operators'!$C$1:$E$10000,3,FALSE)</f>
        <v>ADANE</v>
      </c>
      <c r="M83" s="12">
        <f t="shared" si="23"/>
        <v>0.11350694444263354</v>
      </c>
      <c r="N83" s="13"/>
      <c r="O83" s="13"/>
      <c r="P83" s="13">
        <f>24*60*SUM($M83:$M83)</f>
        <v>163.4499999973923</v>
      </c>
      <c r="Q83" s="61"/>
      <c r="R83" s="61" t="s">
        <v>558</v>
      </c>
      <c r="T83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https://search-rtdc-monitor-bjffxe2xuh6vdkpspy63sjmuny.us-east-1.es.amazonaws.com/_plugin/kibana/#/discover/Steve-Slow-Train-Analysis-(2080s-and-2083s)?_g=(refreshInterval:(display:Off,section:0,value:0),time:(from:'2016-06-17 19:50:25-0600',mode:absolute,to:'2016-06-17 22:39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83" s="73" t="str">
        <f t="shared" si="17"/>
        <v>N</v>
      </c>
      <c r="V83" s="73">
        <f t="shared" si="18"/>
        <v>3</v>
      </c>
      <c r="W83" s="73">
        <f t="shared" si="19"/>
        <v>23.2971</v>
      </c>
      <c r="X83" s="73">
        <f t="shared" si="20"/>
        <v>1.54E-2</v>
      </c>
      <c r="Y83" s="73">
        <f t="shared" si="21"/>
        <v>23.281700000000001</v>
      </c>
      <c r="Z83" s="74" t="e">
        <f>VLOOKUP(A83,Enforcements!$C$18:$J$26,8,0)</f>
        <v>#N/A</v>
      </c>
      <c r="AA83" s="74" t="e">
        <f>VLOOKUP(A83,Enforcements!$C$18:$J$26,3,0)</f>
        <v>#N/A</v>
      </c>
    </row>
    <row r="84" spans="1:27" s="2" customFormat="1" x14ac:dyDescent="0.25">
      <c r="A84" s="60" t="s">
        <v>412</v>
      </c>
      <c r="B84" s="60">
        <v>4041</v>
      </c>
      <c r="C84" s="60" t="s">
        <v>62</v>
      </c>
      <c r="D84" s="60" t="s">
        <v>493</v>
      </c>
      <c r="E84" s="30">
        <v>42538.847708333335</v>
      </c>
      <c r="F84" s="30">
        <v>42538.849351851852</v>
      </c>
      <c r="G84" s="38">
        <v>2</v>
      </c>
      <c r="H84" s="30" t="s">
        <v>492</v>
      </c>
      <c r="I84" s="30">
        <v>42538.878981481481</v>
      </c>
      <c r="J84" s="60">
        <v>0</v>
      </c>
      <c r="K84" s="60" t="str">
        <f t="shared" si="22"/>
        <v>4041/4042</v>
      </c>
      <c r="L84" s="60" t="str">
        <f>VLOOKUP(A84,'Trips&amp;Operators'!$C$1:$E$10000,3,FALSE)</f>
        <v>KILLION</v>
      </c>
      <c r="M84" s="12">
        <f t="shared" si="23"/>
        <v>2.9629629629198462E-2</v>
      </c>
      <c r="N84" s="13">
        <f>24*60*SUM($M84:$M84)</f>
        <v>42.666666666045785</v>
      </c>
      <c r="O84" s="13"/>
      <c r="P84" s="13"/>
      <c r="Q84" s="61"/>
      <c r="R84" s="61"/>
      <c r="T84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https://search-rtdc-monitor-bjffxe2xuh6vdkpspy63sjmuny.us-east-1.es.amazonaws.com/_plugin/kibana/#/discover/Steve-Slow-Train-Analysis-(2080s-and-2083s)?_g=(refreshInterval:(display:Off,section:0,value:0),time:(from:'2016-06-17 20:19:42-0600',mode:absolute,to:'2016-06-17 21:06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84" s="73" t="str">
        <f t="shared" si="17"/>
        <v>N</v>
      </c>
      <c r="V84" s="73">
        <f t="shared" si="18"/>
        <v>2</v>
      </c>
      <c r="W84" s="73">
        <f t="shared" si="19"/>
        <v>23.295200000000001</v>
      </c>
      <c r="X84" s="73">
        <f t="shared" si="20"/>
        <v>1.83E-2</v>
      </c>
      <c r="Y84" s="73">
        <f t="shared" si="21"/>
        <v>23.276900000000001</v>
      </c>
      <c r="Z84" s="74" t="e">
        <f>VLOOKUP(A84,Enforcements!$C$18:$J$26,8,0)</f>
        <v>#N/A</v>
      </c>
      <c r="AA84" s="74" t="e">
        <f>VLOOKUP(A84,Enforcements!$C$18:$J$26,3,0)</f>
        <v>#N/A</v>
      </c>
    </row>
    <row r="85" spans="1:27" s="2" customFormat="1" x14ac:dyDescent="0.25">
      <c r="A85" s="60" t="s">
        <v>414</v>
      </c>
      <c r="B85" s="60">
        <v>4015</v>
      </c>
      <c r="C85" s="60"/>
      <c r="D85" s="60"/>
      <c r="E85" s="30"/>
      <c r="F85" s="30">
        <v>42538.864641203705</v>
      </c>
      <c r="G85" s="38"/>
      <c r="H85" s="30"/>
      <c r="I85" s="30">
        <v>42538.883148148147</v>
      </c>
      <c r="J85" s="60"/>
      <c r="K85" s="60" t="str">
        <f t="shared" si="22"/>
        <v>4015/4016</v>
      </c>
      <c r="L85" s="60" t="str">
        <f>VLOOKUP(A85,'Trips&amp;Operators'!$C$1:$E$10000,3,FALSE)</f>
        <v>BRUDER</v>
      </c>
      <c r="M85" s="12">
        <f t="shared" si="23"/>
        <v>1.8506944441469386E-2</v>
      </c>
      <c r="N85" s="13"/>
      <c r="O85" s="13"/>
      <c r="P85" s="13">
        <f>24*60*SUM($M85:$M85)</f>
        <v>26.649999995715916</v>
      </c>
      <c r="Q85" s="61"/>
      <c r="R85" s="61" t="s">
        <v>558</v>
      </c>
      <c r="T85" s="73" t="e">
        <f t="shared" si="16"/>
        <v>#VALUE!</v>
      </c>
      <c r="U85" s="73" t="e">
        <f t="shared" si="17"/>
        <v>#VALUE!</v>
      </c>
      <c r="V85" s="73">
        <f t="shared" si="18"/>
        <v>2</v>
      </c>
      <c r="W85" s="73" t="e">
        <f t="shared" si="19"/>
        <v>#VALUE!</v>
      </c>
      <c r="X85" s="73" t="e">
        <f t="shared" si="20"/>
        <v>#VALUE!</v>
      </c>
      <c r="Y85" s="73" t="e">
        <f t="shared" si="21"/>
        <v>#VALUE!</v>
      </c>
      <c r="Z85" s="74" t="e">
        <f>VLOOKUP(A85,Enforcements!$C$18:$J$26,8,0)</f>
        <v>#N/A</v>
      </c>
      <c r="AA85" s="74" t="e">
        <f>VLOOKUP(A85,Enforcements!$C$18:$J$26,3,0)</f>
        <v>#N/A</v>
      </c>
    </row>
    <row r="86" spans="1:27" s="2" customFormat="1" x14ac:dyDescent="0.25">
      <c r="A86" s="60" t="s">
        <v>356</v>
      </c>
      <c r="B86" s="60">
        <v>4009</v>
      </c>
      <c r="C86" s="60" t="s">
        <v>62</v>
      </c>
      <c r="D86" s="60" t="s">
        <v>79</v>
      </c>
      <c r="E86" s="30">
        <v>42538.870057870372</v>
      </c>
      <c r="F86" s="30">
        <v>42538.871365740742</v>
      </c>
      <c r="G86" s="38">
        <v>1</v>
      </c>
      <c r="H86" s="30" t="s">
        <v>191</v>
      </c>
      <c r="I86" s="30">
        <v>42538.984050925923</v>
      </c>
      <c r="J86" s="60">
        <v>0</v>
      </c>
      <c r="K86" s="60" t="str">
        <f t="shared" si="22"/>
        <v>4009/4010</v>
      </c>
      <c r="L86" s="60" t="str">
        <f>VLOOKUP(A86,'Trips&amp;Operators'!$C$1:$E$10000,3,FALSE)</f>
        <v>ADANE</v>
      </c>
      <c r="M86" s="12">
        <f t="shared" si="23"/>
        <v>0.11268518518045312</v>
      </c>
      <c r="N86" s="13"/>
      <c r="O86" s="13"/>
      <c r="P86" s="13">
        <f>24*60*SUM($M86:$M86)</f>
        <v>162.26666665985249</v>
      </c>
      <c r="Q86" s="61"/>
      <c r="R86" s="61" t="s">
        <v>558</v>
      </c>
      <c r="T86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https://search-rtdc-monitor-bjffxe2xuh6vdkpspy63sjmuny.us-east-1.es.amazonaws.com/_plugin/kibana/#/discover/Steve-Slow-Train-Analysis-(2080s-and-2083s)?_g=(refreshInterval:(display:Off,section:0,value:0),time:(from:'2016-06-17 20:51:53-0600',mode:absolute,to:'2016-06-17 23:38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86" s="73" t="str">
        <f t="shared" si="17"/>
        <v>N</v>
      </c>
      <c r="V86" s="73">
        <f t="shared" si="18"/>
        <v>3</v>
      </c>
      <c r="W86" s="73">
        <f t="shared" si="19"/>
        <v>4.5699999999999998E-2</v>
      </c>
      <c r="X86" s="73">
        <f t="shared" si="20"/>
        <v>23.330200000000001</v>
      </c>
      <c r="Y86" s="73">
        <f t="shared" si="21"/>
        <v>23.284500000000001</v>
      </c>
      <c r="Z86" s="74" t="e">
        <f>VLOOKUP(A86,Enforcements!$C$18:$J$26,8,0)</f>
        <v>#N/A</v>
      </c>
      <c r="AA86" s="74" t="e">
        <f>VLOOKUP(A86,Enforcements!$C$18:$J$26,3,0)</f>
        <v>#N/A</v>
      </c>
    </row>
    <row r="87" spans="1:27" s="2" customFormat="1" x14ac:dyDescent="0.25">
      <c r="A87" s="60" t="s">
        <v>415</v>
      </c>
      <c r="B87" s="60">
        <v>4010</v>
      </c>
      <c r="C87" s="60" t="s">
        <v>62</v>
      </c>
      <c r="D87" s="60" t="s">
        <v>260</v>
      </c>
      <c r="E87" s="30">
        <v>42538.910162037035</v>
      </c>
      <c r="F87" s="30">
        <v>42538.911122685182</v>
      </c>
      <c r="G87" s="38">
        <v>1</v>
      </c>
      <c r="H87" s="30" t="s">
        <v>88</v>
      </c>
      <c r="I87" s="30">
        <v>42538.943310185183</v>
      </c>
      <c r="J87" s="60">
        <v>0</v>
      </c>
      <c r="K87" s="60" t="str">
        <f t="shared" si="22"/>
        <v>4009/4010</v>
      </c>
      <c r="L87" s="60" t="str">
        <f>VLOOKUP(A87,'Trips&amp;Operators'!$C$1:$E$10000,3,FALSE)</f>
        <v>ADANE</v>
      </c>
      <c r="M87" s="12">
        <f t="shared" si="23"/>
        <v>3.2187500000873115E-2</v>
      </c>
      <c r="N87" s="13">
        <f>24*60*SUM($M87:$M87)</f>
        <v>46.350000001257285</v>
      </c>
      <c r="O87" s="13"/>
      <c r="P87" s="13"/>
      <c r="Q87" s="61"/>
      <c r="R87" s="61"/>
      <c r="T87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https://search-rtdc-monitor-bjffxe2xuh6vdkpspy63sjmuny.us-east-1.es.amazonaws.com/_plugin/kibana/#/discover/Steve-Slow-Train-Analysis-(2080s-and-2083s)?_g=(refreshInterval:(display:Off,section:0,value:0),time:(from:'2016-06-17 21:49:38-0600',mode:absolute,to:'2016-06-17 22:39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87" s="73" t="str">
        <f t="shared" si="17"/>
        <v>N</v>
      </c>
      <c r="V87" s="73">
        <f t="shared" si="18"/>
        <v>1</v>
      </c>
      <c r="W87" s="73">
        <f t="shared" si="19"/>
        <v>23.2973</v>
      </c>
      <c r="X87" s="73">
        <f t="shared" si="20"/>
        <v>1.54E-2</v>
      </c>
      <c r="Y87" s="73">
        <f t="shared" si="21"/>
        <v>23.2819</v>
      </c>
      <c r="Z87" s="74" t="e">
        <f>VLOOKUP(A87,Enforcements!$C$18:$J$26,8,0)</f>
        <v>#N/A</v>
      </c>
      <c r="AA87" s="74" t="e">
        <f>VLOOKUP(A87,Enforcements!$C$18:$J$26,3,0)</f>
        <v>#N/A</v>
      </c>
    </row>
    <row r="88" spans="1:27" s="2" customFormat="1" x14ac:dyDescent="0.25">
      <c r="A88" s="60" t="s">
        <v>344</v>
      </c>
      <c r="B88" s="60">
        <v>4042</v>
      </c>
      <c r="C88" s="60" t="s">
        <v>62</v>
      </c>
      <c r="D88" s="60" t="s">
        <v>494</v>
      </c>
      <c r="E88" s="30">
        <v>42538.889976851853</v>
      </c>
      <c r="F88" s="30">
        <v>42538.890914351854</v>
      </c>
      <c r="G88" s="38">
        <v>1</v>
      </c>
      <c r="H88" s="30" t="s">
        <v>495</v>
      </c>
      <c r="I88" s="30">
        <v>42538.924502314818</v>
      </c>
      <c r="J88" s="60">
        <v>1</v>
      </c>
      <c r="K88" s="60" t="str">
        <f t="shared" si="22"/>
        <v>4041/4042</v>
      </c>
      <c r="L88" s="60" t="str">
        <f>VLOOKUP(A88,'Trips&amp;Operators'!$C$1:$E$10000,3,FALSE)</f>
        <v>LEVERE</v>
      </c>
      <c r="M88" s="12">
        <f t="shared" si="23"/>
        <v>3.3587962963792961E-2</v>
      </c>
      <c r="N88" s="13">
        <f>24*60*SUM($M88:$M88)</f>
        <v>48.366666667861864</v>
      </c>
      <c r="O88" s="13"/>
      <c r="P88" s="13"/>
      <c r="Q88" s="61"/>
      <c r="R88" s="61"/>
      <c r="T88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https://search-rtdc-monitor-bjffxe2xuh6vdkpspy63sjmuny.us-east-1.es.amazonaws.com/_plugin/kibana/#/discover/Steve-Slow-Train-Analysis-(2080s-and-2083s)?_g=(refreshInterval:(display:Off,section:0,value:0),time:(from:'2016-06-17 21:20:34-0600',mode:absolute,to:'2016-06-17 22:12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88" s="73" t="str">
        <f t="shared" si="17"/>
        <v>N</v>
      </c>
      <c r="V88" s="73">
        <f t="shared" si="18"/>
        <v>1</v>
      </c>
      <c r="W88" s="73">
        <f t="shared" si="19"/>
        <v>4.7300000000000002E-2</v>
      </c>
      <c r="X88" s="73">
        <f t="shared" si="20"/>
        <v>23.324400000000001</v>
      </c>
      <c r="Y88" s="73">
        <f t="shared" si="21"/>
        <v>23.277100000000001</v>
      </c>
      <c r="Z88" s="74" t="e">
        <f>VLOOKUP(A88,Enforcements!$C$18:$J$26,8,0)</f>
        <v>#N/A</v>
      </c>
      <c r="AA88" s="74" t="e">
        <f>VLOOKUP(A88,Enforcements!$C$18:$J$26,3,0)</f>
        <v>#N/A</v>
      </c>
    </row>
    <row r="89" spans="1:27" s="2" customFormat="1" x14ac:dyDescent="0.25">
      <c r="A89" s="60" t="s">
        <v>373</v>
      </c>
      <c r="B89" s="60">
        <v>4041</v>
      </c>
      <c r="C89" s="60"/>
      <c r="D89" s="60"/>
      <c r="E89" s="30"/>
      <c r="F89" s="30">
        <v>42538.932037037041</v>
      </c>
      <c r="G89" s="38"/>
      <c r="H89" s="30"/>
      <c r="I89" s="30">
        <v>42538.932199074072</v>
      </c>
      <c r="J89" s="60"/>
      <c r="K89" s="60" t="str">
        <f t="shared" si="22"/>
        <v>4041/4042</v>
      </c>
      <c r="L89" s="60" t="str">
        <f>VLOOKUP(A89,'Trips&amp;Operators'!$C$1:$E$10000,3,FALSE)</f>
        <v>LEVERE</v>
      </c>
      <c r="M89" s="12">
        <f t="shared" si="23"/>
        <v>1.6203703125938773E-4</v>
      </c>
      <c r="N89" s="13"/>
      <c r="O89" s="13"/>
      <c r="P89" s="13">
        <v>1</v>
      </c>
      <c r="Q89" s="61"/>
      <c r="R89" s="61" t="s">
        <v>558</v>
      </c>
      <c r="T89" s="73" t="e">
        <f t="shared" si="16"/>
        <v>#VALUE!</v>
      </c>
      <c r="U89" s="73" t="e">
        <f t="shared" si="17"/>
        <v>#VALUE!</v>
      </c>
      <c r="V89" s="73">
        <f t="shared" si="18"/>
        <v>1</v>
      </c>
      <c r="W89" s="73" t="e">
        <f t="shared" si="19"/>
        <v>#VALUE!</v>
      </c>
      <c r="X89" s="73" t="e">
        <f t="shared" si="20"/>
        <v>#VALUE!</v>
      </c>
      <c r="Y89" s="73" t="e">
        <f t="shared" si="21"/>
        <v>#VALUE!</v>
      </c>
      <c r="Z89" s="74" t="e">
        <f>VLOOKUP(A89,Enforcements!$C$18:$J$26,8,0)</f>
        <v>#N/A</v>
      </c>
      <c r="AA89" s="74" t="e">
        <f>VLOOKUP(A89,Enforcements!$C$18:$J$26,3,0)</f>
        <v>#N/A</v>
      </c>
    </row>
    <row r="90" spans="1:27" s="2" customFormat="1" x14ac:dyDescent="0.25">
      <c r="A90" s="60" t="s">
        <v>409</v>
      </c>
      <c r="B90" s="60">
        <v>4015</v>
      </c>
      <c r="C90" s="60"/>
      <c r="D90" s="60"/>
      <c r="E90" s="30"/>
      <c r="F90" s="30">
        <v>42538.952025462961</v>
      </c>
      <c r="G90" s="38"/>
      <c r="H90" s="30"/>
      <c r="I90" s="30">
        <v>42538.953726851854</v>
      </c>
      <c r="J90" s="60"/>
      <c r="K90" s="60" t="str">
        <f t="shared" si="22"/>
        <v>4015/4016</v>
      </c>
      <c r="L90" s="60" t="str">
        <f>VLOOKUP(A90,'Trips&amp;Operators'!$C$1:$E$10000,3,FALSE)</f>
        <v>BRUDER</v>
      </c>
      <c r="M90" s="12">
        <f t="shared" si="23"/>
        <v>1.7013888937071897E-3</v>
      </c>
      <c r="N90" s="13"/>
      <c r="O90" s="13"/>
      <c r="P90" s="13">
        <f>24*60*SUM($M90:$M90)</f>
        <v>2.4500000069383532</v>
      </c>
      <c r="Q90" s="61"/>
      <c r="R90" s="61" t="s">
        <v>558</v>
      </c>
      <c r="T90" s="73" t="e">
        <f t="shared" si="16"/>
        <v>#VALUE!</v>
      </c>
      <c r="U90" s="73" t="e">
        <f t="shared" si="17"/>
        <v>#VALUE!</v>
      </c>
      <c r="V90" s="73">
        <f t="shared" si="18"/>
        <v>2</v>
      </c>
      <c r="W90" s="73" t="e">
        <f t="shared" si="19"/>
        <v>#VALUE!</v>
      </c>
      <c r="X90" s="73" t="e">
        <f t="shared" si="20"/>
        <v>#VALUE!</v>
      </c>
      <c r="Y90" s="73" t="e">
        <f t="shared" si="21"/>
        <v>#VALUE!</v>
      </c>
      <c r="Z90" s="74" t="e">
        <f>VLOOKUP(A90,Enforcements!$C$18:$J$26,8,0)</f>
        <v>#N/A</v>
      </c>
      <c r="AA90" s="74" t="e">
        <f>VLOOKUP(A90,Enforcements!$C$18:$J$26,3,0)</f>
        <v>#N/A</v>
      </c>
    </row>
    <row r="91" spans="1:27" s="2" customFormat="1" x14ac:dyDescent="0.25">
      <c r="A91" s="60" t="s">
        <v>379</v>
      </c>
      <c r="B91" s="60">
        <v>4018</v>
      </c>
      <c r="C91" s="60"/>
      <c r="D91" s="60"/>
      <c r="E91" s="30"/>
      <c r="F91" s="30">
        <v>42538.933518518519</v>
      </c>
      <c r="G91" s="38"/>
      <c r="H91" s="30"/>
      <c r="I91" s="30">
        <v>42538.933518518519</v>
      </c>
      <c r="J91" s="60"/>
      <c r="K91" s="60" t="str">
        <f t="shared" si="22"/>
        <v>4017/4018</v>
      </c>
      <c r="L91" s="60" t="str">
        <f>VLOOKUP(A91,'Trips&amp;Operators'!$C$1:$E$10000,3,FALSE)</f>
        <v>GRASTON</v>
      </c>
      <c r="M91" s="12">
        <f t="shared" si="23"/>
        <v>0</v>
      </c>
      <c r="N91" s="13"/>
      <c r="O91" s="13"/>
      <c r="P91" s="13">
        <v>1</v>
      </c>
      <c r="Q91" s="61"/>
      <c r="R91" s="61" t="s">
        <v>558</v>
      </c>
      <c r="T91" s="73" t="e">
        <f t="shared" si="16"/>
        <v>#VALUE!</v>
      </c>
      <c r="U91" s="73" t="e">
        <f t="shared" si="17"/>
        <v>#VALUE!</v>
      </c>
      <c r="V91" s="73">
        <f t="shared" si="18"/>
        <v>1</v>
      </c>
      <c r="W91" s="73" t="e">
        <f t="shared" si="19"/>
        <v>#VALUE!</v>
      </c>
      <c r="X91" s="73" t="e">
        <f t="shared" si="20"/>
        <v>#VALUE!</v>
      </c>
      <c r="Y91" s="73" t="e">
        <f t="shared" si="21"/>
        <v>#VALUE!</v>
      </c>
      <c r="Z91" s="74" t="e">
        <f>VLOOKUP(A91,Enforcements!$C$18:$J$26,8,0)</f>
        <v>#N/A</v>
      </c>
      <c r="AA91" s="74" t="e">
        <f>VLOOKUP(A91,Enforcements!$C$18:$J$26,3,0)</f>
        <v>#N/A</v>
      </c>
    </row>
    <row r="92" spans="1:27" s="2" customFormat="1" x14ac:dyDescent="0.25">
      <c r="A92" s="60" t="s">
        <v>419</v>
      </c>
      <c r="B92" s="60">
        <v>4017</v>
      </c>
      <c r="C92" s="60" t="s">
        <v>62</v>
      </c>
      <c r="D92" s="60" t="s">
        <v>430</v>
      </c>
      <c r="E92" s="30">
        <v>42538.972951388889</v>
      </c>
      <c r="F92" s="30">
        <v>42538.974548611113</v>
      </c>
      <c r="G92" s="38">
        <v>2</v>
      </c>
      <c r="H92" s="30" t="s">
        <v>88</v>
      </c>
      <c r="I92" s="30">
        <v>42539.003784722219</v>
      </c>
      <c r="J92" s="60">
        <v>0</v>
      </c>
      <c r="K92" s="60" t="str">
        <f t="shared" si="22"/>
        <v>4017/4018</v>
      </c>
      <c r="L92" s="60" t="str">
        <f>VLOOKUP(A92,'Trips&amp;Operators'!$C$1:$E$10000,3,FALSE)</f>
        <v>GRASTON</v>
      </c>
      <c r="M92" s="12">
        <f t="shared" si="23"/>
        <v>2.9236111106001772E-2</v>
      </c>
      <c r="N92" s="13">
        <f>24*60*SUM($M92:$M92)</f>
        <v>42.099999992642552</v>
      </c>
      <c r="O92" s="13"/>
      <c r="P92" s="13"/>
      <c r="Q92" s="61"/>
      <c r="R92" s="61"/>
      <c r="T92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https://search-rtdc-monitor-bjffxe2xuh6vdkpspy63sjmuny.us-east-1.es.amazonaws.com/_plugin/kibana/#/discover/Steve-Slow-Train-Analysis-(2080s-and-2083s)?_g=(refreshInterval:(display:Off,section:0,value:0),time:(from:'2016-06-17 23:20:03-0600',mode:absolute,to:'2016-06-18 00:06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92" s="73" t="str">
        <f t="shared" si="17"/>
        <v>N</v>
      </c>
      <c r="V92" s="73">
        <f t="shared" si="18"/>
        <v>1</v>
      </c>
      <c r="W92" s="73">
        <f t="shared" si="19"/>
        <v>23.2989</v>
      </c>
      <c r="X92" s="73">
        <f t="shared" si="20"/>
        <v>1.54E-2</v>
      </c>
      <c r="Y92" s="73">
        <f t="shared" si="21"/>
        <v>23.2835</v>
      </c>
      <c r="Z92" s="74" t="e">
        <f>VLOOKUP(A92,Enforcements!$C$18:$J$26,8,0)</f>
        <v>#N/A</v>
      </c>
      <c r="AA92" s="74" t="e">
        <f>VLOOKUP(A92,Enforcements!$C$18:$J$26,3,0)</f>
        <v>#N/A</v>
      </c>
    </row>
    <row r="93" spans="1:27" s="2" customFormat="1" x14ac:dyDescent="0.25">
      <c r="A93" s="60" t="s">
        <v>417</v>
      </c>
      <c r="B93" s="60">
        <v>4009</v>
      </c>
      <c r="C93" s="60" t="s">
        <v>62</v>
      </c>
      <c r="D93" s="60" t="s">
        <v>73</v>
      </c>
      <c r="E93" s="30">
        <v>42538.952881944446</v>
      </c>
      <c r="F93" s="30">
        <v>42538.954884259256</v>
      </c>
      <c r="G93" s="38">
        <v>2</v>
      </c>
      <c r="H93" s="30" t="s">
        <v>191</v>
      </c>
      <c r="I93" s="30">
        <v>42538.984050925923</v>
      </c>
      <c r="J93" s="60">
        <v>0</v>
      </c>
      <c r="K93" s="60" t="str">
        <f t="shared" si="22"/>
        <v>4009/4010</v>
      </c>
      <c r="L93" s="60" t="str">
        <f>VLOOKUP(A93,'Trips&amp;Operators'!$C$1:$E$10000,3,FALSE)</f>
        <v>ADANE</v>
      </c>
      <c r="M93" s="12">
        <f t="shared" si="23"/>
        <v>2.9166666667151731E-2</v>
      </c>
      <c r="N93" s="13">
        <f>24*60*SUM($M93:$M93)</f>
        <v>42.000000000698492</v>
      </c>
      <c r="O93" s="13"/>
      <c r="P93" s="13"/>
      <c r="Q93" s="61"/>
      <c r="R93" s="61"/>
      <c r="T93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https://search-rtdc-monitor-bjffxe2xuh6vdkpspy63sjmuny.us-east-1.es.amazonaws.com/_plugin/kibana/#/discover/Steve-Slow-Train-Analysis-(2080s-and-2083s)?_g=(refreshInterval:(display:Off,section:0,value:0),time:(from:'2016-06-17 22:51:09-0600',mode:absolute,to:'2016-06-17 23:38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93" s="73" t="str">
        <f t="shared" si="17"/>
        <v>N</v>
      </c>
      <c r="V93" s="73">
        <f t="shared" si="18"/>
        <v>1</v>
      </c>
      <c r="W93" s="73">
        <f t="shared" si="19"/>
        <v>4.5999999999999999E-2</v>
      </c>
      <c r="X93" s="73">
        <f t="shared" si="20"/>
        <v>23.330200000000001</v>
      </c>
      <c r="Y93" s="73">
        <f t="shared" si="21"/>
        <v>23.284200000000002</v>
      </c>
      <c r="Z93" s="74" t="e">
        <f>VLOOKUP(A93,Enforcements!$C$18:$J$26,8,0)</f>
        <v>#N/A</v>
      </c>
      <c r="AA93" s="74" t="e">
        <f>VLOOKUP(A93,Enforcements!$C$18:$J$26,3,0)</f>
        <v>#N/A</v>
      </c>
    </row>
    <row r="94" spans="1:27" s="2" customFormat="1" x14ac:dyDescent="0.25">
      <c r="A94" s="60" t="s">
        <v>375</v>
      </c>
      <c r="B94" s="60">
        <v>4010</v>
      </c>
      <c r="C94" s="60" t="s">
        <v>62</v>
      </c>
      <c r="D94" s="60" t="s">
        <v>65</v>
      </c>
      <c r="E94" s="30">
        <v>42538.99622685185</v>
      </c>
      <c r="F94" s="30">
        <v>42538.997488425928</v>
      </c>
      <c r="G94" s="38">
        <v>1</v>
      </c>
      <c r="H94" s="30" t="s">
        <v>88</v>
      </c>
      <c r="I94" s="30">
        <v>42539.023101851853</v>
      </c>
      <c r="J94" s="60">
        <v>0</v>
      </c>
      <c r="K94" s="60" t="str">
        <f t="shared" si="22"/>
        <v>4009/4010</v>
      </c>
      <c r="L94" s="60" t="str">
        <f>VLOOKUP(A94,'Trips&amp;Operators'!$C$1:$E$10000,3,FALSE)</f>
        <v>ADANE</v>
      </c>
      <c r="M94" s="12">
        <f t="shared" si="23"/>
        <v>2.5613425925257616E-2</v>
      </c>
      <c r="N94" s="13">
        <f>24*60*SUM($M94:$M94)</f>
        <v>36.883333332370967</v>
      </c>
      <c r="O94" s="13"/>
      <c r="P94" s="13"/>
      <c r="Q94" s="61"/>
      <c r="R94" s="61"/>
      <c r="T94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https://search-rtdc-monitor-bjffxe2xuh6vdkpspy63sjmuny.us-east-1.es.amazonaws.com/_plugin/kibana/#/discover/Steve-Slow-Train-Analysis-(2080s-and-2083s)?_g=(refreshInterval:(display:Off,section:0,value:0),time:(from:'2016-06-17 23:53:34-0600',mode:absolute,to:'2016-06-18 00:34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94" s="73" t="str">
        <f t="shared" si="17"/>
        <v>N</v>
      </c>
      <c r="V94" s="73">
        <f t="shared" si="18"/>
        <v>1</v>
      </c>
      <c r="W94" s="73">
        <f t="shared" si="19"/>
        <v>23.299399999999999</v>
      </c>
      <c r="X94" s="73">
        <f t="shared" si="20"/>
        <v>1.54E-2</v>
      </c>
      <c r="Y94" s="73">
        <f t="shared" si="21"/>
        <v>23.283999999999999</v>
      </c>
      <c r="Z94" s="74" t="e">
        <f>VLOOKUP(A94,Enforcements!$C$18:$J$26,8,0)</f>
        <v>#N/A</v>
      </c>
      <c r="AA94" s="74" t="e">
        <f>VLOOKUP(A94,Enforcements!$C$18:$J$26,3,0)</f>
        <v>#N/A</v>
      </c>
    </row>
    <row r="95" spans="1:27" s="2" customFormat="1" x14ac:dyDescent="0.25">
      <c r="A95" s="60" t="s">
        <v>390</v>
      </c>
      <c r="B95" s="60">
        <v>4042</v>
      </c>
      <c r="C95" s="60"/>
      <c r="D95" s="60"/>
      <c r="E95" s="30"/>
      <c r="F95" s="30">
        <v>42538.972210648149</v>
      </c>
      <c r="G95" s="38"/>
      <c r="H95" s="30"/>
      <c r="I95" s="30">
        <v>42538.972384259258</v>
      </c>
      <c r="J95" s="60"/>
      <c r="K95" s="60" t="str">
        <f t="shared" si="22"/>
        <v>4041/4042</v>
      </c>
      <c r="L95" s="60" t="str">
        <f>VLOOKUP(A95,'Trips&amp;Operators'!$C$1:$E$10000,3,FALSE)</f>
        <v>LEVERE</v>
      </c>
      <c r="M95" s="12">
        <f t="shared" si="23"/>
        <v>1.7361110803904012E-4</v>
      </c>
      <c r="N95" s="13"/>
      <c r="O95" s="13"/>
      <c r="P95" s="13">
        <v>1</v>
      </c>
      <c r="Q95" s="61"/>
      <c r="R95" s="61" t="s">
        <v>558</v>
      </c>
      <c r="T95" s="73" t="e">
        <f t="shared" si="16"/>
        <v>#VALUE!</v>
      </c>
      <c r="U95" s="73" t="e">
        <f t="shared" si="17"/>
        <v>#VALUE!</v>
      </c>
      <c r="V95" s="73">
        <f t="shared" si="18"/>
        <v>1</v>
      </c>
      <c r="W95" s="73" t="e">
        <f t="shared" si="19"/>
        <v>#VALUE!</v>
      </c>
      <c r="X95" s="73" t="e">
        <f t="shared" si="20"/>
        <v>#VALUE!</v>
      </c>
      <c r="Y95" s="73" t="e">
        <f t="shared" si="21"/>
        <v>#VALUE!</v>
      </c>
      <c r="Z95" s="74" t="e">
        <f>VLOOKUP(A95,Enforcements!$C$18:$J$26,8,0)</f>
        <v>#N/A</v>
      </c>
      <c r="AA95" s="74" t="e">
        <f>VLOOKUP(A95,Enforcements!$C$18:$J$26,3,0)</f>
        <v>#N/A</v>
      </c>
    </row>
    <row r="96" spans="1:27" s="2" customFormat="1" x14ac:dyDescent="0.25">
      <c r="A96" s="60" t="s">
        <v>421</v>
      </c>
      <c r="B96" s="60">
        <v>4041</v>
      </c>
      <c r="C96" s="60" t="s">
        <v>62</v>
      </c>
      <c r="D96" s="60" t="s">
        <v>496</v>
      </c>
      <c r="E96" s="30">
        <v>42539.015162037038</v>
      </c>
      <c r="F96" s="30">
        <v>42539.015868055554</v>
      </c>
      <c r="G96" s="38">
        <v>1</v>
      </c>
      <c r="H96" s="30" t="s">
        <v>497</v>
      </c>
      <c r="I96" s="30">
        <v>42539.045057870368</v>
      </c>
      <c r="J96" s="60">
        <v>0</v>
      </c>
      <c r="K96" s="60" t="str">
        <f t="shared" si="22"/>
        <v>4041/4042</v>
      </c>
      <c r="L96" s="60" t="str">
        <f>VLOOKUP(A96,'Trips&amp;Operators'!$C$1:$E$10000,3,FALSE)</f>
        <v>LEVERE</v>
      </c>
      <c r="M96" s="12">
        <f t="shared" si="23"/>
        <v>2.9189814813435078E-2</v>
      </c>
      <c r="N96" s="13">
        <f t="shared" ref="N96:N101" si="24">24*60*SUM($M96:$M96)</f>
        <v>42.033333331346512</v>
      </c>
      <c r="O96" s="13"/>
      <c r="P96" s="13"/>
      <c r="Q96" s="61"/>
      <c r="R96" s="61"/>
      <c r="T96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https://search-rtdc-monitor-bjffxe2xuh6vdkpspy63sjmuny.us-east-1.es.amazonaws.com/_plugin/kibana/#/discover/Steve-Slow-Train-Analysis-(2080s-and-2083s)?_g=(refreshInterval:(display:Off,section:0,value:0),time:(from:'2016-06-18 00:20:50-0600',mode:absolute,to:'2016-06-18 01:05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96" s="73" t="str">
        <f t="shared" si="17"/>
        <v>N</v>
      </c>
      <c r="V96" s="73">
        <f t="shared" si="18"/>
        <v>1</v>
      </c>
      <c r="W96" s="73">
        <f t="shared" si="19"/>
        <v>23.2957</v>
      </c>
      <c r="X96" s="73">
        <f t="shared" si="20"/>
        <v>1.7600000000000001E-2</v>
      </c>
      <c r="Y96" s="73">
        <f t="shared" si="21"/>
        <v>23.278099999999998</v>
      </c>
      <c r="Z96" s="74" t="e">
        <f>VLOOKUP(A96,Enforcements!$C$18:$J$26,8,0)</f>
        <v>#N/A</v>
      </c>
      <c r="AA96" s="74" t="e">
        <f>VLOOKUP(A96,Enforcements!$C$18:$J$26,3,0)</f>
        <v>#N/A</v>
      </c>
    </row>
    <row r="97" spans="1:27" s="2" customFormat="1" x14ac:dyDescent="0.25">
      <c r="A97" s="60" t="s">
        <v>351</v>
      </c>
      <c r="B97" s="60">
        <v>4015</v>
      </c>
      <c r="C97" s="60" t="s">
        <v>62</v>
      </c>
      <c r="D97" s="60" t="s">
        <v>169</v>
      </c>
      <c r="E97" s="30">
        <v>42539.032013888886</v>
      </c>
      <c r="F97" s="30">
        <v>42539.033032407409</v>
      </c>
      <c r="G97" s="38">
        <v>1</v>
      </c>
      <c r="H97" s="30" t="s">
        <v>474</v>
      </c>
      <c r="I97" s="30">
        <v>42539.066851851851</v>
      </c>
      <c r="J97" s="60">
        <v>0</v>
      </c>
      <c r="K97" s="60" t="str">
        <f t="shared" si="22"/>
        <v>4015/4016</v>
      </c>
      <c r="L97" s="60" t="str">
        <f>VLOOKUP(A97,'Trips&amp;Operators'!$C$1:$E$10000,3,FALSE)</f>
        <v>BRUDER</v>
      </c>
      <c r="M97" s="12">
        <f t="shared" si="23"/>
        <v>3.3819444441178348E-2</v>
      </c>
      <c r="N97" s="13">
        <f t="shared" si="24"/>
        <v>48.699999995296821</v>
      </c>
      <c r="O97" s="13"/>
      <c r="P97" s="13"/>
      <c r="Q97" s="61"/>
      <c r="R97" s="61"/>
      <c r="T97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https://search-rtdc-monitor-bjffxe2xuh6vdkpspy63sjmuny.us-east-1.es.amazonaws.com/_plugin/kibana/#/discover/Steve-Slow-Train-Analysis-(2080s-and-2083s)?_g=(refreshInterval:(display:Off,section:0,value:0),time:(from:'2016-06-18 00:45:06-0600',mode:absolute,to:'2016-06-18 01:37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97" s="73" t="str">
        <f t="shared" si="17"/>
        <v>N</v>
      </c>
      <c r="V97" s="73">
        <f t="shared" si="18"/>
        <v>2</v>
      </c>
      <c r="W97" s="73">
        <f t="shared" si="19"/>
        <v>23.298500000000001</v>
      </c>
      <c r="X97" s="73">
        <f t="shared" si="20"/>
        <v>1.38E-2</v>
      </c>
      <c r="Y97" s="73">
        <f t="shared" si="21"/>
        <v>23.284700000000001</v>
      </c>
      <c r="Z97" s="74" t="e">
        <f>VLOOKUP(A97,Enforcements!$C$18:$J$26,8,0)</f>
        <v>#N/A</v>
      </c>
      <c r="AA97" s="74" t="e">
        <f>VLOOKUP(A97,Enforcements!$C$18:$J$26,3,0)</f>
        <v>#N/A</v>
      </c>
    </row>
    <row r="98" spans="1:27" s="2" customFormat="1" x14ac:dyDescent="0.25">
      <c r="A98" s="60" t="s">
        <v>385</v>
      </c>
      <c r="B98" s="60">
        <v>4018</v>
      </c>
      <c r="C98" s="60" t="s">
        <v>62</v>
      </c>
      <c r="D98" s="60" t="s">
        <v>262</v>
      </c>
      <c r="E98" s="30">
        <v>42539.017523148148</v>
      </c>
      <c r="F98" s="30">
        <v>42539.018935185188</v>
      </c>
      <c r="G98" s="38">
        <v>2</v>
      </c>
      <c r="H98" s="30" t="s">
        <v>179</v>
      </c>
      <c r="I98" s="30">
        <v>42539.047835648147</v>
      </c>
      <c r="J98" s="60">
        <v>0</v>
      </c>
      <c r="K98" s="60" t="str">
        <f t="shared" si="22"/>
        <v>4017/4018</v>
      </c>
      <c r="L98" s="60" t="str">
        <f>VLOOKUP(A98,'Trips&amp;Operators'!$C$1:$E$10000,3,FALSE)</f>
        <v>GRASTON</v>
      </c>
      <c r="M98" s="12">
        <f t="shared" si="23"/>
        <v>2.8900462959427387E-2</v>
      </c>
      <c r="N98" s="13">
        <f t="shared" si="24"/>
        <v>41.616666661575437</v>
      </c>
      <c r="O98" s="13"/>
      <c r="P98" s="13"/>
      <c r="Q98" s="61"/>
      <c r="R98" s="61"/>
      <c r="T98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https://search-rtdc-monitor-bjffxe2xuh6vdkpspy63sjmuny.us-east-1.es.amazonaws.com/_plugin/kibana/#/discover/Steve-Slow-Train-Analysis-(2080s-and-2083s)?_g=(refreshInterval:(display:Off,section:0,value:0),time:(from:'2016-06-18 00:24:14-0600',mode:absolute,to:'2016-06-18 01:09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98" s="73" t="str">
        <f t="shared" si="17"/>
        <v>N</v>
      </c>
      <c r="V98" s="73">
        <f t="shared" si="18"/>
        <v>1</v>
      </c>
      <c r="W98" s="73">
        <f t="shared" si="19"/>
        <v>4.6899999999999997E-2</v>
      </c>
      <c r="X98" s="73">
        <f t="shared" si="20"/>
        <v>23.331700000000001</v>
      </c>
      <c r="Y98" s="73">
        <f t="shared" si="21"/>
        <v>23.284800000000001</v>
      </c>
      <c r="Z98" s="74" t="e">
        <f>VLOOKUP(A98,Enforcements!$C$18:$J$26,8,0)</f>
        <v>#N/A</v>
      </c>
      <c r="AA98" s="74" t="e">
        <f>VLOOKUP(A98,Enforcements!$C$18:$J$26,3,0)</f>
        <v>#N/A</v>
      </c>
    </row>
    <row r="99" spans="1:27" s="2" customFormat="1" x14ac:dyDescent="0.25">
      <c r="A99" s="60" t="s">
        <v>380</v>
      </c>
      <c r="B99" s="60">
        <v>4017</v>
      </c>
      <c r="C99" s="60" t="s">
        <v>62</v>
      </c>
      <c r="D99" s="60" t="s">
        <v>190</v>
      </c>
      <c r="E99" s="30">
        <v>42539.056805555556</v>
      </c>
      <c r="F99" s="30">
        <v>42539.057581018518</v>
      </c>
      <c r="G99" s="38">
        <v>1</v>
      </c>
      <c r="H99" s="30" t="s">
        <v>81</v>
      </c>
      <c r="I99" s="30">
        <v>42539.085636574076</v>
      </c>
      <c r="J99" s="60">
        <v>0</v>
      </c>
      <c r="K99" s="60" t="str">
        <f t="shared" si="22"/>
        <v>4017/4018</v>
      </c>
      <c r="L99" s="60" t="str">
        <f>VLOOKUP(A99,'Trips&amp;Operators'!$C$1:$E$10000,3,FALSE)</f>
        <v>GRASTON</v>
      </c>
      <c r="M99" s="12">
        <f t="shared" si="23"/>
        <v>2.8055555558239575E-2</v>
      </c>
      <c r="N99" s="13">
        <f t="shared" si="24"/>
        <v>40.400000003864989</v>
      </c>
      <c r="O99" s="13"/>
      <c r="P99" s="13"/>
      <c r="Q99" s="61"/>
      <c r="R99" s="61"/>
      <c r="T99" s="73" t="str">
        <f t="shared" ref="T99:T101" si="25">"https://search-rtdc-monitor-bjffxe2xuh6vdkpspy63sjmuny.us-east-1.es.amazonaws.com/_plugin/kibana/#/discover/Steve-Slow-Train-Analysis-(2080s-and-2083s)?_g=(refreshInterval:(display:Off,section:0,value:0),time:(from:'"&amp;TEXT(E99-1/24/60,"yyyy-MM-DD hh:mm:ss")&amp;"-0600',mode:absolute,to:'"&amp;TEXT(I99+1/24/60,"yyyy-MM-DD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99&amp;"%22')),sort:!(Time,asc))"</f>
        <v>https://search-rtdc-monitor-bjffxe2xuh6vdkpspy63sjmuny.us-east-1.es.amazonaws.com/_plugin/kibana/#/discover/Steve-Slow-Train-Analysis-(2080s-and-2083s)?_g=(refreshInterval:(display:Off,section:0,value:0),time:(from:'2016-06-18 01:20:48-0600',mode:absolute,to:'2016-06-18 02:04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99" s="73" t="str">
        <f t="shared" ref="U99:U101" si="26">IF(Y99&lt;23,"Y","N")</f>
        <v>N</v>
      </c>
      <c r="V99" s="73">
        <f t="shared" ref="V99:V101" si="27">VALUE(LEFT(A99,3))-VALUE(LEFT(A98,3))</f>
        <v>1</v>
      </c>
      <c r="W99" s="73">
        <f t="shared" ref="W99:W101" si="28">RIGHT(D99,LEN(D99)-4)/10000</f>
        <v>23.299299999999999</v>
      </c>
      <c r="X99" s="73">
        <f t="shared" ref="X99:X101" si="29">RIGHT(H99,LEN(H99)-4)/10000</f>
        <v>1.49E-2</v>
      </c>
      <c r="Y99" s="73">
        <f t="shared" ref="Y99:Y101" si="30">ABS(X99-W99)</f>
        <v>23.284399999999998</v>
      </c>
      <c r="Z99" s="74" t="e">
        <f>VLOOKUP(A99,Enforcements!$C$18:$J$26,8,0)</f>
        <v>#N/A</v>
      </c>
      <c r="AA99" s="74" t="e">
        <f>VLOOKUP(A99,Enforcements!$C$18:$J$26,3,0)</f>
        <v>#N/A</v>
      </c>
    </row>
    <row r="100" spans="1:27" s="2" customFormat="1" x14ac:dyDescent="0.25">
      <c r="A100" s="60" t="s">
        <v>376</v>
      </c>
      <c r="B100" s="60">
        <v>4009</v>
      </c>
      <c r="C100" s="60" t="s">
        <v>62</v>
      </c>
      <c r="D100" s="60" t="s">
        <v>85</v>
      </c>
      <c r="E100" s="30">
        <v>42539.035567129627</v>
      </c>
      <c r="F100" s="30">
        <v>42539.03665509259</v>
      </c>
      <c r="G100" s="38">
        <v>1</v>
      </c>
      <c r="H100" s="30" t="s">
        <v>498</v>
      </c>
      <c r="I100" s="30">
        <v>42539.067106481481</v>
      </c>
      <c r="J100" s="60">
        <v>0</v>
      </c>
      <c r="K100" s="60" t="str">
        <f t="shared" si="22"/>
        <v>4009/4010</v>
      </c>
      <c r="L100" s="60" t="str">
        <f>VLOOKUP(A100,'Trips&amp;Operators'!$C$1:$E$10000,3,FALSE)</f>
        <v>ADANE</v>
      </c>
      <c r="M100" s="12">
        <f t="shared" si="23"/>
        <v>3.0451388891378883E-2</v>
      </c>
      <c r="N100" s="13">
        <f t="shared" si="24"/>
        <v>43.850000003585592</v>
      </c>
      <c r="O100" s="13"/>
      <c r="P100" s="13"/>
      <c r="Q100" s="61"/>
      <c r="R100" s="61"/>
      <c r="T100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00:50:13-0600',mode:absolute,to:'2016-06-18 01:37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00" s="73" t="str">
        <f t="shared" si="26"/>
        <v>N</v>
      </c>
      <c r="V100" s="73">
        <f t="shared" si="27"/>
        <v>1</v>
      </c>
      <c r="W100" s="73">
        <f t="shared" si="28"/>
        <v>4.53E-2</v>
      </c>
      <c r="X100" s="73">
        <f t="shared" si="29"/>
        <v>23.33</v>
      </c>
      <c r="Y100" s="73">
        <f t="shared" si="30"/>
        <v>23.284699999999997</v>
      </c>
      <c r="Z100" s="74" t="e">
        <f>VLOOKUP(A100,Enforcements!$C$18:$J$26,8,0)</f>
        <v>#N/A</v>
      </c>
      <c r="AA100" s="74" t="e">
        <f>VLOOKUP(A100,Enforcements!$C$18:$J$26,3,0)</f>
        <v>#N/A</v>
      </c>
    </row>
    <row r="101" spans="1:27" s="2" customFormat="1" x14ac:dyDescent="0.25">
      <c r="A101" s="60" t="s">
        <v>499</v>
      </c>
      <c r="B101" s="60">
        <v>4010</v>
      </c>
      <c r="C101" s="60" t="s">
        <v>62</v>
      </c>
      <c r="D101" s="60" t="s">
        <v>430</v>
      </c>
      <c r="E101" s="30">
        <v>42539.079456018517</v>
      </c>
      <c r="F101" s="30">
        <v>42539.080451388887</v>
      </c>
      <c r="G101" s="38">
        <v>1</v>
      </c>
      <c r="H101" s="30" t="s">
        <v>64</v>
      </c>
      <c r="I101" s="30">
        <v>42539.106932870367</v>
      </c>
      <c r="J101" s="60">
        <v>1</v>
      </c>
      <c r="K101" s="60" t="str">
        <f t="shared" si="22"/>
        <v>4009/4010</v>
      </c>
      <c r="L101" s="60" t="e">
        <f>VLOOKUP(A101,'Trips&amp;Operators'!$C$1:$E$10000,3,FALSE)</f>
        <v>#N/A</v>
      </c>
      <c r="M101" s="12">
        <f t="shared" si="23"/>
        <v>2.6481481480004732E-2</v>
      </c>
      <c r="N101" s="13">
        <f t="shared" si="24"/>
        <v>38.133333331206813</v>
      </c>
      <c r="O101" s="13"/>
      <c r="P101" s="13"/>
      <c r="Q101" s="61"/>
      <c r="R101" s="61"/>
      <c r="T101" s="73" t="str">
        <f t="shared" si="25"/>
        <v>https://search-rtdc-monitor-bjffxe2xuh6vdkpspy63sjmuny.us-east-1.es.amazonaws.com/_plugin/kibana/#/discover/Steve-Slow-Train-Analysis-(2080s-and-2083s)?_g=(refreshInterval:(display:Off,section:0,value:0),time:(from:'2016-06-18 01:53:25-0600',mode:absolute,to:'2016-06-18 02:34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01" s="73" t="str">
        <f t="shared" si="26"/>
        <v>N</v>
      </c>
      <c r="V101" s="73">
        <f t="shared" si="27"/>
        <v>1</v>
      </c>
      <c r="W101" s="73">
        <f t="shared" si="28"/>
        <v>23.2989</v>
      </c>
      <c r="X101" s="73">
        <f t="shared" si="29"/>
        <v>1.52E-2</v>
      </c>
      <c r="Y101" s="73">
        <f t="shared" si="30"/>
        <v>23.2837</v>
      </c>
      <c r="Z101" s="74" t="e">
        <f>VLOOKUP(A101,Enforcements!$C$18:$J$26,8,0)</f>
        <v>#N/A</v>
      </c>
      <c r="AA101" s="74" t="e">
        <f>VLOOKUP(A101,Enforcements!$C$18:$J$26,3,0)</f>
        <v>#N/A</v>
      </c>
    </row>
    <row r="102" spans="1:27" s="2" customFormat="1" x14ac:dyDescent="0.25">
      <c r="B102" s="62"/>
      <c r="C102" s="62"/>
      <c r="D102" s="62"/>
      <c r="E102" s="63"/>
      <c r="F102" s="63"/>
      <c r="G102" s="64"/>
      <c r="H102" s="63"/>
      <c r="I102" s="63"/>
      <c r="J102" s="62"/>
      <c r="K102" s="62"/>
      <c r="L102" s="62"/>
      <c r="M102" s="65"/>
      <c r="N102" s="66"/>
      <c r="O102" s="66"/>
      <c r="P102" s="66"/>
      <c r="Q102" s="67"/>
      <c r="R102" s="67"/>
      <c r="T102" s="73"/>
      <c r="U102" s="73"/>
      <c r="V102" s="73"/>
      <c r="W102" s="73"/>
      <c r="X102" s="73"/>
      <c r="Y102" s="73"/>
      <c r="Z102" s="74"/>
      <c r="AA102" s="74"/>
    </row>
    <row r="103" spans="1:27" s="2" customFormat="1" ht="15.75" thickBot="1" x14ac:dyDescent="0.3">
      <c r="B103" s="62"/>
      <c r="C103" s="62"/>
      <c r="D103" s="62"/>
      <c r="E103" s="63"/>
      <c r="F103" s="63"/>
      <c r="G103" s="64"/>
      <c r="H103" s="63"/>
      <c r="I103" s="63"/>
      <c r="J103" s="62"/>
      <c r="K103" s="62"/>
      <c r="L103" s="62"/>
      <c r="M103" s="65"/>
      <c r="N103" s="66"/>
      <c r="O103" s="66"/>
      <c r="P103" s="66"/>
      <c r="Q103" s="67"/>
      <c r="R103" s="67"/>
      <c r="T103" s="68"/>
      <c r="U103" s="68"/>
      <c r="V103" s="68"/>
      <c r="W103" s="68"/>
      <c r="X103" s="68"/>
      <c r="Y103" s="68"/>
      <c r="Z103" s="69"/>
      <c r="AA103" s="69"/>
    </row>
    <row r="104" spans="1:27" s="2" customFormat="1" ht="15.75" thickBot="1" x14ac:dyDescent="0.3">
      <c r="E104" s="31"/>
      <c r="F104" s="31"/>
      <c r="G104" s="39"/>
      <c r="H104" s="31"/>
      <c r="I104" s="92">
        <f>Variables!A2</f>
        <v>42538</v>
      </c>
      <c r="J104" s="93"/>
      <c r="K104" s="75"/>
      <c r="L104" s="75"/>
      <c r="M104" s="94" t="s">
        <v>8</v>
      </c>
      <c r="N104" s="95"/>
      <c r="O104" s="96"/>
      <c r="P104" s="5"/>
      <c r="T104" s="56"/>
      <c r="U104" s="56"/>
      <c r="V104" s="56"/>
      <c r="W104" s="56"/>
      <c r="X104" s="56"/>
      <c r="Y104" s="56"/>
      <c r="Z104" s="57"/>
      <c r="AA104" s="57"/>
    </row>
    <row r="105" spans="1:27" s="2" customFormat="1" ht="15.75" thickBot="1" x14ac:dyDescent="0.3">
      <c r="E105" s="31"/>
      <c r="F105" s="31"/>
      <c r="G105" s="39"/>
      <c r="H105" s="31"/>
      <c r="I105" s="97" t="s">
        <v>10</v>
      </c>
      <c r="J105" s="98"/>
      <c r="K105" s="35"/>
      <c r="L105" s="58"/>
      <c r="M105" s="9" t="s">
        <v>11</v>
      </c>
      <c r="N105" s="6" t="s">
        <v>12</v>
      </c>
      <c r="O105" s="7" t="s">
        <v>13</v>
      </c>
      <c r="P105" s="5"/>
      <c r="T105" s="56"/>
      <c r="U105" s="56"/>
      <c r="V105" s="56"/>
      <c r="W105" s="56"/>
      <c r="X105" s="56"/>
      <c r="Y105" s="56"/>
      <c r="Z105" s="57"/>
      <c r="AA105" s="57"/>
    </row>
    <row r="106" spans="1:27" s="2" customFormat="1" ht="15.75" thickBot="1" x14ac:dyDescent="0.3">
      <c r="E106" s="31"/>
      <c r="F106" s="31"/>
      <c r="G106" s="39"/>
      <c r="H106" s="31"/>
      <c r="I106" s="32" t="s">
        <v>14</v>
      </c>
      <c r="J106" s="3">
        <f>COUNT(N3:P101)</f>
        <v>90</v>
      </c>
      <c r="K106" s="3"/>
      <c r="L106" s="3"/>
      <c r="M106" s="70" t="s">
        <v>15</v>
      </c>
      <c r="N106" s="6" t="s">
        <v>15</v>
      </c>
      <c r="O106" s="7" t="s">
        <v>15</v>
      </c>
      <c r="P106" s="5"/>
      <c r="T106" s="56"/>
      <c r="U106" s="56"/>
      <c r="V106" s="56"/>
      <c r="W106" s="56"/>
      <c r="X106" s="56"/>
      <c r="Y106" s="56"/>
      <c r="Z106" s="57"/>
      <c r="AA106" s="57"/>
    </row>
    <row r="107" spans="1:27" s="2" customFormat="1" ht="15.75" thickBot="1" x14ac:dyDescent="0.3">
      <c r="E107" s="31"/>
      <c r="F107" s="31"/>
      <c r="G107" s="39"/>
      <c r="H107" s="31"/>
      <c r="I107" s="32" t="s">
        <v>17</v>
      </c>
      <c r="J107" s="3">
        <f>COUNT(N3:N101)</f>
        <v>37</v>
      </c>
      <c r="K107" s="3"/>
      <c r="L107" s="3"/>
      <c r="M107" s="70">
        <f>AVERAGE(N3:N101)</f>
        <v>44.521171170242788</v>
      </c>
      <c r="N107" s="6">
        <f>MIN(N3:N101)</f>
        <v>36.883333332370967</v>
      </c>
      <c r="O107" s="7">
        <f>MAX(N3:N101)</f>
        <v>57.866666667396203</v>
      </c>
      <c r="P107" s="5"/>
      <c r="T107" s="56"/>
      <c r="U107" s="56"/>
      <c r="V107" s="56"/>
      <c r="W107" s="56"/>
      <c r="X107" s="56"/>
      <c r="Y107" s="56"/>
      <c r="Z107" s="57"/>
      <c r="AA107" s="57"/>
    </row>
    <row r="108" spans="1:27" s="2" customFormat="1" ht="15.75" thickBot="1" x14ac:dyDescent="0.3">
      <c r="B108" s="59"/>
      <c r="C108" s="59"/>
      <c r="D108" s="59"/>
      <c r="E108" s="14"/>
      <c r="F108" s="14"/>
      <c r="G108" s="40"/>
      <c r="H108" s="14"/>
      <c r="I108" s="33" t="s">
        <v>45</v>
      </c>
      <c r="J108" s="3">
        <f>COUNT(O3:O101)</f>
        <v>0</v>
      </c>
      <c r="K108" s="3"/>
      <c r="L108" s="3"/>
      <c r="M108" s="70">
        <f>IFERROR(AVERAGE(O3:O101),0)</f>
        <v>0</v>
      </c>
      <c r="N108" s="6">
        <f>MIN(O3:O101)</f>
        <v>0</v>
      </c>
      <c r="O108" s="7">
        <f>MAX(O3:O101)</f>
        <v>0</v>
      </c>
      <c r="P108" s="4"/>
      <c r="Q108"/>
      <c r="R108"/>
      <c r="S108"/>
      <c r="T108" s="54"/>
      <c r="U108" s="54"/>
      <c r="V108" s="54"/>
      <c r="W108" s="54"/>
      <c r="X108" s="54"/>
      <c r="Y108" s="54"/>
      <c r="Z108" s="55"/>
      <c r="AA108" s="55"/>
    </row>
    <row r="109" spans="1:27" s="2" customFormat="1" ht="15.75" thickBot="1" x14ac:dyDescent="0.3">
      <c r="B109" s="59"/>
      <c r="C109" s="59"/>
      <c r="D109" s="59"/>
      <c r="E109" s="14"/>
      <c r="F109" s="14"/>
      <c r="G109" s="40"/>
      <c r="H109" s="14"/>
      <c r="I109" s="34" t="s">
        <v>9</v>
      </c>
      <c r="J109" s="3">
        <f>COUNT(P3:P101)</f>
        <v>53</v>
      </c>
      <c r="K109" s="3"/>
      <c r="L109" s="3"/>
      <c r="M109" s="70" t="s">
        <v>15</v>
      </c>
      <c r="N109" s="6" t="s">
        <v>15</v>
      </c>
      <c r="O109" s="7" t="s">
        <v>15</v>
      </c>
      <c r="P109" s="4"/>
      <c r="Q109"/>
      <c r="R109"/>
      <c r="S109"/>
      <c r="T109" s="54"/>
      <c r="U109" s="54"/>
      <c r="V109" s="54"/>
      <c r="W109" s="54"/>
      <c r="X109" s="54"/>
      <c r="Y109" s="54"/>
      <c r="Z109" s="55"/>
      <c r="AA109" s="55"/>
    </row>
    <row r="110" spans="1:27" s="2" customFormat="1" ht="30.75" thickBot="1" x14ac:dyDescent="0.3">
      <c r="E110" s="31"/>
      <c r="F110" s="31"/>
      <c r="G110" s="39"/>
      <c r="H110" s="31"/>
      <c r="I110" s="32" t="s">
        <v>16</v>
      </c>
      <c r="J110" s="3">
        <f>COUNT(N3:O101)</f>
        <v>37</v>
      </c>
      <c r="K110" s="3"/>
      <c r="L110" s="3"/>
      <c r="M110" s="70">
        <f>AVERAGE(N3:P101)</f>
        <v>97.049629629292113</v>
      </c>
      <c r="N110" s="6">
        <f>MIN(N3:O101)</f>
        <v>36.883333332370967</v>
      </c>
      <c r="O110" s="7">
        <f>MAX(N3:O101)</f>
        <v>57.866666667396203</v>
      </c>
      <c r="P110" s="5"/>
      <c r="T110" s="56"/>
      <c r="U110" s="56"/>
      <c r="V110" s="56"/>
      <c r="W110" s="56"/>
      <c r="X110" s="56"/>
      <c r="Y110" s="56"/>
      <c r="Z110" s="57"/>
      <c r="AA110" s="57"/>
    </row>
    <row r="111" spans="1:27" s="2" customFormat="1" ht="30.75" thickBot="1" x14ac:dyDescent="0.3">
      <c r="B111" s="59"/>
      <c r="C111" s="59"/>
      <c r="D111" s="59"/>
      <c r="E111" s="14"/>
      <c r="F111" s="14"/>
      <c r="G111" s="40"/>
      <c r="H111" s="14"/>
      <c r="I111" s="32" t="s">
        <v>19</v>
      </c>
      <c r="J111" s="8">
        <f>J110/J106</f>
        <v>0.41111111111111109</v>
      </c>
      <c r="K111" s="8"/>
      <c r="L111" s="8"/>
      <c r="M111" s="1"/>
      <c r="N111" s="4"/>
      <c r="O111" s="4"/>
      <c r="P111" s="4"/>
      <c r="Q111"/>
      <c r="R111"/>
      <c r="S111"/>
      <c r="T111" s="54"/>
      <c r="U111" s="54"/>
      <c r="V111" s="54"/>
      <c r="W111" s="54"/>
      <c r="X111" s="54"/>
      <c r="Y111" s="54"/>
      <c r="Z111" s="55"/>
      <c r="AA111" s="55"/>
    </row>
    <row r="112" spans="1:27" s="2" customFormat="1" x14ac:dyDescent="0.25">
      <c r="B112" s="59"/>
      <c r="C112" s="59"/>
      <c r="D112" s="59"/>
      <c r="E112" s="14"/>
      <c r="F112" s="14"/>
      <c r="G112" s="40"/>
      <c r="H112" s="14"/>
      <c r="I112" s="14"/>
      <c r="J112" s="59"/>
      <c r="K112"/>
      <c r="L112" s="59"/>
      <c r="M112" s="1"/>
      <c r="N112" s="4"/>
      <c r="O112" s="4"/>
      <c r="P112" s="4"/>
      <c r="Q112"/>
      <c r="R112"/>
      <c r="S112"/>
      <c r="T112" s="54"/>
      <c r="U112" s="54"/>
      <c r="V112" s="54"/>
      <c r="W112" s="54"/>
      <c r="X112" s="54"/>
      <c r="Y112" s="54"/>
      <c r="Z112" s="55"/>
      <c r="AA112" s="55"/>
    </row>
    <row r="113" spans="2:27" s="2" customFormat="1" x14ac:dyDescent="0.25">
      <c r="B113" s="59"/>
      <c r="C113" s="59"/>
      <c r="D113" s="59"/>
      <c r="E113" s="14"/>
      <c r="F113" s="14"/>
      <c r="G113" s="40"/>
      <c r="H113" s="14"/>
      <c r="I113" s="14"/>
      <c r="J113" s="59"/>
      <c r="K113"/>
      <c r="L113" s="59"/>
      <c r="M113" s="1"/>
      <c r="N113" s="4"/>
      <c r="O113" s="4"/>
      <c r="P113" s="4"/>
      <c r="Q113"/>
      <c r="R113"/>
      <c r="S113"/>
      <c r="T113" s="54"/>
      <c r="U113" s="54"/>
      <c r="V113" s="54"/>
      <c r="W113" s="54"/>
      <c r="X113" s="54"/>
      <c r="Y113" s="54"/>
      <c r="Z113" s="55"/>
      <c r="AA113" s="55"/>
    </row>
    <row r="114" spans="2:27" s="2" customFormat="1" x14ac:dyDescent="0.25">
      <c r="B114" s="59"/>
      <c r="C114" s="59"/>
      <c r="D114" s="59"/>
      <c r="E114" s="14"/>
      <c r="F114" s="14"/>
      <c r="G114" s="40"/>
      <c r="H114" s="14"/>
      <c r="I114" s="14"/>
      <c r="J114" s="59"/>
      <c r="K114"/>
      <c r="L114" s="59"/>
      <c r="M114" s="1"/>
      <c r="N114" s="4"/>
      <c r="O114" s="4"/>
      <c r="P114" s="4"/>
      <c r="Q114"/>
      <c r="R114"/>
      <c r="S114"/>
      <c r="T114" s="54"/>
      <c r="U114" s="54"/>
      <c r="V114" s="54"/>
      <c r="W114" s="54"/>
      <c r="X114" s="54"/>
      <c r="Y114" s="54"/>
      <c r="Z114" s="55"/>
      <c r="AA114" s="55"/>
    </row>
    <row r="115" spans="2:27" s="2" customFormat="1" x14ac:dyDescent="0.25">
      <c r="B115" s="59"/>
      <c r="C115" s="59"/>
      <c r="D115" s="59"/>
      <c r="E115" s="14"/>
      <c r="F115" s="14"/>
      <c r="G115" s="40"/>
      <c r="H115" s="14"/>
      <c r="I115" s="14"/>
      <c r="J115" s="59"/>
      <c r="K115"/>
      <c r="L115" s="59"/>
      <c r="M115" s="1"/>
      <c r="N115" s="4"/>
      <c r="O115" s="4"/>
      <c r="P115" s="4"/>
      <c r="Q115"/>
      <c r="R115"/>
      <c r="S115"/>
      <c r="T115" s="54"/>
      <c r="U115" s="54"/>
      <c r="V115" s="54"/>
      <c r="W115" s="54"/>
      <c r="X115" s="54"/>
      <c r="Y115" s="54"/>
      <c r="Z115" s="55"/>
      <c r="AA115" s="55"/>
    </row>
    <row r="116" spans="2:27" s="2" customFormat="1" x14ac:dyDescent="0.25">
      <c r="B116" s="59"/>
      <c r="C116" s="59"/>
      <c r="D116" s="59"/>
      <c r="E116" s="14"/>
      <c r="F116" s="14"/>
      <c r="G116" s="40"/>
      <c r="H116" s="14"/>
      <c r="I116" s="14"/>
      <c r="J116" s="59"/>
      <c r="K116"/>
      <c r="L116" s="59"/>
      <c r="M116" s="1"/>
      <c r="N116" s="4"/>
      <c r="O116" s="4"/>
      <c r="P116" s="4"/>
      <c r="Q116"/>
      <c r="R116"/>
      <c r="S116"/>
      <c r="T116" s="54"/>
      <c r="U116" s="54"/>
      <c r="V116" s="54"/>
      <c r="W116" s="54"/>
      <c r="X116" s="54"/>
      <c r="Y116" s="54"/>
      <c r="Z116" s="55"/>
      <c r="AA116" s="55"/>
    </row>
    <row r="119" spans="2:27" s="2" customFormat="1" x14ac:dyDescent="0.25">
      <c r="B119" s="59"/>
      <c r="C119" s="59"/>
      <c r="D119" s="59"/>
      <c r="E119" s="14"/>
      <c r="F119" s="14"/>
      <c r="G119" s="40"/>
      <c r="H119" s="14"/>
      <c r="I119" s="14"/>
      <c r="J119" s="59"/>
      <c r="K119"/>
      <c r="L119" s="59"/>
      <c r="M119" s="1"/>
      <c r="N119" s="4"/>
      <c r="O119" s="4"/>
      <c r="P119" s="4"/>
      <c r="Q119"/>
      <c r="R119"/>
      <c r="S119"/>
      <c r="T119" s="54"/>
      <c r="U119" s="54"/>
      <c r="V119" s="54"/>
      <c r="W119" s="54"/>
      <c r="X119" s="54"/>
      <c r="Y119" s="54"/>
      <c r="Z119" s="55"/>
      <c r="AA119" s="55"/>
    </row>
  </sheetData>
  <autoFilter ref="A2:AA101">
    <sortState ref="A3:AA101">
      <sortCondition ref="U2:U101"/>
    </sortState>
  </autoFilter>
  <sortState ref="A3:R101">
    <sortCondition ref="A3:A101"/>
    <sortCondition ref="F3:F101"/>
  </sortState>
  <mergeCells count="4">
    <mergeCell ref="I104:J104"/>
    <mergeCell ref="M104:O104"/>
    <mergeCell ref="I105:J105"/>
    <mergeCell ref="A1:P1"/>
  </mergeCells>
  <conditionalFormatting sqref="U1:U2 U3:V1048576">
    <cfRule type="cellIs" dxfId="13" priority="60" operator="equal">
      <formula>"Y"</formula>
    </cfRule>
  </conditionalFormatting>
  <conditionalFormatting sqref="V3:V1048576">
    <cfRule type="cellIs" dxfId="12" priority="43" operator="greaterThan">
      <formula>1</formula>
    </cfRule>
  </conditionalFormatting>
  <conditionalFormatting sqref="V2:V1048576">
    <cfRule type="cellIs" dxfId="11" priority="40" operator="equal">
      <formula>0</formula>
    </cfRule>
  </conditionalFormatting>
  <conditionalFormatting sqref="B102:R102 A3:R101">
    <cfRule type="expression" dxfId="10" priority="35">
      <formula>$P3&gt;0</formula>
    </cfRule>
    <cfRule type="expression" dxfId="9" priority="36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4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B102:R102 A3:R101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showGridLines="0" zoomScale="85" zoomScaleNormal="85" workbookViewId="0">
      <selection activeCell="N8" sqref="N8"/>
    </sheetView>
  </sheetViews>
  <sheetFormatPr defaultRowHeight="15" x14ac:dyDescent="0.25"/>
  <cols>
    <col min="1" max="1" width="18.42578125" style="14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73" customWidth="1"/>
    <col min="16" max="16" width="9.140625" style="80"/>
  </cols>
  <sheetData>
    <row r="1" spans="1:17" s="26" customFormat="1" ht="15" customHeight="1" x14ac:dyDescent="0.25">
      <c r="A1" s="100" t="str">
        <f>"Eagle P3 Braking Events - "&amp;TEXT(Variables!$A$2,"YYYY-mm-dd")</f>
        <v>Eagle P3 Braking Events - 2016-06-17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27"/>
      <c r="P1" s="78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1" t="s">
        <v>78</v>
      </c>
    </row>
    <row r="3" spans="1:17" s="2" customFormat="1" x14ac:dyDescent="0.25">
      <c r="A3" s="23">
        <v>42538.906192129631</v>
      </c>
      <c r="B3" s="22" t="s">
        <v>226</v>
      </c>
      <c r="C3" s="22" t="s">
        <v>344</v>
      </c>
      <c r="D3" s="22" t="s">
        <v>52</v>
      </c>
      <c r="E3" s="22" t="s">
        <v>82</v>
      </c>
      <c r="F3" s="22">
        <v>150</v>
      </c>
      <c r="G3" s="22">
        <v>197</v>
      </c>
      <c r="H3" s="22">
        <v>62491</v>
      </c>
      <c r="I3" s="22" t="s">
        <v>83</v>
      </c>
      <c r="J3" s="22">
        <v>63068</v>
      </c>
      <c r="K3" s="21" t="s">
        <v>55</v>
      </c>
      <c r="L3" s="21" t="str">
        <f>VLOOKUP(C3,'Trips&amp;Operators'!$C$2:$E$10000,3,FALSE)</f>
        <v>LEVERE</v>
      </c>
      <c r="M3" s="20" t="s">
        <v>66</v>
      </c>
      <c r="N3" s="21"/>
      <c r="P3" s="79" t="str">
        <f>VLOOKUP(C3,'Train Runs'!$A$3:$T$211,20,0)</f>
        <v>https://search-rtdc-monitor-bjffxe2xuh6vdkpspy63sjmuny.us-east-1.es.amazonaws.com/_plugin/kibana/#/discover/Steve-Slow-Train-Analysis-(2080s-and-2083s)?_g=(refreshInterval:(display:Off,section:0,value:0),time:(from:'2016-06-17 21:20:34-0600',mode:absolute,to:'2016-06-17 22:12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3" s="19" t="str">
        <f t="shared" ref="Q3:Q17" si="0">MID(B3,13,4)</f>
        <v>4042</v>
      </c>
    </row>
    <row r="4" spans="1:17" s="2" customFormat="1" x14ac:dyDescent="0.25">
      <c r="A4" s="23">
        <v>42538.372581018521</v>
      </c>
      <c r="B4" s="22" t="s">
        <v>265</v>
      </c>
      <c r="C4" s="22" t="s">
        <v>331</v>
      </c>
      <c r="D4" s="22" t="s">
        <v>57</v>
      </c>
      <c r="E4" s="22" t="s">
        <v>60</v>
      </c>
      <c r="F4" s="22">
        <v>300</v>
      </c>
      <c r="G4" s="22">
        <v>360</v>
      </c>
      <c r="H4" s="22">
        <v>22847</v>
      </c>
      <c r="I4" s="22" t="s">
        <v>61</v>
      </c>
      <c r="J4" s="22">
        <v>23561</v>
      </c>
      <c r="K4" s="21" t="s">
        <v>56</v>
      </c>
      <c r="L4" s="21" t="str">
        <f>VLOOKUP(C4,'Trips&amp;Operators'!$C$2:$E$10000,3,FALSE)</f>
        <v>COOPER</v>
      </c>
      <c r="M4" s="20" t="s">
        <v>66</v>
      </c>
      <c r="N4" s="21"/>
      <c r="P4" s="79" t="e">
        <f>VLOOKUP(C4,'Train Runs'!$A$3:$T$211,20,0)</f>
        <v>#N/A</v>
      </c>
      <c r="Q4" s="19" t="str">
        <f t="shared" si="0"/>
        <v>4005</v>
      </c>
    </row>
    <row r="5" spans="1:17" s="2" customFormat="1" x14ac:dyDescent="0.25">
      <c r="A5" s="23">
        <v>42538.376458333332</v>
      </c>
      <c r="B5" s="22" t="s">
        <v>265</v>
      </c>
      <c r="C5" s="22" t="s">
        <v>331</v>
      </c>
      <c r="D5" s="22" t="s">
        <v>52</v>
      </c>
      <c r="E5" s="22" t="s">
        <v>60</v>
      </c>
      <c r="F5" s="22">
        <v>200</v>
      </c>
      <c r="G5" s="22">
        <v>229</v>
      </c>
      <c r="H5" s="22">
        <v>6796</v>
      </c>
      <c r="I5" s="22" t="s">
        <v>61</v>
      </c>
      <c r="J5" s="22">
        <v>5782</v>
      </c>
      <c r="K5" s="21" t="s">
        <v>56</v>
      </c>
      <c r="L5" s="21" t="str">
        <f>VLOOKUP(C5,'Trips&amp;Operators'!$C$2:$E$10000,3,FALSE)</f>
        <v>COOPER</v>
      </c>
      <c r="M5" s="20" t="s">
        <v>66</v>
      </c>
      <c r="N5" s="21"/>
      <c r="P5" s="79" t="e">
        <f>VLOOKUP(C5,'Train Runs'!$A$3:$T$211,20,0)</f>
        <v>#N/A</v>
      </c>
      <c r="Q5" s="19" t="str">
        <f t="shared" si="0"/>
        <v>4005</v>
      </c>
    </row>
    <row r="6" spans="1:17" s="2" customFormat="1" x14ac:dyDescent="0.25">
      <c r="A6" s="23">
        <v>42538.586863425924</v>
      </c>
      <c r="B6" s="22" t="s">
        <v>114</v>
      </c>
      <c r="C6" s="22" t="s">
        <v>339</v>
      </c>
      <c r="D6" s="22" t="s">
        <v>57</v>
      </c>
      <c r="E6" s="22" t="s">
        <v>60</v>
      </c>
      <c r="F6" s="22">
        <v>700</v>
      </c>
      <c r="G6" s="22">
        <v>751</v>
      </c>
      <c r="H6" s="22">
        <v>170755</v>
      </c>
      <c r="I6" s="22" t="s">
        <v>61</v>
      </c>
      <c r="J6" s="22">
        <v>183829</v>
      </c>
      <c r="K6" s="21" t="s">
        <v>56</v>
      </c>
      <c r="L6" s="21" t="str">
        <f>VLOOKUP(C6,'Trips&amp;Operators'!$C$2:$E$10000,3,FALSE)</f>
        <v>ROCHA</v>
      </c>
      <c r="M6" s="20" t="s">
        <v>66</v>
      </c>
      <c r="N6" s="21"/>
      <c r="P6" s="79" t="str">
        <f>VLOOKUP(C6,'Train Runs'!$A$3:$T$211,20,0)</f>
        <v>https://search-rtdc-monitor-bjffxe2xuh6vdkpspy63sjmuny.us-east-1.es.amazonaws.com/_plugin/kibana/#/discover/Steve-Slow-Train-Analysis-(2080s-and-2083s)?_g=(refreshInterval:(display:Off,section:0,value:0),time:(from:'2016-06-17 13:40:05-0600',mode:absolute,to:'2016-06-17 14:39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6" s="19" t="str">
        <f t="shared" si="0"/>
        <v>4013</v>
      </c>
    </row>
    <row r="7" spans="1:17" s="2" customFormat="1" x14ac:dyDescent="0.25">
      <c r="A7" s="23">
        <v>42538.123287037037</v>
      </c>
      <c r="B7" s="22" t="s">
        <v>118</v>
      </c>
      <c r="C7" s="22" t="s">
        <v>319</v>
      </c>
      <c r="D7" s="22" t="s">
        <v>57</v>
      </c>
      <c r="E7" s="22" t="s">
        <v>58</v>
      </c>
      <c r="F7" s="22">
        <v>200</v>
      </c>
      <c r="G7" s="22">
        <v>252</v>
      </c>
      <c r="H7" s="22">
        <v>124293</v>
      </c>
      <c r="I7" s="22" t="s">
        <v>59</v>
      </c>
      <c r="J7" s="22">
        <v>127587</v>
      </c>
      <c r="K7" s="21" t="s">
        <v>56</v>
      </c>
      <c r="L7" s="21" t="e">
        <f>VLOOKUP(C7,'Trips&amp;Operators'!$C$2:$E$10000,3,FALSE)</f>
        <v>#N/A</v>
      </c>
      <c r="M7" s="20" t="s">
        <v>66</v>
      </c>
      <c r="N7" s="21" t="s">
        <v>345</v>
      </c>
      <c r="P7" s="79" t="e">
        <f>VLOOKUP(C7,'Train Runs'!$A$3:$T$211,20,0)</f>
        <v>#N/A</v>
      </c>
      <c r="Q7" s="19" t="str">
        <f t="shared" si="0"/>
        <v>4056</v>
      </c>
    </row>
    <row r="8" spans="1:17" s="2" customFormat="1" x14ac:dyDescent="0.25">
      <c r="A8" s="23">
        <v>42538.280497685184</v>
      </c>
      <c r="B8" s="22" t="s">
        <v>104</v>
      </c>
      <c r="C8" s="22" t="s">
        <v>321</v>
      </c>
      <c r="D8" s="22" t="s">
        <v>52</v>
      </c>
      <c r="E8" s="22" t="s">
        <v>58</v>
      </c>
      <c r="F8" s="22">
        <v>0</v>
      </c>
      <c r="G8" s="22">
        <v>784</v>
      </c>
      <c r="H8" s="22">
        <v>139721</v>
      </c>
      <c r="I8" s="22" t="s">
        <v>59</v>
      </c>
      <c r="J8" s="22">
        <v>144300</v>
      </c>
      <c r="K8" s="21" t="s">
        <v>55</v>
      </c>
      <c r="L8" s="21" t="str">
        <f>VLOOKUP(C8,'Trips&amp;Operators'!$C$2:$E$10000,3,FALSE)</f>
        <v>CANFIELD</v>
      </c>
      <c r="M8" s="20" t="s">
        <v>75</v>
      </c>
      <c r="N8" s="21"/>
      <c r="P8" s="79" t="str">
        <f>VLOOKUP(C8,'Train Runs'!$A$3:$T$211,20,0)</f>
        <v>https://search-rtdc-monitor-bjffxe2xuh6vdkpspy63sjmuny.us-east-1.es.amazonaws.com/_plugin/kibana/#/discover/Steve-Slow-Train-Analysis-(2080s-and-2083s)?_g=(refreshInterval:(display:Off,section:0,value:0),time:(from:'2016-06-17 06:09:28-0600',mode:absolute,to:'2016-06-17 07:04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8" s="19" t="str">
        <f t="shared" si="0"/>
        <v>4024</v>
      </c>
    </row>
    <row r="9" spans="1:17" s="2" customFormat="1" x14ac:dyDescent="0.25">
      <c r="A9" s="23">
        <v>42538.286620370367</v>
      </c>
      <c r="B9" s="22" t="s">
        <v>226</v>
      </c>
      <c r="C9" s="22" t="s">
        <v>322</v>
      </c>
      <c r="D9" s="22" t="s">
        <v>52</v>
      </c>
      <c r="E9" s="22" t="s">
        <v>58</v>
      </c>
      <c r="F9" s="22">
        <v>0</v>
      </c>
      <c r="G9" s="22">
        <v>638</v>
      </c>
      <c r="H9" s="22">
        <v>104011</v>
      </c>
      <c r="I9" s="22" t="s">
        <v>59</v>
      </c>
      <c r="J9" s="22">
        <v>107939</v>
      </c>
      <c r="K9" s="21" t="s">
        <v>55</v>
      </c>
      <c r="L9" s="21" t="str">
        <f>VLOOKUP(C9,'Trips&amp;Operators'!$C$2:$E$10000,3,FALSE)</f>
        <v>MALAVE</v>
      </c>
      <c r="M9" s="20" t="s">
        <v>75</v>
      </c>
      <c r="N9" s="21"/>
      <c r="P9" s="79" t="str">
        <f>VLOOKUP(C9,'Train Runs'!$A$3:$T$211,20,0)</f>
        <v>https://search-rtdc-monitor-bjffxe2xuh6vdkpspy63sjmuny.us-east-1.es.amazonaws.com/_plugin/kibana/#/discover/Steve-Slow-Train-Analysis-(2080s-and-2083s)?_g=(refreshInterval:(display:Off,section:0,value:0),time:(from:'2016-06-17 06:27:54-0600',mode:absolute,to:'2016-06-17 07:09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9" s="19" t="str">
        <f t="shared" si="0"/>
        <v>4042</v>
      </c>
    </row>
    <row r="10" spans="1:17" s="2" customFormat="1" x14ac:dyDescent="0.25">
      <c r="A10" s="23">
        <v>42538.318344907406</v>
      </c>
      <c r="B10" s="22" t="s">
        <v>94</v>
      </c>
      <c r="C10" s="22" t="s">
        <v>324</v>
      </c>
      <c r="D10" s="22" t="s">
        <v>52</v>
      </c>
      <c r="E10" s="22" t="s">
        <v>58</v>
      </c>
      <c r="F10" s="22">
        <v>0</v>
      </c>
      <c r="G10" s="22">
        <v>342</v>
      </c>
      <c r="H10" s="22">
        <v>129828</v>
      </c>
      <c r="I10" s="22" t="s">
        <v>59</v>
      </c>
      <c r="J10" s="22">
        <v>127587</v>
      </c>
      <c r="K10" s="21" t="s">
        <v>56</v>
      </c>
      <c r="L10" s="21" t="str">
        <f>VLOOKUP(C10,'Trips&amp;Operators'!$C$2:$E$10000,3,FALSE)</f>
        <v>CANFIELD</v>
      </c>
      <c r="M10" s="20" t="s">
        <v>75</v>
      </c>
      <c r="N10" s="21"/>
      <c r="P10" s="79" t="str">
        <f>VLOOKUP(C10,'Train Runs'!$A$3:$T$211,20,0)</f>
        <v>https://search-rtdc-monitor-bjffxe2xuh6vdkpspy63sjmuny.us-east-1.es.amazonaws.com/_plugin/kibana/#/discover/Steve-Slow-Train-Analysis-(2080s-and-2083s)?_g=(refreshInterval:(display:Off,section:0,value:0),time:(from:'2016-06-17 07:21:09-0600',mode:absolute,to:'2016-06-17 08:01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10" s="19" t="str">
        <f t="shared" si="0"/>
        <v>4017</v>
      </c>
    </row>
    <row r="11" spans="1:17" s="2" customFormat="1" x14ac:dyDescent="0.25">
      <c r="A11" s="23">
        <v>42538.335381944446</v>
      </c>
      <c r="B11" s="22" t="s">
        <v>114</v>
      </c>
      <c r="C11" s="22" t="s">
        <v>325</v>
      </c>
      <c r="D11" s="22" t="s">
        <v>52</v>
      </c>
      <c r="E11" s="22" t="s">
        <v>58</v>
      </c>
      <c r="F11" s="22">
        <v>0</v>
      </c>
      <c r="G11" s="22">
        <v>570</v>
      </c>
      <c r="H11" s="22">
        <v>185535</v>
      </c>
      <c r="I11" s="22" t="s">
        <v>59</v>
      </c>
      <c r="J11" s="22">
        <v>182920</v>
      </c>
      <c r="K11" s="21" t="s">
        <v>56</v>
      </c>
      <c r="L11" s="21" t="str">
        <f>VLOOKUP(C11,'Trips&amp;Operators'!$C$2:$E$10000,3,FALSE)</f>
        <v>STAMBAUGH</v>
      </c>
      <c r="M11" s="20" t="s">
        <v>75</v>
      </c>
      <c r="N11" s="21"/>
      <c r="P11" s="79" t="str">
        <f>VLOOKUP(C11,'Train Runs'!$A$3:$T$211,20,0)</f>
        <v>https://search-rtdc-monitor-bjffxe2xuh6vdkpspy63sjmuny.us-east-1.es.amazonaws.com/_plugin/kibana/#/discover/Steve-Slow-Train-Analysis-(2080s-and-2083s)?_g=(refreshInterval:(display:Off,section:0,value:0),time:(from:'2016-06-17 07:48:28-0600',mode:absolute,to:'2016-06-17 08:22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11" s="19" t="str">
        <f t="shared" si="0"/>
        <v>4013</v>
      </c>
    </row>
    <row r="12" spans="1:17" s="2" customFormat="1" x14ac:dyDescent="0.25">
      <c r="A12" s="23">
        <v>42538.3515162037</v>
      </c>
      <c r="B12" s="22" t="s">
        <v>86</v>
      </c>
      <c r="C12" s="22" t="s">
        <v>326</v>
      </c>
      <c r="D12" s="22" t="s">
        <v>52</v>
      </c>
      <c r="E12" s="22" t="s">
        <v>58</v>
      </c>
      <c r="F12" s="22">
        <v>0</v>
      </c>
      <c r="G12" s="22">
        <v>382</v>
      </c>
      <c r="H12" s="22">
        <v>129158</v>
      </c>
      <c r="I12" s="22" t="s">
        <v>59</v>
      </c>
      <c r="J12" s="22">
        <v>127587</v>
      </c>
      <c r="K12" s="21" t="s">
        <v>56</v>
      </c>
      <c r="L12" s="21" t="str">
        <f>VLOOKUP(C12,'Trips&amp;Operators'!$C$2:$E$10000,3,FALSE)</f>
        <v>YORK</v>
      </c>
      <c r="M12" s="20" t="s">
        <v>75</v>
      </c>
      <c r="N12" s="21"/>
      <c r="P12" s="79" t="str">
        <f>VLOOKUP(C12,'Train Runs'!$A$3:$T$211,20,0)</f>
        <v>https://search-rtdc-monitor-bjffxe2xuh6vdkpspy63sjmuny.us-east-1.es.amazonaws.com/_plugin/kibana/#/discover/Steve-Slow-Train-Analysis-(2080s-and-2083s)?_g=(refreshInterval:(display:Off,section:0,value:0),time:(from:'2016-06-17 08:04:38-0600',mode:absolute,to:'2016-06-17 08:43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12" s="19" t="str">
        <f t="shared" si="0"/>
        <v>4043</v>
      </c>
    </row>
    <row r="13" spans="1:17" s="2" customFormat="1" x14ac:dyDescent="0.25">
      <c r="A13" s="23">
        <v>42538.523020833331</v>
      </c>
      <c r="B13" s="22" t="s">
        <v>95</v>
      </c>
      <c r="C13" s="22" t="s">
        <v>335</v>
      </c>
      <c r="D13" s="22" t="s">
        <v>52</v>
      </c>
      <c r="E13" s="22" t="s">
        <v>58</v>
      </c>
      <c r="F13" s="22">
        <v>0</v>
      </c>
      <c r="G13" s="22">
        <v>35</v>
      </c>
      <c r="H13" s="22">
        <v>231871</v>
      </c>
      <c r="I13" s="22" t="s">
        <v>59</v>
      </c>
      <c r="J13" s="22">
        <v>231650</v>
      </c>
      <c r="K13" s="21" t="s">
        <v>56</v>
      </c>
      <c r="L13" s="21" t="str">
        <f>VLOOKUP(C13,'Trips&amp;Operators'!$C$2:$E$10000,3,FALSE)</f>
        <v>SPECTOR</v>
      </c>
      <c r="M13" s="20" t="s">
        <v>75</v>
      </c>
      <c r="N13" s="21" t="s">
        <v>183</v>
      </c>
      <c r="P13" s="79" t="str">
        <f>VLOOKUP(C13,'Train Runs'!$A$3:$T$211,20,0)</f>
        <v>https://search-rtdc-monitor-bjffxe2xuh6vdkpspy63sjmuny.us-east-1.es.amazonaws.com/_plugin/kibana/#/discover/Steve-Slow-Train-Analysis-(2080s-and-2083s)?_g=(refreshInterval:(display:Off,section:0,value:0),time:(from:'2016-06-17 12:26:02-0600',mode:absolute,to:'2016-06-17 13:26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13" s="19" t="str">
        <f t="shared" si="0"/>
        <v>4023</v>
      </c>
    </row>
    <row r="14" spans="1:17" s="2" customFormat="1" x14ac:dyDescent="0.25">
      <c r="A14" s="23">
        <v>42538.533506944441</v>
      </c>
      <c r="B14" s="22" t="s">
        <v>276</v>
      </c>
      <c r="C14" s="22" t="s">
        <v>338</v>
      </c>
      <c r="D14" s="22" t="s">
        <v>52</v>
      </c>
      <c r="E14" s="22" t="s">
        <v>58</v>
      </c>
      <c r="F14" s="22">
        <v>0</v>
      </c>
      <c r="G14" s="22">
        <v>733</v>
      </c>
      <c r="H14" s="22">
        <v>209484</v>
      </c>
      <c r="I14" s="22" t="s">
        <v>59</v>
      </c>
      <c r="J14" s="22">
        <v>204340</v>
      </c>
      <c r="K14" s="21" t="s">
        <v>56</v>
      </c>
      <c r="L14" s="21" t="str">
        <f>VLOOKUP(C14,'Trips&amp;Operators'!$C$2:$E$10000,3,FALSE)</f>
        <v>MOSES</v>
      </c>
      <c r="M14" s="20" t="s">
        <v>75</v>
      </c>
      <c r="N14" s="21"/>
      <c r="P14" s="79" t="str">
        <f>VLOOKUP(C14,'Train Runs'!$A$3:$T$211,20,0)</f>
        <v>https://search-rtdc-monitor-bjffxe2xuh6vdkpspy63sjmuny.us-east-1.es.amazonaws.com/_plugin/kibana/#/discover/Steve-Slow-Train-Analysis-(2080s-and-2083s)?_g=(refreshInterval:(display:Off,section:0,value:0),time:(from:'2016-06-17 12:36:47-0600',mode:absolute,to:'2016-06-17 17:46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14" s="19" t="str">
        <f t="shared" si="0"/>
        <v>4010</v>
      </c>
    </row>
    <row r="15" spans="1:17" s="2" customFormat="1" x14ac:dyDescent="0.25">
      <c r="A15" s="23">
        <v>42538.522106481483</v>
      </c>
      <c r="B15" s="22" t="s">
        <v>95</v>
      </c>
      <c r="C15" s="22" t="s">
        <v>335</v>
      </c>
      <c r="D15" s="22" t="s">
        <v>52</v>
      </c>
      <c r="E15" s="22" t="s">
        <v>336</v>
      </c>
      <c r="F15" s="22">
        <v>0</v>
      </c>
      <c r="G15" s="22">
        <v>97</v>
      </c>
      <c r="H15" s="22">
        <v>232031</v>
      </c>
      <c r="I15" s="22" t="s">
        <v>337</v>
      </c>
      <c r="J15" s="22">
        <v>231650</v>
      </c>
      <c r="K15" s="21" t="s">
        <v>56</v>
      </c>
      <c r="L15" s="21" t="str">
        <f>VLOOKUP(C15,'Trips&amp;Operators'!$C$2:$E$10000,3,FALSE)</f>
        <v>SPECTOR</v>
      </c>
      <c r="M15" s="20" t="s">
        <v>75</v>
      </c>
      <c r="N15" s="21" t="s">
        <v>183</v>
      </c>
      <c r="P15" s="79" t="str">
        <f>VLOOKUP(C15,'Train Runs'!$A$3:$T$211,20,0)</f>
        <v>https://search-rtdc-monitor-bjffxe2xuh6vdkpspy63sjmuny.us-east-1.es.amazonaws.com/_plugin/kibana/#/discover/Steve-Slow-Train-Analysis-(2080s-and-2083s)?_g=(refreshInterval:(display:Off,section:0,value:0),time:(from:'2016-06-17 12:26:02-0600',mode:absolute,to:'2016-06-17 13:26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15" s="19" t="str">
        <f t="shared" si="0"/>
        <v>4023</v>
      </c>
    </row>
    <row r="16" spans="1:17" s="2" customFormat="1" x14ac:dyDescent="0.25">
      <c r="A16" s="23">
        <v>42538.522800925923</v>
      </c>
      <c r="B16" s="22" t="s">
        <v>95</v>
      </c>
      <c r="C16" s="22" t="s">
        <v>335</v>
      </c>
      <c r="D16" s="22" t="s">
        <v>52</v>
      </c>
      <c r="E16" s="22" t="s">
        <v>336</v>
      </c>
      <c r="F16" s="22">
        <v>0</v>
      </c>
      <c r="G16" s="22">
        <v>97</v>
      </c>
      <c r="H16" s="22">
        <v>232031</v>
      </c>
      <c r="I16" s="22" t="s">
        <v>337</v>
      </c>
      <c r="J16" s="22">
        <v>231650</v>
      </c>
      <c r="K16" s="21" t="s">
        <v>56</v>
      </c>
      <c r="L16" s="21" t="str">
        <f>VLOOKUP(C16,'Trips&amp;Operators'!$C$2:$E$10000,3,FALSE)</f>
        <v>SPECTOR</v>
      </c>
      <c r="M16" s="20" t="s">
        <v>75</v>
      </c>
      <c r="N16" s="21" t="s">
        <v>183</v>
      </c>
      <c r="P16" s="79" t="str">
        <f>VLOOKUP(C16,'Train Runs'!$A$3:$T$211,20,0)</f>
        <v>https://search-rtdc-monitor-bjffxe2xuh6vdkpspy63sjmuny.us-east-1.es.amazonaws.com/_plugin/kibana/#/discover/Steve-Slow-Train-Analysis-(2080s-and-2083s)?_g=(refreshInterval:(display:Off,section:0,value:0),time:(from:'2016-06-17 12:26:02-0600',mode:absolute,to:'2016-06-17 13:26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16" s="19" t="str">
        <f t="shared" si="0"/>
        <v>4023</v>
      </c>
    </row>
    <row r="17" spans="1:17" s="2" customFormat="1" x14ac:dyDescent="0.25">
      <c r="A17" s="23">
        <v>42538.274664351855</v>
      </c>
      <c r="B17" s="22" t="s">
        <v>267</v>
      </c>
      <c r="C17" s="22" t="s">
        <v>320</v>
      </c>
      <c r="D17" s="22" t="s">
        <v>52</v>
      </c>
      <c r="E17" s="22" t="s">
        <v>53</v>
      </c>
      <c r="F17" s="22">
        <v>0</v>
      </c>
      <c r="G17" s="22">
        <v>9</v>
      </c>
      <c r="H17" s="22">
        <v>233340</v>
      </c>
      <c r="I17" s="22" t="s">
        <v>54</v>
      </c>
      <c r="J17" s="22">
        <v>233491</v>
      </c>
      <c r="K17" s="21" t="s">
        <v>55</v>
      </c>
      <c r="L17" s="21" t="str">
        <f>VLOOKUP(C17,'Trips&amp;Operators'!$C$2:$E$10000,3,FALSE)</f>
        <v>STURGEON</v>
      </c>
      <c r="M17" s="20" t="s">
        <v>66</v>
      </c>
      <c r="N17" s="21"/>
      <c r="P17" s="79" t="str">
        <f>VLOOKUP(C17,'Train Runs'!$A$3:$T$211,20,0)</f>
        <v>https://search-rtdc-monitor-bjffxe2xuh6vdkpspy63sjmuny.us-east-1.es.amazonaws.com/_plugin/kibana/#/discover/Steve-Slow-Train-Analysis-(2080s-and-2083s)?_g=(refreshInterval:(display:Off,section:0,value:0),time:(from:'2016-06-17 05:45:31-0600',mode:absolute,to:'2016-06-17 06:36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17" s="19" t="str">
        <f t="shared" si="0"/>
        <v>4009</v>
      </c>
    </row>
    <row r="18" spans="1:17" s="19" customFormat="1" x14ac:dyDescent="0.25">
      <c r="A18" s="23">
        <v>42538.298773148148</v>
      </c>
      <c r="B18" s="22" t="s">
        <v>93</v>
      </c>
      <c r="C18" s="22" t="s">
        <v>323</v>
      </c>
      <c r="D18" s="22" t="s">
        <v>52</v>
      </c>
      <c r="E18" s="22" t="s">
        <v>53</v>
      </c>
      <c r="F18" s="22">
        <v>0</v>
      </c>
      <c r="G18" s="22">
        <v>3</v>
      </c>
      <c r="H18" s="22">
        <v>232936</v>
      </c>
      <c r="I18" s="22" t="s">
        <v>54</v>
      </c>
      <c r="J18" s="22">
        <v>233491</v>
      </c>
      <c r="K18" s="21" t="s">
        <v>55</v>
      </c>
      <c r="L18" s="21" t="str">
        <f>VLOOKUP(C18,'Trips&amp;Operators'!$C$2:$E$10000,3,FALSE)</f>
        <v>STARKS</v>
      </c>
      <c r="M18" s="20" t="s">
        <v>66</v>
      </c>
      <c r="N18" s="21"/>
      <c r="P18" s="79" t="str">
        <f>VLOOKUP(C18,'Train Runs'!$A$3:$T$211,20,0)</f>
        <v>https://search-rtdc-monitor-bjffxe2xuh6vdkpspy63sjmuny.us-east-1.es.amazonaws.com/_plugin/kibana/#/discover/Steve-Slow-Train-Analysis-(2080s-and-2083s)?_g=(refreshInterval:(display:Off,section:0,value:0),time:(from:'2016-06-17 06:11:45-0600',mode:absolute,to:'2016-06-17 07:11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18" s="19" t="str">
        <f t="shared" ref="Q18" si="1">MID(B18,13,4)</f>
        <v>4018</v>
      </c>
    </row>
    <row r="19" spans="1:17" s="19" customFormat="1" x14ac:dyDescent="0.25">
      <c r="A19" s="23">
        <v>42538.365289351852</v>
      </c>
      <c r="B19" s="22" t="s">
        <v>176</v>
      </c>
      <c r="C19" s="22" t="s">
        <v>327</v>
      </c>
      <c r="D19" s="22" t="s">
        <v>52</v>
      </c>
      <c r="E19" s="22" t="s">
        <v>53</v>
      </c>
      <c r="F19" s="22">
        <v>0</v>
      </c>
      <c r="G19" s="22">
        <v>38</v>
      </c>
      <c r="H19" s="22">
        <v>233364</v>
      </c>
      <c r="I19" s="22" t="s">
        <v>54</v>
      </c>
      <c r="J19" s="22">
        <v>233491</v>
      </c>
      <c r="K19" s="21" t="s">
        <v>55</v>
      </c>
      <c r="L19" s="21" t="str">
        <f>VLOOKUP(C19,'Trips&amp;Operators'!$C$2:$E$10000,3,FALSE)</f>
        <v>CLAIBORNE</v>
      </c>
      <c r="M19" s="20" t="s">
        <v>66</v>
      </c>
      <c r="N19" s="21"/>
      <c r="P19" s="79" t="str">
        <f>VLOOKUP(C19,'Train Runs'!$A$3:$T$211,20,0)</f>
        <v>https://search-rtdc-monitor-bjffxe2xuh6vdkpspy63sjmuny.us-east-1.es.amazonaws.com/_plugin/kibana/#/discover/Steve-Slow-Train-Analysis-(2080s-and-2083s)?_g=(refreshInterval:(display:Off,section:0,value:0),time:(from:'2016-06-17 08:06:48-0600',mode:absolute,to:'2016-06-17 08:47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19" s="19" t="str">
        <f t="shared" ref="Q19:Q24" si="2">MID(B19,13,4)</f>
        <v>4016</v>
      </c>
    </row>
    <row r="20" spans="1:17" s="19" customFormat="1" x14ac:dyDescent="0.25">
      <c r="A20" s="23">
        <v>42538.411203703705</v>
      </c>
      <c r="B20" s="22" t="s">
        <v>112</v>
      </c>
      <c r="C20" s="22" t="s">
        <v>332</v>
      </c>
      <c r="D20" s="22" t="s">
        <v>52</v>
      </c>
      <c r="E20" s="22" t="s">
        <v>53</v>
      </c>
      <c r="F20" s="22">
        <v>0</v>
      </c>
      <c r="G20" s="22">
        <v>8</v>
      </c>
      <c r="H20" s="22">
        <v>233320</v>
      </c>
      <c r="I20" s="22" t="s">
        <v>54</v>
      </c>
      <c r="J20" s="22">
        <v>233491</v>
      </c>
      <c r="K20" s="21" t="s">
        <v>55</v>
      </c>
      <c r="L20" s="21" t="str">
        <f>VLOOKUP(C20,'Trips&amp;Operators'!$C$2:$E$10000,3,FALSE)</f>
        <v>STAMBAUGH</v>
      </c>
      <c r="M20" s="20" t="s">
        <v>66</v>
      </c>
      <c r="N20" s="21"/>
      <c r="P20" s="79" t="str">
        <f>VLOOKUP(C20,'Train Runs'!$A$3:$T$211,20,0)</f>
        <v>https://search-rtdc-monitor-bjffxe2xuh6vdkpspy63sjmuny.us-east-1.es.amazonaws.com/_plugin/kibana/#/discover/Steve-Slow-Train-Analysis-(2080s-and-2083s)?_g=(refreshInterval:(display:Off,section:0,value:0),time:(from:'2016-06-17 09:02:14-0600',mode:absolute,to:'2016-06-17 09:07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20" s="19" t="str">
        <f t="shared" si="2"/>
        <v>4014</v>
      </c>
    </row>
    <row r="21" spans="1:17" s="19" customFormat="1" x14ac:dyDescent="0.25">
      <c r="A21" s="23">
        <v>42538.440729166665</v>
      </c>
      <c r="B21" s="22" t="s">
        <v>267</v>
      </c>
      <c r="C21" s="22" t="s">
        <v>333</v>
      </c>
      <c r="D21" s="22" t="s">
        <v>52</v>
      </c>
      <c r="E21" s="22" t="s">
        <v>53</v>
      </c>
      <c r="F21" s="22">
        <v>0</v>
      </c>
      <c r="G21" s="22">
        <v>4</v>
      </c>
      <c r="H21" s="22">
        <v>233242</v>
      </c>
      <c r="I21" s="22" t="s">
        <v>54</v>
      </c>
      <c r="J21" s="22">
        <v>233491</v>
      </c>
      <c r="K21" s="21" t="s">
        <v>55</v>
      </c>
      <c r="L21" s="21" t="str">
        <f>VLOOKUP(C21,'Trips&amp;Operators'!$C$2:$E$10000,3,FALSE)</f>
        <v>STURGEON</v>
      </c>
      <c r="M21" s="20" t="s">
        <v>66</v>
      </c>
      <c r="N21" s="21"/>
      <c r="P21" s="79" t="str">
        <f>VLOOKUP(C21,'Train Runs'!$A$3:$T$211,20,0)</f>
        <v>https://search-rtdc-monitor-bjffxe2xuh6vdkpspy63sjmuny.us-east-1.es.amazonaws.com/_plugin/kibana/#/discover/Steve-Slow-Train-Analysis-(2080s-and-2083s)?_g=(refreshInterval:(display:Off,section:0,value:0),time:(from:'2016-06-17 09:46:49-0600',mode:absolute,to:'2016-06-17 10:36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21" s="19" t="str">
        <f t="shared" si="2"/>
        <v>4009</v>
      </c>
    </row>
    <row r="22" spans="1:17" s="19" customFormat="1" x14ac:dyDescent="0.25">
      <c r="A22" s="23">
        <v>42538.450185185182</v>
      </c>
      <c r="B22" s="22" t="s">
        <v>176</v>
      </c>
      <c r="C22" s="22" t="s">
        <v>334</v>
      </c>
      <c r="D22" s="22" t="s">
        <v>52</v>
      </c>
      <c r="E22" s="22" t="s">
        <v>53</v>
      </c>
      <c r="F22" s="22">
        <v>0</v>
      </c>
      <c r="G22" s="22">
        <v>46</v>
      </c>
      <c r="H22" s="22">
        <v>233312</v>
      </c>
      <c r="I22" s="22" t="s">
        <v>54</v>
      </c>
      <c r="J22" s="22">
        <v>233491</v>
      </c>
      <c r="K22" s="21" t="s">
        <v>55</v>
      </c>
      <c r="L22" s="21" t="str">
        <f>VLOOKUP(C22,'Trips&amp;Operators'!$C$2:$E$10000,3,FALSE)</f>
        <v>SHOOK</v>
      </c>
      <c r="M22" s="20" t="s">
        <v>66</v>
      </c>
      <c r="N22" s="21"/>
      <c r="P22" s="79" t="str">
        <f>VLOOKUP(C22,'Train Runs'!$A$3:$T$211,20,0)</f>
        <v>https://search-rtdc-monitor-bjffxe2xuh6vdkpspy63sjmuny.us-east-1.es.amazonaws.com/_plugin/kibana/#/discover/Steve-Slow-Train-Analysis-(2080s-and-2083s)?_g=(refreshInterval:(display:Off,section:0,value:0),time:(from:'2016-06-17 10:01:30-0600',mode:absolute,to:'2016-06-17 10:49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22" s="19" t="str">
        <f t="shared" si="2"/>
        <v>4016</v>
      </c>
    </row>
    <row r="23" spans="1:17" s="19" customFormat="1" x14ac:dyDescent="0.25">
      <c r="A23" s="23">
        <v>42538.603055555555</v>
      </c>
      <c r="B23" s="22" t="s">
        <v>91</v>
      </c>
      <c r="C23" s="22" t="s">
        <v>340</v>
      </c>
      <c r="D23" s="22" t="s">
        <v>52</v>
      </c>
      <c r="E23" s="22" t="s">
        <v>53</v>
      </c>
      <c r="F23" s="22">
        <v>0</v>
      </c>
      <c r="G23" s="22">
        <v>45</v>
      </c>
      <c r="H23" s="22">
        <v>145</v>
      </c>
      <c r="I23" s="22" t="s">
        <v>54</v>
      </c>
      <c r="J23" s="22">
        <v>1</v>
      </c>
      <c r="K23" s="21" t="s">
        <v>56</v>
      </c>
      <c r="L23" s="21" t="str">
        <f>VLOOKUP(C23,'Trips&amp;Operators'!$C$2:$E$10000,3,FALSE)</f>
        <v>COCA</v>
      </c>
      <c r="M23" s="20" t="s">
        <v>66</v>
      </c>
      <c r="N23" s="21"/>
      <c r="P23" s="79" t="str">
        <f>VLOOKUP(C23,'Train Runs'!$A$3:$T$211,20,0)</f>
        <v>https://search-rtdc-monitor-bjffxe2xuh6vdkpspy63sjmuny.us-east-1.es.amazonaws.com/_plugin/kibana/#/discover/Steve-Slow-Train-Analysis-(2080s-and-2083s)?_g=(refreshInterval:(display:Off,section:0,value:0),time:(from:'2016-06-17 13:28:29-0600',mode:absolute,to:'2016-06-17 14:29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23" s="19" t="str">
        <f t="shared" si="2"/>
        <v>4019</v>
      </c>
    </row>
    <row r="24" spans="1:17" s="19" customFormat="1" x14ac:dyDescent="0.25">
      <c r="A24" s="23">
        <v>42538.75403935185</v>
      </c>
      <c r="B24" s="22" t="s">
        <v>341</v>
      </c>
      <c r="C24" s="22" t="s">
        <v>342</v>
      </c>
      <c r="D24" s="22" t="s">
        <v>52</v>
      </c>
      <c r="E24" s="22" t="s">
        <v>53</v>
      </c>
      <c r="F24" s="22">
        <v>0</v>
      </c>
      <c r="G24" s="22">
        <v>86</v>
      </c>
      <c r="H24" s="22">
        <v>314</v>
      </c>
      <c r="I24" s="22" t="s">
        <v>54</v>
      </c>
      <c r="J24" s="22">
        <v>1</v>
      </c>
      <c r="K24" s="21" t="s">
        <v>56</v>
      </c>
      <c r="L24" s="21" t="str">
        <f>VLOOKUP(C24,'Trips&amp;Operators'!$C$2:$E$10000,3,FALSE)</f>
        <v>COCA</v>
      </c>
      <c r="M24" s="20" t="s">
        <v>66</v>
      </c>
      <c r="N24" s="21"/>
      <c r="P24" s="79" t="str">
        <f>VLOOKUP(C24,'Train Runs'!$A$3:$T$211,20,0)</f>
        <v>https://search-rtdc-monitor-bjffxe2xuh6vdkpspy63sjmuny.us-east-1.es.amazonaws.com/_plugin/kibana/#/discover/Steve-Slow-Train-Analysis-(2080s-and-2083s)?_g=(refreshInterval:(display:Off,section:0,value:0),time:(from:'2016-06-17 17:20:58-0600',mode:absolute,to:'2016-06-17 18:06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24" s="19" t="str">
        <f t="shared" si="2"/>
        <v>4015</v>
      </c>
    </row>
    <row r="25" spans="1:17" s="19" customFormat="1" x14ac:dyDescent="0.25">
      <c r="A25" s="23">
        <v>42538.825659722221</v>
      </c>
      <c r="B25" s="22" t="s">
        <v>341</v>
      </c>
      <c r="C25" s="22" t="s">
        <v>343</v>
      </c>
      <c r="D25" s="22" t="s">
        <v>52</v>
      </c>
      <c r="E25" s="22" t="s">
        <v>53</v>
      </c>
      <c r="F25" s="22">
        <v>0</v>
      </c>
      <c r="G25" s="22">
        <v>9</v>
      </c>
      <c r="H25" s="22">
        <v>123</v>
      </c>
      <c r="I25" s="22" t="s">
        <v>54</v>
      </c>
      <c r="J25" s="22">
        <v>1</v>
      </c>
      <c r="K25" s="21" t="s">
        <v>56</v>
      </c>
      <c r="L25" s="21" t="str">
        <f>VLOOKUP(C25,'Trips&amp;Operators'!$C$2:$E$10000,3,FALSE)</f>
        <v>BRUDER</v>
      </c>
      <c r="M25" s="20" t="s">
        <v>66</v>
      </c>
      <c r="N25" s="21"/>
      <c r="P25" s="79" t="str">
        <f>VLOOKUP(C25,'Train Runs'!$A$3:$T$211,20,0)</f>
        <v>https://search-rtdc-monitor-bjffxe2xuh6vdkpspy63sjmuny.us-east-1.es.amazonaws.com/_plugin/kibana/#/discover/Steve-Slow-Train-Analysis-(2080s-and-2083s)?_g=(refreshInterval:(display:Off,section:0,value:0),time:(from:'2016-06-17 19:05:51-0600',mode:absolute,to:'2016-06-17 19:50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25" s="19" t="str">
        <f t="shared" ref="Q25:Q26" si="3">MID(B25,13,4)</f>
        <v>4015</v>
      </c>
    </row>
    <row r="26" spans="1:17" s="19" customFormat="1" x14ac:dyDescent="0.25">
      <c r="A26" s="23">
        <v>42538.372002314813</v>
      </c>
      <c r="B26" s="22" t="s">
        <v>92</v>
      </c>
      <c r="C26" s="22" t="s">
        <v>328</v>
      </c>
      <c r="D26" s="22" t="s">
        <v>57</v>
      </c>
      <c r="E26" s="22" t="s">
        <v>329</v>
      </c>
      <c r="F26" s="22">
        <v>230</v>
      </c>
      <c r="G26" s="22">
        <v>280</v>
      </c>
      <c r="H26" s="22">
        <v>30969</v>
      </c>
      <c r="I26" s="22" t="s">
        <v>330</v>
      </c>
      <c r="J26" s="22">
        <v>30830</v>
      </c>
      <c r="K26" s="21" t="s">
        <v>55</v>
      </c>
      <c r="L26" s="21" t="str">
        <f>VLOOKUP(C26,'Trips&amp;Operators'!$C$2:$E$10000,3,FALSE)</f>
        <v>RIVERA</v>
      </c>
      <c r="M26" s="20" t="s">
        <v>75</v>
      </c>
      <c r="N26" s="21"/>
      <c r="P26" s="79" t="str">
        <f>VLOOKUP(C26,'Train Runs'!$A$3:$T$211,20,0)</f>
        <v>https://search-rtdc-monitor-bjffxe2xuh6vdkpspy63sjmuny.us-east-1.es.amazonaws.com/_plugin/kibana/#/discover/Steve-Slow-Train-Analysis-(2080s-and-2083s)?_g=(refreshInterval:(display:Off,section:0,value:0),time:(from:'2016-06-17 08:49:32-0600',mode:absolute,to:'2016-06-17 09:26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26" s="19" t="str">
        <f t="shared" si="3"/>
        <v>4020</v>
      </c>
    </row>
    <row r="27" spans="1:17" s="19" customFormat="1" ht="15.75" thickBot="1" x14ac:dyDescent="0.3">
      <c r="A27" s="41"/>
      <c r="B27" s="42"/>
      <c r="C27" s="42"/>
      <c r="D27" s="42"/>
      <c r="E27" s="42"/>
      <c r="F27" s="42"/>
      <c r="G27" s="42"/>
      <c r="H27" s="42"/>
      <c r="I27" s="42"/>
      <c r="J27" s="42"/>
      <c r="K27" s="43"/>
      <c r="L27" s="43"/>
      <c r="M27" s="44"/>
      <c r="N27" s="43"/>
      <c r="P27" s="79"/>
    </row>
    <row r="28" spans="1:17" ht="30" x14ac:dyDescent="0.25">
      <c r="B28" s="59"/>
      <c r="C28" s="59"/>
      <c r="D28" s="59"/>
      <c r="E28" s="59"/>
      <c r="F28" s="59"/>
      <c r="G28" s="59"/>
      <c r="H28" s="59"/>
      <c r="I28" s="59"/>
      <c r="J28" s="59"/>
      <c r="K28" s="18" t="s">
        <v>28</v>
      </c>
      <c r="L28" s="52"/>
      <c r="M28" s="17">
        <f>COUNTIF(M18:M26,"=Y")</f>
        <v>1</v>
      </c>
      <c r="N28" s="77"/>
    </row>
    <row r="29" spans="1:17" ht="15.75" thickBot="1" x14ac:dyDescent="0.3">
      <c r="B29" s="59"/>
      <c r="C29" s="59"/>
      <c r="D29" s="59"/>
      <c r="E29" s="59"/>
      <c r="F29" s="59"/>
      <c r="G29" s="59"/>
      <c r="H29" s="59"/>
      <c r="I29" s="59"/>
      <c r="J29" s="59"/>
      <c r="K29" s="16" t="s">
        <v>27</v>
      </c>
      <c r="L29" s="53"/>
      <c r="M29" s="15">
        <f>COUNTA(M18:M26)-M28</f>
        <v>8</v>
      </c>
    </row>
  </sheetData>
  <autoFilter ref="A2:N26">
    <sortState ref="A3:N26">
      <sortCondition ref="E2:E26"/>
    </sortState>
  </autoFilter>
  <sortState ref="A3:N9">
    <sortCondition ref="F3:F9"/>
  </sortState>
  <mergeCells count="1">
    <mergeCell ref="A1:M1"/>
  </mergeCells>
  <conditionalFormatting sqref="P2 M2:N2 M3:M1048576">
    <cfRule type="cellIs" dxfId="7" priority="8" operator="equal">
      <formula>"Y"</formula>
    </cfRule>
  </conditionalFormatting>
  <conditionalFormatting sqref="A3:N26">
    <cfRule type="expression" dxfId="6" priority="1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workbookViewId="0">
      <selection activeCell="D30" sqref="D30"/>
    </sheetView>
  </sheetViews>
  <sheetFormatPr defaultRowHeight="15" x14ac:dyDescent="0.25"/>
  <cols>
    <col min="1" max="1" width="9.140625" customWidth="1"/>
    <col min="2" max="2" width="8" style="85" bestFit="1" customWidth="1"/>
    <col min="3" max="3" width="7.85546875" style="87" bestFit="1" customWidth="1"/>
    <col min="4" max="4" width="31.28515625" bestFit="1" customWidth="1"/>
    <col min="5" max="5" width="18.140625" bestFit="1" customWidth="1"/>
    <col min="6" max="6" width="17" bestFit="1" customWidth="1"/>
    <col min="7" max="7" width="14.42578125" bestFit="1" customWidth="1"/>
    <col min="8" max="8" width="23.85546875" bestFit="1" customWidth="1"/>
  </cols>
  <sheetData>
    <row r="1" spans="1:8" s="59" customFormat="1" x14ac:dyDescent="0.25">
      <c r="A1" s="101" t="str">
        <f>"Trips that did not appear in PTC Data "&amp;TEXT(Variables!$A$2,"YYYY-mm-dd")</f>
        <v>Trips that did not appear in PTC Data 2016-06-17</v>
      </c>
      <c r="B1" s="101"/>
      <c r="C1" s="101"/>
      <c r="D1" s="101"/>
      <c r="E1" s="101"/>
    </row>
    <row r="2" spans="1:8" s="77" customFormat="1" ht="45" x14ac:dyDescent="0.25">
      <c r="A2" s="76" t="s">
        <v>173</v>
      </c>
      <c r="B2" s="88" t="s">
        <v>174</v>
      </c>
      <c r="C2" s="86" t="s">
        <v>175</v>
      </c>
      <c r="D2" s="77" t="s">
        <v>171</v>
      </c>
      <c r="E2" s="59" t="s">
        <v>172</v>
      </c>
      <c r="F2" s="77" t="s">
        <v>318</v>
      </c>
      <c r="G2" s="77" t="s">
        <v>556</v>
      </c>
      <c r="H2" s="90" t="s">
        <v>557</v>
      </c>
    </row>
    <row r="3" spans="1:8" x14ac:dyDescent="0.25">
      <c r="A3" s="60" t="s">
        <v>500</v>
      </c>
      <c r="B3" s="89"/>
      <c r="C3" s="60"/>
      <c r="D3" s="61"/>
      <c r="E3" s="60" t="e">
        <f>VLOOKUP(A3,'Trips&amp;Operators'!$C$2:$E$10000,3,FALSE)</f>
        <v>#N/A</v>
      </c>
      <c r="F3" s="60" t="e">
        <f>VLOOKUP(A3,'Trips&amp;Operators'!$C$1:$F$10000,4,FALSE)</f>
        <v>#N/A</v>
      </c>
      <c r="G3" s="91" t="e">
        <f>VLOOKUP(A3,'Trips&amp;Operators'!$C$1:$H$10000,5,FALSE)</f>
        <v>#N/A</v>
      </c>
      <c r="H3" s="91" t="e">
        <f>VLOOKUP(A3,'Train Runs'!$A$1:$H$10013,1,FALSE)</f>
        <v>#N/A</v>
      </c>
    </row>
    <row r="4" spans="1:8" x14ac:dyDescent="0.25">
      <c r="A4" s="60" t="s">
        <v>501</v>
      </c>
      <c r="B4" s="89"/>
      <c r="C4" s="60"/>
      <c r="D4" s="61"/>
      <c r="E4" s="60" t="e">
        <f>VLOOKUP(A4,'Trips&amp;Operators'!$C$2:$E$10000,3,FALSE)</f>
        <v>#N/A</v>
      </c>
      <c r="F4" s="60" t="e">
        <f>VLOOKUP(A4,'Trips&amp;Operators'!$C$1:$F$10000,4,FALSE)</f>
        <v>#N/A</v>
      </c>
      <c r="G4" s="91" t="e">
        <f>VLOOKUP(A4,'Trips&amp;Operators'!$C$1:$H$10000,5,FALSE)</f>
        <v>#N/A</v>
      </c>
      <c r="H4" s="91" t="e">
        <f>VLOOKUP(A4,'Train Runs'!$A$1:$H$10013,1,FALSE)</f>
        <v>#N/A</v>
      </c>
    </row>
    <row r="5" spans="1:8" x14ac:dyDescent="0.25">
      <c r="A5" s="60" t="s">
        <v>502</v>
      </c>
      <c r="B5" s="89"/>
      <c r="C5" s="60"/>
      <c r="D5" s="61"/>
      <c r="E5" s="60" t="e">
        <f>VLOOKUP(A5,'Trips&amp;Operators'!$C$2:$E$10000,3,FALSE)</f>
        <v>#N/A</v>
      </c>
      <c r="F5" s="60" t="e">
        <f>VLOOKUP(A5,'Trips&amp;Operators'!$C$1:$F$10000,4,FALSE)</f>
        <v>#N/A</v>
      </c>
      <c r="G5" s="91" t="e">
        <f>VLOOKUP(A5,'Trips&amp;Operators'!$C$1:$H$10000,5,FALSE)</f>
        <v>#N/A</v>
      </c>
      <c r="H5" s="91" t="e">
        <f>VLOOKUP(A5,'Train Runs'!$A$1:$H$10013,1,FALSE)</f>
        <v>#N/A</v>
      </c>
    </row>
    <row r="6" spans="1:8" x14ac:dyDescent="0.25">
      <c r="A6" s="60" t="s">
        <v>503</v>
      </c>
      <c r="B6" s="89"/>
      <c r="C6" s="60"/>
      <c r="D6" s="61"/>
      <c r="E6" s="60" t="e">
        <f>VLOOKUP(A6,'Trips&amp;Operators'!$C$2:$E$10000,3,FALSE)</f>
        <v>#N/A</v>
      </c>
      <c r="F6" s="60" t="e">
        <f>VLOOKUP(A6,'Trips&amp;Operators'!$C$1:$F$10000,4,FALSE)</f>
        <v>#N/A</v>
      </c>
      <c r="G6" s="91" t="e">
        <f>VLOOKUP(A6,'Trips&amp;Operators'!$C$1:$H$10000,5,FALSE)</f>
        <v>#N/A</v>
      </c>
      <c r="H6" s="91" t="e">
        <f>VLOOKUP(A6,'Train Runs'!$A$1:$H$10013,1,FALSE)</f>
        <v>#N/A</v>
      </c>
    </row>
    <row r="7" spans="1:8" x14ac:dyDescent="0.25">
      <c r="A7" s="60" t="s">
        <v>504</v>
      </c>
      <c r="B7" s="89"/>
      <c r="C7" s="60"/>
      <c r="D7" s="61"/>
      <c r="E7" s="60" t="e">
        <f>VLOOKUP(A7,'Trips&amp;Operators'!$C$2:$E$10000,3,FALSE)</f>
        <v>#N/A</v>
      </c>
      <c r="F7" s="60" t="e">
        <f>VLOOKUP(A7,'Trips&amp;Operators'!$C$1:$F$10000,4,FALSE)</f>
        <v>#N/A</v>
      </c>
      <c r="G7" s="91" t="e">
        <f>VLOOKUP(A7,'Trips&amp;Operators'!$C$1:$H$10000,5,FALSE)</f>
        <v>#N/A</v>
      </c>
      <c r="H7" s="91" t="e">
        <f>VLOOKUP(A7,'Train Runs'!$A$1:$H$10013,1,FALSE)</f>
        <v>#N/A</v>
      </c>
    </row>
    <row r="8" spans="1:8" x14ac:dyDescent="0.25">
      <c r="A8" s="60" t="s">
        <v>505</v>
      </c>
      <c r="B8" s="89"/>
      <c r="C8" s="60"/>
      <c r="D8" s="61"/>
      <c r="E8" s="60" t="e">
        <f>VLOOKUP(A8,'Trips&amp;Operators'!$C$2:$E$10000,3,FALSE)</f>
        <v>#N/A</v>
      </c>
      <c r="F8" s="60" t="e">
        <f>VLOOKUP(A8,'Trips&amp;Operators'!$C$1:$F$10000,4,FALSE)</f>
        <v>#N/A</v>
      </c>
      <c r="G8" s="91" t="e">
        <f>VLOOKUP(A8,'Trips&amp;Operators'!$C$1:$H$10000,5,FALSE)</f>
        <v>#N/A</v>
      </c>
      <c r="H8" s="91" t="e">
        <f>VLOOKUP(A8,'Train Runs'!$A$1:$H$10013,1,FALSE)</f>
        <v>#N/A</v>
      </c>
    </row>
    <row r="9" spans="1:8" x14ac:dyDescent="0.25">
      <c r="A9" s="60" t="s">
        <v>506</v>
      </c>
      <c r="B9" s="89"/>
      <c r="C9" s="60"/>
      <c r="D9" s="61"/>
      <c r="E9" s="60" t="e">
        <f>VLOOKUP(A9,'Trips&amp;Operators'!$C$2:$E$10000,3,FALSE)</f>
        <v>#N/A</v>
      </c>
      <c r="F9" s="60" t="e">
        <f>VLOOKUP(A9,'Trips&amp;Operators'!$C$1:$F$10000,4,FALSE)</f>
        <v>#N/A</v>
      </c>
      <c r="G9" s="91" t="e">
        <f>VLOOKUP(A9,'Trips&amp;Operators'!$C$1:$H$10000,5,FALSE)</f>
        <v>#N/A</v>
      </c>
      <c r="H9" s="91" t="e">
        <f>VLOOKUP(A9,'Train Runs'!$A$1:$H$10013,1,FALSE)</f>
        <v>#N/A</v>
      </c>
    </row>
    <row r="10" spans="1:8" x14ac:dyDescent="0.25">
      <c r="A10" s="60" t="s">
        <v>507</v>
      </c>
      <c r="B10" s="89"/>
      <c r="C10" s="60"/>
      <c r="D10" s="61"/>
      <c r="E10" s="60" t="e">
        <f>VLOOKUP(A10,'Trips&amp;Operators'!$C$2:$E$10000,3,FALSE)</f>
        <v>#N/A</v>
      </c>
      <c r="F10" s="60" t="e">
        <f>VLOOKUP(A10,'Trips&amp;Operators'!$C$1:$F$10000,4,FALSE)</f>
        <v>#N/A</v>
      </c>
      <c r="G10" s="91" t="e">
        <f>VLOOKUP(A10,'Trips&amp;Operators'!$C$1:$H$10000,5,FALSE)</f>
        <v>#N/A</v>
      </c>
      <c r="H10" s="91" t="e">
        <f>VLOOKUP(A10,'Train Runs'!$A$1:$H$10013,1,FALSE)</f>
        <v>#N/A</v>
      </c>
    </row>
    <row r="11" spans="1:8" x14ac:dyDescent="0.25">
      <c r="A11" s="60" t="s">
        <v>508</v>
      </c>
      <c r="B11" s="89"/>
      <c r="C11" s="60"/>
      <c r="D11" s="61"/>
      <c r="E11" s="60" t="e">
        <f>VLOOKUP(A11,'Trips&amp;Operators'!$C$2:$E$10000,3,FALSE)</f>
        <v>#N/A</v>
      </c>
      <c r="F11" s="60" t="e">
        <f>VLOOKUP(A11,'Trips&amp;Operators'!$C$1:$F$10000,4,FALSE)</f>
        <v>#N/A</v>
      </c>
      <c r="G11" s="91" t="e">
        <f>VLOOKUP(A11,'Trips&amp;Operators'!$C$1:$H$10000,5,FALSE)</f>
        <v>#N/A</v>
      </c>
      <c r="H11" s="91" t="e">
        <f>VLOOKUP(A11,'Train Runs'!$A$1:$H$10013,1,FALSE)</f>
        <v>#N/A</v>
      </c>
    </row>
    <row r="12" spans="1:8" x14ac:dyDescent="0.25">
      <c r="A12" s="60" t="s">
        <v>509</v>
      </c>
      <c r="B12" s="89"/>
      <c r="C12" s="60"/>
      <c r="D12" s="61"/>
      <c r="E12" s="60" t="e">
        <f>VLOOKUP(A12,'Trips&amp;Operators'!$C$2:$E$10000,3,FALSE)</f>
        <v>#N/A</v>
      </c>
      <c r="F12" s="60" t="e">
        <f>VLOOKUP(A12,'Trips&amp;Operators'!$C$1:$F$10000,4,FALSE)</f>
        <v>#N/A</v>
      </c>
      <c r="G12" s="91" t="e">
        <f>VLOOKUP(A12,'Trips&amp;Operators'!$C$1:$H$10000,5,FALSE)</f>
        <v>#N/A</v>
      </c>
      <c r="H12" s="91" t="e">
        <f>VLOOKUP(A12,'Train Runs'!$A$1:$H$10013,1,FALSE)</f>
        <v>#N/A</v>
      </c>
    </row>
    <row r="13" spans="1:8" x14ac:dyDescent="0.25">
      <c r="A13" s="60" t="s">
        <v>510</v>
      </c>
      <c r="B13" s="89"/>
      <c r="C13" s="60"/>
      <c r="D13" s="61"/>
      <c r="E13" s="60" t="e">
        <f>VLOOKUP(A13,'Trips&amp;Operators'!$C$2:$E$10000,3,FALSE)</f>
        <v>#N/A</v>
      </c>
      <c r="F13" s="60" t="e">
        <f>VLOOKUP(A13,'Trips&amp;Operators'!$C$1:$F$10000,4,FALSE)</f>
        <v>#N/A</v>
      </c>
      <c r="G13" s="91" t="e">
        <f>VLOOKUP(A13,'Trips&amp;Operators'!$C$1:$H$10000,5,FALSE)</f>
        <v>#N/A</v>
      </c>
      <c r="H13" s="91" t="e">
        <f>VLOOKUP(A13,'Train Runs'!$A$1:$H$10013,1,FALSE)</f>
        <v>#N/A</v>
      </c>
    </row>
    <row r="14" spans="1:8" x14ac:dyDescent="0.25">
      <c r="A14" s="60" t="s">
        <v>511</v>
      </c>
      <c r="B14" s="89"/>
      <c r="C14" s="60"/>
      <c r="D14" s="61"/>
      <c r="E14" s="60" t="e">
        <f>VLOOKUP(A14,'Trips&amp;Operators'!$C$2:$E$10000,3,FALSE)</f>
        <v>#N/A</v>
      </c>
      <c r="F14" s="60" t="e">
        <f>VLOOKUP(A14,'Trips&amp;Operators'!$C$1:$F$10000,4,FALSE)</f>
        <v>#N/A</v>
      </c>
      <c r="G14" s="91" t="e">
        <f>VLOOKUP(A14,'Trips&amp;Operators'!$C$1:$H$10000,5,FALSE)</f>
        <v>#N/A</v>
      </c>
      <c r="H14" s="91" t="e">
        <f>VLOOKUP(A14,'Train Runs'!$A$1:$H$10013,1,FALSE)</f>
        <v>#N/A</v>
      </c>
    </row>
    <row r="15" spans="1:8" x14ac:dyDescent="0.25">
      <c r="A15" s="60" t="s">
        <v>512</v>
      </c>
      <c r="B15" s="89"/>
      <c r="C15" s="60"/>
      <c r="D15" s="61"/>
      <c r="E15" s="60" t="e">
        <f>VLOOKUP(A15,'Trips&amp;Operators'!$C$2:$E$10000,3,FALSE)</f>
        <v>#N/A</v>
      </c>
      <c r="F15" s="60" t="e">
        <f>VLOOKUP(A15,'Trips&amp;Operators'!$C$1:$F$10000,4,FALSE)</f>
        <v>#N/A</v>
      </c>
      <c r="G15" s="91" t="e">
        <f>VLOOKUP(A15,'Trips&amp;Operators'!$C$1:$H$10000,5,FALSE)</f>
        <v>#N/A</v>
      </c>
      <c r="H15" s="91" t="e">
        <f>VLOOKUP(A15,'Train Runs'!$A$1:$H$10013,1,FALSE)</f>
        <v>#N/A</v>
      </c>
    </row>
    <row r="16" spans="1:8" x14ac:dyDescent="0.25">
      <c r="A16" s="60" t="s">
        <v>513</v>
      </c>
      <c r="B16" s="89"/>
      <c r="C16" s="60"/>
      <c r="D16" s="61"/>
      <c r="E16" s="60" t="e">
        <f>VLOOKUP(A16,'Trips&amp;Operators'!$C$2:$E$10000,3,FALSE)</f>
        <v>#N/A</v>
      </c>
      <c r="F16" s="60" t="e">
        <f>VLOOKUP(A16,'Trips&amp;Operators'!$C$1:$F$10000,4,FALSE)</f>
        <v>#N/A</v>
      </c>
      <c r="G16" s="91" t="e">
        <f>VLOOKUP(A16,'Trips&amp;Operators'!$C$1:$H$10000,5,FALSE)</f>
        <v>#N/A</v>
      </c>
      <c r="H16" s="91" t="e">
        <f>VLOOKUP(A16,'Train Runs'!$A$1:$H$10013,1,FALSE)</f>
        <v>#N/A</v>
      </c>
    </row>
    <row r="17" spans="1:8" x14ac:dyDescent="0.25">
      <c r="A17" s="60" t="s">
        <v>514</v>
      </c>
      <c r="B17" s="89"/>
      <c r="C17" s="60"/>
      <c r="D17" s="61"/>
      <c r="E17" s="60" t="e">
        <f>VLOOKUP(A17,'Trips&amp;Operators'!$C$2:$E$10000,3,FALSE)</f>
        <v>#N/A</v>
      </c>
      <c r="F17" s="60" t="e">
        <f>VLOOKUP(A17,'Trips&amp;Operators'!$C$1:$F$10000,4,FALSE)</f>
        <v>#N/A</v>
      </c>
      <c r="G17" s="91" t="e">
        <f>VLOOKUP(A17,'Trips&amp;Operators'!$C$1:$H$10000,5,FALSE)</f>
        <v>#N/A</v>
      </c>
      <c r="H17" s="91" t="e">
        <f>VLOOKUP(A17,'Train Runs'!$A$1:$H$10013,1,FALSE)</f>
        <v>#N/A</v>
      </c>
    </row>
    <row r="18" spans="1:8" x14ac:dyDescent="0.25">
      <c r="A18" s="60" t="s">
        <v>515</v>
      </c>
      <c r="B18" s="89"/>
      <c r="C18" s="60"/>
      <c r="D18" s="61"/>
      <c r="E18" s="60" t="e">
        <f>VLOOKUP(A18,'Trips&amp;Operators'!$C$2:$E$10000,3,FALSE)</f>
        <v>#N/A</v>
      </c>
      <c r="F18" s="60" t="e">
        <f>VLOOKUP(A18,'Trips&amp;Operators'!$C$1:$F$10000,4,FALSE)</f>
        <v>#N/A</v>
      </c>
      <c r="G18" s="91" t="e">
        <f>VLOOKUP(A18,'Trips&amp;Operators'!$C$1:$H$10000,5,FALSE)</f>
        <v>#N/A</v>
      </c>
      <c r="H18" s="91" t="e">
        <f>VLOOKUP(A18,'Train Runs'!$A$1:$H$10013,1,FALSE)</f>
        <v>#N/A</v>
      </c>
    </row>
    <row r="19" spans="1:8" x14ac:dyDescent="0.25">
      <c r="A19" s="60" t="s">
        <v>516</v>
      </c>
      <c r="B19" s="89"/>
      <c r="C19" s="60"/>
      <c r="D19" s="61"/>
      <c r="E19" s="60" t="e">
        <f>VLOOKUP(A19,'Trips&amp;Operators'!$C$2:$E$10000,3,FALSE)</f>
        <v>#N/A</v>
      </c>
      <c r="F19" s="60" t="e">
        <f>VLOOKUP(A19,'Trips&amp;Operators'!$C$1:$F$10000,4,FALSE)</f>
        <v>#N/A</v>
      </c>
      <c r="G19" s="91" t="e">
        <f>VLOOKUP(A19,'Trips&amp;Operators'!$C$1:$H$10000,5,FALSE)</f>
        <v>#N/A</v>
      </c>
      <c r="H19" s="91" t="e">
        <f>VLOOKUP(A19,'Train Runs'!$A$1:$H$10013,1,FALSE)</f>
        <v>#N/A</v>
      </c>
    </row>
    <row r="20" spans="1:8" x14ac:dyDescent="0.25">
      <c r="A20" s="60" t="s">
        <v>517</v>
      </c>
      <c r="B20" s="89"/>
      <c r="C20" s="60"/>
      <c r="D20" s="61"/>
      <c r="E20" s="60" t="e">
        <f>VLOOKUP(A20,'Trips&amp;Operators'!$C$2:$E$10000,3,FALSE)</f>
        <v>#N/A</v>
      </c>
      <c r="F20" s="60" t="e">
        <f>VLOOKUP(A20,'Trips&amp;Operators'!$C$1:$F$10000,4,FALSE)</f>
        <v>#N/A</v>
      </c>
      <c r="G20" s="91" t="e">
        <f>VLOOKUP(A20,'Trips&amp;Operators'!$C$1:$H$10000,5,FALSE)</f>
        <v>#N/A</v>
      </c>
      <c r="H20" s="91" t="e">
        <f>VLOOKUP(A20,'Train Runs'!$A$1:$H$10013,1,FALSE)</f>
        <v>#N/A</v>
      </c>
    </row>
    <row r="21" spans="1:8" x14ac:dyDescent="0.25">
      <c r="A21" s="60" t="s">
        <v>518</v>
      </c>
      <c r="B21" s="89"/>
      <c r="C21" s="60"/>
      <c r="D21" s="61"/>
      <c r="E21" s="60" t="e">
        <f>VLOOKUP(A21,'Trips&amp;Operators'!$C$2:$E$10000,3,FALSE)</f>
        <v>#N/A</v>
      </c>
      <c r="F21" s="60" t="e">
        <f>VLOOKUP(A21,'Trips&amp;Operators'!$C$1:$F$10000,4,FALSE)</f>
        <v>#N/A</v>
      </c>
      <c r="G21" s="91" t="e">
        <f>VLOOKUP(A21,'Trips&amp;Operators'!$C$1:$H$10000,5,FALSE)</f>
        <v>#N/A</v>
      </c>
      <c r="H21" s="91" t="e">
        <f>VLOOKUP(A21,'Train Runs'!$A$1:$H$10013,1,FALSE)</f>
        <v>#N/A</v>
      </c>
    </row>
    <row r="22" spans="1:8" x14ac:dyDescent="0.25">
      <c r="A22" s="60" t="s">
        <v>519</v>
      </c>
      <c r="B22" s="89"/>
      <c r="C22" s="60"/>
      <c r="D22" s="61"/>
      <c r="E22" s="60" t="e">
        <f>VLOOKUP(A22,'Trips&amp;Operators'!$C$2:$E$10000,3,FALSE)</f>
        <v>#N/A</v>
      </c>
      <c r="F22" s="60" t="e">
        <f>VLOOKUP(A22,'Trips&amp;Operators'!$C$1:$F$10000,4,FALSE)</f>
        <v>#N/A</v>
      </c>
      <c r="G22" s="91" t="e">
        <f>VLOOKUP(A22,'Trips&amp;Operators'!$C$1:$H$10000,5,FALSE)</f>
        <v>#N/A</v>
      </c>
      <c r="H22" s="91" t="e">
        <f>VLOOKUP(A22,'Train Runs'!$A$1:$H$10013,1,FALSE)</f>
        <v>#N/A</v>
      </c>
    </row>
    <row r="23" spans="1:8" x14ac:dyDescent="0.25">
      <c r="A23" s="60" t="s">
        <v>520</v>
      </c>
      <c r="B23" s="89"/>
      <c r="C23" s="60"/>
      <c r="D23" s="61"/>
      <c r="E23" s="60" t="e">
        <f>VLOOKUP(A23,'Trips&amp;Operators'!$C$2:$E$10000,3,FALSE)</f>
        <v>#N/A</v>
      </c>
      <c r="F23" s="60" t="e">
        <f>VLOOKUP(A23,'Trips&amp;Operators'!$C$1:$F$10000,4,FALSE)</f>
        <v>#N/A</v>
      </c>
      <c r="G23" s="91" t="e">
        <f>VLOOKUP(A23,'Trips&amp;Operators'!$C$1:$H$10000,5,FALSE)</f>
        <v>#N/A</v>
      </c>
      <c r="H23" s="91" t="e">
        <f>VLOOKUP(A23,'Train Runs'!$A$1:$H$10013,1,FALSE)</f>
        <v>#N/A</v>
      </c>
    </row>
    <row r="24" spans="1:8" x14ac:dyDescent="0.25">
      <c r="A24" s="60" t="s">
        <v>521</v>
      </c>
      <c r="B24" s="89"/>
      <c r="C24" s="60"/>
      <c r="D24" s="61"/>
      <c r="E24" s="60" t="e">
        <f>VLOOKUP(A24,'Trips&amp;Operators'!$C$2:$E$10000,3,FALSE)</f>
        <v>#N/A</v>
      </c>
      <c r="F24" s="60" t="e">
        <f>VLOOKUP(A24,'Trips&amp;Operators'!$C$1:$F$10000,4,FALSE)</f>
        <v>#N/A</v>
      </c>
      <c r="G24" s="91" t="e">
        <f>VLOOKUP(A24,'Trips&amp;Operators'!$C$1:$H$10000,5,FALSE)</f>
        <v>#N/A</v>
      </c>
      <c r="H24" s="91" t="e">
        <f>VLOOKUP(A24,'Train Runs'!$A$1:$H$10013,1,FALSE)</f>
        <v>#N/A</v>
      </c>
    </row>
    <row r="25" spans="1:8" x14ac:dyDescent="0.25">
      <c r="A25" s="60" t="s">
        <v>522</v>
      </c>
      <c r="B25" s="89"/>
      <c r="C25" s="60"/>
      <c r="D25" s="61"/>
      <c r="E25" s="60" t="e">
        <f>VLOOKUP(A25,'Trips&amp;Operators'!$C$2:$E$10000,3,FALSE)</f>
        <v>#N/A</v>
      </c>
      <c r="F25" s="60" t="e">
        <f>VLOOKUP(A25,'Trips&amp;Operators'!$C$1:$F$10000,4,FALSE)</f>
        <v>#N/A</v>
      </c>
      <c r="G25" s="91" t="e">
        <f>VLOOKUP(A25,'Trips&amp;Operators'!$C$1:$H$10000,5,FALSE)</f>
        <v>#N/A</v>
      </c>
      <c r="H25" s="91" t="e">
        <f>VLOOKUP(A25,'Train Runs'!$A$1:$H$10013,1,FALSE)</f>
        <v>#N/A</v>
      </c>
    </row>
    <row r="26" spans="1:8" x14ac:dyDescent="0.25">
      <c r="A26" s="60" t="s">
        <v>523</v>
      </c>
      <c r="B26" s="89"/>
      <c r="C26" s="60"/>
      <c r="D26" s="61"/>
      <c r="E26" s="60" t="e">
        <f>VLOOKUP(A26,'Trips&amp;Operators'!$C$2:$E$10000,3,FALSE)</f>
        <v>#N/A</v>
      </c>
      <c r="F26" s="60" t="e">
        <f>VLOOKUP(A26,'Trips&amp;Operators'!$C$1:$F$10000,4,FALSE)</f>
        <v>#N/A</v>
      </c>
      <c r="G26" s="91" t="e">
        <f>VLOOKUP(A26,'Trips&amp;Operators'!$C$1:$H$10000,5,FALSE)</f>
        <v>#N/A</v>
      </c>
      <c r="H26" s="91" t="e">
        <f>VLOOKUP(A26,'Train Runs'!$A$1:$H$10013,1,FALSE)</f>
        <v>#N/A</v>
      </c>
    </row>
    <row r="27" spans="1:8" x14ac:dyDescent="0.25">
      <c r="A27" s="60" t="s">
        <v>524</v>
      </c>
      <c r="B27" s="89"/>
      <c r="C27" s="60"/>
      <c r="D27" s="61"/>
      <c r="E27" s="60" t="e">
        <f>VLOOKUP(A27,'Trips&amp;Operators'!$C$2:$E$10000,3,FALSE)</f>
        <v>#N/A</v>
      </c>
      <c r="F27" s="60" t="e">
        <f>VLOOKUP(A27,'Trips&amp;Operators'!$C$1:$F$10000,4,FALSE)</f>
        <v>#N/A</v>
      </c>
      <c r="G27" s="91" t="e">
        <f>VLOOKUP(A27,'Trips&amp;Operators'!$C$1:$H$10000,5,FALSE)</f>
        <v>#N/A</v>
      </c>
      <c r="H27" s="91" t="e">
        <f>VLOOKUP(A27,'Train Runs'!$A$1:$H$10013,1,FALSE)</f>
        <v>#N/A</v>
      </c>
    </row>
    <row r="28" spans="1:8" x14ac:dyDescent="0.25">
      <c r="A28" s="60" t="s">
        <v>525</v>
      </c>
      <c r="B28" s="89"/>
      <c r="C28" s="60"/>
      <c r="D28" s="61"/>
      <c r="E28" s="60" t="e">
        <f>VLOOKUP(A28,'Trips&amp;Operators'!$C$2:$E$10000,3,FALSE)</f>
        <v>#N/A</v>
      </c>
      <c r="F28" s="60" t="e">
        <f>VLOOKUP(A28,'Trips&amp;Operators'!$C$1:$F$10000,4,FALSE)</f>
        <v>#N/A</v>
      </c>
      <c r="G28" s="91" t="e">
        <f>VLOOKUP(A28,'Trips&amp;Operators'!$C$1:$H$10000,5,FALSE)</f>
        <v>#N/A</v>
      </c>
      <c r="H28" s="91" t="e">
        <f>VLOOKUP(A28,'Train Runs'!$A$1:$H$10013,1,FALSE)</f>
        <v>#N/A</v>
      </c>
    </row>
    <row r="29" spans="1:8" x14ac:dyDescent="0.25">
      <c r="A29" s="60" t="s">
        <v>526</v>
      </c>
      <c r="B29" s="89"/>
      <c r="C29" s="60"/>
      <c r="D29" s="61"/>
      <c r="E29" s="60" t="e">
        <f>VLOOKUP(A29,'Trips&amp;Operators'!$C$2:$E$10000,3,FALSE)</f>
        <v>#N/A</v>
      </c>
      <c r="F29" s="60" t="e">
        <f>VLOOKUP(A29,'Trips&amp;Operators'!$C$1:$F$10000,4,FALSE)</f>
        <v>#N/A</v>
      </c>
      <c r="G29" s="91" t="e">
        <f>VLOOKUP(A29,'Trips&amp;Operators'!$C$1:$H$10000,5,FALSE)</f>
        <v>#N/A</v>
      </c>
      <c r="H29" s="91" t="e">
        <f>VLOOKUP(A29,'Train Runs'!$A$1:$H$10013,1,FALSE)</f>
        <v>#N/A</v>
      </c>
    </row>
    <row r="30" spans="1:8" x14ac:dyDescent="0.25">
      <c r="A30" s="60" t="s">
        <v>527</v>
      </c>
      <c r="B30" s="89"/>
      <c r="C30" s="60"/>
      <c r="D30" s="61"/>
      <c r="E30" s="60" t="e">
        <f>VLOOKUP(A30,'Trips&amp;Operators'!$C$2:$E$10000,3,FALSE)</f>
        <v>#N/A</v>
      </c>
      <c r="F30" s="60" t="e">
        <f>VLOOKUP(A30,'Trips&amp;Operators'!$C$1:$F$10000,4,FALSE)</f>
        <v>#N/A</v>
      </c>
      <c r="G30" s="91" t="e">
        <f>VLOOKUP(A30,'Trips&amp;Operators'!$C$1:$H$10000,5,FALSE)</f>
        <v>#N/A</v>
      </c>
      <c r="H30" s="91" t="e">
        <f>VLOOKUP(A30,'Train Runs'!$A$1:$H$10013,1,FALSE)</f>
        <v>#N/A</v>
      </c>
    </row>
    <row r="31" spans="1:8" x14ac:dyDescent="0.25">
      <c r="A31" s="60" t="s">
        <v>528</v>
      </c>
      <c r="B31" s="89"/>
      <c r="C31" s="60"/>
      <c r="D31" s="61"/>
      <c r="E31" s="60" t="e">
        <f>VLOOKUP(A31,'Trips&amp;Operators'!$C$2:$E$10000,3,FALSE)</f>
        <v>#N/A</v>
      </c>
      <c r="F31" s="60" t="e">
        <f>VLOOKUP(A31,'Trips&amp;Operators'!$C$1:$F$10000,4,FALSE)</f>
        <v>#N/A</v>
      </c>
      <c r="G31" s="91" t="e">
        <f>VLOOKUP(A31,'Trips&amp;Operators'!$C$1:$H$10000,5,FALSE)</f>
        <v>#N/A</v>
      </c>
      <c r="H31" s="91" t="e">
        <f>VLOOKUP(A31,'Train Runs'!$A$1:$H$10013,1,FALSE)</f>
        <v>#N/A</v>
      </c>
    </row>
    <row r="32" spans="1:8" x14ac:dyDescent="0.25">
      <c r="A32" s="60" t="s">
        <v>529</v>
      </c>
      <c r="B32" s="89"/>
      <c r="C32" s="60"/>
      <c r="D32" s="61"/>
      <c r="E32" s="60" t="e">
        <f>VLOOKUP(A32,'Trips&amp;Operators'!$C$2:$E$10000,3,FALSE)</f>
        <v>#N/A</v>
      </c>
      <c r="F32" s="60" t="e">
        <f>VLOOKUP(A32,'Trips&amp;Operators'!$C$1:$F$10000,4,FALSE)</f>
        <v>#N/A</v>
      </c>
      <c r="G32" s="91" t="e">
        <f>VLOOKUP(A32,'Trips&amp;Operators'!$C$1:$H$10000,5,FALSE)</f>
        <v>#N/A</v>
      </c>
      <c r="H32" s="91" t="e">
        <f>VLOOKUP(A32,'Train Runs'!$A$1:$H$10013,1,FALSE)</f>
        <v>#N/A</v>
      </c>
    </row>
    <row r="33" spans="1:8" x14ac:dyDescent="0.25">
      <c r="A33" s="60" t="s">
        <v>530</v>
      </c>
      <c r="B33" s="89"/>
      <c r="C33" s="60"/>
      <c r="D33" s="61"/>
      <c r="E33" s="60" t="e">
        <f>VLOOKUP(A33,'Trips&amp;Operators'!$C$2:$E$10000,3,FALSE)</f>
        <v>#N/A</v>
      </c>
      <c r="F33" s="60" t="e">
        <f>VLOOKUP(A33,'Trips&amp;Operators'!$C$1:$F$10000,4,FALSE)</f>
        <v>#N/A</v>
      </c>
      <c r="G33" s="91" t="e">
        <f>VLOOKUP(A33,'Trips&amp;Operators'!$C$1:$H$10000,5,FALSE)</f>
        <v>#N/A</v>
      </c>
      <c r="H33" s="91" t="e">
        <f>VLOOKUP(A33,'Train Runs'!$A$1:$H$10013,1,FALSE)</f>
        <v>#N/A</v>
      </c>
    </row>
    <row r="34" spans="1:8" x14ac:dyDescent="0.25">
      <c r="A34" s="60" t="s">
        <v>531</v>
      </c>
      <c r="B34" s="89"/>
      <c r="C34" s="60"/>
      <c r="D34" s="61"/>
      <c r="E34" s="60" t="e">
        <f>VLOOKUP(A34,'Trips&amp;Operators'!$C$2:$E$10000,3,FALSE)</f>
        <v>#N/A</v>
      </c>
      <c r="F34" s="60" t="e">
        <f>VLOOKUP(A34,'Trips&amp;Operators'!$C$1:$F$10000,4,FALSE)</f>
        <v>#N/A</v>
      </c>
      <c r="G34" s="91" t="e">
        <f>VLOOKUP(A34,'Trips&amp;Operators'!$C$1:$H$10000,5,FALSE)</f>
        <v>#N/A</v>
      </c>
      <c r="H34" s="91" t="e">
        <f>VLOOKUP(A34,'Train Runs'!$A$1:$H$10013,1,FALSE)</f>
        <v>#N/A</v>
      </c>
    </row>
    <row r="35" spans="1:8" x14ac:dyDescent="0.25">
      <c r="A35" s="60" t="s">
        <v>532</v>
      </c>
      <c r="B35" s="89"/>
      <c r="C35" s="60"/>
      <c r="D35" s="61"/>
      <c r="E35" s="60" t="e">
        <f>VLOOKUP(A35,'Trips&amp;Operators'!$C$2:$E$10000,3,FALSE)</f>
        <v>#N/A</v>
      </c>
      <c r="F35" s="60" t="e">
        <f>VLOOKUP(A35,'Trips&amp;Operators'!$C$1:$F$10000,4,FALSE)</f>
        <v>#N/A</v>
      </c>
      <c r="G35" s="91" t="e">
        <f>VLOOKUP(A35,'Trips&amp;Operators'!$C$1:$H$10000,5,FALSE)</f>
        <v>#N/A</v>
      </c>
      <c r="H35" s="91" t="e">
        <f>VLOOKUP(A35,'Train Runs'!$A$1:$H$10013,1,FALSE)</f>
        <v>#N/A</v>
      </c>
    </row>
    <row r="36" spans="1:8" x14ac:dyDescent="0.25">
      <c r="A36" s="60" t="s">
        <v>533</v>
      </c>
      <c r="B36" s="89"/>
      <c r="C36" s="60"/>
      <c r="D36" s="61"/>
      <c r="E36" s="60" t="e">
        <f>VLOOKUP(A36,'Trips&amp;Operators'!$C$2:$E$10000,3,FALSE)</f>
        <v>#N/A</v>
      </c>
      <c r="F36" s="60" t="e">
        <f>VLOOKUP(A36,'Trips&amp;Operators'!$C$1:$F$10000,4,FALSE)</f>
        <v>#N/A</v>
      </c>
      <c r="G36" s="91" t="e">
        <f>VLOOKUP(A36,'Trips&amp;Operators'!$C$1:$H$10000,5,FALSE)</f>
        <v>#N/A</v>
      </c>
      <c r="H36" s="91" t="e">
        <f>VLOOKUP(A36,'Train Runs'!$A$1:$H$10013,1,FALSE)</f>
        <v>#N/A</v>
      </c>
    </row>
    <row r="37" spans="1:8" x14ac:dyDescent="0.25">
      <c r="A37" s="60" t="s">
        <v>534</v>
      </c>
      <c r="B37" s="89"/>
      <c r="C37" s="60"/>
      <c r="D37" s="61"/>
      <c r="E37" s="60" t="e">
        <f>VLOOKUP(A37,'Trips&amp;Operators'!$C$2:$E$10000,3,FALSE)</f>
        <v>#N/A</v>
      </c>
      <c r="F37" s="60" t="e">
        <f>VLOOKUP(A37,'Trips&amp;Operators'!$C$1:$F$10000,4,FALSE)</f>
        <v>#N/A</v>
      </c>
      <c r="G37" s="91" t="e">
        <f>VLOOKUP(A37,'Trips&amp;Operators'!$C$1:$H$10000,5,FALSE)</f>
        <v>#N/A</v>
      </c>
      <c r="H37" s="91" t="e">
        <f>VLOOKUP(A37,'Train Runs'!$A$1:$H$10013,1,FALSE)</f>
        <v>#N/A</v>
      </c>
    </row>
    <row r="38" spans="1:8" x14ac:dyDescent="0.25">
      <c r="A38" s="60" t="s">
        <v>535</v>
      </c>
      <c r="B38" s="89"/>
      <c r="C38" s="60"/>
      <c r="D38" s="61"/>
      <c r="E38" s="60" t="e">
        <f>VLOOKUP(A38,'Trips&amp;Operators'!$C$2:$E$10000,3,FALSE)</f>
        <v>#N/A</v>
      </c>
      <c r="F38" s="60" t="e">
        <f>VLOOKUP(A38,'Trips&amp;Operators'!$C$1:$F$10000,4,FALSE)</f>
        <v>#N/A</v>
      </c>
      <c r="G38" s="91" t="e">
        <f>VLOOKUP(A38,'Trips&amp;Operators'!$C$1:$H$10000,5,FALSE)</f>
        <v>#N/A</v>
      </c>
      <c r="H38" s="91" t="e">
        <f>VLOOKUP(A38,'Train Runs'!$A$1:$H$10013,1,FALSE)</f>
        <v>#N/A</v>
      </c>
    </row>
    <row r="39" spans="1:8" x14ac:dyDescent="0.25">
      <c r="A39" s="60" t="s">
        <v>536</v>
      </c>
      <c r="B39" s="89"/>
      <c r="C39" s="60"/>
      <c r="D39" s="61"/>
      <c r="E39" s="60" t="e">
        <f>VLOOKUP(A39,'Trips&amp;Operators'!$C$2:$E$10000,3,FALSE)</f>
        <v>#N/A</v>
      </c>
      <c r="F39" s="60" t="e">
        <f>VLOOKUP(A39,'Trips&amp;Operators'!$C$1:$F$10000,4,FALSE)</f>
        <v>#N/A</v>
      </c>
      <c r="G39" s="91" t="e">
        <f>VLOOKUP(A39,'Trips&amp;Operators'!$C$1:$H$10000,5,FALSE)</f>
        <v>#N/A</v>
      </c>
      <c r="H39" s="91" t="e">
        <f>VLOOKUP(A39,'Train Runs'!$A$1:$H$10013,1,FALSE)</f>
        <v>#N/A</v>
      </c>
    </row>
    <row r="40" spans="1:8" x14ac:dyDescent="0.25">
      <c r="A40" s="60" t="s">
        <v>537</v>
      </c>
      <c r="B40" s="89"/>
      <c r="C40" s="60"/>
      <c r="D40" s="61"/>
      <c r="E40" s="60" t="e">
        <f>VLOOKUP(A40,'Trips&amp;Operators'!$C$2:$E$10000,3,FALSE)</f>
        <v>#N/A</v>
      </c>
      <c r="F40" s="60" t="e">
        <f>VLOOKUP(A40,'Trips&amp;Operators'!$C$1:$F$10000,4,FALSE)</f>
        <v>#N/A</v>
      </c>
      <c r="G40" s="91" t="e">
        <f>VLOOKUP(A40,'Trips&amp;Operators'!$C$1:$H$10000,5,FALSE)</f>
        <v>#N/A</v>
      </c>
      <c r="H40" s="91" t="e">
        <f>VLOOKUP(A40,'Train Runs'!$A$1:$H$10013,1,FALSE)</f>
        <v>#N/A</v>
      </c>
    </row>
    <row r="41" spans="1:8" x14ac:dyDescent="0.25">
      <c r="A41" s="60" t="s">
        <v>538</v>
      </c>
      <c r="B41" s="89"/>
      <c r="C41" s="60"/>
      <c r="D41" s="61"/>
      <c r="E41" s="60" t="e">
        <f>VLOOKUP(A41,'Trips&amp;Operators'!$C$2:$E$10000,3,FALSE)</f>
        <v>#N/A</v>
      </c>
      <c r="F41" s="60" t="e">
        <f>VLOOKUP(A41,'Trips&amp;Operators'!$C$1:$F$10000,4,FALSE)</f>
        <v>#N/A</v>
      </c>
      <c r="G41" s="91" t="e">
        <f>VLOOKUP(A41,'Trips&amp;Operators'!$C$1:$H$10000,5,FALSE)</f>
        <v>#N/A</v>
      </c>
      <c r="H41" s="91" t="e">
        <f>VLOOKUP(A41,'Train Runs'!$A$1:$H$10013,1,FALSE)</f>
        <v>#N/A</v>
      </c>
    </row>
    <row r="42" spans="1:8" x14ac:dyDescent="0.25">
      <c r="A42" s="60" t="s">
        <v>539</v>
      </c>
      <c r="B42" s="89"/>
      <c r="C42" s="60"/>
      <c r="D42" s="61"/>
      <c r="E42" s="60" t="e">
        <f>VLOOKUP(A42,'Trips&amp;Operators'!$C$2:$E$10000,3,FALSE)</f>
        <v>#N/A</v>
      </c>
      <c r="F42" s="60" t="e">
        <f>VLOOKUP(A42,'Trips&amp;Operators'!$C$1:$F$10000,4,FALSE)</f>
        <v>#N/A</v>
      </c>
      <c r="G42" s="91" t="e">
        <f>VLOOKUP(A42,'Trips&amp;Operators'!$C$1:$H$10000,5,FALSE)</f>
        <v>#N/A</v>
      </c>
      <c r="H42" s="91" t="e">
        <f>VLOOKUP(A42,'Train Runs'!$A$1:$H$10013,1,FALSE)</f>
        <v>#N/A</v>
      </c>
    </row>
    <row r="43" spans="1:8" x14ac:dyDescent="0.25">
      <c r="A43" s="60" t="s">
        <v>540</v>
      </c>
      <c r="B43" s="89"/>
      <c r="C43" s="60"/>
      <c r="D43" s="61"/>
      <c r="E43" s="60" t="e">
        <f>VLOOKUP(A43,'Trips&amp;Operators'!$C$2:$E$10000,3,FALSE)</f>
        <v>#N/A</v>
      </c>
      <c r="F43" s="60" t="e">
        <f>VLOOKUP(A43,'Trips&amp;Operators'!$C$1:$F$10000,4,FALSE)</f>
        <v>#N/A</v>
      </c>
      <c r="G43" s="91" t="e">
        <f>VLOOKUP(A43,'Trips&amp;Operators'!$C$1:$H$10000,5,FALSE)</f>
        <v>#N/A</v>
      </c>
      <c r="H43" s="91" t="e">
        <f>VLOOKUP(A43,'Train Runs'!$A$1:$H$10013,1,FALSE)</f>
        <v>#N/A</v>
      </c>
    </row>
    <row r="44" spans="1:8" x14ac:dyDescent="0.25">
      <c r="A44" s="60" t="s">
        <v>541</v>
      </c>
      <c r="B44" s="89"/>
      <c r="C44" s="60"/>
      <c r="D44" s="61"/>
      <c r="E44" s="60" t="e">
        <f>VLOOKUP(A44,'Trips&amp;Operators'!$C$2:$E$10000,3,FALSE)</f>
        <v>#N/A</v>
      </c>
      <c r="F44" s="60" t="e">
        <f>VLOOKUP(A44,'Trips&amp;Operators'!$C$1:$F$10000,4,FALSE)</f>
        <v>#N/A</v>
      </c>
      <c r="G44" s="91" t="e">
        <f>VLOOKUP(A44,'Trips&amp;Operators'!$C$1:$H$10000,5,FALSE)</f>
        <v>#N/A</v>
      </c>
      <c r="H44" s="91" t="e">
        <f>VLOOKUP(A44,'Train Runs'!$A$1:$H$10013,1,FALSE)</f>
        <v>#N/A</v>
      </c>
    </row>
    <row r="45" spans="1:8" x14ac:dyDescent="0.25">
      <c r="A45" s="60" t="s">
        <v>542</v>
      </c>
      <c r="B45" s="89"/>
      <c r="C45" s="60"/>
      <c r="D45" s="61"/>
      <c r="E45" s="60" t="e">
        <f>VLOOKUP(A45,'Trips&amp;Operators'!$C$2:$E$10000,3,FALSE)</f>
        <v>#N/A</v>
      </c>
      <c r="F45" s="60" t="e">
        <f>VLOOKUP(A45,'Trips&amp;Operators'!$C$1:$F$10000,4,FALSE)</f>
        <v>#N/A</v>
      </c>
      <c r="G45" s="91" t="e">
        <f>VLOOKUP(A45,'Trips&amp;Operators'!$C$1:$H$10000,5,FALSE)</f>
        <v>#N/A</v>
      </c>
      <c r="H45" s="91" t="e">
        <f>VLOOKUP(A45,'Train Runs'!$A$1:$H$10013,1,FALSE)</f>
        <v>#N/A</v>
      </c>
    </row>
    <row r="46" spans="1:8" x14ac:dyDescent="0.25">
      <c r="A46" s="60" t="s">
        <v>543</v>
      </c>
      <c r="B46" s="89"/>
      <c r="C46" s="60"/>
      <c r="D46" s="61"/>
      <c r="E46" s="60" t="e">
        <f>VLOOKUP(A46,'Trips&amp;Operators'!$C$2:$E$10000,3,FALSE)</f>
        <v>#N/A</v>
      </c>
      <c r="F46" s="60" t="e">
        <f>VLOOKUP(A46,'Trips&amp;Operators'!$C$1:$F$10000,4,FALSE)</f>
        <v>#N/A</v>
      </c>
      <c r="G46" s="91" t="e">
        <f>VLOOKUP(A46,'Trips&amp;Operators'!$C$1:$H$10000,5,FALSE)</f>
        <v>#N/A</v>
      </c>
      <c r="H46" s="91" t="e">
        <f>VLOOKUP(A46,'Train Runs'!$A$1:$H$10013,1,FALSE)</f>
        <v>#N/A</v>
      </c>
    </row>
    <row r="47" spans="1:8" x14ac:dyDescent="0.25">
      <c r="A47" s="60" t="s">
        <v>544</v>
      </c>
      <c r="B47" s="89"/>
      <c r="C47" s="60"/>
      <c r="D47" s="61"/>
      <c r="E47" s="60" t="e">
        <f>VLOOKUP(A47,'Trips&amp;Operators'!$C$2:$E$10000,3,FALSE)</f>
        <v>#N/A</v>
      </c>
      <c r="F47" s="60" t="e">
        <f>VLOOKUP(A47,'Trips&amp;Operators'!$C$1:$F$10000,4,FALSE)</f>
        <v>#N/A</v>
      </c>
      <c r="G47" s="91" t="e">
        <f>VLOOKUP(A47,'Trips&amp;Operators'!$C$1:$H$10000,5,FALSE)</f>
        <v>#N/A</v>
      </c>
      <c r="H47" s="91" t="e">
        <f>VLOOKUP(A47,'Train Runs'!$A$1:$H$10013,1,FALSE)</f>
        <v>#N/A</v>
      </c>
    </row>
    <row r="48" spans="1:8" x14ac:dyDescent="0.25">
      <c r="A48" s="60" t="s">
        <v>545</v>
      </c>
      <c r="B48" s="89"/>
      <c r="C48" s="60"/>
      <c r="D48" s="61"/>
      <c r="E48" s="60" t="e">
        <f>VLOOKUP(A48,'Trips&amp;Operators'!$C$2:$E$10000,3,FALSE)</f>
        <v>#N/A</v>
      </c>
      <c r="F48" s="60" t="e">
        <f>VLOOKUP(A48,'Trips&amp;Operators'!$C$1:$F$10000,4,FALSE)</f>
        <v>#N/A</v>
      </c>
      <c r="G48" s="91" t="e">
        <f>VLOOKUP(A48,'Trips&amp;Operators'!$C$1:$H$10000,5,FALSE)</f>
        <v>#N/A</v>
      </c>
      <c r="H48" s="91" t="e">
        <f>VLOOKUP(A48,'Train Runs'!$A$1:$H$10013,1,FALSE)</f>
        <v>#N/A</v>
      </c>
    </row>
    <row r="49" spans="1:8" x14ac:dyDescent="0.25">
      <c r="A49" s="60" t="s">
        <v>546</v>
      </c>
      <c r="B49" s="89"/>
      <c r="C49" s="60"/>
      <c r="D49" s="61"/>
      <c r="E49" s="60" t="e">
        <f>VLOOKUP(A49,'Trips&amp;Operators'!$C$2:$E$10000,3,FALSE)</f>
        <v>#N/A</v>
      </c>
      <c r="F49" s="60" t="e">
        <f>VLOOKUP(A49,'Trips&amp;Operators'!$C$1:$F$10000,4,FALSE)</f>
        <v>#N/A</v>
      </c>
      <c r="G49" s="91" t="e">
        <f>VLOOKUP(A49,'Trips&amp;Operators'!$C$1:$H$10000,5,FALSE)</f>
        <v>#N/A</v>
      </c>
      <c r="H49" s="91" t="e">
        <f>VLOOKUP(A49,'Train Runs'!$A$1:$H$10013,1,FALSE)</f>
        <v>#N/A</v>
      </c>
    </row>
    <row r="50" spans="1:8" x14ac:dyDescent="0.25">
      <c r="A50" s="60" t="s">
        <v>547</v>
      </c>
      <c r="B50" s="89"/>
      <c r="C50" s="60"/>
      <c r="D50" s="61"/>
      <c r="E50" s="60" t="e">
        <f>VLOOKUP(A50,'Trips&amp;Operators'!$C$2:$E$10000,3,FALSE)</f>
        <v>#N/A</v>
      </c>
      <c r="F50" s="60" t="e">
        <f>VLOOKUP(A50,'Trips&amp;Operators'!$C$1:$F$10000,4,FALSE)</f>
        <v>#N/A</v>
      </c>
      <c r="G50" s="91" t="e">
        <f>VLOOKUP(A50,'Trips&amp;Operators'!$C$1:$H$10000,5,FALSE)</f>
        <v>#N/A</v>
      </c>
      <c r="H50" s="91" t="e">
        <f>VLOOKUP(A50,'Train Runs'!$A$1:$H$10013,1,FALSE)</f>
        <v>#N/A</v>
      </c>
    </row>
    <row r="51" spans="1:8" x14ac:dyDescent="0.25">
      <c r="A51" s="60" t="s">
        <v>548</v>
      </c>
      <c r="B51" s="89"/>
      <c r="C51" s="60"/>
      <c r="D51" s="61"/>
      <c r="E51" s="60" t="e">
        <f>VLOOKUP(A51,'Trips&amp;Operators'!$C$2:$E$10000,3,FALSE)</f>
        <v>#N/A</v>
      </c>
      <c r="F51" s="60" t="e">
        <f>VLOOKUP(A51,'Trips&amp;Operators'!$C$1:$F$10000,4,FALSE)</f>
        <v>#N/A</v>
      </c>
      <c r="G51" s="91" t="e">
        <f>VLOOKUP(A51,'Trips&amp;Operators'!$C$1:$H$10000,5,FALSE)</f>
        <v>#N/A</v>
      </c>
      <c r="H51" s="91" t="e">
        <f>VLOOKUP(A51,'Train Runs'!$A$1:$H$10013,1,FALSE)</f>
        <v>#N/A</v>
      </c>
    </row>
    <row r="52" spans="1:8" x14ac:dyDescent="0.25">
      <c r="A52" s="60" t="s">
        <v>549</v>
      </c>
      <c r="B52" s="89"/>
      <c r="C52" s="60"/>
      <c r="D52" s="61"/>
      <c r="E52" s="60" t="e">
        <f>VLOOKUP(A52,'Trips&amp;Operators'!$C$2:$E$10000,3,FALSE)</f>
        <v>#N/A</v>
      </c>
      <c r="F52" s="60" t="e">
        <f>VLOOKUP(A52,'Trips&amp;Operators'!$C$1:$F$10000,4,FALSE)</f>
        <v>#N/A</v>
      </c>
      <c r="G52" s="91" t="e">
        <f>VLOOKUP(A52,'Trips&amp;Operators'!$C$1:$H$10000,5,FALSE)</f>
        <v>#N/A</v>
      </c>
      <c r="H52" s="91" t="e">
        <f>VLOOKUP(A52,'Train Runs'!$A$1:$H$10013,1,FALSE)</f>
        <v>#N/A</v>
      </c>
    </row>
    <row r="53" spans="1:8" x14ac:dyDescent="0.25">
      <c r="A53" s="60" t="s">
        <v>550</v>
      </c>
      <c r="B53" s="89"/>
      <c r="C53" s="60"/>
      <c r="D53" s="61"/>
      <c r="E53" s="60" t="e">
        <f>VLOOKUP(A53,'Trips&amp;Operators'!$C$2:$E$10000,3,FALSE)</f>
        <v>#N/A</v>
      </c>
      <c r="F53" s="60" t="e">
        <f>VLOOKUP(A53,'Trips&amp;Operators'!$C$1:$F$10000,4,FALSE)</f>
        <v>#N/A</v>
      </c>
      <c r="G53" s="91" t="e">
        <f>VLOOKUP(A53,'Trips&amp;Operators'!$C$1:$H$10000,5,FALSE)</f>
        <v>#N/A</v>
      </c>
      <c r="H53" s="91" t="e">
        <f>VLOOKUP(A53,'Train Runs'!$A$1:$H$10013,1,FALSE)</f>
        <v>#N/A</v>
      </c>
    </row>
    <row r="54" spans="1:8" x14ac:dyDescent="0.25">
      <c r="A54" s="60" t="s">
        <v>551</v>
      </c>
      <c r="B54" s="89"/>
      <c r="C54" s="60"/>
      <c r="D54" s="61"/>
      <c r="E54" s="60" t="e">
        <f>VLOOKUP(A54,'Trips&amp;Operators'!$C$2:$E$10000,3,FALSE)</f>
        <v>#N/A</v>
      </c>
      <c r="F54" s="60" t="e">
        <f>VLOOKUP(A54,'Trips&amp;Operators'!$C$1:$F$10000,4,FALSE)</f>
        <v>#N/A</v>
      </c>
      <c r="G54" s="91" t="e">
        <f>VLOOKUP(A54,'Trips&amp;Operators'!$C$1:$H$10000,5,FALSE)</f>
        <v>#N/A</v>
      </c>
      <c r="H54" s="91" t="e">
        <f>VLOOKUP(A54,'Train Runs'!$A$1:$H$10013,1,FALSE)</f>
        <v>#N/A</v>
      </c>
    </row>
    <row r="55" spans="1:8" x14ac:dyDescent="0.25">
      <c r="A55" s="60" t="s">
        <v>552</v>
      </c>
      <c r="B55" s="89"/>
      <c r="C55" s="60"/>
      <c r="D55" s="61"/>
      <c r="E55" s="60" t="e">
        <f>VLOOKUP(A55,'Trips&amp;Operators'!$C$2:$E$10000,3,FALSE)</f>
        <v>#N/A</v>
      </c>
      <c r="F55" s="60" t="e">
        <f>VLOOKUP(A55,'Trips&amp;Operators'!$C$1:$F$10000,4,FALSE)</f>
        <v>#N/A</v>
      </c>
      <c r="G55" s="91" t="e">
        <f>VLOOKUP(A55,'Trips&amp;Operators'!$C$1:$H$10000,5,FALSE)</f>
        <v>#N/A</v>
      </c>
      <c r="H55" s="91" t="e">
        <f>VLOOKUP(A55,'Train Runs'!$A$1:$H$10013,1,FALSE)</f>
        <v>#N/A</v>
      </c>
    </row>
    <row r="56" spans="1:8" x14ac:dyDescent="0.25">
      <c r="A56" s="60" t="s">
        <v>553</v>
      </c>
      <c r="B56" s="89"/>
      <c r="C56" s="60"/>
      <c r="D56" s="61"/>
      <c r="E56" s="60" t="e">
        <f>VLOOKUP(A56,'Trips&amp;Operators'!$C$2:$E$10000,3,FALSE)</f>
        <v>#N/A</v>
      </c>
      <c r="F56" s="60" t="e">
        <f>VLOOKUP(A56,'Trips&amp;Operators'!$C$1:$F$10000,4,FALSE)</f>
        <v>#N/A</v>
      </c>
      <c r="G56" s="91" t="e">
        <f>VLOOKUP(A56,'Trips&amp;Operators'!$C$1:$H$10000,5,FALSE)</f>
        <v>#N/A</v>
      </c>
      <c r="H56" s="91" t="e">
        <f>VLOOKUP(A56,'Train Runs'!$A$1:$H$10013,1,FALSE)</f>
        <v>#N/A</v>
      </c>
    </row>
    <row r="57" spans="1:8" x14ac:dyDescent="0.25">
      <c r="A57" s="60" t="s">
        <v>554</v>
      </c>
      <c r="B57" s="89"/>
      <c r="C57" s="60"/>
      <c r="D57" s="61"/>
      <c r="E57" s="60" t="e">
        <f>VLOOKUP(A57,'Trips&amp;Operators'!$C$2:$E$10000,3,FALSE)</f>
        <v>#N/A</v>
      </c>
      <c r="F57" s="60" t="e">
        <f>VLOOKUP(A57,'Trips&amp;Operators'!$C$1:$F$10000,4,FALSE)</f>
        <v>#N/A</v>
      </c>
      <c r="G57" s="91" t="e">
        <f>VLOOKUP(A57,'Trips&amp;Operators'!$C$1:$H$10000,5,FALSE)</f>
        <v>#N/A</v>
      </c>
      <c r="H57" s="91" t="e">
        <f>VLOOKUP(A57,'Train Runs'!$A$1:$H$10013,1,FALSE)</f>
        <v>#N/A</v>
      </c>
    </row>
    <row r="58" spans="1:8" x14ac:dyDescent="0.25">
      <c r="A58" s="60" t="s">
        <v>555</v>
      </c>
      <c r="B58" s="89"/>
      <c r="C58" s="60"/>
      <c r="D58" s="61"/>
      <c r="E58" s="60" t="e">
        <f>VLOOKUP(A58,'Trips&amp;Operators'!$C$2:$E$10000,3,FALSE)</f>
        <v>#N/A</v>
      </c>
      <c r="F58" s="60" t="e">
        <f>VLOOKUP(A58,'Trips&amp;Operators'!$C$1:$F$10000,4,FALSE)</f>
        <v>#N/A</v>
      </c>
      <c r="G58" s="91" t="e">
        <f>VLOOKUP(A58,'Trips&amp;Operators'!$C$1:$H$10000,5,FALSE)</f>
        <v>#N/A</v>
      </c>
      <c r="H58" s="91" t="e">
        <f>VLOOKUP(A58,'Train Runs'!$A$1:$H$10013,1,FALSE)</f>
        <v>#N/A</v>
      </c>
    </row>
  </sheetData>
  <sortState ref="A3:I72">
    <sortCondition ref="G3:G72"/>
  </sortState>
  <mergeCells count="1">
    <mergeCell ref="A1:E1"/>
  </mergeCells>
  <conditionalFormatting sqref="B3:H58">
    <cfRule type="expression" dxfId="5" priority="79">
      <formula>$R75&gt;0</formula>
    </cfRule>
    <cfRule type="expression" dxfId="4" priority="80">
      <formula>$Q75&gt;0</formula>
    </cfRule>
  </conditionalFormatting>
  <conditionalFormatting sqref="A3:A58">
    <cfRule type="expression" dxfId="3" priority="83">
      <formula>$P75&gt;0</formula>
    </cfRule>
    <cfRule type="expression" dxfId="2" priority="84">
      <formula>$O75&gt;0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5" id="{EB016D9B-668F-4EEA-859B-63F0F621CEF6}">
            <xm:f>$P75&gt;Variables!$C$2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B3:H58</xm:sqref>
        </x14:conditionalFormatting>
        <x14:conditionalFormatting xmlns:xm="http://schemas.microsoft.com/office/excel/2006/main">
          <x14:cfRule type="expression" priority="87" id="{7BEE79D8-A35C-466F-9288-52F47D361E87}">
            <xm:f>$N75&gt;Variables!$C$2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A3:A58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292"/>
  <sheetViews>
    <sheetView workbookViewId="0">
      <selection activeCell="G1" sqref="G1:G1048576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59" bestFit="1" customWidth="1"/>
    <col min="7" max="7" width="18.28515625" style="14" bestFit="1" customWidth="1"/>
  </cols>
  <sheetData>
    <row r="1" spans="1:7" s="59" customFormat="1" x14ac:dyDescent="0.25">
      <c r="A1" s="14">
        <v>42538.311249999999</v>
      </c>
      <c r="B1" s="59" t="s">
        <v>215</v>
      </c>
      <c r="C1" s="59" t="s">
        <v>346</v>
      </c>
      <c r="D1" s="59">
        <v>1310000</v>
      </c>
      <c r="E1" s="59" t="s">
        <v>130</v>
      </c>
      <c r="F1" s="59" t="s">
        <v>215</v>
      </c>
      <c r="G1" s="14">
        <v>42538.311249999999</v>
      </c>
    </row>
    <row r="2" spans="1:7" x14ac:dyDescent="0.25">
      <c r="A2" s="14">
        <v>42538.284490740742</v>
      </c>
      <c r="B2" t="s">
        <v>276</v>
      </c>
      <c r="C2" t="s">
        <v>347</v>
      </c>
      <c r="D2">
        <v>1480000</v>
      </c>
      <c r="E2" t="s">
        <v>348</v>
      </c>
      <c r="F2" s="59" t="s">
        <v>276</v>
      </c>
      <c r="G2" s="14">
        <v>42538.284490740742</v>
      </c>
    </row>
    <row r="3" spans="1:7" x14ac:dyDescent="0.25">
      <c r="A3" s="14">
        <v>42538.413287037038</v>
      </c>
      <c r="B3" t="s">
        <v>268</v>
      </c>
      <c r="C3" t="s">
        <v>331</v>
      </c>
      <c r="D3">
        <v>1170000</v>
      </c>
      <c r="E3" t="s">
        <v>349</v>
      </c>
      <c r="F3" s="59" t="s">
        <v>268</v>
      </c>
      <c r="G3" s="14">
        <v>42538.413287037038</v>
      </c>
    </row>
    <row r="4" spans="1:7" x14ac:dyDescent="0.25">
      <c r="A4" s="14">
        <v>42538.313032407408</v>
      </c>
      <c r="B4" t="s">
        <v>185</v>
      </c>
      <c r="C4" t="s">
        <v>350</v>
      </c>
      <c r="D4">
        <v>1990000</v>
      </c>
      <c r="E4" t="s">
        <v>282</v>
      </c>
      <c r="F4" s="59" t="s">
        <v>185</v>
      </c>
      <c r="G4" s="14">
        <v>42538.313032407408</v>
      </c>
    </row>
    <row r="5" spans="1:7" x14ac:dyDescent="0.25">
      <c r="A5" s="14">
        <v>42538.418217592596</v>
      </c>
      <c r="B5" t="s">
        <v>176</v>
      </c>
      <c r="C5" t="s">
        <v>334</v>
      </c>
      <c r="D5">
        <v>2020000</v>
      </c>
      <c r="E5" t="s">
        <v>273</v>
      </c>
      <c r="F5" s="59" t="s">
        <v>176</v>
      </c>
      <c r="G5" s="14">
        <v>42538.418217592596</v>
      </c>
    </row>
    <row r="6" spans="1:7" x14ac:dyDescent="0.25">
      <c r="A6" s="14">
        <v>42539.032650462963</v>
      </c>
      <c r="B6" t="s">
        <v>341</v>
      </c>
      <c r="C6" t="s">
        <v>351</v>
      </c>
      <c r="D6">
        <v>1770000</v>
      </c>
      <c r="E6" t="s">
        <v>352</v>
      </c>
      <c r="F6" s="59" t="s">
        <v>341</v>
      </c>
      <c r="G6" s="14">
        <v>42539.032650462963</v>
      </c>
    </row>
    <row r="7" spans="1:7" x14ac:dyDescent="0.25">
      <c r="A7" s="14">
        <v>42538.307604166665</v>
      </c>
      <c r="B7" t="s">
        <v>94</v>
      </c>
      <c r="C7" t="s">
        <v>324</v>
      </c>
      <c r="D7">
        <v>1840000</v>
      </c>
      <c r="E7" t="s">
        <v>274</v>
      </c>
      <c r="F7" s="59" t="s">
        <v>94</v>
      </c>
      <c r="G7" s="14">
        <v>42538.307604166665</v>
      </c>
    </row>
    <row r="8" spans="1:7" x14ac:dyDescent="0.25">
      <c r="A8" s="14">
        <v>42538.321226851855</v>
      </c>
      <c r="B8" t="s">
        <v>267</v>
      </c>
      <c r="C8" t="s">
        <v>353</v>
      </c>
      <c r="D8">
        <v>1480000</v>
      </c>
      <c r="E8" t="s">
        <v>348</v>
      </c>
      <c r="F8" s="59" t="s">
        <v>267</v>
      </c>
      <c r="G8" s="14">
        <v>42538.321226851855</v>
      </c>
    </row>
    <row r="9" spans="1:7" ht="15.75" thickBot="1" x14ac:dyDescent="0.3">
      <c r="A9" s="82">
        <v>42538.32671296296</v>
      </c>
      <c r="B9" t="s">
        <v>114</v>
      </c>
      <c r="C9" t="s">
        <v>325</v>
      </c>
      <c r="D9">
        <v>2000000</v>
      </c>
      <c r="E9" t="s">
        <v>281</v>
      </c>
      <c r="F9" s="59" t="s">
        <v>114</v>
      </c>
      <c r="G9" s="82">
        <v>42538.32671296296</v>
      </c>
    </row>
    <row r="10" spans="1:7" x14ac:dyDescent="0.25">
      <c r="A10" s="14">
        <v>42538.368842592594</v>
      </c>
      <c r="B10" t="s">
        <v>92</v>
      </c>
      <c r="C10" t="s">
        <v>328</v>
      </c>
      <c r="D10">
        <v>1470000</v>
      </c>
      <c r="E10" t="s">
        <v>204</v>
      </c>
      <c r="F10" s="59" t="s">
        <v>92</v>
      </c>
      <c r="G10" s="14">
        <v>42538.368842592594</v>
      </c>
    </row>
    <row r="11" spans="1:7" x14ac:dyDescent="0.25">
      <c r="A11" s="14">
        <v>42538.39340277778</v>
      </c>
      <c r="B11" t="s">
        <v>112</v>
      </c>
      <c r="C11" t="s">
        <v>332</v>
      </c>
      <c r="D11">
        <v>2000000</v>
      </c>
      <c r="E11" t="s">
        <v>281</v>
      </c>
      <c r="F11" s="59" t="s">
        <v>112</v>
      </c>
      <c r="G11" s="14">
        <v>42538.39340277778</v>
      </c>
    </row>
    <row r="12" spans="1:7" x14ac:dyDescent="0.25">
      <c r="A12" s="14">
        <v>42538.724618055552</v>
      </c>
      <c r="B12" t="s">
        <v>341</v>
      </c>
      <c r="C12" t="s">
        <v>342</v>
      </c>
      <c r="D12">
        <v>1510000</v>
      </c>
      <c r="E12" t="s">
        <v>354</v>
      </c>
      <c r="F12" s="59" t="s">
        <v>341</v>
      </c>
      <c r="G12" s="14">
        <v>42538.724618055552</v>
      </c>
    </row>
    <row r="13" spans="1:7" x14ac:dyDescent="0.25">
      <c r="A13" s="14">
        <v>42538.42460648148</v>
      </c>
      <c r="B13" t="s">
        <v>86</v>
      </c>
      <c r="C13" t="s">
        <v>355</v>
      </c>
      <c r="D13">
        <v>1830000</v>
      </c>
      <c r="E13" t="s">
        <v>205</v>
      </c>
      <c r="F13" s="59" t="s">
        <v>86</v>
      </c>
      <c r="G13" s="14">
        <v>42538.42460648148</v>
      </c>
    </row>
    <row r="14" spans="1:7" x14ac:dyDescent="0.25">
      <c r="A14" s="14">
        <v>42538.87060185185</v>
      </c>
      <c r="B14" t="s">
        <v>267</v>
      </c>
      <c r="C14" t="s">
        <v>356</v>
      </c>
      <c r="D14">
        <v>1820000</v>
      </c>
      <c r="E14" t="s">
        <v>103</v>
      </c>
      <c r="F14" s="59" t="s">
        <v>267</v>
      </c>
      <c r="G14" s="14">
        <v>42538.87060185185</v>
      </c>
    </row>
    <row r="15" spans="1:7" x14ac:dyDescent="0.25">
      <c r="A15" s="14">
        <v>42538.261446759258</v>
      </c>
      <c r="B15" t="s">
        <v>86</v>
      </c>
      <c r="C15" t="s">
        <v>357</v>
      </c>
      <c r="D15">
        <v>1830000</v>
      </c>
      <c r="E15" t="s">
        <v>205</v>
      </c>
      <c r="F15" s="59" t="s">
        <v>86</v>
      </c>
      <c r="G15" s="14">
        <v>42538.261446759258</v>
      </c>
    </row>
    <row r="16" spans="1:7" x14ac:dyDescent="0.25">
      <c r="A16" s="14">
        <v>42538.652881944443</v>
      </c>
      <c r="B16" t="s">
        <v>104</v>
      </c>
      <c r="C16" t="s">
        <v>358</v>
      </c>
      <c r="D16">
        <v>2020000</v>
      </c>
      <c r="E16" t="s">
        <v>273</v>
      </c>
      <c r="F16" s="59" t="s">
        <v>104</v>
      </c>
      <c r="G16" s="14">
        <v>42538.652881944443</v>
      </c>
    </row>
    <row r="17" spans="1:7" x14ac:dyDescent="0.25">
      <c r="A17" s="14">
        <v>42538.316747685189</v>
      </c>
      <c r="B17" s="59" t="s">
        <v>91</v>
      </c>
      <c r="C17" t="s">
        <v>359</v>
      </c>
      <c r="D17">
        <v>1470000</v>
      </c>
      <c r="E17" t="s">
        <v>204</v>
      </c>
      <c r="F17" s="59" t="s">
        <v>91</v>
      </c>
      <c r="G17" s="14">
        <v>42538.316747685189</v>
      </c>
    </row>
    <row r="18" spans="1:7" x14ac:dyDescent="0.25">
      <c r="A18" s="14">
        <v>42538.606759259259</v>
      </c>
      <c r="B18" t="s">
        <v>92</v>
      </c>
      <c r="C18" t="s">
        <v>360</v>
      </c>
      <c r="D18">
        <v>1460000</v>
      </c>
      <c r="E18" t="s">
        <v>361</v>
      </c>
      <c r="F18" s="59" t="s">
        <v>92</v>
      </c>
      <c r="G18" s="14">
        <v>42538.606759259259</v>
      </c>
    </row>
    <row r="19" spans="1:7" x14ac:dyDescent="0.25">
      <c r="A19" s="14">
        <v>42538.377754629626</v>
      </c>
      <c r="B19" t="s">
        <v>112</v>
      </c>
      <c r="C19" t="s">
        <v>332</v>
      </c>
      <c r="D19">
        <v>2000000</v>
      </c>
      <c r="E19" t="s">
        <v>281</v>
      </c>
      <c r="F19" s="59" t="s">
        <v>112</v>
      </c>
      <c r="G19" s="14">
        <v>42538.377754629626</v>
      </c>
    </row>
    <row r="20" spans="1:7" x14ac:dyDescent="0.25">
      <c r="A20" s="14">
        <v>42538.603368055556</v>
      </c>
      <c r="B20" t="s">
        <v>189</v>
      </c>
      <c r="C20" t="s">
        <v>362</v>
      </c>
      <c r="D20">
        <v>1090000</v>
      </c>
      <c r="E20" t="s">
        <v>187</v>
      </c>
      <c r="F20" s="59" t="s">
        <v>189</v>
      </c>
      <c r="G20" s="14">
        <v>42538.603368055556</v>
      </c>
    </row>
    <row r="21" spans="1:7" x14ac:dyDescent="0.25">
      <c r="A21" s="14">
        <v>42538.408773148149</v>
      </c>
      <c r="B21" t="s">
        <v>267</v>
      </c>
      <c r="C21" t="s">
        <v>333</v>
      </c>
      <c r="D21">
        <v>1480000</v>
      </c>
      <c r="E21" t="s">
        <v>348</v>
      </c>
      <c r="F21" s="59" t="s">
        <v>267</v>
      </c>
      <c r="G21" s="14">
        <v>42538.408773148149</v>
      </c>
    </row>
    <row r="22" spans="1:7" x14ac:dyDescent="0.25">
      <c r="A22" s="14">
        <v>42538.580763888887</v>
      </c>
      <c r="B22" t="s">
        <v>104</v>
      </c>
      <c r="C22" t="s">
        <v>363</v>
      </c>
      <c r="D22">
        <v>2020000</v>
      </c>
      <c r="E22" t="s">
        <v>273</v>
      </c>
      <c r="F22" s="59" t="s">
        <v>104</v>
      </c>
      <c r="G22" s="14">
        <v>42538.580763888887</v>
      </c>
    </row>
    <row r="23" spans="1:7" x14ac:dyDescent="0.25">
      <c r="A23" s="14">
        <v>42538.241099537037</v>
      </c>
      <c r="B23" t="s">
        <v>267</v>
      </c>
      <c r="C23" t="s">
        <v>320</v>
      </c>
      <c r="D23">
        <v>1480000</v>
      </c>
      <c r="E23" t="s">
        <v>348</v>
      </c>
      <c r="F23" s="59" t="s">
        <v>267</v>
      </c>
      <c r="G23" s="14">
        <v>42538.241099537037</v>
      </c>
    </row>
    <row r="24" spans="1:7" x14ac:dyDescent="0.25">
      <c r="A24" s="14">
        <v>42538.457986111112</v>
      </c>
      <c r="B24" t="s">
        <v>112</v>
      </c>
      <c r="C24" t="s">
        <v>364</v>
      </c>
      <c r="D24">
        <v>900000</v>
      </c>
      <c r="E24" t="s">
        <v>128</v>
      </c>
      <c r="F24" s="59" t="s">
        <v>112</v>
      </c>
      <c r="G24" s="14">
        <v>42538.457986111112</v>
      </c>
    </row>
    <row r="25" spans="1:7" x14ac:dyDescent="0.25">
      <c r="A25" s="14">
        <v>42538.257905092592</v>
      </c>
      <c r="B25" t="s">
        <v>104</v>
      </c>
      <c r="C25" t="s">
        <v>321</v>
      </c>
      <c r="D25">
        <v>1840000</v>
      </c>
      <c r="E25" t="s">
        <v>274</v>
      </c>
      <c r="F25" s="59" t="s">
        <v>104</v>
      </c>
      <c r="G25" s="14">
        <v>42538.257905092592</v>
      </c>
    </row>
    <row r="26" spans="1:7" x14ac:dyDescent="0.25">
      <c r="A26" s="14">
        <v>42538.453194444446</v>
      </c>
      <c r="B26" t="s">
        <v>341</v>
      </c>
      <c r="C26" t="s">
        <v>365</v>
      </c>
      <c r="D26">
        <v>2020000</v>
      </c>
      <c r="E26" t="s">
        <v>273</v>
      </c>
      <c r="F26" s="59" t="s">
        <v>341</v>
      </c>
      <c r="G26" s="14">
        <v>42538.453194444446</v>
      </c>
    </row>
    <row r="27" spans="1:7" x14ac:dyDescent="0.25">
      <c r="A27" s="14">
        <v>42538.353576388887</v>
      </c>
      <c r="B27" t="s">
        <v>276</v>
      </c>
      <c r="C27" t="s">
        <v>366</v>
      </c>
      <c r="D27">
        <v>1480000</v>
      </c>
      <c r="E27" t="s">
        <v>348</v>
      </c>
      <c r="F27" s="59" t="s">
        <v>276</v>
      </c>
      <c r="G27" s="14">
        <v>42538.353576388887</v>
      </c>
    </row>
    <row r="28" spans="1:7" x14ac:dyDescent="0.25">
      <c r="A28" s="14">
        <v>42538.450682870367</v>
      </c>
      <c r="B28" s="59" t="s">
        <v>268</v>
      </c>
      <c r="C28" t="s">
        <v>331</v>
      </c>
      <c r="D28">
        <v>1170000</v>
      </c>
      <c r="E28" t="s">
        <v>349</v>
      </c>
      <c r="F28" s="59" t="s">
        <v>268</v>
      </c>
      <c r="G28" s="14">
        <v>42538.450682870367</v>
      </c>
    </row>
    <row r="29" spans="1:7" x14ac:dyDescent="0.25">
      <c r="A29" s="14">
        <v>42538.441678240742</v>
      </c>
      <c r="B29" t="s">
        <v>265</v>
      </c>
      <c r="C29" t="s">
        <v>331</v>
      </c>
      <c r="D29">
        <v>1170000</v>
      </c>
      <c r="E29" t="s">
        <v>349</v>
      </c>
      <c r="F29" s="59" t="s">
        <v>265</v>
      </c>
      <c r="G29" s="14">
        <v>42538.441678240742</v>
      </c>
    </row>
    <row r="30" spans="1:7" x14ac:dyDescent="0.25">
      <c r="A30" s="14">
        <v>42538.445486111108</v>
      </c>
      <c r="B30" t="s">
        <v>92</v>
      </c>
      <c r="C30" t="s">
        <v>367</v>
      </c>
      <c r="D30">
        <v>1510000</v>
      </c>
      <c r="E30" t="s">
        <v>354</v>
      </c>
      <c r="F30" s="59" t="s">
        <v>92</v>
      </c>
      <c r="G30" s="14">
        <v>42538.445486111108</v>
      </c>
    </row>
    <row r="31" spans="1:7" x14ac:dyDescent="0.25">
      <c r="A31" s="14">
        <v>42538.446145833332</v>
      </c>
      <c r="B31" t="s">
        <v>95</v>
      </c>
      <c r="C31" t="s">
        <v>368</v>
      </c>
      <c r="D31">
        <v>1110000</v>
      </c>
      <c r="E31" t="s">
        <v>99</v>
      </c>
      <c r="F31" s="59" t="s">
        <v>95</v>
      </c>
      <c r="G31" s="14">
        <v>42538.446145833332</v>
      </c>
    </row>
    <row r="32" spans="1:7" x14ac:dyDescent="0.25">
      <c r="A32" s="14">
        <v>42538.431215277778</v>
      </c>
      <c r="B32" t="s">
        <v>226</v>
      </c>
      <c r="C32" t="s">
        <v>369</v>
      </c>
      <c r="D32">
        <v>1840000</v>
      </c>
      <c r="E32" t="s">
        <v>274</v>
      </c>
      <c r="F32" s="59" t="s">
        <v>226</v>
      </c>
      <c r="G32" s="14">
        <v>42538.431215277778</v>
      </c>
    </row>
    <row r="33" spans="1:7" x14ac:dyDescent="0.25">
      <c r="A33" s="14">
        <v>42538.550370370373</v>
      </c>
      <c r="B33" t="s">
        <v>109</v>
      </c>
      <c r="C33" t="s">
        <v>370</v>
      </c>
      <c r="D33">
        <v>950000</v>
      </c>
      <c r="E33" t="s">
        <v>371</v>
      </c>
      <c r="F33" s="59" t="s">
        <v>109</v>
      </c>
      <c r="G33" s="14">
        <v>42538.550370370373</v>
      </c>
    </row>
    <row r="34" spans="1:7" x14ac:dyDescent="0.25">
      <c r="A34" s="14">
        <v>42538.347083333334</v>
      </c>
      <c r="B34" t="s">
        <v>226</v>
      </c>
      <c r="C34" t="s">
        <v>372</v>
      </c>
      <c r="D34">
        <v>1310000</v>
      </c>
      <c r="E34" t="s">
        <v>130</v>
      </c>
      <c r="F34" s="59" t="s">
        <v>226</v>
      </c>
      <c r="G34" s="14">
        <v>42538.347083333334</v>
      </c>
    </row>
    <row r="35" spans="1:7" x14ac:dyDescent="0.25">
      <c r="A35" s="14">
        <v>42538.796990740739</v>
      </c>
      <c r="B35" t="s">
        <v>341</v>
      </c>
      <c r="C35" t="s">
        <v>343</v>
      </c>
      <c r="D35">
        <v>1770000</v>
      </c>
      <c r="E35" t="s">
        <v>352</v>
      </c>
      <c r="F35" s="59" t="s">
        <v>341</v>
      </c>
      <c r="G35" s="14">
        <v>42538.796990740739</v>
      </c>
    </row>
    <row r="36" spans="1:7" x14ac:dyDescent="0.25">
      <c r="A36" s="14">
        <v>42538.270532407405</v>
      </c>
      <c r="B36" t="s">
        <v>226</v>
      </c>
      <c r="C36" t="s">
        <v>322</v>
      </c>
      <c r="D36">
        <v>1310000</v>
      </c>
      <c r="E36" t="s">
        <v>130</v>
      </c>
      <c r="F36" s="59" t="s">
        <v>226</v>
      </c>
      <c r="G36" s="14">
        <v>42538.270532407405</v>
      </c>
    </row>
    <row r="37" spans="1:7" x14ac:dyDescent="0.25">
      <c r="A37" s="14">
        <v>42538.932037037041</v>
      </c>
      <c r="B37" t="s">
        <v>215</v>
      </c>
      <c r="C37" t="s">
        <v>373</v>
      </c>
      <c r="D37">
        <v>1180000</v>
      </c>
      <c r="E37" t="s">
        <v>105</v>
      </c>
      <c r="F37" s="59" t="s">
        <v>215</v>
      </c>
      <c r="G37" s="14">
        <v>42538.932037037041</v>
      </c>
    </row>
    <row r="38" spans="1:7" x14ac:dyDescent="0.25">
      <c r="A38" s="14">
        <v>42538.259120370371</v>
      </c>
      <c r="B38" t="s">
        <v>114</v>
      </c>
      <c r="C38" t="s">
        <v>374</v>
      </c>
      <c r="D38">
        <v>2000000</v>
      </c>
      <c r="E38" t="s">
        <v>281</v>
      </c>
      <c r="F38" s="59" t="s">
        <v>114</v>
      </c>
      <c r="G38" s="14">
        <v>42538.259120370371</v>
      </c>
    </row>
    <row r="39" spans="1:7" x14ac:dyDescent="0.25">
      <c r="A39" s="14">
        <v>42538.996608796297</v>
      </c>
      <c r="B39" t="s">
        <v>276</v>
      </c>
      <c r="C39" t="s">
        <v>375</v>
      </c>
      <c r="D39">
        <v>1820000</v>
      </c>
      <c r="E39" t="s">
        <v>103</v>
      </c>
      <c r="F39" s="59" t="s">
        <v>276</v>
      </c>
      <c r="G39" s="14">
        <v>42538.996608796297</v>
      </c>
    </row>
    <row r="40" spans="1:7" x14ac:dyDescent="0.25">
      <c r="A40" s="14">
        <v>42539.036064814813</v>
      </c>
      <c r="B40" t="s">
        <v>267</v>
      </c>
      <c r="C40" t="s">
        <v>376</v>
      </c>
      <c r="D40">
        <v>1820000</v>
      </c>
      <c r="E40" t="s">
        <v>103</v>
      </c>
      <c r="F40" s="59" t="s">
        <v>267</v>
      </c>
      <c r="G40" s="14">
        <v>42539.036064814813</v>
      </c>
    </row>
    <row r="41" spans="1:7" x14ac:dyDescent="0.25">
      <c r="A41" s="14">
        <v>42538.623252314814</v>
      </c>
      <c r="B41" t="s">
        <v>109</v>
      </c>
      <c r="C41" t="s">
        <v>377</v>
      </c>
      <c r="D41">
        <v>950000</v>
      </c>
      <c r="E41" t="s">
        <v>371</v>
      </c>
      <c r="F41" s="59" t="s">
        <v>109</v>
      </c>
      <c r="G41" s="14">
        <v>42538.623252314814</v>
      </c>
    </row>
    <row r="42" spans="1:7" x14ac:dyDescent="0.25">
      <c r="A42" s="14">
        <v>42538.640497685185</v>
      </c>
      <c r="B42" t="s">
        <v>91</v>
      </c>
      <c r="C42" t="s">
        <v>378</v>
      </c>
      <c r="D42">
        <v>1460000</v>
      </c>
      <c r="E42" t="s">
        <v>361</v>
      </c>
      <c r="F42" s="59" t="s">
        <v>91</v>
      </c>
      <c r="G42" s="14">
        <v>42538.640497685185</v>
      </c>
    </row>
    <row r="43" spans="1:7" x14ac:dyDescent="0.25">
      <c r="A43" s="14">
        <v>42538.933518518519</v>
      </c>
      <c r="B43" s="59" t="s">
        <v>93</v>
      </c>
      <c r="C43" t="s">
        <v>379</v>
      </c>
      <c r="D43">
        <v>1240000</v>
      </c>
      <c r="E43" t="s">
        <v>84</v>
      </c>
      <c r="F43" s="59" t="s">
        <v>93</v>
      </c>
      <c r="G43" s="14">
        <v>42538.933518518519</v>
      </c>
    </row>
    <row r="44" spans="1:7" x14ac:dyDescent="0.25">
      <c r="A44" s="14">
        <v>42538.562511574077</v>
      </c>
      <c r="B44" t="s">
        <v>91</v>
      </c>
      <c r="C44" t="s">
        <v>340</v>
      </c>
      <c r="D44">
        <v>1510000</v>
      </c>
      <c r="E44" t="s">
        <v>354</v>
      </c>
      <c r="F44" s="59" t="s">
        <v>91</v>
      </c>
      <c r="G44" s="14">
        <v>42538.562511574077</v>
      </c>
    </row>
    <row r="45" spans="1:7" x14ac:dyDescent="0.25">
      <c r="A45" s="14">
        <v>42539.057222222225</v>
      </c>
      <c r="B45" t="s">
        <v>94</v>
      </c>
      <c r="C45" t="s">
        <v>380</v>
      </c>
      <c r="D45">
        <v>1240000</v>
      </c>
      <c r="E45" t="s">
        <v>84</v>
      </c>
      <c r="F45" s="59" t="s">
        <v>94</v>
      </c>
      <c r="G45" s="14">
        <v>42539.057222222225</v>
      </c>
    </row>
    <row r="46" spans="1:7" x14ac:dyDescent="0.25">
      <c r="A46" s="14">
        <v>42538.527025462965</v>
      </c>
      <c r="B46" t="s">
        <v>276</v>
      </c>
      <c r="C46" t="s">
        <v>338</v>
      </c>
      <c r="D46">
        <v>2040000</v>
      </c>
      <c r="E46" t="s">
        <v>270</v>
      </c>
      <c r="F46" s="59" t="s">
        <v>276</v>
      </c>
      <c r="G46" s="14">
        <v>42538.527025462965</v>
      </c>
    </row>
    <row r="47" spans="1:7" x14ac:dyDescent="0.25">
      <c r="A47" s="14">
        <v>42538.504606481481</v>
      </c>
      <c r="B47" s="83" t="s">
        <v>86</v>
      </c>
      <c r="C47" t="s">
        <v>381</v>
      </c>
      <c r="D47">
        <v>1360000</v>
      </c>
      <c r="E47" t="s">
        <v>89</v>
      </c>
      <c r="F47" s="83" t="s">
        <v>86</v>
      </c>
      <c r="G47" s="14">
        <v>42538.504606481481</v>
      </c>
    </row>
    <row r="48" spans="1:7" x14ac:dyDescent="0.25">
      <c r="A48" s="14">
        <v>42538.492766203701</v>
      </c>
      <c r="B48" t="s">
        <v>104</v>
      </c>
      <c r="C48" t="s">
        <v>382</v>
      </c>
      <c r="D48">
        <v>1090000</v>
      </c>
      <c r="E48" t="s">
        <v>187</v>
      </c>
      <c r="F48" s="59" t="s">
        <v>104</v>
      </c>
      <c r="G48" s="14">
        <v>42538.492766203701</v>
      </c>
    </row>
    <row r="49" spans="1:7" x14ac:dyDescent="0.25">
      <c r="A49" s="84">
        <v>42538.771527777775</v>
      </c>
      <c r="B49" t="s">
        <v>93</v>
      </c>
      <c r="C49" t="s">
        <v>383</v>
      </c>
      <c r="D49">
        <v>1240000</v>
      </c>
      <c r="E49" t="s">
        <v>84</v>
      </c>
      <c r="F49" s="59" t="s">
        <v>93</v>
      </c>
      <c r="G49" s="84">
        <v>42538.771527777775</v>
      </c>
    </row>
    <row r="50" spans="1:7" x14ac:dyDescent="0.25">
      <c r="A50" s="14">
        <v>42538.485243055555</v>
      </c>
      <c r="B50" t="s">
        <v>265</v>
      </c>
      <c r="C50" t="s">
        <v>331</v>
      </c>
      <c r="D50">
        <v>1170000</v>
      </c>
      <c r="E50" t="s">
        <v>349</v>
      </c>
      <c r="F50" s="59" t="s">
        <v>265</v>
      </c>
      <c r="G50" s="14">
        <v>42538.485243055555</v>
      </c>
    </row>
    <row r="51" spans="1:7" x14ac:dyDescent="0.25">
      <c r="A51" s="14">
        <v>42538.829479166663</v>
      </c>
      <c r="B51" t="s">
        <v>112</v>
      </c>
      <c r="C51" t="s">
        <v>377</v>
      </c>
      <c r="D51">
        <v>950000</v>
      </c>
      <c r="E51" t="s">
        <v>371</v>
      </c>
      <c r="F51" s="59" t="s">
        <v>112</v>
      </c>
      <c r="G51" s="14">
        <v>42538.829479166663</v>
      </c>
    </row>
    <row r="52" spans="1:7" x14ac:dyDescent="0.25">
      <c r="A52" s="14">
        <v>42538.500509259262</v>
      </c>
      <c r="B52" t="s">
        <v>267</v>
      </c>
      <c r="C52" t="s">
        <v>384</v>
      </c>
      <c r="D52">
        <v>2040000</v>
      </c>
      <c r="E52" t="s">
        <v>270</v>
      </c>
      <c r="F52" s="59" t="s">
        <v>267</v>
      </c>
      <c r="G52" s="14">
        <v>42538.500509259262</v>
      </c>
    </row>
    <row r="53" spans="1:7" x14ac:dyDescent="0.25">
      <c r="A53" s="14">
        <v>42538.472685185188</v>
      </c>
      <c r="B53" t="s">
        <v>112</v>
      </c>
      <c r="C53" t="s">
        <v>364</v>
      </c>
      <c r="D53">
        <v>900000</v>
      </c>
      <c r="E53" t="s">
        <v>128</v>
      </c>
      <c r="F53" s="59" t="s">
        <v>112</v>
      </c>
      <c r="G53" s="14">
        <v>42538.472685185188</v>
      </c>
    </row>
    <row r="54" spans="1:7" x14ac:dyDescent="0.25">
      <c r="A54" s="14">
        <v>42538.460370370369</v>
      </c>
      <c r="B54" t="s">
        <v>265</v>
      </c>
      <c r="C54" t="s">
        <v>331</v>
      </c>
      <c r="D54">
        <v>1170000</v>
      </c>
      <c r="E54" t="s">
        <v>349</v>
      </c>
      <c r="F54" s="59" t="s">
        <v>265</v>
      </c>
      <c r="G54" s="14">
        <v>42538.460370370369</v>
      </c>
    </row>
    <row r="55" spans="1:7" x14ac:dyDescent="0.25">
      <c r="A55" s="14">
        <v>42538.489282407405</v>
      </c>
      <c r="B55" t="s">
        <v>341</v>
      </c>
      <c r="C55" t="s">
        <v>365</v>
      </c>
      <c r="D55">
        <v>2020000</v>
      </c>
      <c r="E55" t="s">
        <v>273</v>
      </c>
      <c r="F55" s="59" t="s">
        <v>341</v>
      </c>
      <c r="G55" s="14">
        <v>42538.489282407405</v>
      </c>
    </row>
    <row r="56" spans="1:7" x14ac:dyDescent="0.25">
      <c r="A56" s="14">
        <v>42539.016851851855</v>
      </c>
      <c r="B56" t="s">
        <v>93</v>
      </c>
      <c r="C56" t="s">
        <v>385</v>
      </c>
      <c r="D56">
        <v>1240000</v>
      </c>
      <c r="E56" t="s">
        <v>84</v>
      </c>
      <c r="F56" s="59" t="s">
        <v>93</v>
      </c>
      <c r="G56" s="14">
        <v>42539.016851851855</v>
      </c>
    </row>
    <row r="57" spans="1:7" x14ac:dyDescent="0.25">
      <c r="A57" s="14">
        <v>42538.495439814818</v>
      </c>
      <c r="B57" t="s">
        <v>114</v>
      </c>
      <c r="C57" t="s">
        <v>386</v>
      </c>
      <c r="D57">
        <v>900000</v>
      </c>
      <c r="E57" t="s">
        <v>128</v>
      </c>
      <c r="F57" s="59" t="s">
        <v>114</v>
      </c>
      <c r="G57" s="14">
        <v>42538.495439814818</v>
      </c>
    </row>
    <row r="58" spans="1:7" x14ac:dyDescent="0.25">
      <c r="A58" s="14">
        <v>42538.704953703702</v>
      </c>
      <c r="B58" t="s">
        <v>215</v>
      </c>
      <c r="C58" t="s">
        <v>387</v>
      </c>
      <c r="D58">
        <v>880000</v>
      </c>
      <c r="E58" t="s">
        <v>102</v>
      </c>
      <c r="F58" s="59" t="s">
        <v>215</v>
      </c>
      <c r="G58" s="14">
        <v>42538.704953703702</v>
      </c>
    </row>
    <row r="59" spans="1:7" x14ac:dyDescent="0.25">
      <c r="A59" s="14">
        <v>42538.507222222222</v>
      </c>
      <c r="B59" t="s">
        <v>176</v>
      </c>
      <c r="C59" t="s">
        <v>388</v>
      </c>
      <c r="D59">
        <v>2020000</v>
      </c>
      <c r="E59" t="s">
        <v>273</v>
      </c>
      <c r="F59" s="59" t="s">
        <v>176</v>
      </c>
      <c r="G59" s="14">
        <v>42538.507222222222</v>
      </c>
    </row>
    <row r="60" spans="1:7" x14ac:dyDescent="0.25">
      <c r="A60" s="14">
        <v>42538.526180555556</v>
      </c>
      <c r="B60" t="s">
        <v>92</v>
      </c>
      <c r="C60" t="s">
        <v>389</v>
      </c>
      <c r="D60">
        <v>1510000</v>
      </c>
      <c r="E60" t="s">
        <v>354</v>
      </c>
      <c r="F60" s="59" t="s">
        <v>92</v>
      </c>
      <c r="G60" s="14">
        <v>42538.526180555556</v>
      </c>
    </row>
    <row r="61" spans="1:7" x14ac:dyDescent="0.25">
      <c r="A61" s="14">
        <v>42538.582442129627</v>
      </c>
      <c r="B61" t="s">
        <v>104</v>
      </c>
      <c r="C61" t="s">
        <v>363</v>
      </c>
      <c r="D61">
        <v>2020000</v>
      </c>
      <c r="E61" t="s">
        <v>273</v>
      </c>
      <c r="F61" s="59" t="s">
        <v>104</v>
      </c>
      <c r="G61" s="14">
        <v>42538.582442129627</v>
      </c>
    </row>
    <row r="62" spans="1:7" x14ac:dyDescent="0.25">
      <c r="A62" s="14">
        <v>42538.51258101852</v>
      </c>
      <c r="B62" t="s">
        <v>265</v>
      </c>
      <c r="C62" t="s">
        <v>331</v>
      </c>
      <c r="D62">
        <v>1170000</v>
      </c>
      <c r="E62" t="s">
        <v>349</v>
      </c>
      <c r="F62" s="59" t="s">
        <v>265</v>
      </c>
      <c r="G62" s="14">
        <v>42538.51258101852</v>
      </c>
    </row>
    <row r="63" spans="1:7" x14ac:dyDescent="0.25">
      <c r="A63" s="14">
        <v>42538.703229166669</v>
      </c>
      <c r="B63" t="s">
        <v>215</v>
      </c>
      <c r="C63" t="s">
        <v>387</v>
      </c>
      <c r="D63">
        <v>880000</v>
      </c>
      <c r="E63" t="s">
        <v>102</v>
      </c>
      <c r="F63" s="59" t="s">
        <v>215</v>
      </c>
      <c r="G63" s="14">
        <v>42538.703229166669</v>
      </c>
    </row>
    <row r="64" spans="1:7" x14ac:dyDescent="0.25">
      <c r="A64" s="14">
        <v>42538.33761574074</v>
      </c>
      <c r="B64" t="s">
        <v>86</v>
      </c>
      <c r="C64" t="s">
        <v>326</v>
      </c>
      <c r="D64">
        <v>1830000</v>
      </c>
      <c r="E64" t="s">
        <v>205</v>
      </c>
      <c r="F64" s="59" t="s">
        <v>86</v>
      </c>
      <c r="G64" s="14">
        <v>42538.33761574074</v>
      </c>
    </row>
    <row r="65" spans="1:7" x14ac:dyDescent="0.25">
      <c r="A65" s="14">
        <v>42538.972210648149</v>
      </c>
      <c r="B65" t="s">
        <v>226</v>
      </c>
      <c r="C65" t="s">
        <v>390</v>
      </c>
      <c r="D65">
        <v>1180000</v>
      </c>
      <c r="E65" t="s">
        <v>105</v>
      </c>
      <c r="F65" s="59" t="s">
        <v>226</v>
      </c>
      <c r="G65" s="14">
        <v>42538.972210648149</v>
      </c>
    </row>
    <row r="66" spans="1:7" x14ac:dyDescent="0.25">
      <c r="A66" s="14">
        <v>42538.313321759262</v>
      </c>
      <c r="B66" t="s">
        <v>215</v>
      </c>
      <c r="C66" t="s">
        <v>346</v>
      </c>
      <c r="D66">
        <v>1310000</v>
      </c>
      <c r="E66" t="s">
        <v>130</v>
      </c>
      <c r="F66" s="59" t="s">
        <v>215</v>
      </c>
      <c r="G66" s="14">
        <v>42538.313321759262</v>
      </c>
    </row>
    <row r="67" spans="1:7" x14ac:dyDescent="0.25">
      <c r="A67" s="14">
        <v>42538.46565972222</v>
      </c>
      <c r="B67" t="s">
        <v>215</v>
      </c>
      <c r="C67" t="s">
        <v>391</v>
      </c>
      <c r="D67">
        <v>1840000</v>
      </c>
      <c r="E67" t="s">
        <v>274</v>
      </c>
      <c r="F67" s="59" t="s">
        <v>215</v>
      </c>
      <c r="G67" s="14">
        <v>42538.46565972222</v>
      </c>
    </row>
    <row r="68" spans="1:7" x14ac:dyDescent="0.25">
      <c r="A68" s="14">
        <v>42538.288900462961</v>
      </c>
      <c r="B68" t="s">
        <v>189</v>
      </c>
      <c r="C68" t="s">
        <v>392</v>
      </c>
      <c r="D68">
        <v>1990000</v>
      </c>
      <c r="E68" t="s">
        <v>282</v>
      </c>
      <c r="F68" s="59" t="s">
        <v>189</v>
      </c>
      <c r="G68" s="14">
        <v>42538.288900462961</v>
      </c>
    </row>
    <row r="69" spans="1:7" x14ac:dyDescent="0.25">
      <c r="A69" s="14">
        <v>42538.570902777778</v>
      </c>
      <c r="B69" t="s">
        <v>114</v>
      </c>
      <c r="C69" t="s">
        <v>339</v>
      </c>
      <c r="D69">
        <v>900000</v>
      </c>
      <c r="E69" t="s">
        <v>128</v>
      </c>
      <c r="F69" s="59" t="s">
        <v>114</v>
      </c>
      <c r="G69" s="14">
        <v>42538.570902777778</v>
      </c>
    </row>
    <row r="70" spans="1:7" x14ac:dyDescent="0.25">
      <c r="A70" s="14">
        <v>42538.995451388888</v>
      </c>
      <c r="B70" t="s">
        <v>276</v>
      </c>
      <c r="C70" t="s">
        <v>375</v>
      </c>
      <c r="D70">
        <v>1820000</v>
      </c>
      <c r="E70" t="s">
        <v>103</v>
      </c>
      <c r="F70" s="59" t="s">
        <v>276</v>
      </c>
      <c r="G70" s="14">
        <v>42538.995451388888</v>
      </c>
    </row>
    <row r="71" spans="1:7" x14ac:dyDescent="0.25">
      <c r="A71" s="14">
        <v>42538.654224537036</v>
      </c>
      <c r="B71" t="s">
        <v>104</v>
      </c>
      <c r="C71" t="s">
        <v>358</v>
      </c>
      <c r="D71">
        <v>2020000</v>
      </c>
      <c r="E71" t="s">
        <v>273</v>
      </c>
      <c r="F71" s="59" t="s">
        <v>104</v>
      </c>
      <c r="G71" s="14">
        <v>42538.654224537036</v>
      </c>
    </row>
    <row r="72" spans="1:7" x14ac:dyDescent="0.25">
      <c r="A72" s="14">
        <v>42538.697152777779</v>
      </c>
      <c r="B72" t="s">
        <v>93</v>
      </c>
      <c r="C72" t="s">
        <v>393</v>
      </c>
      <c r="D72">
        <v>1740000</v>
      </c>
      <c r="E72" t="s">
        <v>100</v>
      </c>
      <c r="F72" s="59" t="s">
        <v>93</v>
      </c>
      <c r="G72" s="14">
        <v>42538.697152777779</v>
      </c>
    </row>
    <row r="73" spans="1:7" x14ac:dyDescent="0.25">
      <c r="A73" s="14">
        <v>42538.258194444446</v>
      </c>
      <c r="B73" t="s">
        <v>114</v>
      </c>
      <c r="C73" t="s">
        <v>374</v>
      </c>
      <c r="D73">
        <v>2000000</v>
      </c>
      <c r="E73" t="s">
        <v>281</v>
      </c>
      <c r="F73" s="59" t="s">
        <v>114</v>
      </c>
      <c r="G73" s="14">
        <v>42538.258194444446</v>
      </c>
    </row>
    <row r="74" spans="1:7" x14ac:dyDescent="0.25">
      <c r="A74" s="14">
        <v>42538.578796296293</v>
      </c>
      <c r="B74" t="s">
        <v>104</v>
      </c>
      <c r="C74" t="s">
        <v>363</v>
      </c>
      <c r="D74">
        <v>2020000</v>
      </c>
      <c r="E74" t="s">
        <v>273</v>
      </c>
      <c r="F74" s="59" t="s">
        <v>104</v>
      </c>
      <c r="G74" s="14">
        <v>42538.578796296293</v>
      </c>
    </row>
    <row r="75" spans="1:7" x14ac:dyDescent="0.25">
      <c r="A75" s="14">
        <v>42538.291909722226</v>
      </c>
      <c r="B75" t="s">
        <v>112</v>
      </c>
      <c r="C75" t="s">
        <v>394</v>
      </c>
      <c r="D75">
        <v>2000000</v>
      </c>
      <c r="E75" t="s">
        <v>281</v>
      </c>
      <c r="F75" s="59" t="s">
        <v>112</v>
      </c>
      <c r="G75" s="14">
        <v>42538.291909722226</v>
      </c>
    </row>
    <row r="76" spans="1:7" x14ac:dyDescent="0.25">
      <c r="A76" s="14">
        <v>42538.536435185182</v>
      </c>
      <c r="B76" t="s">
        <v>112</v>
      </c>
      <c r="C76" t="s">
        <v>395</v>
      </c>
      <c r="D76">
        <v>900000</v>
      </c>
      <c r="E76" t="s">
        <v>128</v>
      </c>
      <c r="F76" s="59" t="s">
        <v>112</v>
      </c>
      <c r="G76" s="14">
        <v>42538.536435185182</v>
      </c>
    </row>
    <row r="77" spans="1:7" x14ac:dyDescent="0.25">
      <c r="A77" s="14">
        <v>42538.350798611114</v>
      </c>
      <c r="B77" t="s">
        <v>189</v>
      </c>
      <c r="C77" t="s">
        <v>396</v>
      </c>
      <c r="D77">
        <v>1990000</v>
      </c>
      <c r="E77" t="s">
        <v>282</v>
      </c>
      <c r="F77" s="59" t="s">
        <v>189</v>
      </c>
      <c r="G77" s="14">
        <v>42538.350798611114</v>
      </c>
    </row>
    <row r="78" spans="1:7" x14ac:dyDescent="0.25">
      <c r="A78" s="14">
        <v>42538.413263888891</v>
      </c>
      <c r="B78" t="s">
        <v>114</v>
      </c>
      <c r="C78" t="s">
        <v>397</v>
      </c>
      <c r="D78">
        <v>2000000</v>
      </c>
      <c r="E78" t="s">
        <v>281</v>
      </c>
      <c r="F78" s="59" t="s">
        <v>114</v>
      </c>
      <c r="G78" s="14">
        <v>42538.413263888891</v>
      </c>
    </row>
    <row r="79" spans="1:7" x14ac:dyDescent="0.25">
      <c r="A79" s="14">
        <v>42538.394745370373</v>
      </c>
      <c r="B79" t="s">
        <v>91</v>
      </c>
      <c r="C79" t="s">
        <v>398</v>
      </c>
      <c r="D79">
        <v>1470000</v>
      </c>
      <c r="E79" t="s">
        <v>204</v>
      </c>
      <c r="F79" s="59" t="s">
        <v>91</v>
      </c>
      <c r="G79" s="14">
        <v>42538.394745370373</v>
      </c>
    </row>
    <row r="80" spans="1:7" x14ac:dyDescent="0.25">
      <c r="A80" s="84">
        <v>42538.383958333332</v>
      </c>
      <c r="B80" t="s">
        <v>109</v>
      </c>
      <c r="C80" t="s">
        <v>399</v>
      </c>
      <c r="D80">
        <v>1830000</v>
      </c>
      <c r="E80" t="s">
        <v>205</v>
      </c>
      <c r="F80" s="59" t="s">
        <v>109</v>
      </c>
      <c r="G80" s="84">
        <v>42538.383958333332</v>
      </c>
    </row>
    <row r="81" spans="1:7" x14ac:dyDescent="0.25">
      <c r="A81" s="14">
        <v>42538.425347222219</v>
      </c>
      <c r="B81" t="s">
        <v>265</v>
      </c>
      <c r="C81" t="s">
        <v>331</v>
      </c>
      <c r="D81">
        <v>1170000</v>
      </c>
      <c r="E81" t="s">
        <v>349</v>
      </c>
      <c r="F81" s="59" t="s">
        <v>265</v>
      </c>
      <c r="G81" s="14">
        <v>42538.425347222219</v>
      </c>
    </row>
    <row r="82" spans="1:7" x14ac:dyDescent="0.25">
      <c r="A82" s="14">
        <v>42538.371736111112</v>
      </c>
      <c r="B82" t="s">
        <v>341</v>
      </c>
      <c r="C82" t="s">
        <v>400</v>
      </c>
      <c r="D82">
        <v>390000</v>
      </c>
      <c r="E82" t="s">
        <v>401</v>
      </c>
      <c r="F82" s="59" t="s">
        <v>341</v>
      </c>
      <c r="G82" s="14">
        <v>42538.371736111112</v>
      </c>
    </row>
    <row r="83" spans="1:7" x14ac:dyDescent="0.25">
      <c r="A83" s="14">
        <v>42538.4453125</v>
      </c>
      <c r="B83" t="s">
        <v>95</v>
      </c>
      <c r="C83" t="s">
        <v>368</v>
      </c>
      <c r="D83">
        <v>1110000</v>
      </c>
      <c r="E83" t="s">
        <v>99</v>
      </c>
      <c r="F83" s="59" t="s">
        <v>95</v>
      </c>
      <c r="G83" s="14">
        <v>42538.4453125</v>
      </c>
    </row>
    <row r="84" spans="1:7" x14ac:dyDescent="0.25">
      <c r="A84" s="14">
        <v>42538.297233796293</v>
      </c>
      <c r="B84" t="s">
        <v>189</v>
      </c>
      <c r="C84" t="s">
        <v>392</v>
      </c>
      <c r="D84">
        <v>1990000</v>
      </c>
      <c r="E84" t="s">
        <v>282</v>
      </c>
      <c r="F84" s="59" t="s">
        <v>189</v>
      </c>
      <c r="G84" s="14">
        <v>42538.297233796293</v>
      </c>
    </row>
    <row r="85" spans="1:7" x14ac:dyDescent="0.25">
      <c r="A85" s="14">
        <v>42538.473310185182</v>
      </c>
      <c r="B85" t="s">
        <v>268</v>
      </c>
      <c r="C85" t="s">
        <v>331</v>
      </c>
      <c r="D85">
        <v>1170000</v>
      </c>
      <c r="E85" t="s">
        <v>349</v>
      </c>
      <c r="F85" s="59" t="s">
        <v>268</v>
      </c>
      <c r="G85" s="14">
        <v>42538.473310185182</v>
      </c>
    </row>
    <row r="86" spans="1:7" x14ac:dyDescent="0.25">
      <c r="A86" s="14">
        <v>42538.803379629629</v>
      </c>
      <c r="B86" t="s">
        <v>104</v>
      </c>
      <c r="C86" t="s">
        <v>358</v>
      </c>
      <c r="D86">
        <v>2020000</v>
      </c>
      <c r="E86" t="s">
        <v>273</v>
      </c>
      <c r="F86" s="59" t="s">
        <v>104</v>
      </c>
      <c r="G86" s="14">
        <v>42538.803379629629</v>
      </c>
    </row>
    <row r="87" spans="1:7" x14ac:dyDescent="0.25">
      <c r="A87" s="14">
        <v>42538.495925925927</v>
      </c>
      <c r="B87" t="s">
        <v>176</v>
      </c>
      <c r="C87" t="s">
        <v>388</v>
      </c>
      <c r="D87">
        <v>2020000</v>
      </c>
      <c r="E87" t="s">
        <v>273</v>
      </c>
      <c r="F87" s="59" t="s">
        <v>176</v>
      </c>
      <c r="G87" s="14">
        <v>42538.495925925927</v>
      </c>
    </row>
    <row r="88" spans="1:7" x14ac:dyDescent="0.25">
      <c r="A88" s="14">
        <v>42538.515023148146</v>
      </c>
      <c r="B88" t="s">
        <v>226</v>
      </c>
      <c r="C88" t="s">
        <v>402</v>
      </c>
      <c r="D88">
        <v>880000</v>
      </c>
      <c r="E88" t="s">
        <v>102</v>
      </c>
      <c r="F88" s="59" t="s">
        <v>226</v>
      </c>
      <c r="G88" s="14">
        <v>42538.515023148146</v>
      </c>
    </row>
    <row r="89" spans="1:7" x14ac:dyDescent="0.25">
      <c r="A89" s="14">
        <v>42538.519456018519</v>
      </c>
      <c r="B89" t="s">
        <v>95</v>
      </c>
      <c r="C89" t="s">
        <v>335</v>
      </c>
      <c r="D89">
        <v>1090000</v>
      </c>
      <c r="E89" t="s">
        <v>187</v>
      </c>
      <c r="F89" s="59" t="s">
        <v>95</v>
      </c>
      <c r="G89" s="14">
        <v>42538.519456018519</v>
      </c>
    </row>
    <row r="90" spans="1:7" x14ac:dyDescent="0.25">
      <c r="A90" s="14">
        <v>42538.478020833332</v>
      </c>
      <c r="B90" t="s">
        <v>268</v>
      </c>
      <c r="C90" t="s">
        <v>331</v>
      </c>
      <c r="D90">
        <v>1170000</v>
      </c>
      <c r="E90" t="s">
        <v>349</v>
      </c>
      <c r="F90" s="59" t="s">
        <v>268</v>
      </c>
      <c r="G90" s="14">
        <v>42538.478020833332</v>
      </c>
    </row>
    <row r="91" spans="1:7" x14ac:dyDescent="0.25">
      <c r="A91" s="14">
        <v>42538.287245370368</v>
      </c>
      <c r="B91" t="s">
        <v>189</v>
      </c>
      <c r="C91" t="s">
        <v>392</v>
      </c>
      <c r="D91">
        <v>1990000</v>
      </c>
      <c r="E91" t="s">
        <v>282</v>
      </c>
      <c r="F91" s="59" t="s">
        <v>189</v>
      </c>
      <c r="G91" s="14">
        <v>42538.287245370368</v>
      </c>
    </row>
    <row r="92" spans="1:7" x14ac:dyDescent="0.25">
      <c r="A92" s="14">
        <v>42538.148206018515</v>
      </c>
      <c r="B92" t="s">
        <v>185</v>
      </c>
      <c r="C92" t="s">
        <v>403</v>
      </c>
      <c r="D92">
        <v>1480000</v>
      </c>
      <c r="E92" t="s">
        <v>348</v>
      </c>
      <c r="F92" s="59" t="s">
        <v>185</v>
      </c>
      <c r="G92" s="14">
        <v>42538.148206018515</v>
      </c>
    </row>
    <row r="93" spans="1:7" x14ac:dyDescent="0.25">
      <c r="A93" s="14">
        <v>42538.418761574074</v>
      </c>
      <c r="B93" t="s">
        <v>176</v>
      </c>
      <c r="C93" t="s">
        <v>334</v>
      </c>
      <c r="D93">
        <v>2020000</v>
      </c>
      <c r="E93" t="s">
        <v>273</v>
      </c>
      <c r="F93" s="59" t="s">
        <v>176</v>
      </c>
      <c r="G93" s="14">
        <v>42538.418761574074</v>
      </c>
    </row>
    <row r="94" spans="1:7" x14ac:dyDescent="0.25">
      <c r="A94" s="14">
        <v>42538.280601851853</v>
      </c>
      <c r="B94" t="s">
        <v>92</v>
      </c>
      <c r="C94" t="s">
        <v>404</v>
      </c>
      <c r="D94">
        <v>1470000</v>
      </c>
      <c r="E94" t="s">
        <v>204</v>
      </c>
      <c r="F94" s="59" t="s">
        <v>92</v>
      </c>
      <c r="G94" s="14">
        <v>42538.280601851853</v>
      </c>
    </row>
    <row r="95" spans="1:7" x14ac:dyDescent="0.25">
      <c r="A95" s="14">
        <v>42538.429155092592</v>
      </c>
      <c r="B95" t="s">
        <v>226</v>
      </c>
      <c r="C95" t="s">
        <v>369</v>
      </c>
      <c r="D95">
        <v>1840000</v>
      </c>
      <c r="E95" t="s">
        <v>274</v>
      </c>
      <c r="F95" s="59" t="s">
        <v>226</v>
      </c>
      <c r="G95" s="14">
        <v>42538.429155092592</v>
      </c>
    </row>
    <row r="96" spans="1:7" x14ac:dyDescent="0.25">
      <c r="A96" s="14">
        <v>42538.126354166663</v>
      </c>
      <c r="B96" t="s">
        <v>112</v>
      </c>
      <c r="C96" t="s">
        <v>405</v>
      </c>
      <c r="D96">
        <v>1830000</v>
      </c>
      <c r="E96" t="s">
        <v>205</v>
      </c>
      <c r="F96" s="59" t="s">
        <v>112</v>
      </c>
      <c r="G96" s="14">
        <v>42538.126354166663</v>
      </c>
    </row>
    <row r="97" spans="1:7" x14ac:dyDescent="0.25">
      <c r="A97" s="14">
        <v>42538.481863425928</v>
      </c>
      <c r="B97" t="s">
        <v>104</v>
      </c>
      <c r="C97" t="s">
        <v>382</v>
      </c>
      <c r="D97">
        <v>1090000</v>
      </c>
      <c r="E97" t="s">
        <v>187</v>
      </c>
      <c r="F97" s="59" t="s">
        <v>104</v>
      </c>
      <c r="G97" s="14">
        <v>42538.481863425928</v>
      </c>
    </row>
    <row r="98" spans="1:7" x14ac:dyDescent="0.25">
      <c r="A98" s="14">
        <v>42538.890590277777</v>
      </c>
      <c r="B98" t="s">
        <v>226</v>
      </c>
      <c r="C98" t="s">
        <v>344</v>
      </c>
      <c r="D98">
        <v>1180000</v>
      </c>
      <c r="E98" t="s">
        <v>105</v>
      </c>
      <c r="F98" s="59" t="s">
        <v>226</v>
      </c>
      <c r="G98" s="14">
        <v>42538.890590277777</v>
      </c>
    </row>
    <row r="99" spans="1:7" x14ac:dyDescent="0.25">
      <c r="A99" s="14">
        <v>42538.525277777779</v>
      </c>
      <c r="B99" t="s">
        <v>92</v>
      </c>
      <c r="C99" t="s">
        <v>389</v>
      </c>
      <c r="D99">
        <v>1510000</v>
      </c>
      <c r="E99" t="s">
        <v>354</v>
      </c>
      <c r="F99" s="59" t="s">
        <v>92</v>
      </c>
      <c r="G99" s="14">
        <v>42538.525277777779</v>
      </c>
    </row>
    <row r="100" spans="1:7" x14ac:dyDescent="0.25">
      <c r="A100" s="14">
        <v>42538.478645833333</v>
      </c>
      <c r="B100" t="s">
        <v>91</v>
      </c>
      <c r="C100" t="s">
        <v>406</v>
      </c>
      <c r="D100">
        <v>1510000</v>
      </c>
      <c r="E100" t="s">
        <v>354</v>
      </c>
      <c r="F100" s="59" t="s">
        <v>91</v>
      </c>
      <c r="G100" s="14">
        <v>42538.478645833333</v>
      </c>
    </row>
    <row r="101" spans="1:7" x14ac:dyDescent="0.25">
      <c r="A101" s="14">
        <v>42538.538321759261</v>
      </c>
      <c r="B101" t="s">
        <v>341</v>
      </c>
      <c r="C101" t="s">
        <v>407</v>
      </c>
      <c r="D101">
        <v>2020000</v>
      </c>
      <c r="E101" t="s">
        <v>273</v>
      </c>
      <c r="F101" s="59" t="s">
        <v>341</v>
      </c>
      <c r="G101" s="14">
        <v>42538.538321759261</v>
      </c>
    </row>
    <row r="102" spans="1:7" x14ac:dyDescent="0.25">
      <c r="A102" s="14">
        <v>42538.399317129632</v>
      </c>
      <c r="B102" t="s">
        <v>265</v>
      </c>
      <c r="C102" t="s">
        <v>331</v>
      </c>
      <c r="D102">
        <v>1170000</v>
      </c>
      <c r="E102" t="s">
        <v>349</v>
      </c>
      <c r="F102" s="59" t="s">
        <v>265</v>
      </c>
      <c r="G102" s="14">
        <v>42538.399317129632</v>
      </c>
    </row>
    <row r="103" spans="1:7" x14ac:dyDescent="0.25">
      <c r="A103" s="14">
        <v>42538.588136574072</v>
      </c>
      <c r="B103" t="s">
        <v>226</v>
      </c>
      <c r="C103" t="s">
        <v>408</v>
      </c>
      <c r="D103">
        <v>880000</v>
      </c>
      <c r="E103" t="s">
        <v>102</v>
      </c>
      <c r="F103" s="59" t="s">
        <v>226</v>
      </c>
      <c r="G103" s="14">
        <v>42538.588136574072</v>
      </c>
    </row>
    <row r="104" spans="1:7" x14ac:dyDescent="0.25">
      <c r="A104" s="14">
        <v>42538.952025462961</v>
      </c>
      <c r="B104" t="s">
        <v>341</v>
      </c>
      <c r="C104" t="s">
        <v>409</v>
      </c>
      <c r="D104">
        <v>1770000</v>
      </c>
      <c r="E104" t="s">
        <v>352</v>
      </c>
      <c r="F104" s="59" t="s">
        <v>341</v>
      </c>
      <c r="G104" s="14">
        <v>42538.952025462961</v>
      </c>
    </row>
    <row r="105" spans="1:7" x14ac:dyDescent="0.25">
      <c r="A105" s="14">
        <v>42538.594641203701</v>
      </c>
      <c r="B105" t="s">
        <v>265</v>
      </c>
      <c r="C105" t="s">
        <v>331</v>
      </c>
      <c r="D105">
        <v>1170000</v>
      </c>
      <c r="E105" t="s">
        <v>349</v>
      </c>
      <c r="F105" s="59" t="s">
        <v>265</v>
      </c>
      <c r="G105" s="14">
        <v>42538.594641203701</v>
      </c>
    </row>
    <row r="106" spans="1:7" x14ac:dyDescent="0.25">
      <c r="A106" s="14">
        <v>42538.611956018518</v>
      </c>
      <c r="B106" t="s">
        <v>265</v>
      </c>
      <c r="C106" t="s">
        <v>331</v>
      </c>
      <c r="D106">
        <v>1170000</v>
      </c>
      <c r="E106" t="s">
        <v>349</v>
      </c>
      <c r="F106" s="59" t="s">
        <v>265</v>
      </c>
      <c r="G106" s="14">
        <v>42538.611956018518</v>
      </c>
    </row>
    <row r="107" spans="1:7" x14ac:dyDescent="0.25">
      <c r="A107" s="14">
        <v>42538.628738425927</v>
      </c>
      <c r="B107" t="s">
        <v>215</v>
      </c>
      <c r="C107" t="s">
        <v>410</v>
      </c>
      <c r="D107">
        <v>880000</v>
      </c>
      <c r="E107" t="s">
        <v>102</v>
      </c>
      <c r="F107" s="59" t="s">
        <v>215</v>
      </c>
      <c r="G107" s="14">
        <v>42538.628738425927</v>
      </c>
    </row>
    <row r="108" spans="1:7" x14ac:dyDescent="0.25">
      <c r="A108" s="14">
        <v>42538.492592592593</v>
      </c>
      <c r="B108" t="s">
        <v>267</v>
      </c>
      <c r="C108" t="s">
        <v>384</v>
      </c>
      <c r="D108">
        <v>2040000</v>
      </c>
      <c r="E108" t="s">
        <v>270</v>
      </c>
      <c r="F108" s="59" t="s">
        <v>267</v>
      </c>
      <c r="G108" s="14">
        <v>42538.492592592593</v>
      </c>
    </row>
    <row r="109" spans="1:7" x14ac:dyDescent="0.25">
      <c r="A109" s="14">
        <v>42538.770532407405</v>
      </c>
      <c r="B109" t="s">
        <v>93</v>
      </c>
      <c r="C109" t="s">
        <v>383</v>
      </c>
      <c r="D109">
        <v>2010000</v>
      </c>
      <c r="E109" t="s">
        <v>277</v>
      </c>
      <c r="F109" s="59" t="s">
        <v>93</v>
      </c>
      <c r="G109" s="14">
        <v>42538.770532407405</v>
      </c>
    </row>
    <row r="110" spans="1:7" x14ac:dyDescent="0.25">
      <c r="A110" s="14">
        <v>42538.514074074075</v>
      </c>
      <c r="B110" t="s">
        <v>226</v>
      </c>
      <c r="C110" t="s">
        <v>402</v>
      </c>
      <c r="D110">
        <v>880000</v>
      </c>
      <c r="E110" t="s">
        <v>102</v>
      </c>
      <c r="F110" s="59" t="s">
        <v>226</v>
      </c>
      <c r="G110" s="14">
        <v>42538.514074074075</v>
      </c>
    </row>
    <row r="111" spans="1:7" x14ac:dyDescent="0.25">
      <c r="A111" s="14">
        <v>42538.8281712963</v>
      </c>
      <c r="B111" t="s">
        <v>276</v>
      </c>
      <c r="C111" t="s">
        <v>411</v>
      </c>
      <c r="D111">
        <v>1820000</v>
      </c>
      <c r="E111" t="s">
        <v>103</v>
      </c>
      <c r="F111" s="59" t="s">
        <v>276</v>
      </c>
      <c r="G111" s="14">
        <v>42538.8281712963</v>
      </c>
    </row>
    <row r="112" spans="1:7" x14ac:dyDescent="0.25">
      <c r="A112" s="14">
        <v>42538.433692129627</v>
      </c>
      <c r="B112" t="s">
        <v>268</v>
      </c>
      <c r="C112" t="s">
        <v>331</v>
      </c>
      <c r="D112">
        <v>1170000</v>
      </c>
      <c r="E112" t="s">
        <v>349</v>
      </c>
      <c r="F112" s="59" t="s">
        <v>268</v>
      </c>
      <c r="G112" s="14">
        <v>42538.433692129627</v>
      </c>
    </row>
    <row r="113" spans="1:7" x14ac:dyDescent="0.25">
      <c r="A113" s="14">
        <v>42538.848391203705</v>
      </c>
      <c r="B113" t="s">
        <v>215</v>
      </c>
      <c r="C113" t="s">
        <v>412</v>
      </c>
      <c r="D113">
        <v>2030000</v>
      </c>
      <c r="E113" t="s">
        <v>413</v>
      </c>
      <c r="F113" s="59" t="s">
        <v>215</v>
      </c>
      <c r="G113" s="14">
        <v>42538.848391203705</v>
      </c>
    </row>
    <row r="114" spans="1:7" x14ac:dyDescent="0.25">
      <c r="A114" s="14">
        <v>42538.398402777777</v>
      </c>
      <c r="B114" t="s">
        <v>109</v>
      </c>
      <c r="C114" t="s">
        <v>399</v>
      </c>
      <c r="D114">
        <v>1830000</v>
      </c>
      <c r="E114" t="s">
        <v>205</v>
      </c>
      <c r="F114" s="59" t="s">
        <v>109</v>
      </c>
      <c r="G114" s="14">
        <v>42538.398402777777</v>
      </c>
    </row>
    <row r="115" spans="1:7" x14ac:dyDescent="0.25">
      <c r="A115" s="14">
        <v>42538.864641203705</v>
      </c>
      <c r="B115" t="s">
        <v>341</v>
      </c>
      <c r="C115" t="s">
        <v>414</v>
      </c>
      <c r="D115">
        <v>1770000</v>
      </c>
      <c r="E115" t="s">
        <v>352</v>
      </c>
      <c r="F115" s="59" t="s">
        <v>341</v>
      </c>
      <c r="G115" s="14">
        <v>42538.864641203705</v>
      </c>
    </row>
    <row r="116" spans="1:7" x14ac:dyDescent="0.25">
      <c r="A116" s="14">
        <v>42538.391053240739</v>
      </c>
      <c r="B116" t="s">
        <v>268</v>
      </c>
      <c r="C116" t="s">
        <v>331</v>
      </c>
      <c r="D116">
        <v>1170000</v>
      </c>
      <c r="E116" t="s">
        <v>349</v>
      </c>
      <c r="F116" s="59" t="s">
        <v>268</v>
      </c>
      <c r="G116" s="14">
        <v>42538.391053240739</v>
      </c>
    </row>
    <row r="117" spans="1:7" x14ac:dyDescent="0.25">
      <c r="A117" s="14">
        <v>42538.887083333335</v>
      </c>
      <c r="B117" t="s">
        <v>226</v>
      </c>
      <c r="C117" t="s">
        <v>344</v>
      </c>
      <c r="D117">
        <v>2030000</v>
      </c>
      <c r="E117" t="s">
        <v>413</v>
      </c>
      <c r="F117" s="59" t="s">
        <v>226</v>
      </c>
      <c r="G117" s="14">
        <v>42538.887083333335</v>
      </c>
    </row>
    <row r="118" spans="1:7" x14ac:dyDescent="0.25">
      <c r="A118" s="14">
        <v>42538.339259259257</v>
      </c>
      <c r="B118" t="s">
        <v>176</v>
      </c>
      <c r="C118" t="s">
        <v>327</v>
      </c>
      <c r="D118">
        <v>390000</v>
      </c>
      <c r="E118" t="s">
        <v>401</v>
      </c>
      <c r="F118" s="59" t="s">
        <v>176</v>
      </c>
      <c r="G118" s="14">
        <v>42538.339259259257</v>
      </c>
    </row>
    <row r="119" spans="1:7" x14ac:dyDescent="0.25">
      <c r="A119" s="14">
        <v>42538.910532407404</v>
      </c>
      <c r="B119" t="s">
        <v>276</v>
      </c>
      <c r="C119" t="s">
        <v>415</v>
      </c>
      <c r="D119">
        <v>1820000</v>
      </c>
      <c r="E119" t="s">
        <v>103</v>
      </c>
      <c r="F119" s="59" t="s">
        <v>276</v>
      </c>
      <c r="G119" s="14">
        <v>42538.910532407404</v>
      </c>
    </row>
    <row r="120" spans="1:7" x14ac:dyDescent="0.25">
      <c r="A120" s="14">
        <v>42538.298217592594</v>
      </c>
      <c r="B120" t="s">
        <v>109</v>
      </c>
      <c r="C120" t="s">
        <v>416</v>
      </c>
      <c r="D120">
        <v>1830000</v>
      </c>
      <c r="E120" t="s">
        <v>205</v>
      </c>
      <c r="F120" s="59" t="s">
        <v>109</v>
      </c>
      <c r="G120" s="14">
        <v>42538.298217592594</v>
      </c>
    </row>
    <row r="121" spans="1:7" x14ac:dyDescent="0.25">
      <c r="A121" s="14">
        <v>42538.950057870374</v>
      </c>
      <c r="B121" t="s">
        <v>341</v>
      </c>
      <c r="C121" t="s">
        <v>409</v>
      </c>
      <c r="D121">
        <v>1770000</v>
      </c>
      <c r="E121" t="s">
        <v>352</v>
      </c>
      <c r="F121" s="59" t="s">
        <v>341</v>
      </c>
      <c r="G121" s="14">
        <v>42538.950057870374</v>
      </c>
    </row>
    <row r="122" spans="1:7" x14ac:dyDescent="0.25">
      <c r="A122" s="14">
        <v>42538.262673611112</v>
      </c>
      <c r="B122" t="s">
        <v>86</v>
      </c>
      <c r="C122" t="s">
        <v>357</v>
      </c>
      <c r="D122">
        <v>1830000</v>
      </c>
      <c r="E122" t="s">
        <v>205</v>
      </c>
      <c r="F122" s="59" t="s">
        <v>86</v>
      </c>
      <c r="G122" s="14">
        <v>42538.262673611112</v>
      </c>
    </row>
    <row r="123" spans="1:7" x14ac:dyDescent="0.25">
      <c r="A123" s="14">
        <v>42538.953900462962</v>
      </c>
      <c r="B123" t="s">
        <v>267</v>
      </c>
      <c r="C123" t="s">
        <v>417</v>
      </c>
      <c r="D123">
        <v>1820000</v>
      </c>
      <c r="E123" t="s">
        <v>103</v>
      </c>
      <c r="F123" s="59" t="s">
        <v>267</v>
      </c>
      <c r="G123" s="14">
        <v>42538.953900462962</v>
      </c>
    </row>
    <row r="124" spans="1:7" x14ac:dyDescent="0.25">
      <c r="A124" s="14">
        <v>42538.614444444444</v>
      </c>
      <c r="B124" t="s">
        <v>112</v>
      </c>
      <c r="C124" t="s">
        <v>418</v>
      </c>
      <c r="D124">
        <v>900000</v>
      </c>
      <c r="E124" t="s">
        <v>128</v>
      </c>
      <c r="F124" s="59" t="s">
        <v>112</v>
      </c>
      <c r="G124" s="14">
        <v>42538.614444444444</v>
      </c>
    </row>
    <row r="125" spans="1:7" x14ac:dyDescent="0.25">
      <c r="A125" s="14">
        <v>42538.973541666666</v>
      </c>
      <c r="B125" t="s">
        <v>94</v>
      </c>
      <c r="C125" t="s">
        <v>419</v>
      </c>
      <c r="D125">
        <v>1240000</v>
      </c>
      <c r="E125" t="s">
        <v>84</v>
      </c>
      <c r="F125" s="59" t="s">
        <v>94</v>
      </c>
      <c r="G125" s="14">
        <v>42538.973541666666</v>
      </c>
    </row>
    <row r="126" spans="1:7" x14ac:dyDescent="0.25">
      <c r="A126" s="14">
        <v>42538.580046296294</v>
      </c>
      <c r="B126" t="s">
        <v>104</v>
      </c>
      <c r="C126" t="s">
        <v>363</v>
      </c>
      <c r="D126">
        <v>2020000</v>
      </c>
      <c r="E126" t="s">
        <v>273</v>
      </c>
      <c r="F126" s="59" t="s">
        <v>104</v>
      </c>
      <c r="G126" s="14">
        <v>42538.580046296294</v>
      </c>
    </row>
    <row r="127" spans="1:7" x14ac:dyDescent="0.25">
      <c r="A127" s="14">
        <v>42538.994375000002</v>
      </c>
      <c r="B127" t="s">
        <v>276</v>
      </c>
      <c r="C127" t="s">
        <v>375</v>
      </c>
      <c r="D127">
        <v>1820000</v>
      </c>
      <c r="E127" t="s">
        <v>103</v>
      </c>
      <c r="F127" s="59" t="s">
        <v>276</v>
      </c>
      <c r="G127" s="14">
        <v>42538.994375000002</v>
      </c>
    </row>
    <row r="128" spans="1:7" x14ac:dyDescent="0.25">
      <c r="A128" s="14">
        <v>42538.549201388887</v>
      </c>
      <c r="B128" t="s">
        <v>215</v>
      </c>
      <c r="C128" t="s">
        <v>420</v>
      </c>
      <c r="D128">
        <v>880000</v>
      </c>
      <c r="E128" t="s">
        <v>102</v>
      </c>
      <c r="F128" s="59" t="s">
        <v>215</v>
      </c>
      <c r="G128" s="14">
        <v>42538.549201388887</v>
      </c>
    </row>
    <row r="129" spans="1:7" x14ac:dyDescent="0.25">
      <c r="A129" s="14">
        <v>42539.012418981481</v>
      </c>
      <c r="B129" t="s">
        <v>215</v>
      </c>
      <c r="C129" t="s">
        <v>421</v>
      </c>
      <c r="D129">
        <v>1180000</v>
      </c>
      <c r="E129" t="s">
        <v>105</v>
      </c>
      <c r="F129" s="59" t="s">
        <v>215</v>
      </c>
      <c r="G129" s="14">
        <v>42539.012418981481</v>
      </c>
    </row>
    <row r="130" spans="1:7" x14ac:dyDescent="0.25">
      <c r="A130" s="14">
        <v>42538.444826388892</v>
      </c>
      <c r="B130" t="s">
        <v>276</v>
      </c>
      <c r="C130" t="s">
        <v>422</v>
      </c>
      <c r="D130">
        <v>1480000</v>
      </c>
      <c r="E130" t="s">
        <v>348</v>
      </c>
      <c r="F130" s="59" t="s">
        <v>276</v>
      </c>
      <c r="G130" s="14">
        <v>42538.444826388892</v>
      </c>
    </row>
    <row r="131" spans="1:7" x14ac:dyDescent="0.25">
      <c r="A131" s="14">
        <v>42539.013518518521</v>
      </c>
      <c r="B131" t="s">
        <v>215</v>
      </c>
      <c r="C131" t="s">
        <v>421</v>
      </c>
      <c r="D131">
        <v>1180000</v>
      </c>
      <c r="E131" t="s">
        <v>105</v>
      </c>
      <c r="F131" s="59" t="s">
        <v>215</v>
      </c>
      <c r="G131" s="14">
        <v>42539.013518518521</v>
      </c>
    </row>
    <row r="132" spans="1:7" x14ac:dyDescent="0.25">
      <c r="A132" s="14">
        <v>42538.383240740739</v>
      </c>
      <c r="B132" t="s">
        <v>215</v>
      </c>
      <c r="C132" t="s">
        <v>423</v>
      </c>
      <c r="D132">
        <v>1310000</v>
      </c>
      <c r="E132" t="s">
        <v>130</v>
      </c>
      <c r="F132" s="59" t="s">
        <v>215</v>
      </c>
      <c r="G132" s="14">
        <v>42538.383240740739</v>
      </c>
    </row>
    <row r="133" spans="1:7" x14ac:dyDescent="0.25">
      <c r="A133" s="14">
        <v>42539.015520833331</v>
      </c>
      <c r="B133" t="s">
        <v>215</v>
      </c>
      <c r="C133" t="s">
        <v>421</v>
      </c>
      <c r="D133">
        <v>1180000</v>
      </c>
      <c r="E133" t="s">
        <v>105</v>
      </c>
      <c r="F133" s="59" t="s">
        <v>215</v>
      </c>
      <c r="G133" s="14">
        <v>42539.015520833331</v>
      </c>
    </row>
    <row r="134" spans="1:7" x14ac:dyDescent="0.25">
      <c r="A134" s="14">
        <v>42538.370532407411</v>
      </c>
      <c r="B134" t="s">
        <v>265</v>
      </c>
      <c r="C134" t="s">
        <v>331</v>
      </c>
      <c r="D134">
        <v>1170000</v>
      </c>
      <c r="E134" t="s">
        <v>349</v>
      </c>
      <c r="F134" s="59" t="s">
        <v>265</v>
      </c>
      <c r="G134" s="14">
        <v>42538.370532407411</v>
      </c>
    </row>
    <row r="135" spans="1:7" x14ac:dyDescent="0.25">
      <c r="A135" s="14">
        <v>42539.017835648148</v>
      </c>
      <c r="B135" t="s">
        <v>93</v>
      </c>
      <c r="C135" t="s">
        <v>385</v>
      </c>
      <c r="D135">
        <v>1240000</v>
      </c>
      <c r="E135" t="s">
        <v>84</v>
      </c>
      <c r="F135" s="59" t="s">
        <v>93</v>
      </c>
      <c r="G135" s="14">
        <v>42539.017835648148</v>
      </c>
    </row>
    <row r="136" spans="1:7" x14ac:dyDescent="0.25">
      <c r="A136" s="14">
        <v>42538.259479166663</v>
      </c>
      <c r="B136" t="s">
        <v>93</v>
      </c>
      <c r="C136" t="s">
        <v>323</v>
      </c>
      <c r="D136">
        <v>1110000</v>
      </c>
      <c r="E136" t="s">
        <v>99</v>
      </c>
      <c r="F136" s="59" t="s">
        <v>93</v>
      </c>
      <c r="G136" s="14">
        <v>42538.259479166663</v>
      </c>
    </row>
    <row r="137" spans="1:7" x14ac:dyDescent="0.25">
      <c r="A137" s="14">
        <v>42537.451828703706</v>
      </c>
      <c r="B137" t="s">
        <v>240</v>
      </c>
      <c r="C137" t="s">
        <v>288</v>
      </c>
      <c r="D137">
        <v>2020000</v>
      </c>
      <c r="E137" t="s">
        <v>273</v>
      </c>
      <c r="F137" s="59" t="s">
        <v>240</v>
      </c>
      <c r="G137" s="14">
        <v>42537.451828703706</v>
      </c>
    </row>
    <row r="138" spans="1:7" x14ac:dyDescent="0.25">
      <c r="A138" s="14">
        <v>42537.674687500003</v>
      </c>
      <c r="B138" t="s">
        <v>240</v>
      </c>
      <c r="C138" t="s">
        <v>289</v>
      </c>
      <c r="D138">
        <v>1750000</v>
      </c>
      <c r="E138" t="s">
        <v>279</v>
      </c>
      <c r="F138" s="59" t="s">
        <v>240</v>
      </c>
      <c r="G138" s="14">
        <v>42537.674687500003</v>
      </c>
    </row>
    <row r="139" spans="1:7" x14ac:dyDescent="0.25">
      <c r="A139" s="14">
        <v>42537.496018518519</v>
      </c>
      <c r="B139" t="s">
        <v>112</v>
      </c>
      <c r="C139" t="s">
        <v>290</v>
      </c>
      <c r="D139">
        <v>900000</v>
      </c>
      <c r="E139" t="s">
        <v>128</v>
      </c>
      <c r="F139" s="59" t="s">
        <v>112</v>
      </c>
      <c r="G139" s="14">
        <v>42537.496018518519</v>
      </c>
    </row>
    <row r="140" spans="1:7" x14ac:dyDescent="0.25">
      <c r="A140" s="14">
        <v>42537.580891203703</v>
      </c>
      <c r="B140" t="s">
        <v>268</v>
      </c>
      <c r="C140" t="s">
        <v>269</v>
      </c>
      <c r="D140">
        <v>1340000</v>
      </c>
      <c r="E140" t="s">
        <v>101</v>
      </c>
      <c r="F140" s="59" t="s">
        <v>268</v>
      </c>
      <c r="G140" s="14">
        <v>42537.580891203703</v>
      </c>
    </row>
    <row r="141" spans="1:7" x14ac:dyDescent="0.25">
      <c r="A141" s="14">
        <v>42537.589942129627</v>
      </c>
      <c r="B141" s="83" t="s">
        <v>95</v>
      </c>
      <c r="C141" t="s">
        <v>291</v>
      </c>
      <c r="D141">
        <v>2040000</v>
      </c>
      <c r="E141" t="s">
        <v>270</v>
      </c>
      <c r="F141" s="83" t="s">
        <v>95</v>
      </c>
      <c r="G141" s="14">
        <v>42537.589942129627</v>
      </c>
    </row>
    <row r="142" spans="1:7" x14ac:dyDescent="0.25">
      <c r="A142" s="14">
        <v>42537.567986111113</v>
      </c>
      <c r="B142" s="59" t="s">
        <v>276</v>
      </c>
      <c r="C142" t="s">
        <v>292</v>
      </c>
      <c r="D142">
        <v>1280000</v>
      </c>
      <c r="E142" t="s">
        <v>129</v>
      </c>
      <c r="F142" s="59" t="s">
        <v>276</v>
      </c>
      <c r="G142" s="14">
        <v>42537.567986111113</v>
      </c>
    </row>
    <row r="143" spans="1:7" x14ac:dyDescent="0.25">
      <c r="A143" s="14">
        <v>42537.611064814817</v>
      </c>
      <c r="B143" t="s">
        <v>114</v>
      </c>
      <c r="C143" t="s">
        <v>293</v>
      </c>
      <c r="D143">
        <v>900000</v>
      </c>
      <c r="E143" t="s">
        <v>128</v>
      </c>
      <c r="F143" s="59" t="s">
        <v>114</v>
      </c>
      <c r="G143" s="14">
        <v>42537.611064814817</v>
      </c>
    </row>
    <row r="144" spans="1:7" x14ac:dyDescent="0.25">
      <c r="A144" s="14">
        <v>42537.504583333335</v>
      </c>
      <c r="B144" t="s">
        <v>91</v>
      </c>
      <c r="C144" t="s">
        <v>271</v>
      </c>
      <c r="D144">
        <v>1090000</v>
      </c>
      <c r="E144" t="s">
        <v>187</v>
      </c>
      <c r="F144" s="59" t="s">
        <v>91</v>
      </c>
      <c r="G144" s="14">
        <v>42537.504583333335</v>
      </c>
    </row>
    <row r="145" spans="1:7" x14ac:dyDescent="0.25">
      <c r="A145" s="14">
        <v>42537.640601851854</v>
      </c>
      <c r="B145" t="s">
        <v>93</v>
      </c>
      <c r="C145" t="s">
        <v>272</v>
      </c>
      <c r="D145">
        <v>1520000</v>
      </c>
      <c r="E145" t="s">
        <v>127</v>
      </c>
      <c r="F145" s="59" t="s">
        <v>93</v>
      </c>
      <c r="G145" s="14">
        <v>42537.640601851854</v>
      </c>
    </row>
    <row r="146" spans="1:7" x14ac:dyDescent="0.25">
      <c r="A146" s="14">
        <v>42537.391053240739</v>
      </c>
      <c r="B146" t="s">
        <v>265</v>
      </c>
      <c r="C146" t="s">
        <v>266</v>
      </c>
      <c r="D146">
        <v>1340000</v>
      </c>
      <c r="E146" t="s">
        <v>101</v>
      </c>
      <c r="F146" s="59" t="s">
        <v>265</v>
      </c>
      <c r="G146" s="14">
        <v>42537.391053240739</v>
      </c>
    </row>
    <row r="147" spans="1:7" x14ac:dyDescent="0.25">
      <c r="A147" s="14">
        <v>42537.661944444444</v>
      </c>
      <c r="B147" t="s">
        <v>95</v>
      </c>
      <c r="C147" t="s">
        <v>294</v>
      </c>
      <c r="D147">
        <v>2040000</v>
      </c>
      <c r="E147" t="s">
        <v>270</v>
      </c>
      <c r="F147" s="59" t="s">
        <v>95</v>
      </c>
      <c r="G147" s="14">
        <v>42537.661944444444</v>
      </c>
    </row>
    <row r="148" spans="1:7" x14ac:dyDescent="0.25">
      <c r="A148" s="14">
        <v>42537.682800925926</v>
      </c>
      <c r="B148" t="s">
        <v>95</v>
      </c>
      <c r="C148" t="s">
        <v>294</v>
      </c>
      <c r="D148">
        <v>2040000</v>
      </c>
      <c r="E148" t="s">
        <v>270</v>
      </c>
      <c r="F148" s="59" t="s">
        <v>95</v>
      </c>
      <c r="G148" s="14">
        <v>42537.682800925926</v>
      </c>
    </row>
    <row r="149" spans="1:7" x14ac:dyDescent="0.25">
      <c r="A149" s="14">
        <v>42537.812349537038</v>
      </c>
      <c r="B149" t="s">
        <v>226</v>
      </c>
      <c r="C149" t="s">
        <v>295</v>
      </c>
      <c r="D149">
        <v>1180000</v>
      </c>
      <c r="E149" t="s">
        <v>105</v>
      </c>
      <c r="F149" s="59" t="s">
        <v>226</v>
      </c>
      <c r="G149" s="14">
        <v>42537.812349537038</v>
      </c>
    </row>
    <row r="150" spans="1:7" x14ac:dyDescent="0.25">
      <c r="A150" s="14">
        <v>42537.633009259262</v>
      </c>
      <c r="B150" t="s">
        <v>213</v>
      </c>
      <c r="C150" t="s">
        <v>283</v>
      </c>
      <c r="D150">
        <v>1750000</v>
      </c>
      <c r="E150" t="s">
        <v>279</v>
      </c>
      <c r="F150" s="59" t="s">
        <v>213</v>
      </c>
      <c r="G150" s="14">
        <v>42537.633009259262</v>
      </c>
    </row>
    <row r="151" spans="1:7" x14ac:dyDescent="0.25">
      <c r="A151" s="14">
        <v>42537.849942129629</v>
      </c>
      <c r="B151" t="s">
        <v>184</v>
      </c>
      <c r="C151" t="s">
        <v>280</v>
      </c>
      <c r="D151">
        <v>1820000</v>
      </c>
      <c r="E151" t="s">
        <v>103</v>
      </c>
      <c r="F151" s="59" t="s">
        <v>184</v>
      </c>
      <c r="G151" s="14">
        <v>42537.849942129629</v>
      </c>
    </row>
    <row r="152" spans="1:7" x14ac:dyDescent="0.25">
      <c r="A152" s="14">
        <v>42537.624062499999</v>
      </c>
      <c r="B152" t="s">
        <v>104</v>
      </c>
      <c r="C152" t="s">
        <v>296</v>
      </c>
      <c r="D152">
        <v>2040000</v>
      </c>
      <c r="E152" t="s">
        <v>270</v>
      </c>
      <c r="F152" s="59" t="s">
        <v>104</v>
      </c>
      <c r="G152" s="14">
        <v>42537.624062499999</v>
      </c>
    </row>
    <row r="153" spans="1:7" x14ac:dyDescent="0.25">
      <c r="A153" s="14">
        <v>42537.993877314817</v>
      </c>
      <c r="B153" t="s">
        <v>94</v>
      </c>
      <c r="C153" t="s">
        <v>286</v>
      </c>
      <c r="D153">
        <v>1760000</v>
      </c>
      <c r="E153" t="s">
        <v>235</v>
      </c>
      <c r="F153" s="59" t="s">
        <v>94</v>
      </c>
      <c r="G153" s="14">
        <v>42537.993877314817</v>
      </c>
    </row>
    <row r="154" spans="1:7" x14ac:dyDescent="0.25">
      <c r="A154" s="14">
        <v>42537.517141203702</v>
      </c>
      <c r="B154" t="s">
        <v>95</v>
      </c>
      <c r="C154" t="s">
        <v>297</v>
      </c>
      <c r="D154">
        <v>2040000</v>
      </c>
      <c r="E154" t="s">
        <v>270</v>
      </c>
      <c r="F154" s="59" t="s">
        <v>95</v>
      </c>
      <c r="G154" s="14">
        <v>42537.517141203702</v>
      </c>
    </row>
    <row r="155" spans="1:7" x14ac:dyDescent="0.25">
      <c r="A155" s="14">
        <v>42537.373923611114</v>
      </c>
      <c r="B155" t="s">
        <v>109</v>
      </c>
      <c r="C155" t="s">
        <v>298</v>
      </c>
      <c r="D155">
        <v>1310000</v>
      </c>
      <c r="E155" t="s">
        <v>130</v>
      </c>
      <c r="F155" s="59" t="s">
        <v>109</v>
      </c>
      <c r="G155" s="14">
        <v>42537.373923611114</v>
      </c>
    </row>
    <row r="156" spans="1:7" x14ac:dyDescent="0.25">
      <c r="A156" s="14">
        <v>42537.689375000002</v>
      </c>
      <c r="B156" t="s">
        <v>92</v>
      </c>
      <c r="C156" t="s">
        <v>299</v>
      </c>
      <c r="D156">
        <v>1090000</v>
      </c>
      <c r="E156" t="s">
        <v>187</v>
      </c>
      <c r="F156" s="59" t="s">
        <v>92</v>
      </c>
      <c r="G156" s="14">
        <v>42537.689375000002</v>
      </c>
    </row>
    <row r="157" spans="1:7" x14ac:dyDescent="0.25">
      <c r="A157" s="14">
        <v>42537.465370370373</v>
      </c>
      <c r="B157" t="s">
        <v>92</v>
      </c>
      <c r="C157" t="s">
        <v>300</v>
      </c>
      <c r="D157">
        <v>1090000</v>
      </c>
      <c r="E157" t="s">
        <v>187</v>
      </c>
      <c r="F157" s="59" t="s">
        <v>92</v>
      </c>
      <c r="G157" s="14">
        <v>42537.465370370373</v>
      </c>
    </row>
    <row r="158" spans="1:7" x14ac:dyDescent="0.25">
      <c r="A158" s="14">
        <v>42537.573888888888</v>
      </c>
      <c r="B158" t="s">
        <v>268</v>
      </c>
      <c r="C158" t="s">
        <v>269</v>
      </c>
      <c r="D158">
        <v>1340000</v>
      </c>
      <c r="E158" t="s">
        <v>101</v>
      </c>
      <c r="F158" s="59" t="s">
        <v>268</v>
      </c>
      <c r="G158" s="14">
        <v>42537.573888888888</v>
      </c>
    </row>
    <row r="159" spans="1:7" x14ac:dyDescent="0.25">
      <c r="A159" s="14">
        <v>42537.639849537038</v>
      </c>
      <c r="B159" t="s">
        <v>276</v>
      </c>
      <c r="C159" t="s">
        <v>284</v>
      </c>
      <c r="D159">
        <v>1280000</v>
      </c>
      <c r="E159" t="s">
        <v>129</v>
      </c>
      <c r="F159" s="59" t="s">
        <v>276</v>
      </c>
      <c r="G159" s="14">
        <v>42537.639849537038</v>
      </c>
    </row>
    <row r="160" spans="1:7" x14ac:dyDescent="0.25">
      <c r="A160" s="14">
        <v>42537.488553240742</v>
      </c>
      <c r="B160" t="s">
        <v>265</v>
      </c>
      <c r="C160" t="s">
        <v>266</v>
      </c>
      <c r="D160">
        <v>1340000</v>
      </c>
      <c r="E160" t="s">
        <v>101</v>
      </c>
      <c r="F160" s="59" t="s">
        <v>265</v>
      </c>
      <c r="G160" s="14">
        <v>42537.488553240742</v>
      </c>
    </row>
    <row r="161" spans="1:7" x14ac:dyDescent="0.25">
      <c r="A161" s="14">
        <v>42537.653958333336</v>
      </c>
      <c r="B161" t="s">
        <v>86</v>
      </c>
      <c r="C161" t="s">
        <v>285</v>
      </c>
      <c r="D161">
        <v>880000</v>
      </c>
      <c r="E161" t="s">
        <v>102</v>
      </c>
      <c r="F161" s="59" t="s">
        <v>86</v>
      </c>
      <c r="G161" s="14">
        <v>42537.653958333336</v>
      </c>
    </row>
    <row r="162" spans="1:7" x14ac:dyDescent="0.25">
      <c r="A162" s="14">
        <v>42537.433333333334</v>
      </c>
      <c r="B162" t="s">
        <v>91</v>
      </c>
      <c r="C162" t="s">
        <v>301</v>
      </c>
      <c r="D162">
        <v>1830000</v>
      </c>
      <c r="E162" t="s">
        <v>205</v>
      </c>
      <c r="F162" s="59" t="s">
        <v>91</v>
      </c>
      <c r="G162" s="14">
        <v>42537.433333333334</v>
      </c>
    </row>
    <row r="163" spans="1:7" x14ac:dyDescent="0.25">
      <c r="A163" s="14">
        <v>42537.75953703704</v>
      </c>
      <c r="B163" t="s">
        <v>213</v>
      </c>
      <c r="C163" t="s">
        <v>302</v>
      </c>
      <c r="D163">
        <v>2010000</v>
      </c>
      <c r="E163" t="s">
        <v>277</v>
      </c>
      <c r="F163" s="59" t="s">
        <v>213</v>
      </c>
      <c r="G163" s="14">
        <v>42537.75953703704</v>
      </c>
    </row>
    <row r="164" spans="1:7" x14ac:dyDescent="0.25">
      <c r="A164" s="14">
        <v>42537.482245370367</v>
      </c>
      <c r="B164" t="s">
        <v>86</v>
      </c>
      <c r="C164" t="s">
        <v>278</v>
      </c>
      <c r="D164">
        <v>880000</v>
      </c>
      <c r="E164" t="s">
        <v>102</v>
      </c>
      <c r="F164" s="59" t="s">
        <v>86</v>
      </c>
      <c r="G164" s="14">
        <v>42537.482245370367</v>
      </c>
    </row>
    <row r="165" spans="1:7" x14ac:dyDescent="0.25">
      <c r="A165" s="14">
        <v>42537.767245370371</v>
      </c>
      <c r="B165" t="s">
        <v>184</v>
      </c>
      <c r="C165" t="s">
        <v>275</v>
      </c>
      <c r="D165">
        <v>1820000</v>
      </c>
      <c r="E165" t="s">
        <v>103</v>
      </c>
      <c r="F165" s="59" t="s">
        <v>184</v>
      </c>
      <c r="G165" s="14">
        <v>42537.767245370371</v>
      </c>
    </row>
    <row r="166" spans="1:7" x14ac:dyDescent="0.25">
      <c r="A166" s="14">
        <v>42537.420381944445</v>
      </c>
      <c r="B166" t="s">
        <v>276</v>
      </c>
      <c r="C166" t="s">
        <v>303</v>
      </c>
      <c r="D166">
        <v>1110000</v>
      </c>
      <c r="E166" t="s">
        <v>99</v>
      </c>
      <c r="F166" s="59" t="s">
        <v>276</v>
      </c>
      <c r="G166" s="14">
        <v>42537.420381944445</v>
      </c>
    </row>
    <row r="167" spans="1:7" x14ac:dyDescent="0.25">
      <c r="A167" s="14">
        <v>42537.912303240744</v>
      </c>
      <c r="B167" t="s">
        <v>94</v>
      </c>
      <c r="C167" t="s">
        <v>287</v>
      </c>
      <c r="D167">
        <v>1760000</v>
      </c>
      <c r="E167" t="s">
        <v>235</v>
      </c>
      <c r="F167" s="59" t="s">
        <v>94</v>
      </c>
      <c r="G167" s="14">
        <v>42537.912303240744</v>
      </c>
    </row>
    <row r="168" spans="1:7" x14ac:dyDescent="0.25">
      <c r="A168" s="14">
        <v>42537.548020833332</v>
      </c>
      <c r="B168" t="s">
        <v>265</v>
      </c>
      <c r="C168" t="s">
        <v>266</v>
      </c>
      <c r="D168">
        <v>1340000</v>
      </c>
      <c r="E168" t="s">
        <v>101</v>
      </c>
      <c r="F168" s="59" t="s">
        <v>265</v>
      </c>
      <c r="G168" s="14">
        <v>42537.548020833332</v>
      </c>
    </row>
    <row r="169" spans="1:7" x14ac:dyDescent="0.25">
      <c r="A169" s="14">
        <v>42536.640856481485</v>
      </c>
      <c r="B169" t="s">
        <v>189</v>
      </c>
      <c r="C169" t="s">
        <v>246</v>
      </c>
      <c r="D169">
        <v>1340000</v>
      </c>
      <c r="E169" t="s">
        <v>101</v>
      </c>
      <c r="F169" s="59" t="s">
        <v>189</v>
      </c>
      <c r="G169" s="14">
        <v>42536.640856481485</v>
      </c>
    </row>
    <row r="170" spans="1:7" x14ac:dyDescent="0.25">
      <c r="A170" s="14">
        <v>42530.611226851855</v>
      </c>
      <c r="B170" t="s">
        <v>108</v>
      </c>
      <c r="C170" t="s">
        <v>166</v>
      </c>
      <c r="D170">
        <v>1110000</v>
      </c>
      <c r="E170" t="s">
        <v>99</v>
      </c>
      <c r="F170" s="59" t="s">
        <v>108</v>
      </c>
      <c r="G170" s="14">
        <v>42530.611226851855</v>
      </c>
    </row>
    <row r="171" spans="1:7" x14ac:dyDescent="0.25">
      <c r="A171" s="14">
        <v>42536.617488425924</v>
      </c>
      <c r="B171" t="s">
        <v>108</v>
      </c>
      <c r="C171" t="s">
        <v>231</v>
      </c>
      <c r="D171">
        <v>890000</v>
      </c>
      <c r="E171" t="s">
        <v>97</v>
      </c>
      <c r="F171" s="59" t="s">
        <v>108</v>
      </c>
      <c r="G171" s="14">
        <v>42536.617488425924</v>
      </c>
    </row>
    <row r="172" spans="1:7" x14ac:dyDescent="0.25">
      <c r="A172" s="14">
        <v>42530.650925925926</v>
      </c>
      <c r="B172" t="s">
        <v>106</v>
      </c>
      <c r="C172" t="s">
        <v>157</v>
      </c>
      <c r="D172">
        <v>1110000</v>
      </c>
      <c r="E172" t="s">
        <v>99</v>
      </c>
      <c r="F172" s="59" t="s">
        <v>106</v>
      </c>
      <c r="G172" s="14">
        <v>42530.650925925926</v>
      </c>
    </row>
    <row r="173" spans="1:7" x14ac:dyDescent="0.25">
      <c r="A173" s="14">
        <v>42536.654282407406</v>
      </c>
      <c r="B173" t="s">
        <v>106</v>
      </c>
      <c r="C173" t="s">
        <v>236</v>
      </c>
      <c r="D173">
        <v>890000</v>
      </c>
      <c r="E173" t="s">
        <v>97</v>
      </c>
      <c r="F173" s="59" t="s">
        <v>106</v>
      </c>
      <c r="G173" s="14">
        <v>42536.654282407406</v>
      </c>
    </row>
    <row r="174" spans="1:7" x14ac:dyDescent="0.25">
      <c r="A174" s="14">
        <v>42530.623888888891</v>
      </c>
      <c r="B174" t="s">
        <v>104</v>
      </c>
      <c r="C174" t="s">
        <v>144</v>
      </c>
      <c r="D174">
        <v>890000</v>
      </c>
      <c r="E174" t="s">
        <v>97</v>
      </c>
      <c r="F174" s="59" t="s">
        <v>104</v>
      </c>
      <c r="G174" s="14">
        <v>42530.623888888891</v>
      </c>
    </row>
    <row r="175" spans="1:7" x14ac:dyDescent="0.25">
      <c r="A175" s="14">
        <v>42536.621979166666</v>
      </c>
      <c r="B175" t="s">
        <v>184</v>
      </c>
      <c r="C175" t="s">
        <v>227</v>
      </c>
      <c r="D175">
        <v>940000</v>
      </c>
      <c r="E175" t="s">
        <v>222</v>
      </c>
      <c r="F175" s="59" t="s">
        <v>184</v>
      </c>
      <c r="G175" s="14">
        <v>42536.621979166666</v>
      </c>
    </row>
    <row r="176" spans="1:7" x14ac:dyDescent="0.25">
      <c r="A176" s="14">
        <v>42530.661539351851</v>
      </c>
      <c r="B176" t="s">
        <v>95</v>
      </c>
      <c r="C176" t="s">
        <v>165</v>
      </c>
      <c r="D176">
        <v>890000</v>
      </c>
      <c r="E176" t="s">
        <v>97</v>
      </c>
      <c r="F176" s="59" t="s">
        <v>95</v>
      </c>
      <c r="G176" s="14">
        <v>42530.661539351851</v>
      </c>
    </row>
    <row r="177" spans="1:7" x14ac:dyDescent="0.25">
      <c r="A177" s="14">
        <v>42536.658171296294</v>
      </c>
      <c r="B177" t="s">
        <v>186</v>
      </c>
      <c r="C177" t="s">
        <v>243</v>
      </c>
      <c r="D177">
        <v>940000</v>
      </c>
      <c r="E177" t="s">
        <v>222</v>
      </c>
      <c r="F177" s="59" t="s">
        <v>186</v>
      </c>
      <c r="G177" s="14">
        <v>42536.658171296294</v>
      </c>
    </row>
    <row r="178" spans="1:7" x14ac:dyDescent="0.25">
      <c r="A178" s="14">
        <v>42530.63208333333</v>
      </c>
      <c r="B178" t="s">
        <v>110</v>
      </c>
      <c r="C178" t="s">
        <v>111</v>
      </c>
      <c r="D178">
        <v>1740000</v>
      </c>
      <c r="E178" t="s">
        <v>100</v>
      </c>
      <c r="F178" s="59" t="s">
        <v>110</v>
      </c>
      <c r="G178" s="14">
        <v>42530.63208333333</v>
      </c>
    </row>
    <row r="179" spans="1:7" x14ac:dyDescent="0.25">
      <c r="A179" s="14">
        <v>42536.648379629631</v>
      </c>
      <c r="B179" t="s">
        <v>92</v>
      </c>
      <c r="C179" t="s">
        <v>218</v>
      </c>
      <c r="D179">
        <v>1520000</v>
      </c>
      <c r="E179" t="s">
        <v>127</v>
      </c>
      <c r="F179" s="59" t="s">
        <v>92</v>
      </c>
      <c r="G179" s="14">
        <v>42536.648379629631</v>
      </c>
    </row>
    <row r="180" spans="1:7" x14ac:dyDescent="0.25">
      <c r="A180" s="14">
        <v>42536.633831018517</v>
      </c>
      <c r="B180" t="s">
        <v>92</v>
      </c>
      <c r="C180" t="s">
        <v>218</v>
      </c>
      <c r="D180">
        <v>1520000</v>
      </c>
      <c r="E180" t="s">
        <v>127</v>
      </c>
      <c r="F180" s="59" t="s">
        <v>92</v>
      </c>
      <c r="G180" s="14">
        <v>42536.633831018517</v>
      </c>
    </row>
    <row r="181" spans="1:7" x14ac:dyDescent="0.25">
      <c r="A181" s="14">
        <v>42536.670856481483</v>
      </c>
      <c r="B181" t="s">
        <v>91</v>
      </c>
      <c r="C181" t="s">
        <v>245</v>
      </c>
      <c r="D181">
        <v>1520000</v>
      </c>
      <c r="E181" t="s">
        <v>127</v>
      </c>
      <c r="F181" s="59" t="s">
        <v>91</v>
      </c>
      <c r="G181" s="14">
        <v>42536.670856481483</v>
      </c>
    </row>
    <row r="182" spans="1:7" x14ac:dyDescent="0.25">
      <c r="A182" s="14">
        <v>42530.642604166664</v>
      </c>
      <c r="B182" t="s">
        <v>112</v>
      </c>
      <c r="C182" t="s">
        <v>113</v>
      </c>
      <c r="D182">
        <v>900000</v>
      </c>
      <c r="E182" t="s">
        <v>128</v>
      </c>
      <c r="F182" s="59" t="s">
        <v>112</v>
      </c>
      <c r="G182" s="14">
        <v>42530.642604166664</v>
      </c>
    </row>
    <row r="183" spans="1:7" x14ac:dyDescent="0.25">
      <c r="A183" s="14">
        <v>42530.643750000003</v>
      </c>
      <c r="B183" t="s">
        <v>112</v>
      </c>
      <c r="C183" t="s">
        <v>113</v>
      </c>
      <c r="D183">
        <v>900000</v>
      </c>
      <c r="E183" t="s">
        <v>128</v>
      </c>
      <c r="F183" s="59" t="s">
        <v>112</v>
      </c>
      <c r="G183" s="14">
        <v>42530.643750000003</v>
      </c>
    </row>
    <row r="184" spans="1:7" x14ac:dyDescent="0.25">
      <c r="A184" s="14">
        <v>42536.643240740741</v>
      </c>
      <c r="B184" t="s">
        <v>104</v>
      </c>
      <c r="C184" t="s">
        <v>232</v>
      </c>
      <c r="D184">
        <v>1360000</v>
      </c>
      <c r="E184" t="s">
        <v>89</v>
      </c>
      <c r="F184" s="59" t="s">
        <v>104</v>
      </c>
      <c r="G184" s="14">
        <v>42536.643240740741</v>
      </c>
    </row>
    <row r="185" spans="1:7" x14ac:dyDescent="0.25">
      <c r="A185" s="14">
        <v>42530.684050925927</v>
      </c>
      <c r="B185" t="s">
        <v>114</v>
      </c>
      <c r="C185" t="s">
        <v>115</v>
      </c>
      <c r="D185">
        <v>900000</v>
      </c>
      <c r="E185" t="s">
        <v>128</v>
      </c>
      <c r="F185" s="59" t="s">
        <v>114</v>
      </c>
      <c r="G185" s="14">
        <v>42530.684050925927</v>
      </c>
    </row>
    <row r="186" spans="1:7" x14ac:dyDescent="0.25">
      <c r="A186" s="14">
        <v>42536.681793981479</v>
      </c>
      <c r="B186" t="s">
        <v>95</v>
      </c>
      <c r="C186" t="s">
        <v>239</v>
      </c>
      <c r="D186">
        <v>1360000</v>
      </c>
      <c r="E186" t="s">
        <v>89</v>
      </c>
      <c r="F186" s="59" t="s">
        <v>95</v>
      </c>
      <c r="G186" s="14">
        <v>42536.681793981479</v>
      </c>
    </row>
    <row r="187" spans="1:7" x14ac:dyDescent="0.25">
      <c r="A187" s="14">
        <v>42530.653877314813</v>
      </c>
      <c r="B187" t="s">
        <v>109</v>
      </c>
      <c r="C187" t="s">
        <v>161</v>
      </c>
      <c r="D187">
        <v>1140000</v>
      </c>
      <c r="E187" t="s">
        <v>96</v>
      </c>
      <c r="F187" s="59" t="s">
        <v>109</v>
      </c>
      <c r="G187" s="14">
        <v>42530.653877314813</v>
      </c>
    </row>
    <row r="188" spans="1:7" x14ac:dyDescent="0.25">
      <c r="A188" s="14">
        <v>42536.644699074073</v>
      </c>
      <c r="B188" t="s">
        <v>133</v>
      </c>
      <c r="C188" t="s">
        <v>237</v>
      </c>
      <c r="D188">
        <v>1450000</v>
      </c>
      <c r="E188" t="s">
        <v>188</v>
      </c>
      <c r="F188" s="59" t="s">
        <v>133</v>
      </c>
      <c r="G188" s="14">
        <v>42536.644699074073</v>
      </c>
    </row>
    <row r="189" spans="1:7" x14ac:dyDescent="0.25">
      <c r="A189" s="14">
        <v>42536.670810185184</v>
      </c>
      <c r="B189" t="s">
        <v>133</v>
      </c>
      <c r="C189" t="s">
        <v>237</v>
      </c>
      <c r="D189">
        <v>1450000</v>
      </c>
      <c r="E189" t="s">
        <v>188</v>
      </c>
      <c r="F189" s="59" t="s">
        <v>133</v>
      </c>
      <c r="G189" s="14">
        <v>42536.670810185184</v>
      </c>
    </row>
    <row r="190" spans="1:7" x14ac:dyDescent="0.25">
      <c r="A190" s="14">
        <v>42536.692337962966</v>
      </c>
      <c r="B190" t="s">
        <v>107</v>
      </c>
      <c r="C190" t="s">
        <v>207</v>
      </c>
      <c r="D190">
        <v>0</v>
      </c>
      <c r="E190" t="s">
        <v>208</v>
      </c>
      <c r="F190" s="59" t="s">
        <v>107</v>
      </c>
      <c r="G190" s="14">
        <v>42536.692337962966</v>
      </c>
    </row>
    <row r="191" spans="1:7" x14ac:dyDescent="0.25">
      <c r="A191" s="14">
        <v>42536.6952662037</v>
      </c>
      <c r="B191" t="s">
        <v>107</v>
      </c>
      <c r="C191" t="s">
        <v>207</v>
      </c>
      <c r="D191">
        <v>1450000</v>
      </c>
      <c r="E191" t="s">
        <v>188</v>
      </c>
      <c r="F191" s="59" t="s">
        <v>107</v>
      </c>
      <c r="G191" s="14">
        <v>42536.6952662037</v>
      </c>
    </row>
    <row r="192" spans="1:7" x14ac:dyDescent="0.25">
      <c r="A192" s="14">
        <v>42536.693877314814</v>
      </c>
      <c r="B192" t="s">
        <v>107</v>
      </c>
      <c r="C192" t="s">
        <v>207</v>
      </c>
      <c r="D192">
        <v>1450000</v>
      </c>
      <c r="E192" t="s">
        <v>188</v>
      </c>
      <c r="F192" s="59" t="s">
        <v>107</v>
      </c>
      <c r="G192" s="14">
        <v>42536.693877314814</v>
      </c>
    </row>
    <row r="193" spans="1:7" x14ac:dyDescent="0.25">
      <c r="A193" s="14">
        <v>42536.666134259256</v>
      </c>
      <c r="B193" t="s">
        <v>93</v>
      </c>
      <c r="C193" t="s">
        <v>206</v>
      </c>
      <c r="D193">
        <v>1470000</v>
      </c>
      <c r="E193" t="s">
        <v>204</v>
      </c>
      <c r="F193" s="59" t="s">
        <v>93</v>
      </c>
      <c r="G193" s="14">
        <v>42536.666134259256</v>
      </c>
    </row>
    <row r="194" spans="1:7" x14ac:dyDescent="0.25">
      <c r="A194" s="14">
        <v>42530.696516203701</v>
      </c>
      <c r="B194" t="s">
        <v>94</v>
      </c>
      <c r="C194" t="s">
        <v>167</v>
      </c>
      <c r="D194">
        <v>1520000</v>
      </c>
      <c r="E194" t="s">
        <v>127</v>
      </c>
      <c r="F194" s="59" t="s">
        <v>94</v>
      </c>
      <c r="G194" s="14">
        <v>42530.696516203701</v>
      </c>
    </row>
    <row r="195" spans="1:7" x14ac:dyDescent="0.25">
      <c r="A195" s="14">
        <v>42536.701435185183</v>
      </c>
      <c r="B195" t="s">
        <v>94</v>
      </c>
      <c r="C195" t="s">
        <v>229</v>
      </c>
      <c r="D195">
        <v>1470000</v>
      </c>
      <c r="E195" t="s">
        <v>204</v>
      </c>
      <c r="F195" s="59" t="s">
        <v>94</v>
      </c>
      <c r="G195" s="14">
        <v>42536.701435185183</v>
      </c>
    </row>
    <row r="196" spans="1:7" x14ac:dyDescent="0.25">
      <c r="A196" s="14">
        <v>42530.673090277778</v>
      </c>
      <c r="B196" t="s">
        <v>92</v>
      </c>
      <c r="C196" t="s">
        <v>154</v>
      </c>
      <c r="D196">
        <v>1280000</v>
      </c>
      <c r="E196" t="s">
        <v>129</v>
      </c>
      <c r="F196" s="59" t="s">
        <v>92</v>
      </c>
      <c r="G196" s="14">
        <v>42530.673090277778</v>
      </c>
    </row>
    <row r="197" spans="1:7" x14ac:dyDescent="0.25">
      <c r="A197" s="14">
        <v>42536.674398148149</v>
      </c>
      <c r="B197" t="s">
        <v>185</v>
      </c>
      <c r="C197" t="s">
        <v>254</v>
      </c>
      <c r="D197">
        <v>1340000</v>
      </c>
      <c r="E197" t="s">
        <v>101</v>
      </c>
      <c r="F197" s="59" t="s">
        <v>185</v>
      </c>
      <c r="G197" s="14">
        <v>42536.674398148149</v>
      </c>
    </row>
    <row r="198" spans="1:7" x14ac:dyDescent="0.25">
      <c r="A198" s="14">
        <v>42530.713194444441</v>
      </c>
      <c r="B198" t="s">
        <v>91</v>
      </c>
      <c r="C198" t="s">
        <v>116</v>
      </c>
      <c r="D198">
        <v>1280000</v>
      </c>
      <c r="E198" t="s">
        <v>129</v>
      </c>
      <c r="F198" s="59" t="s">
        <v>91</v>
      </c>
      <c r="G198" s="14">
        <v>42530.713194444441</v>
      </c>
    </row>
    <row r="199" spans="1:7" x14ac:dyDescent="0.25">
      <c r="A199" s="14">
        <v>42535.713541666664</v>
      </c>
      <c r="B199" t="s">
        <v>186</v>
      </c>
      <c r="C199" t="s">
        <v>194</v>
      </c>
      <c r="D199">
        <v>1740000</v>
      </c>
      <c r="E199" t="s">
        <v>100</v>
      </c>
      <c r="F199" s="59" t="s">
        <v>186</v>
      </c>
      <c r="G199" s="14">
        <v>42535.713541666664</v>
      </c>
    </row>
    <row r="200" spans="1:7" x14ac:dyDescent="0.25">
      <c r="A200" s="14">
        <v>42536.710428240738</v>
      </c>
      <c r="B200" t="s">
        <v>189</v>
      </c>
      <c r="C200" t="s">
        <v>217</v>
      </c>
      <c r="D200">
        <v>1340000</v>
      </c>
      <c r="E200" t="s">
        <v>101</v>
      </c>
      <c r="F200" s="59" t="s">
        <v>189</v>
      </c>
      <c r="G200" s="14">
        <v>42536.710428240738</v>
      </c>
    </row>
    <row r="201" spans="1:7" x14ac:dyDescent="0.25">
      <c r="A201" s="14">
        <v>42530.684884259259</v>
      </c>
      <c r="B201" t="s">
        <v>108</v>
      </c>
      <c r="C201" t="s">
        <v>151</v>
      </c>
      <c r="D201">
        <v>1110000</v>
      </c>
      <c r="E201" t="s">
        <v>99</v>
      </c>
      <c r="F201" s="59" t="s">
        <v>108</v>
      </c>
      <c r="G201" s="14">
        <v>42530.684884259259</v>
      </c>
    </row>
    <row r="202" spans="1:7" x14ac:dyDescent="0.25">
      <c r="A202" s="14">
        <v>42536.68954861111</v>
      </c>
      <c r="B202" t="s">
        <v>108</v>
      </c>
      <c r="C202" t="s">
        <v>225</v>
      </c>
      <c r="D202">
        <v>890000</v>
      </c>
      <c r="E202" t="s">
        <v>97</v>
      </c>
      <c r="F202" s="59" t="s">
        <v>108</v>
      </c>
      <c r="G202" s="14">
        <v>42536.68954861111</v>
      </c>
    </row>
    <row r="203" spans="1:7" x14ac:dyDescent="0.25">
      <c r="A203" s="14">
        <v>42536.690694444442</v>
      </c>
      <c r="B203" t="s">
        <v>108</v>
      </c>
      <c r="C203" t="s">
        <v>225</v>
      </c>
      <c r="D203">
        <v>890000</v>
      </c>
      <c r="E203" t="s">
        <v>97</v>
      </c>
      <c r="F203" s="59" t="s">
        <v>108</v>
      </c>
      <c r="G203" s="14">
        <v>42536.690694444442</v>
      </c>
    </row>
    <row r="204" spans="1:7" x14ac:dyDescent="0.25">
      <c r="A204" s="14">
        <v>42530.723935185182</v>
      </c>
      <c r="B204" t="s">
        <v>106</v>
      </c>
      <c r="C204" t="s">
        <v>164</v>
      </c>
      <c r="D204">
        <v>1110000</v>
      </c>
      <c r="E204" t="s">
        <v>99</v>
      </c>
      <c r="F204" s="59" t="s">
        <v>106</v>
      </c>
      <c r="G204" s="14">
        <v>42530.723935185182</v>
      </c>
    </row>
    <row r="205" spans="1:7" x14ac:dyDescent="0.25">
      <c r="A205" s="14">
        <v>42536.6953587963</v>
      </c>
      <c r="B205" t="s">
        <v>184</v>
      </c>
      <c r="C205" t="s">
        <v>221</v>
      </c>
      <c r="D205">
        <v>940000</v>
      </c>
      <c r="E205" t="s">
        <v>222</v>
      </c>
      <c r="F205" s="59" t="s">
        <v>184</v>
      </c>
      <c r="G205" s="14">
        <v>42536.6953587963</v>
      </c>
    </row>
    <row r="206" spans="1:7" x14ac:dyDescent="0.25">
      <c r="A206" s="14">
        <v>42530.734826388885</v>
      </c>
      <c r="B206" t="s">
        <v>95</v>
      </c>
      <c r="C206" t="s">
        <v>120</v>
      </c>
      <c r="D206">
        <v>890000</v>
      </c>
      <c r="E206" t="s">
        <v>97</v>
      </c>
      <c r="F206" s="59" t="s">
        <v>95</v>
      </c>
      <c r="G206" s="14">
        <v>42530.734826388885</v>
      </c>
    </row>
    <row r="207" spans="1:7" x14ac:dyDescent="0.25">
      <c r="A207" s="14">
        <v>42530.70349537037</v>
      </c>
      <c r="B207" t="s">
        <v>110</v>
      </c>
      <c r="C207" t="s">
        <v>117</v>
      </c>
      <c r="D207">
        <v>1740000</v>
      </c>
      <c r="E207" t="s">
        <v>100</v>
      </c>
      <c r="F207" s="59" t="s">
        <v>110</v>
      </c>
      <c r="G207" s="14">
        <v>42530.70349537037</v>
      </c>
    </row>
    <row r="208" spans="1:7" x14ac:dyDescent="0.25">
      <c r="A208" s="14">
        <v>42530.70484953704</v>
      </c>
      <c r="B208" t="s">
        <v>110</v>
      </c>
      <c r="C208" t="s">
        <v>117</v>
      </c>
      <c r="D208">
        <v>1740000</v>
      </c>
      <c r="E208" t="s">
        <v>100</v>
      </c>
      <c r="F208" s="59" t="s">
        <v>110</v>
      </c>
      <c r="G208" s="14">
        <v>42530.70484953704</v>
      </c>
    </row>
    <row r="209" spans="1:7" x14ac:dyDescent="0.25">
      <c r="A209" s="14">
        <v>42530.742951388886</v>
      </c>
      <c r="B209" t="s">
        <v>74</v>
      </c>
      <c r="C209" t="s">
        <v>156</v>
      </c>
      <c r="D209">
        <v>1740000</v>
      </c>
      <c r="E209" t="s">
        <v>100</v>
      </c>
      <c r="F209" s="59" t="s">
        <v>74</v>
      </c>
      <c r="G209" s="14">
        <v>42530.742951388886</v>
      </c>
    </row>
    <row r="210" spans="1:7" x14ac:dyDescent="0.25">
      <c r="A210" s="14">
        <v>42536.768611111111</v>
      </c>
      <c r="B210" t="s">
        <v>91</v>
      </c>
      <c r="C210" t="s">
        <v>233</v>
      </c>
      <c r="D210">
        <v>1520000</v>
      </c>
      <c r="E210" t="s">
        <v>127</v>
      </c>
      <c r="F210" s="59" t="s">
        <v>91</v>
      </c>
      <c r="G210" s="14">
        <v>42536.768611111111</v>
      </c>
    </row>
    <row r="211" spans="1:7" x14ac:dyDescent="0.25">
      <c r="A211" s="14">
        <v>42530.710578703707</v>
      </c>
      <c r="B211" t="s">
        <v>133</v>
      </c>
      <c r="C211" t="s">
        <v>145</v>
      </c>
      <c r="D211">
        <v>1440000</v>
      </c>
      <c r="E211" t="s">
        <v>134</v>
      </c>
      <c r="F211" s="59" t="s">
        <v>133</v>
      </c>
      <c r="G211" s="14">
        <v>42530.710578703707</v>
      </c>
    </row>
    <row r="212" spans="1:7" x14ac:dyDescent="0.25">
      <c r="A212" s="14">
        <v>42536.721921296295</v>
      </c>
      <c r="B212" t="s">
        <v>176</v>
      </c>
      <c r="C212" t="s">
        <v>252</v>
      </c>
      <c r="D212">
        <v>1740000</v>
      </c>
      <c r="E212" t="s">
        <v>100</v>
      </c>
      <c r="F212" s="59" t="s">
        <v>176</v>
      </c>
      <c r="G212" s="14">
        <v>42536.721921296295</v>
      </c>
    </row>
    <row r="213" spans="1:7" x14ac:dyDescent="0.25">
      <c r="A213" s="14">
        <v>42530.747256944444</v>
      </c>
      <c r="B213" t="s">
        <v>107</v>
      </c>
      <c r="C213" t="s">
        <v>121</v>
      </c>
      <c r="D213">
        <v>1440000</v>
      </c>
      <c r="E213" t="s">
        <v>134</v>
      </c>
      <c r="F213" s="59" t="s">
        <v>107</v>
      </c>
      <c r="G213" s="14">
        <v>42530.747256944444</v>
      </c>
    </row>
    <row r="214" spans="1:7" x14ac:dyDescent="0.25">
      <c r="A214" s="14">
        <v>42530.72797453704</v>
      </c>
      <c r="B214" t="s">
        <v>109</v>
      </c>
      <c r="C214" t="s">
        <v>141</v>
      </c>
      <c r="D214">
        <v>1140000</v>
      </c>
      <c r="E214" t="s">
        <v>96</v>
      </c>
      <c r="F214" s="59" t="s">
        <v>109</v>
      </c>
      <c r="G214" s="14">
        <v>42530.72797453704</v>
      </c>
    </row>
    <row r="215" spans="1:7" x14ac:dyDescent="0.25">
      <c r="A215" s="14">
        <v>42536.728113425925</v>
      </c>
      <c r="B215" t="s">
        <v>213</v>
      </c>
      <c r="C215" t="s">
        <v>214</v>
      </c>
      <c r="D215">
        <v>880000</v>
      </c>
      <c r="E215" t="s">
        <v>102</v>
      </c>
      <c r="F215" s="59" t="s">
        <v>213</v>
      </c>
      <c r="G215" s="14">
        <v>42536.728113425925</v>
      </c>
    </row>
    <row r="216" spans="1:7" x14ac:dyDescent="0.25">
      <c r="A216" s="14">
        <v>42536.73337962963</v>
      </c>
      <c r="B216" t="s">
        <v>213</v>
      </c>
      <c r="C216" t="s">
        <v>214</v>
      </c>
      <c r="D216">
        <v>880000</v>
      </c>
      <c r="E216" t="s">
        <v>102</v>
      </c>
      <c r="F216" s="59" t="s">
        <v>213</v>
      </c>
      <c r="G216" s="14">
        <v>42536.73337962963</v>
      </c>
    </row>
    <row r="217" spans="1:7" x14ac:dyDescent="0.25">
      <c r="A217" s="14">
        <v>42536.726898148147</v>
      </c>
      <c r="B217" t="s">
        <v>213</v>
      </c>
      <c r="C217" t="s">
        <v>214</v>
      </c>
      <c r="D217">
        <v>880000</v>
      </c>
      <c r="E217" t="s">
        <v>102</v>
      </c>
      <c r="F217" s="59" t="s">
        <v>213</v>
      </c>
      <c r="G217" s="14">
        <v>42536.726898148147</v>
      </c>
    </row>
    <row r="218" spans="1:7" x14ac:dyDescent="0.25">
      <c r="A218" s="14">
        <v>42536.766898148147</v>
      </c>
      <c r="B218" t="s">
        <v>213</v>
      </c>
      <c r="C218" t="s">
        <v>214</v>
      </c>
      <c r="D218">
        <v>880000</v>
      </c>
      <c r="E218" t="s">
        <v>102</v>
      </c>
      <c r="F218" s="59" t="s">
        <v>213</v>
      </c>
      <c r="G218" s="14">
        <v>42536.766898148147</v>
      </c>
    </row>
    <row r="219" spans="1:7" x14ac:dyDescent="0.25">
      <c r="A219" s="14">
        <v>42530.759872685187</v>
      </c>
      <c r="B219" t="s">
        <v>86</v>
      </c>
      <c r="C219" t="s">
        <v>122</v>
      </c>
      <c r="D219">
        <v>1140000</v>
      </c>
      <c r="E219" t="s">
        <v>96</v>
      </c>
      <c r="F219" s="59" t="s">
        <v>86</v>
      </c>
      <c r="G219" s="14">
        <v>42530.759872685187</v>
      </c>
    </row>
    <row r="220" spans="1:7" x14ac:dyDescent="0.25">
      <c r="A220" s="14">
        <v>42530.739201388889</v>
      </c>
      <c r="B220" t="s">
        <v>93</v>
      </c>
      <c r="C220" t="s">
        <v>142</v>
      </c>
      <c r="D220">
        <v>1180000</v>
      </c>
      <c r="E220" t="s">
        <v>105</v>
      </c>
      <c r="F220" s="59" t="s">
        <v>93</v>
      </c>
      <c r="G220" s="14">
        <v>42530.739201388889</v>
      </c>
    </row>
    <row r="221" spans="1:7" x14ac:dyDescent="0.25">
      <c r="A221" s="14">
        <v>42530.738206018519</v>
      </c>
      <c r="B221" t="s">
        <v>93</v>
      </c>
      <c r="C221" t="s">
        <v>142</v>
      </c>
      <c r="D221">
        <v>1180000</v>
      </c>
      <c r="E221" t="s">
        <v>105</v>
      </c>
      <c r="F221" s="59" t="s">
        <v>93</v>
      </c>
      <c r="G221" s="14">
        <v>42530.738206018519</v>
      </c>
    </row>
    <row r="222" spans="1:7" x14ac:dyDescent="0.25">
      <c r="A222" s="14">
        <v>42530.73541666667</v>
      </c>
      <c r="B222" t="s">
        <v>93</v>
      </c>
      <c r="C222" t="s">
        <v>142</v>
      </c>
      <c r="D222">
        <v>1180000</v>
      </c>
      <c r="E222" t="s">
        <v>105</v>
      </c>
      <c r="F222" s="59" t="s">
        <v>93</v>
      </c>
      <c r="G222" s="14">
        <v>42530.73541666667</v>
      </c>
    </row>
    <row r="223" spans="1:7" x14ac:dyDescent="0.25">
      <c r="A223" s="14">
        <v>42536.735243055555</v>
      </c>
      <c r="B223" t="s">
        <v>104</v>
      </c>
      <c r="C223" t="s">
        <v>209</v>
      </c>
      <c r="D223">
        <v>1180000</v>
      </c>
      <c r="E223" t="s">
        <v>105</v>
      </c>
      <c r="F223" s="59" t="s">
        <v>104</v>
      </c>
      <c r="G223" s="14">
        <v>42536.735243055555</v>
      </c>
    </row>
    <row r="224" spans="1:7" x14ac:dyDescent="0.25">
      <c r="A224" s="14">
        <v>42536.775034722225</v>
      </c>
      <c r="B224" t="s">
        <v>91</v>
      </c>
      <c r="C224" t="s">
        <v>210</v>
      </c>
      <c r="D224">
        <v>1520000</v>
      </c>
      <c r="E224" t="s">
        <v>127</v>
      </c>
      <c r="F224" s="59" t="s">
        <v>91</v>
      </c>
      <c r="G224" s="14">
        <v>42536.775034722225</v>
      </c>
    </row>
    <row r="225" spans="1:7" x14ac:dyDescent="0.25">
      <c r="A225" s="14">
        <v>42536.777650462966</v>
      </c>
      <c r="B225" t="s">
        <v>91</v>
      </c>
      <c r="C225" t="s">
        <v>210</v>
      </c>
      <c r="D225">
        <v>1520000</v>
      </c>
      <c r="E225" t="s">
        <v>127</v>
      </c>
      <c r="F225" s="59" t="s">
        <v>91</v>
      </c>
      <c r="G225" s="14">
        <v>42536.777650462966</v>
      </c>
    </row>
    <row r="226" spans="1:7" x14ac:dyDescent="0.25">
      <c r="A226" s="14">
        <v>42536.776145833333</v>
      </c>
      <c r="B226" t="s">
        <v>91</v>
      </c>
      <c r="C226" t="s">
        <v>210</v>
      </c>
      <c r="D226">
        <v>1520000</v>
      </c>
      <c r="E226" t="s">
        <v>127</v>
      </c>
      <c r="F226" s="59" t="s">
        <v>91</v>
      </c>
      <c r="G226" s="14">
        <v>42536.776145833333</v>
      </c>
    </row>
    <row r="227" spans="1:7" x14ac:dyDescent="0.25">
      <c r="A227" s="14">
        <v>42530.744710648149</v>
      </c>
      <c r="B227" t="s">
        <v>92</v>
      </c>
      <c r="C227" t="s">
        <v>168</v>
      </c>
      <c r="D227">
        <v>1280000</v>
      </c>
      <c r="E227" t="s">
        <v>129</v>
      </c>
      <c r="F227" s="59" t="s">
        <v>92</v>
      </c>
      <c r="G227" s="14">
        <v>42530.744710648149</v>
      </c>
    </row>
    <row r="228" spans="1:7" x14ac:dyDescent="0.25">
      <c r="A228" s="14">
        <v>42530.78528935185</v>
      </c>
      <c r="B228" t="s">
        <v>91</v>
      </c>
      <c r="C228" t="s">
        <v>135</v>
      </c>
      <c r="D228">
        <v>1280000</v>
      </c>
      <c r="E228" t="s">
        <v>129</v>
      </c>
      <c r="F228" s="59" t="s">
        <v>91</v>
      </c>
      <c r="G228" s="14">
        <v>42530.78528935185</v>
      </c>
    </row>
    <row r="229" spans="1:7" x14ac:dyDescent="0.25">
      <c r="A229" s="14">
        <v>42530.758935185186</v>
      </c>
      <c r="B229" t="s">
        <v>108</v>
      </c>
      <c r="C229" t="s">
        <v>162</v>
      </c>
      <c r="D229">
        <v>1820000</v>
      </c>
      <c r="E229" t="s">
        <v>103</v>
      </c>
      <c r="F229" s="59" t="s">
        <v>108</v>
      </c>
      <c r="G229" s="14">
        <v>42530.758935185186</v>
      </c>
    </row>
    <row r="230" spans="1:7" x14ac:dyDescent="0.25">
      <c r="A230" s="14">
        <v>42530.797986111109</v>
      </c>
      <c r="B230" t="s">
        <v>106</v>
      </c>
      <c r="C230" t="s">
        <v>123</v>
      </c>
      <c r="D230">
        <v>1820000</v>
      </c>
      <c r="E230" t="s">
        <v>103</v>
      </c>
      <c r="F230" s="59" t="s">
        <v>106</v>
      </c>
      <c r="G230" s="14">
        <v>42530.797986111109</v>
      </c>
    </row>
    <row r="231" spans="1:7" x14ac:dyDescent="0.25">
      <c r="A231" s="14">
        <v>42536.806030092594</v>
      </c>
      <c r="B231" t="s">
        <v>240</v>
      </c>
      <c r="C231" t="s">
        <v>247</v>
      </c>
      <c r="D231">
        <v>880000</v>
      </c>
      <c r="E231" t="s">
        <v>102</v>
      </c>
      <c r="F231" s="59" t="s">
        <v>240</v>
      </c>
      <c r="G231" s="14">
        <v>42536.806030092594</v>
      </c>
    </row>
    <row r="232" spans="1:7" x14ac:dyDescent="0.25">
      <c r="A232" s="14">
        <v>42536.786620370367</v>
      </c>
      <c r="B232" t="s">
        <v>93</v>
      </c>
      <c r="C232" t="s">
        <v>244</v>
      </c>
      <c r="D232">
        <v>1820000</v>
      </c>
      <c r="E232" t="s">
        <v>103</v>
      </c>
      <c r="F232" s="59" t="s">
        <v>93</v>
      </c>
      <c r="G232" s="14">
        <v>42536.786620370367</v>
      </c>
    </row>
    <row r="233" spans="1:7" x14ac:dyDescent="0.25">
      <c r="A233" s="14">
        <v>42530.820208333331</v>
      </c>
      <c r="B233" t="s">
        <v>107</v>
      </c>
      <c r="C233" t="s">
        <v>160</v>
      </c>
      <c r="D233">
        <v>1440000</v>
      </c>
      <c r="E233" t="s">
        <v>134</v>
      </c>
      <c r="F233" s="59" t="s">
        <v>107</v>
      </c>
      <c r="G233" s="14">
        <v>42530.820208333331</v>
      </c>
    </row>
    <row r="234" spans="1:7" x14ac:dyDescent="0.25">
      <c r="A234" s="14">
        <v>42536.825694444444</v>
      </c>
      <c r="B234" t="s">
        <v>95</v>
      </c>
      <c r="C234" t="s">
        <v>251</v>
      </c>
      <c r="D234">
        <v>1180000</v>
      </c>
      <c r="E234" t="s">
        <v>105</v>
      </c>
      <c r="F234" s="59" t="s">
        <v>95</v>
      </c>
      <c r="G234" s="14">
        <v>42536.825694444444</v>
      </c>
    </row>
    <row r="235" spans="1:7" x14ac:dyDescent="0.25">
      <c r="A235" s="14">
        <v>42536.808148148149</v>
      </c>
      <c r="B235" t="s">
        <v>184</v>
      </c>
      <c r="C235" t="s">
        <v>220</v>
      </c>
      <c r="D235">
        <v>1280000</v>
      </c>
      <c r="E235" t="s">
        <v>129</v>
      </c>
      <c r="F235" s="59" t="s">
        <v>184</v>
      </c>
      <c r="G235" s="14">
        <v>42536.808148148149</v>
      </c>
    </row>
    <row r="236" spans="1:7" x14ac:dyDescent="0.25">
      <c r="A236" s="14">
        <v>42530.841643518521</v>
      </c>
      <c r="B236" t="s">
        <v>94</v>
      </c>
      <c r="C236" t="s">
        <v>140</v>
      </c>
      <c r="D236">
        <v>1180000</v>
      </c>
      <c r="E236" t="s">
        <v>105</v>
      </c>
      <c r="F236" s="59" t="s">
        <v>94</v>
      </c>
      <c r="G236" s="14">
        <v>42530.841643518521</v>
      </c>
    </row>
    <row r="237" spans="1:7" x14ac:dyDescent="0.25">
      <c r="A237" s="14">
        <v>42536.847361111111</v>
      </c>
      <c r="B237" t="s">
        <v>94</v>
      </c>
      <c r="C237" t="s">
        <v>224</v>
      </c>
      <c r="D237">
        <v>1820000</v>
      </c>
      <c r="E237" t="s">
        <v>103</v>
      </c>
      <c r="F237" s="59" t="s">
        <v>94</v>
      </c>
      <c r="G237" s="14">
        <v>42536.847361111111</v>
      </c>
    </row>
    <row r="238" spans="1:7" x14ac:dyDescent="0.25">
      <c r="A238" s="14">
        <v>42530.830428240741</v>
      </c>
      <c r="B238" t="s">
        <v>108</v>
      </c>
      <c r="C238" t="s">
        <v>143</v>
      </c>
      <c r="D238">
        <v>1820000</v>
      </c>
      <c r="E238" t="s">
        <v>103</v>
      </c>
      <c r="F238" s="59" t="s">
        <v>108</v>
      </c>
      <c r="G238" s="14">
        <v>42530.830428240741</v>
      </c>
    </row>
    <row r="239" spans="1:7" x14ac:dyDescent="0.25">
      <c r="A239" s="14">
        <v>42530.86991898148</v>
      </c>
      <c r="B239" t="s">
        <v>106</v>
      </c>
      <c r="C239" t="s">
        <v>124</v>
      </c>
      <c r="D239">
        <v>1820000</v>
      </c>
      <c r="E239" t="s">
        <v>103</v>
      </c>
      <c r="F239" s="59" t="s">
        <v>106</v>
      </c>
      <c r="G239" s="14">
        <v>42530.86991898148</v>
      </c>
    </row>
    <row r="240" spans="1:7" x14ac:dyDescent="0.25">
      <c r="A240" s="14">
        <v>42536.865868055553</v>
      </c>
      <c r="B240" t="s">
        <v>186</v>
      </c>
      <c r="C240" t="s">
        <v>242</v>
      </c>
      <c r="D240">
        <v>1280000</v>
      </c>
      <c r="E240" t="s">
        <v>129</v>
      </c>
      <c r="F240" s="59" t="s">
        <v>186</v>
      </c>
      <c r="G240" s="14">
        <v>42536.865868055553</v>
      </c>
    </row>
    <row r="241" spans="1:7" x14ac:dyDescent="0.25">
      <c r="A241" s="14">
        <v>42530.849803240744</v>
      </c>
      <c r="B241" t="s">
        <v>104</v>
      </c>
      <c r="C241" t="s">
        <v>146</v>
      </c>
      <c r="D241">
        <v>1240000</v>
      </c>
      <c r="E241" t="s">
        <v>84</v>
      </c>
      <c r="F241" s="59" t="s">
        <v>104</v>
      </c>
      <c r="G241" s="14">
        <v>42530.849803240744</v>
      </c>
    </row>
    <row r="242" spans="1:7" x14ac:dyDescent="0.25">
      <c r="A242" s="14">
        <v>42536.859467592592</v>
      </c>
      <c r="B242" t="s">
        <v>213</v>
      </c>
      <c r="C242" t="s">
        <v>234</v>
      </c>
      <c r="D242">
        <v>1760000</v>
      </c>
      <c r="E242" t="s">
        <v>235</v>
      </c>
      <c r="F242" s="59" t="s">
        <v>213</v>
      </c>
      <c r="G242" s="14">
        <v>42536.859467592592</v>
      </c>
    </row>
    <row r="243" spans="1:7" x14ac:dyDescent="0.25">
      <c r="A243" s="14">
        <v>42536.860613425924</v>
      </c>
      <c r="B243" t="s">
        <v>213</v>
      </c>
      <c r="C243" t="s">
        <v>234</v>
      </c>
      <c r="D243">
        <v>1760000</v>
      </c>
      <c r="E243" t="s">
        <v>235</v>
      </c>
      <c r="F243" s="59" t="s">
        <v>213</v>
      </c>
      <c r="G243" s="14">
        <v>42536.860613425924</v>
      </c>
    </row>
    <row r="244" spans="1:7" x14ac:dyDescent="0.25">
      <c r="A244" s="14">
        <v>42536.901678240742</v>
      </c>
      <c r="B244" t="s">
        <v>240</v>
      </c>
      <c r="C244" t="s">
        <v>241</v>
      </c>
      <c r="D244">
        <v>1760000</v>
      </c>
      <c r="E244" t="s">
        <v>235</v>
      </c>
      <c r="F244" s="59" t="s">
        <v>240</v>
      </c>
      <c r="G244" s="14">
        <v>42536.901678240742</v>
      </c>
    </row>
    <row r="245" spans="1:7" x14ac:dyDescent="0.25">
      <c r="A245" s="14">
        <v>42530.859756944446</v>
      </c>
      <c r="B245" t="s">
        <v>133</v>
      </c>
      <c r="C245" t="s">
        <v>163</v>
      </c>
      <c r="D245">
        <v>1440000</v>
      </c>
      <c r="E245" t="s">
        <v>134</v>
      </c>
      <c r="F245" s="59" t="s">
        <v>133</v>
      </c>
      <c r="G245" s="14">
        <v>42530.859756944446</v>
      </c>
    </row>
    <row r="246" spans="1:7" x14ac:dyDescent="0.25">
      <c r="A246" s="14">
        <v>42530.860914351855</v>
      </c>
      <c r="B246" t="s">
        <v>133</v>
      </c>
      <c r="C246" t="s">
        <v>163</v>
      </c>
      <c r="D246">
        <v>1440000</v>
      </c>
      <c r="E246" t="s">
        <v>134</v>
      </c>
      <c r="F246" s="59" t="s">
        <v>133</v>
      </c>
      <c r="G246" s="14">
        <v>42530.860914351855</v>
      </c>
    </row>
    <row r="247" spans="1:7" x14ac:dyDescent="0.25">
      <c r="A247" s="14">
        <v>42536.870925925927</v>
      </c>
      <c r="B247" t="s">
        <v>104</v>
      </c>
      <c r="C247" t="s">
        <v>223</v>
      </c>
      <c r="D247">
        <v>1180000</v>
      </c>
      <c r="E247" t="s">
        <v>105</v>
      </c>
      <c r="F247" s="59" t="s">
        <v>104</v>
      </c>
      <c r="G247" s="14">
        <v>42536.870925925927</v>
      </c>
    </row>
    <row r="248" spans="1:7" x14ac:dyDescent="0.25">
      <c r="A248" s="14">
        <v>42536.869699074072</v>
      </c>
      <c r="B248" t="s">
        <v>104</v>
      </c>
      <c r="C248" t="s">
        <v>223</v>
      </c>
      <c r="D248">
        <v>1180000</v>
      </c>
      <c r="E248" t="s">
        <v>105</v>
      </c>
      <c r="F248" s="59" t="s">
        <v>104</v>
      </c>
      <c r="G248" s="14">
        <v>42536.869699074072</v>
      </c>
    </row>
    <row r="249" spans="1:7" x14ac:dyDescent="0.25">
      <c r="A249" s="14">
        <v>42530.902858796297</v>
      </c>
      <c r="B249" t="s">
        <v>107</v>
      </c>
      <c r="C249" t="s">
        <v>155</v>
      </c>
      <c r="D249">
        <v>1440000</v>
      </c>
      <c r="E249" t="s">
        <v>134</v>
      </c>
      <c r="F249" s="59" t="s">
        <v>107</v>
      </c>
      <c r="G249" s="14">
        <v>42530.902858796297</v>
      </c>
    </row>
    <row r="250" spans="1:7" x14ac:dyDescent="0.25">
      <c r="A250" s="14">
        <v>42530.904467592591</v>
      </c>
      <c r="B250" t="s">
        <v>107</v>
      </c>
      <c r="C250" t="s">
        <v>155</v>
      </c>
      <c r="D250">
        <v>1440000</v>
      </c>
      <c r="E250" t="s">
        <v>134</v>
      </c>
      <c r="F250" s="59" t="s">
        <v>107</v>
      </c>
      <c r="G250" s="14">
        <v>42530.904467592591</v>
      </c>
    </row>
    <row r="251" spans="1:7" x14ac:dyDescent="0.25">
      <c r="A251" s="14">
        <v>42536.917928240742</v>
      </c>
      <c r="B251" t="s">
        <v>95</v>
      </c>
      <c r="C251" t="s">
        <v>211</v>
      </c>
      <c r="D251">
        <v>1180000</v>
      </c>
      <c r="E251" t="s">
        <v>105</v>
      </c>
      <c r="F251" s="59" t="s">
        <v>95</v>
      </c>
      <c r="G251" s="14">
        <v>42536.917928240742</v>
      </c>
    </row>
    <row r="252" spans="1:7" x14ac:dyDescent="0.25">
      <c r="A252" s="14">
        <v>42533.904224537036</v>
      </c>
      <c r="B252" t="s">
        <v>176</v>
      </c>
      <c r="C252" t="s">
        <v>177</v>
      </c>
      <c r="D252">
        <v>1140000</v>
      </c>
      <c r="E252" t="s">
        <v>96</v>
      </c>
      <c r="F252" s="59" t="s">
        <v>176</v>
      </c>
      <c r="G252" s="14">
        <v>42533.904224537036</v>
      </c>
    </row>
    <row r="253" spans="1:7" x14ac:dyDescent="0.25">
      <c r="A253" s="14">
        <v>42536.891458333332</v>
      </c>
      <c r="B253" t="s">
        <v>93</v>
      </c>
      <c r="C253" t="s">
        <v>228</v>
      </c>
      <c r="D253">
        <v>1820000</v>
      </c>
      <c r="E253" t="s">
        <v>103</v>
      </c>
      <c r="F253" s="59" t="s">
        <v>93</v>
      </c>
      <c r="G253" s="14">
        <v>42536.891458333332</v>
      </c>
    </row>
    <row r="254" spans="1:7" x14ac:dyDescent="0.25">
      <c r="A254" s="14">
        <v>42530.928368055553</v>
      </c>
      <c r="B254" t="s">
        <v>94</v>
      </c>
      <c r="C254" t="s">
        <v>159</v>
      </c>
      <c r="D254">
        <v>1180000</v>
      </c>
      <c r="E254" t="s">
        <v>105</v>
      </c>
      <c r="F254" s="59" t="s">
        <v>94</v>
      </c>
      <c r="G254" s="14">
        <v>42530.928368055553</v>
      </c>
    </row>
    <row r="255" spans="1:7" x14ac:dyDescent="0.25">
      <c r="A255" s="14">
        <v>42535.931793981479</v>
      </c>
      <c r="B255" t="s">
        <v>86</v>
      </c>
      <c r="C255" t="s">
        <v>198</v>
      </c>
      <c r="D255">
        <v>1240000</v>
      </c>
      <c r="E255" t="s">
        <v>84</v>
      </c>
      <c r="F255" s="59" t="s">
        <v>86</v>
      </c>
      <c r="G255" s="14">
        <v>42535.931793981479</v>
      </c>
    </row>
    <row r="256" spans="1:7" x14ac:dyDescent="0.25">
      <c r="A256" s="14">
        <v>42536.931840277779</v>
      </c>
      <c r="B256" t="s">
        <v>94</v>
      </c>
      <c r="C256" t="s">
        <v>255</v>
      </c>
      <c r="D256">
        <v>1820000</v>
      </c>
      <c r="E256" t="s">
        <v>103</v>
      </c>
      <c r="F256" s="59" t="s">
        <v>94</v>
      </c>
      <c r="G256" s="14">
        <v>42536.931840277779</v>
      </c>
    </row>
    <row r="257" spans="1:7" x14ac:dyDescent="0.25">
      <c r="A257" s="14">
        <v>42530.913182870368</v>
      </c>
      <c r="B257" t="s">
        <v>108</v>
      </c>
      <c r="C257" t="s">
        <v>148</v>
      </c>
      <c r="D257">
        <v>1820000</v>
      </c>
      <c r="E257" t="s">
        <v>103</v>
      </c>
      <c r="F257" s="59" t="s">
        <v>108</v>
      </c>
      <c r="G257" s="14">
        <v>42530.913182870368</v>
      </c>
    </row>
    <row r="258" spans="1:7" x14ac:dyDescent="0.25">
      <c r="A258" s="14">
        <v>42536.90351851852</v>
      </c>
      <c r="B258" t="s">
        <v>184</v>
      </c>
      <c r="C258" t="s">
        <v>253</v>
      </c>
      <c r="D258">
        <v>1280000</v>
      </c>
      <c r="E258" t="s">
        <v>129</v>
      </c>
      <c r="F258" s="59" t="s">
        <v>184</v>
      </c>
      <c r="G258" s="14">
        <v>42536.90351851852</v>
      </c>
    </row>
    <row r="259" spans="1:7" x14ac:dyDescent="0.25">
      <c r="A259" s="14">
        <v>42530.953333333331</v>
      </c>
      <c r="B259" t="s">
        <v>106</v>
      </c>
      <c r="C259" t="s">
        <v>138</v>
      </c>
      <c r="D259">
        <v>1820000</v>
      </c>
      <c r="E259" t="s">
        <v>103</v>
      </c>
      <c r="F259" s="59" t="s">
        <v>106</v>
      </c>
      <c r="G259" s="14">
        <v>42530.953333333331</v>
      </c>
    </row>
    <row r="260" spans="1:7" x14ac:dyDescent="0.25">
      <c r="A260" s="14">
        <v>42530.932245370372</v>
      </c>
      <c r="B260" t="s">
        <v>104</v>
      </c>
      <c r="C260" t="s">
        <v>158</v>
      </c>
      <c r="D260">
        <v>1240000</v>
      </c>
      <c r="E260" t="s">
        <v>84</v>
      </c>
      <c r="F260" s="59" t="s">
        <v>104</v>
      </c>
      <c r="G260" s="14">
        <v>42530.932245370372</v>
      </c>
    </row>
    <row r="261" spans="1:7" x14ac:dyDescent="0.25">
      <c r="A261" s="14">
        <v>42535.930694444447</v>
      </c>
      <c r="B261" t="s">
        <v>176</v>
      </c>
      <c r="C261" t="s">
        <v>197</v>
      </c>
      <c r="D261">
        <v>1280000</v>
      </c>
      <c r="E261" t="s">
        <v>129</v>
      </c>
      <c r="F261" s="59" t="s">
        <v>176</v>
      </c>
      <c r="G261" s="14">
        <v>42535.930694444447</v>
      </c>
    </row>
    <row r="262" spans="1:7" x14ac:dyDescent="0.25">
      <c r="A262" s="14">
        <v>42536.937569444446</v>
      </c>
      <c r="B262" t="s">
        <v>213</v>
      </c>
      <c r="C262" t="s">
        <v>256</v>
      </c>
      <c r="D262">
        <v>1760000</v>
      </c>
      <c r="E262" t="s">
        <v>235</v>
      </c>
      <c r="F262" s="59" t="s">
        <v>213</v>
      </c>
      <c r="G262" s="14">
        <v>42536.937569444446</v>
      </c>
    </row>
    <row r="263" spans="1:7" x14ac:dyDescent="0.25">
      <c r="A263" s="14">
        <v>42530.97457175926</v>
      </c>
      <c r="B263" t="s">
        <v>95</v>
      </c>
      <c r="C263" t="s">
        <v>150</v>
      </c>
      <c r="D263">
        <v>1240000</v>
      </c>
      <c r="E263" t="s">
        <v>84</v>
      </c>
      <c r="F263" s="59" t="s">
        <v>95</v>
      </c>
      <c r="G263" s="14">
        <v>42530.97457175926</v>
      </c>
    </row>
    <row r="264" spans="1:7" x14ac:dyDescent="0.25">
      <c r="A264" s="14">
        <v>42536.975787037038</v>
      </c>
      <c r="B264" t="s">
        <v>240</v>
      </c>
      <c r="C264" t="s">
        <v>257</v>
      </c>
      <c r="D264">
        <v>1760000</v>
      </c>
      <c r="E264" t="s">
        <v>235</v>
      </c>
      <c r="F264" s="59" t="s">
        <v>240</v>
      </c>
      <c r="G264" s="14">
        <v>42536.975787037038</v>
      </c>
    </row>
    <row r="265" spans="1:7" x14ac:dyDescent="0.25">
      <c r="A265" s="14">
        <v>42530.941724537035</v>
      </c>
      <c r="B265" t="s">
        <v>133</v>
      </c>
      <c r="C265" t="s">
        <v>139</v>
      </c>
      <c r="D265">
        <v>1440000</v>
      </c>
      <c r="E265" t="s">
        <v>134</v>
      </c>
      <c r="F265" s="59" t="s">
        <v>133</v>
      </c>
      <c r="G265" s="14">
        <v>42530.941724537035</v>
      </c>
    </row>
    <row r="266" spans="1:7" x14ac:dyDescent="0.25">
      <c r="A266" s="14">
        <v>42536.956724537034</v>
      </c>
      <c r="B266" t="s">
        <v>104</v>
      </c>
      <c r="C266" t="s">
        <v>250</v>
      </c>
      <c r="D266">
        <v>1180000</v>
      </c>
      <c r="E266" t="s">
        <v>105</v>
      </c>
      <c r="F266" s="59" t="s">
        <v>104</v>
      </c>
      <c r="G266" s="14">
        <v>42536.956724537034</v>
      </c>
    </row>
    <row r="267" spans="1:7" x14ac:dyDescent="0.25">
      <c r="A267" s="14">
        <v>42530.989629629628</v>
      </c>
      <c r="B267" t="s">
        <v>107</v>
      </c>
      <c r="C267" t="s">
        <v>149</v>
      </c>
      <c r="D267">
        <v>1440000</v>
      </c>
      <c r="E267" t="s">
        <v>134</v>
      </c>
      <c r="F267" s="59" t="s">
        <v>107</v>
      </c>
      <c r="G267" s="14">
        <v>42530.989629629628</v>
      </c>
    </row>
    <row r="268" spans="1:7" x14ac:dyDescent="0.25">
      <c r="A268" s="14">
        <v>42530.988854166666</v>
      </c>
      <c r="B268" t="s">
        <v>107</v>
      </c>
      <c r="C268" t="s">
        <v>149</v>
      </c>
      <c r="D268">
        <v>1440000</v>
      </c>
      <c r="E268" t="s">
        <v>134</v>
      </c>
      <c r="F268" s="59" t="s">
        <v>107</v>
      </c>
      <c r="G268" s="14">
        <v>42530.988854166666</v>
      </c>
    </row>
    <row r="269" spans="1:7" x14ac:dyDescent="0.25">
      <c r="A269" s="14">
        <v>42536.987233796295</v>
      </c>
      <c r="B269" t="s">
        <v>95</v>
      </c>
      <c r="C269" t="s">
        <v>212</v>
      </c>
      <c r="D269">
        <v>1180000</v>
      </c>
      <c r="E269" t="s">
        <v>105</v>
      </c>
      <c r="F269" s="59" t="s">
        <v>95</v>
      </c>
      <c r="G269" s="14">
        <v>42536.987233796295</v>
      </c>
    </row>
    <row r="270" spans="1:7" x14ac:dyDescent="0.25">
      <c r="A270" s="14">
        <v>42536.996898148151</v>
      </c>
      <c r="B270" t="s">
        <v>95</v>
      </c>
      <c r="C270" t="s">
        <v>212</v>
      </c>
      <c r="D270">
        <v>1180000</v>
      </c>
      <c r="E270" t="s">
        <v>105</v>
      </c>
      <c r="F270" s="59" t="s">
        <v>95</v>
      </c>
      <c r="G270" s="14">
        <v>42536.996898148151</v>
      </c>
    </row>
    <row r="271" spans="1:7" x14ac:dyDescent="0.25">
      <c r="A271" s="14">
        <v>42530.96502314815</v>
      </c>
      <c r="B271" t="s">
        <v>93</v>
      </c>
      <c r="C271" t="s">
        <v>125</v>
      </c>
      <c r="D271">
        <v>1810000</v>
      </c>
      <c r="E271" t="s">
        <v>137</v>
      </c>
      <c r="F271" s="59" t="s">
        <v>93</v>
      </c>
      <c r="G271" s="14">
        <v>42530.96502314815</v>
      </c>
    </row>
    <row r="272" spans="1:7" x14ac:dyDescent="0.25">
      <c r="A272" s="14">
        <v>42536.976076388892</v>
      </c>
      <c r="B272" t="s">
        <v>93</v>
      </c>
      <c r="C272" t="s">
        <v>249</v>
      </c>
      <c r="D272">
        <v>1820000</v>
      </c>
      <c r="E272" t="s">
        <v>103</v>
      </c>
      <c r="F272" s="59" t="s">
        <v>93</v>
      </c>
      <c r="G272" s="14">
        <v>42536.976076388892</v>
      </c>
    </row>
    <row r="273" spans="1:7" x14ac:dyDescent="0.25">
      <c r="A273" s="14">
        <v>42536.974780092591</v>
      </c>
      <c r="B273" t="s">
        <v>93</v>
      </c>
      <c r="C273" t="s">
        <v>249</v>
      </c>
      <c r="D273">
        <v>1820000</v>
      </c>
      <c r="E273" t="s">
        <v>103</v>
      </c>
      <c r="F273" s="59" t="s">
        <v>93</v>
      </c>
      <c r="G273" s="14">
        <v>42536.974780092591</v>
      </c>
    </row>
    <row r="274" spans="1:7" x14ac:dyDescent="0.25">
      <c r="A274" s="14">
        <v>42531.013611111113</v>
      </c>
      <c r="B274" t="s">
        <v>94</v>
      </c>
      <c r="C274" t="s">
        <v>136</v>
      </c>
      <c r="D274">
        <v>1810000</v>
      </c>
      <c r="E274" t="s">
        <v>137</v>
      </c>
      <c r="F274" s="59" t="s">
        <v>94</v>
      </c>
      <c r="G274" s="14">
        <v>42531.013611111113</v>
      </c>
    </row>
    <row r="275" spans="1:7" x14ac:dyDescent="0.25">
      <c r="A275" s="14">
        <v>42536.016111111108</v>
      </c>
      <c r="B275" t="s">
        <v>86</v>
      </c>
      <c r="C275" t="s">
        <v>195</v>
      </c>
      <c r="D275">
        <v>1240000</v>
      </c>
      <c r="E275" t="s">
        <v>84</v>
      </c>
      <c r="F275" s="59" t="s">
        <v>86</v>
      </c>
      <c r="G275" s="14">
        <v>42536.016111111108</v>
      </c>
    </row>
    <row r="276" spans="1:7" x14ac:dyDescent="0.25">
      <c r="A276" s="14">
        <v>42537.018009259256</v>
      </c>
      <c r="B276" t="s">
        <v>94</v>
      </c>
      <c r="C276" t="s">
        <v>219</v>
      </c>
      <c r="D276">
        <v>1820000</v>
      </c>
      <c r="E276" t="s">
        <v>103</v>
      </c>
      <c r="F276" s="59" t="s">
        <v>94</v>
      </c>
      <c r="G276" s="14">
        <v>42537.018009259256</v>
      </c>
    </row>
    <row r="277" spans="1:7" x14ac:dyDescent="0.25">
      <c r="A277" s="14">
        <v>42530.998136574075</v>
      </c>
      <c r="B277" t="s">
        <v>108</v>
      </c>
      <c r="C277" t="s">
        <v>126</v>
      </c>
      <c r="D277">
        <v>1820000</v>
      </c>
      <c r="E277" t="s">
        <v>103</v>
      </c>
      <c r="F277" s="59" t="s">
        <v>108</v>
      </c>
      <c r="G277" s="14">
        <v>42530.998136574075</v>
      </c>
    </row>
    <row r="278" spans="1:7" x14ac:dyDescent="0.25">
      <c r="A278" s="14">
        <v>42536.996921296297</v>
      </c>
      <c r="B278" t="s">
        <v>184</v>
      </c>
      <c r="C278" t="s">
        <v>238</v>
      </c>
      <c r="D278">
        <v>1240000</v>
      </c>
      <c r="E278" t="s">
        <v>84</v>
      </c>
      <c r="F278" s="59" t="s">
        <v>184</v>
      </c>
      <c r="G278" s="14">
        <v>42536.996921296297</v>
      </c>
    </row>
    <row r="279" spans="1:7" x14ac:dyDescent="0.25">
      <c r="A279" s="14">
        <v>42537.037280092591</v>
      </c>
      <c r="B279" t="s">
        <v>186</v>
      </c>
      <c r="C279" t="s">
        <v>230</v>
      </c>
      <c r="D279">
        <v>1240000</v>
      </c>
      <c r="E279" t="s">
        <v>84</v>
      </c>
      <c r="F279" s="59" t="s">
        <v>186</v>
      </c>
      <c r="G279" s="14">
        <v>42537.037280092591</v>
      </c>
    </row>
    <row r="280" spans="1:7" x14ac:dyDescent="0.25">
      <c r="A280" s="14">
        <v>42531.015648148146</v>
      </c>
      <c r="B280" t="s">
        <v>104</v>
      </c>
      <c r="C280" t="s">
        <v>147</v>
      </c>
      <c r="D280">
        <v>1240000</v>
      </c>
      <c r="E280" t="s">
        <v>84</v>
      </c>
      <c r="F280" s="59" t="s">
        <v>104</v>
      </c>
      <c r="G280" s="14">
        <v>42531.015648148146</v>
      </c>
    </row>
    <row r="281" spans="1:7" x14ac:dyDescent="0.25">
      <c r="A281" s="14">
        <v>42536.013414351852</v>
      </c>
      <c r="B281" t="s">
        <v>176</v>
      </c>
      <c r="C281" t="s">
        <v>196</v>
      </c>
      <c r="D281">
        <v>1280000</v>
      </c>
      <c r="E281" t="s">
        <v>129</v>
      </c>
      <c r="F281" s="59" t="s">
        <v>176</v>
      </c>
      <c r="G281" s="14">
        <v>42536.013414351852</v>
      </c>
    </row>
    <row r="282" spans="1:7" x14ac:dyDescent="0.25">
      <c r="A282" s="14">
        <v>42537.012835648151</v>
      </c>
      <c r="B282" t="s">
        <v>213</v>
      </c>
      <c r="C282" t="s">
        <v>258</v>
      </c>
      <c r="D282">
        <v>1760000</v>
      </c>
      <c r="E282" t="s">
        <v>235</v>
      </c>
      <c r="F282" s="59" t="s">
        <v>213</v>
      </c>
      <c r="G282" s="14">
        <v>42537.012835648151</v>
      </c>
    </row>
    <row r="283" spans="1:7" x14ac:dyDescent="0.25">
      <c r="A283" s="14">
        <v>42531.057199074072</v>
      </c>
      <c r="B283" t="s">
        <v>95</v>
      </c>
      <c r="C283" t="s">
        <v>152</v>
      </c>
      <c r="D283">
        <v>1240000</v>
      </c>
      <c r="E283" t="s">
        <v>84</v>
      </c>
      <c r="F283" s="59" t="s">
        <v>95</v>
      </c>
      <c r="G283" s="14">
        <v>42531.057199074072</v>
      </c>
    </row>
    <row r="284" spans="1:7" x14ac:dyDescent="0.25">
      <c r="A284" s="14">
        <v>42537.055451388886</v>
      </c>
      <c r="B284" t="s">
        <v>240</v>
      </c>
      <c r="C284" t="s">
        <v>248</v>
      </c>
      <c r="D284">
        <v>1760000</v>
      </c>
      <c r="E284" t="s">
        <v>235</v>
      </c>
      <c r="F284" s="59" t="s">
        <v>240</v>
      </c>
      <c r="G284" s="14">
        <v>42537.055451388886</v>
      </c>
    </row>
    <row r="285" spans="1:7" x14ac:dyDescent="0.25">
      <c r="A285" s="14">
        <v>42530.713703703703</v>
      </c>
      <c r="B285" t="s">
        <v>131</v>
      </c>
      <c r="C285" t="s">
        <v>119</v>
      </c>
      <c r="D285">
        <v>1500000</v>
      </c>
      <c r="E285" t="s">
        <v>132</v>
      </c>
      <c r="F285" s="59" t="s">
        <v>131</v>
      </c>
      <c r="G285" s="14">
        <v>42530.713703703703</v>
      </c>
    </row>
    <row r="286" spans="1:7" x14ac:dyDescent="0.25">
      <c r="A286" s="14">
        <v>42530.746111111112</v>
      </c>
      <c r="B286" t="s">
        <v>118</v>
      </c>
      <c r="C286" t="s">
        <v>119</v>
      </c>
      <c r="D286">
        <v>1500000</v>
      </c>
      <c r="E286" t="s">
        <v>132</v>
      </c>
      <c r="F286" s="59" t="s">
        <v>118</v>
      </c>
      <c r="G286" s="14">
        <v>42530.746111111112</v>
      </c>
    </row>
    <row r="287" spans="1:7" x14ac:dyDescent="0.25">
      <c r="A287" s="14">
        <v>42530.731990740744</v>
      </c>
      <c r="B287" t="s">
        <v>118</v>
      </c>
      <c r="C287" t="s">
        <v>119</v>
      </c>
      <c r="D287">
        <v>1500000</v>
      </c>
      <c r="E287" t="s">
        <v>132</v>
      </c>
      <c r="F287" s="59" t="s">
        <v>118</v>
      </c>
      <c r="G287" s="14">
        <v>42530.731990740744</v>
      </c>
    </row>
    <row r="288" spans="1:7" x14ac:dyDescent="0.25">
      <c r="A288" s="14">
        <v>42530.730104166665</v>
      </c>
      <c r="B288" t="s">
        <v>118</v>
      </c>
      <c r="C288" t="s">
        <v>119</v>
      </c>
      <c r="D288">
        <v>1500000</v>
      </c>
      <c r="E288" t="s">
        <v>132</v>
      </c>
      <c r="F288" s="59" t="s">
        <v>118</v>
      </c>
      <c r="G288" s="14">
        <v>42530.730104166665</v>
      </c>
    </row>
    <row r="289" spans="1:7" x14ac:dyDescent="0.25">
      <c r="A289" s="14">
        <v>42536.613402777781</v>
      </c>
      <c r="B289" t="s">
        <v>215</v>
      </c>
      <c r="C289" t="s">
        <v>216</v>
      </c>
      <c r="D289">
        <v>0</v>
      </c>
      <c r="E289" t="s">
        <v>208</v>
      </c>
      <c r="F289" s="59" t="s">
        <v>215</v>
      </c>
      <c r="G289" s="14">
        <v>42536.613402777781</v>
      </c>
    </row>
    <row r="290" spans="1:7" x14ac:dyDescent="0.25">
      <c r="A290" s="14">
        <v>42536.629525462966</v>
      </c>
      <c r="B290" t="s">
        <v>226</v>
      </c>
      <c r="C290" t="s">
        <v>216</v>
      </c>
      <c r="D290">
        <v>0</v>
      </c>
      <c r="E290" t="s">
        <v>208</v>
      </c>
      <c r="F290" s="59" t="s">
        <v>226</v>
      </c>
      <c r="G290" s="14">
        <v>42536.629525462966</v>
      </c>
    </row>
    <row r="291" spans="1:7" x14ac:dyDescent="0.25">
      <c r="A291" s="14">
        <v>42536.637442129628</v>
      </c>
      <c r="B291" t="s">
        <v>226</v>
      </c>
      <c r="C291" t="s">
        <v>216</v>
      </c>
      <c r="D291">
        <v>0</v>
      </c>
      <c r="E291" t="s">
        <v>208</v>
      </c>
      <c r="F291" s="59" t="s">
        <v>226</v>
      </c>
      <c r="G291" s="14">
        <v>42536.637442129628</v>
      </c>
    </row>
    <row r="292" spans="1:7" x14ac:dyDescent="0.25">
      <c r="A292" s="14">
        <v>42530.726145833331</v>
      </c>
      <c r="B292" t="s">
        <v>109</v>
      </c>
      <c r="C292" t="s">
        <v>153</v>
      </c>
      <c r="D292">
        <v>1140000</v>
      </c>
      <c r="E292" t="s">
        <v>96</v>
      </c>
      <c r="F292" s="59" t="s">
        <v>109</v>
      </c>
      <c r="G292" s="14">
        <v>42530.726145833331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42538</v>
      </c>
      <c r="B2" s="10"/>
      <c r="C2" s="37">
        <v>50</v>
      </c>
      <c r="F2" t="s">
        <v>67</v>
      </c>
    </row>
    <row r="3" spans="1:6" x14ac:dyDescent="0.25">
      <c r="F3" t="s">
        <v>68</v>
      </c>
    </row>
    <row r="4" spans="1:6" x14ac:dyDescent="0.25">
      <c r="F4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Wabtec</cp:lastModifiedBy>
  <dcterms:created xsi:type="dcterms:W3CDTF">2016-04-12T13:52:23Z</dcterms:created>
  <dcterms:modified xsi:type="dcterms:W3CDTF">2016-06-21T18:32:35Z</dcterms:modified>
</cp:coreProperties>
</file>