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Enforcements!$A$2:$N$75</definedName>
    <definedName name="_xlnm._FilterDatabase" localSheetId="0" hidden="1">'Train Runs'!$A$2:$AA$143</definedName>
    <definedName name="Denver_Train_Runs_04122016" localSheetId="0">'Train Runs'!$A$2:$J$149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" l="1"/>
  <c r="N27" i="1"/>
  <c r="P110" i="1"/>
  <c r="P65" i="1"/>
  <c r="P123" i="1"/>
  <c r="P115" i="1"/>
  <c r="P92" i="1"/>
  <c r="P72" i="1"/>
  <c r="P69" i="1"/>
  <c r="P58" i="1"/>
  <c r="P50" i="1"/>
  <c r="P45" i="1"/>
  <c r="P42" i="1"/>
  <c r="H6" i="6"/>
  <c r="H7" i="6"/>
  <c r="G6" i="6"/>
  <c r="G7" i="6"/>
  <c r="E6" i="6"/>
  <c r="E7" i="6"/>
  <c r="V108" i="1"/>
  <c r="V109" i="1"/>
  <c r="V110" i="1"/>
  <c r="V111" i="1"/>
  <c r="V112" i="1"/>
  <c r="V113" i="1"/>
  <c r="V79" i="1"/>
  <c r="V80" i="1"/>
  <c r="V81" i="1"/>
  <c r="V82" i="1"/>
  <c r="V83" i="1"/>
  <c r="V84" i="1"/>
  <c r="V85" i="1"/>
  <c r="V68" i="1"/>
  <c r="V69" i="1"/>
  <c r="V70" i="1"/>
  <c r="V71" i="1"/>
  <c r="V72" i="1"/>
  <c r="V73" i="1"/>
  <c r="V65" i="1"/>
  <c r="V66" i="1"/>
  <c r="V67" i="1"/>
  <c r="V45" i="1"/>
  <c r="V46" i="1"/>
  <c r="V47" i="1"/>
  <c r="V48" i="1"/>
  <c r="V49" i="1"/>
  <c r="V40" i="1"/>
  <c r="V41" i="1"/>
  <c r="V42" i="1"/>
  <c r="V43" i="1"/>
  <c r="V44" i="1"/>
  <c r="V29" i="1"/>
  <c r="V30" i="1"/>
  <c r="V31" i="1"/>
  <c r="V32" i="1"/>
  <c r="V33" i="1"/>
  <c r="V34" i="1"/>
  <c r="V35" i="1"/>
  <c r="T4" i="1"/>
  <c r="V4" i="1"/>
  <c r="W4" i="1"/>
  <c r="X4" i="1"/>
  <c r="Z4" i="1"/>
  <c r="T5" i="1"/>
  <c r="V5" i="1"/>
  <c r="W5" i="1"/>
  <c r="X5" i="1"/>
  <c r="Z5" i="1"/>
  <c r="T6" i="1"/>
  <c r="V6" i="1"/>
  <c r="W6" i="1"/>
  <c r="X6" i="1"/>
  <c r="Y6" i="1" s="1"/>
  <c r="U6" i="1" s="1"/>
  <c r="Z6" i="1"/>
  <c r="T7" i="1"/>
  <c r="V7" i="1"/>
  <c r="W7" i="1"/>
  <c r="X7" i="1"/>
  <c r="Z7" i="1"/>
  <c r="T8" i="1"/>
  <c r="V8" i="1"/>
  <c r="W8" i="1"/>
  <c r="X8" i="1"/>
  <c r="Y8" i="1" s="1"/>
  <c r="U8" i="1" s="1"/>
  <c r="Z8" i="1"/>
  <c r="T9" i="1"/>
  <c r="V9" i="1"/>
  <c r="W9" i="1"/>
  <c r="X9" i="1"/>
  <c r="Y9" i="1" s="1"/>
  <c r="U9" i="1" s="1"/>
  <c r="Z9" i="1"/>
  <c r="T10" i="1"/>
  <c r="V10" i="1"/>
  <c r="W10" i="1"/>
  <c r="X10" i="1"/>
  <c r="Z10" i="1"/>
  <c r="T11" i="1"/>
  <c r="V11" i="1"/>
  <c r="W11" i="1"/>
  <c r="X11" i="1"/>
  <c r="Z11" i="1"/>
  <c r="T12" i="1"/>
  <c r="V12" i="1"/>
  <c r="W12" i="1"/>
  <c r="X12" i="1"/>
  <c r="Y12" i="1"/>
  <c r="U12" i="1" s="1"/>
  <c r="Z12" i="1"/>
  <c r="T13" i="1"/>
  <c r="V13" i="1"/>
  <c r="W13" i="1"/>
  <c r="X13" i="1"/>
  <c r="Z13" i="1"/>
  <c r="T14" i="1"/>
  <c r="V14" i="1"/>
  <c r="W14" i="1"/>
  <c r="X14" i="1"/>
  <c r="Z14" i="1"/>
  <c r="T15" i="1"/>
  <c r="V15" i="1"/>
  <c r="W15" i="1"/>
  <c r="X15" i="1"/>
  <c r="Z15" i="1"/>
  <c r="K4" i="1"/>
  <c r="L4" i="1"/>
  <c r="M4" i="1"/>
  <c r="K13" i="1"/>
  <c r="L13" i="1"/>
  <c r="M13" i="1"/>
  <c r="E3" i="6"/>
  <c r="G3" i="6"/>
  <c r="H3" i="6"/>
  <c r="E4" i="6"/>
  <c r="G4" i="6"/>
  <c r="H4" i="6"/>
  <c r="E5" i="6"/>
  <c r="G5" i="6"/>
  <c r="H5" i="6"/>
  <c r="Y10" i="1" l="1"/>
  <c r="U10" i="1" s="1"/>
  <c r="Y11" i="1"/>
  <c r="U11" i="1" s="1"/>
  <c r="Y4" i="1"/>
  <c r="U4" i="1" s="1"/>
  <c r="Y15" i="1"/>
  <c r="U15" i="1" s="1"/>
  <c r="Y13" i="1"/>
  <c r="U13" i="1" s="1"/>
  <c r="Y5" i="1"/>
  <c r="U5" i="1" s="1"/>
  <c r="Y14" i="1"/>
  <c r="U14" i="1" s="1"/>
  <c r="Y7" i="1"/>
  <c r="U7" i="1" s="1"/>
  <c r="K11" i="1"/>
  <c r="L11" i="1"/>
  <c r="M11" i="1"/>
  <c r="N11" i="1" s="1"/>
  <c r="K12" i="1"/>
  <c r="L12" i="1"/>
  <c r="M12" i="1"/>
  <c r="N12" i="1" s="1"/>
  <c r="K14" i="1"/>
  <c r="L14" i="1"/>
  <c r="M14" i="1"/>
  <c r="N14" i="1" s="1"/>
  <c r="K15" i="1"/>
  <c r="L15" i="1"/>
  <c r="M15" i="1"/>
  <c r="N15" i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/>
  <c r="K23" i="1"/>
  <c r="L23" i="1"/>
  <c r="M23" i="1"/>
  <c r="N23" i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K28" i="1"/>
  <c r="L28" i="1"/>
  <c r="M28" i="1"/>
  <c r="N28" i="1" s="1"/>
  <c r="K29" i="1"/>
  <c r="L29" i="1"/>
  <c r="M29" i="1"/>
  <c r="N29" i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AA6" i="1"/>
  <c r="AA7" i="1"/>
  <c r="AA8" i="1"/>
  <c r="AA9" i="1"/>
  <c r="AA10" i="1"/>
  <c r="AA11" i="1"/>
  <c r="AA12" i="1"/>
  <c r="AA13" i="1"/>
  <c r="AA14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Y20" i="1" s="1"/>
  <c r="U20" i="1" s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Z27" i="1"/>
  <c r="AA27" i="1"/>
  <c r="T28" i="1"/>
  <c r="V28" i="1"/>
  <c r="W28" i="1"/>
  <c r="X28" i="1"/>
  <c r="Y28" i="1" s="1"/>
  <c r="U28" i="1" s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Y37" i="1" s="1"/>
  <c r="U37" i="1" s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Y46" i="1"/>
  <c r="U46" i="1" s="1"/>
  <c r="Z46" i="1"/>
  <c r="AA46" i="1"/>
  <c r="T47" i="1"/>
  <c r="W47" i="1"/>
  <c r="X47" i="1"/>
  <c r="Z47" i="1"/>
  <c r="AA47" i="1"/>
  <c r="T48" i="1"/>
  <c r="W48" i="1"/>
  <c r="X48" i="1"/>
  <c r="Y48" i="1" s="1"/>
  <c r="U48" i="1" s="1"/>
  <c r="Z48" i="1"/>
  <c r="AA48" i="1"/>
  <c r="T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Y62" i="1" s="1"/>
  <c r="U62" i="1" s="1"/>
  <c r="Z62" i="1"/>
  <c r="AA62" i="1"/>
  <c r="T63" i="1"/>
  <c r="V63" i="1"/>
  <c r="W63" i="1"/>
  <c r="X63" i="1"/>
  <c r="Z63" i="1"/>
  <c r="AA63" i="1"/>
  <c r="T64" i="1"/>
  <c r="V64" i="1"/>
  <c r="W64" i="1"/>
  <c r="X64" i="1"/>
  <c r="Y64" i="1" s="1"/>
  <c r="U64" i="1" s="1"/>
  <c r="Z64" i="1"/>
  <c r="AA64" i="1"/>
  <c r="T65" i="1"/>
  <c r="W65" i="1"/>
  <c r="X65" i="1"/>
  <c r="Z65" i="1"/>
  <c r="AA65" i="1"/>
  <c r="T66" i="1"/>
  <c r="W66" i="1"/>
  <c r="X66" i="1"/>
  <c r="Y66" i="1" s="1"/>
  <c r="U66" i="1" s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V74" i="1"/>
  <c r="W74" i="1"/>
  <c r="X74" i="1"/>
  <c r="Y74" i="1" s="1"/>
  <c r="U74" i="1" s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W79" i="1"/>
  <c r="X79" i="1"/>
  <c r="Z79" i="1"/>
  <c r="AA79" i="1"/>
  <c r="T80" i="1"/>
  <c r="W80" i="1"/>
  <c r="X80" i="1"/>
  <c r="Y80" i="1" s="1"/>
  <c r="U80" i="1" s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Y113" i="1" s="1"/>
  <c r="U113" i="1" s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Y121" i="1" s="1"/>
  <c r="U121" i="1" s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Y133" i="1" s="1"/>
  <c r="U133" i="1" s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I146" i="1"/>
  <c r="J150" i="1"/>
  <c r="L43" i="3"/>
  <c r="L44" i="3"/>
  <c r="L41" i="3"/>
  <c r="L24" i="3"/>
  <c r="L3" i="3"/>
  <c r="L47" i="3"/>
  <c r="L25" i="3"/>
  <c r="L45" i="3"/>
  <c r="L15" i="3"/>
  <c r="L16" i="3"/>
  <c r="L49" i="3"/>
  <c r="L13" i="3"/>
  <c r="L14" i="3"/>
  <c r="L46" i="3"/>
  <c r="L23" i="3"/>
  <c r="L12" i="3"/>
  <c r="L50" i="3"/>
  <c r="L48" i="3"/>
  <c r="L17" i="3"/>
  <c r="L4" i="3"/>
  <c r="L5" i="3"/>
  <c r="L51" i="3"/>
  <c r="L33" i="3"/>
  <c r="L18" i="3"/>
  <c r="L53" i="3"/>
  <c r="L52" i="3"/>
  <c r="L34" i="3"/>
  <c r="L30" i="3"/>
  <c r="L54" i="3"/>
  <c r="L19" i="3"/>
  <c r="L56" i="3"/>
  <c r="L55" i="3"/>
  <c r="L6" i="3"/>
  <c r="L57" i="3"/>
  <c r="L31" i="3"/>
  <c r="L7" i="3"/>
  <c r="L58" i="3"/>
  <c r="L59" i="3"/>
  <c r="L32" i="3"/>
  <c r="L39" i="3"/>
  <c r="L60" i="3"/>
  <c r="L62" i="3"/>
  <c r="L61" i="3"/>
  <c r="L26" i="3"/>
  <c r="L35" i="3"/>
  <c r="L64" i="3"/>
  <c r="L8" i="3"/>
  <c r="L63" i="3"/>
  <c r="L27" i="3"/>
  <c r="L28" i="3"/>
  <c r="L40" i="3"/>
  <c r="L42" i="3"/>
  <c r="L10" i="3"/>
  <c r="L9" i="3"/>
  <c r="L11" i="3"/>
  <c r="L65" i="3"/>
  <c r="L67" i="3"/>
  <c r="L66" i="3"/>
  <c r="L70" i="3"/>
  <c r="L68" i="3"/>
  <c r="L69" i="3"/>
  <c r="L29" i="3"/>
  <c r="L71" i="3"/>
  <c r="L36" i="3"/>
  <c r="L37" i="3"/>
  <c r="L20" i="3"/>
  <c r="L21" i="3"/>
  <c r="L38" i="3"/>
  <c r="L73" i="3"/>
  <c r="L22" i="3"/>
  <c r="L72" i="3"/>
  <c r="L75" i="3"/>
  <c r="Y87" i="1" l="1"/>
  <c r="U87" i="1" s="1"/>
  <c r="Y88" i="1"/>
  <c r="U88" i="1" s="1"/>
  <c r="Y120" i="1"/>
  <c r="U120" i="1" s="1"/>
  <c r="Y97" i="1"/>
  <c r="U97" i="1" s="1"/>
  <c r="Y31" i="1"/>
  <c r="U31" i="1" s="1"/>
  <c r="Y119" i="1"/>
  <c r="U119" i="1" s="1"/>
  <c r="Y115" i="1"/>
  <c r="U115" i="1" s="1"/>
  <c r="Y111" i="1"/>
  <c r="U111" i="1" s="1"/>
  <c r="Y77" i="1"/>
  <c r="U77" i="1" s="1"/>
  <c r="Y69" i="1"/>
  <c r="U69" i="1" s="1"/>
  <c r="Y91" i="1"/>
  <c r="U91" i="1" s="1"/>
  <c r="Y103" i="1"/>
  <c r="U103" i="1" s="1"/>
  <c r="Y95" i="1"/>
  <c r="U95" i="1" s="1"/>
  <c r="Y44" i="1"/>
  <c r="U44" i="1" s="1"/>
  <c r="Y39" i="1"/>
  <c r="U39" i="1" s="1"/>
  <c r="Y114" i="1"/>
  <c r="U114" i="1" s="1"/>
  <c r="Y26" i="1"/>
  <c r="U26" i="1" s="1"/>
  <c r="Y42" i="1"/>
  <c r="U42" i="1" s="1"/>
  <c r="Y143" i="1"/>
  <c r="U143" i="1" s="1"/>
  <c r="Y140" i="1"/>
  <c r="U140" i="1" s="1"/>
  <c r="Y136" i="1"/>
  <c r="U136" i="1" s="1"/>
  <c r="Y25" i="1"/>
  <c r="U25" i="1" s="1"/>
  <c r="Y17" i="1"/>
  <c r="U17" i="1" s="1"/>
  <c r="Y65" i="1"/>
  <c r="U65" i="1" s="1"/>
  <c r="Y135" i="1"/>
  <c r="U135" i="1" s="1"/>
  <c r="Y85" i="1"/>
  <c r="U85" i="1" s="1"/>
  <c r="Y71" i="1"/>
  <c r="U71" i="1" s="1"/>
  <c r="Y96" i="1"/>
  <c r="U96" i="1" s="1"/>
  <c r="Y29" i="1"/>
  <c r="U29" i="1" s="1"/>
  <c r="Y126" i="1"/>
  <c r="U126" i="1" s="1"/>
  <c r="Y122" i="1"/>
  <c r="U122" i="1" s="1"/>
  <c r="Y59" i="1"/>
  <c r="U59" i="1" s="1"/>
  <c r="Y55" i="1"/>
  <c r="U55" i="1" s="1"/>
  <c r="Y90" i="1"/>
  <c r="U90" i="1" s="1"/>
  <c r="Y139" i="1"/>
  <c r="U139" i="1" s="1"/>
  <c r="Y68" i="1"/>
  <c r="U68" i="1" s="1"/>
  <c r="Y109" i="1"/>
  <c r="U109" i="1" s="1"/>
  <c r="Y36" i="1"/>
  <c r="U36" i="1" s="1"/>
  <c r="Y21" i="1"/>
  <c r="U21" i="1" s="1"/>
  <c r="Y61" i="1"/>
  <c r="U61" i="1" s="1"/>
  <c r="Y49" i="1"/>
  <c r="U49" i="1" s="1"/>
  <c r="Y89" i="1"/>
  <c r="U89" i="1" s="1"/>
  <c r="Y33" i="1"/>
  <c r="U33" i="1" s="1"/>
  <c r="Y106" i="1"/>
  <c r="U106" i="1" s="1"/>
  <c r="Y51" i="1"/>
  <c r="U51" i="1" s="1"/>
  <c r="Y142" i="1"/>
  <c r="U142" i="1" s="1"/>
  <c r="Y134" i="1"/>
  <c r="U134" i="1" s="1"/>
  <c r="Y130" i="1"/>
  <c r="U130" i="1" s="1"/>
  <c r="Y104" i="1"/>
  <c r="U104" i="1" s="1"/>
  <c r="Y100" i="1"/>
  <c r="U100" i="1" s="1"/>
  <c r="Y52" i="1"/>
  <c r="U52" i="1" s="1"/>
  <c r="Y132" i="1"/>
  <c r="U132" i="1" s="1"/>
  <c r="Y110" i="1"/>
  <c r="U110" i="1" s="1"/>
  <c r="Y98" i="1"/>
  <c r="U98" i="1" s="1"/>
  <c r="Y76" i="1"/>
  <c r="U76" i="1" s="1"/>
  <c r="Y24" i="1"/>
  <c r="U24" i="1" s="1"/>
  <c r="Y73" i="1"/>
  <c r="U73" i="1" s="1"/>
  <c r="Y75" i="1"/>
  <c r="U75" i="1" s="1"/>
  <c r="Y50" i="1"/>
  <c r="U50" i="1" s="1"/>
  <c r="Y123" i="1"/>
  <c r="U123" i="1" s="1"/>
  <c r="Y22" i="1"/>
  <c r="U22" i="1" s="1"/>
  <c r="Y23" i="1"/>
  <c r="U23" i="1" s="1"/>
  <c r="Y116" i="1"/>
  <c r="U116" i="1" s="1"/>
  <c r="Y138" i="1"/>
  <c r="U138" i="1" s="1"/>
  <c r="Y43" i="1"/>
  <c r="U43" i="1" s="1"/>
  <c r="Y40" i="1"/>
  <c r="U40" i="1" s="1"/>
  <c r="Y93" i="1"/>
  <c r="U93" i="1" s="1"/>
  <c r="Y53" i="1"/>
  <c r="U53" i="1" s="1"/>
  <c r="Y27" i="1"/>
  <c r="U27" i="1" s="1"/>
  <c r="Y81" i="1"/>
  <c r="U81" i="1" s="1"/>
  <c r="Y67" i="1"/>
  <c r="U67" i="1" s="1"/>
  <c r="Y63" i="1"/>
  <c r="U63" i="1" s="1"/>
  <c r="Y82" i="1"/>
  <c r="U82" i="1" s="1"/>
  <c r="Y125" i="1"/>
  <c r="U125" i="1" s="1"/>
  <c r="Y127" i="1"/>
  <c r="U127" i="1" s="1"/>
  <c r="Y70" i="1"/>
  <c r="U70" i="1" s="1"/>
  <c r="Y108" i="1"/>
  <c r="U108" i="1" s="1"/>
  <c r="Y58" i="1"/>
  <c r="U58" i="1" s="1"/>
  <c r="Y112" i="1"/>
  <c r="U112" i="1" s="1"/>
  <c r="Y83" i="1"/>
  <c r="U83" i="1" s="1"/>
  <c r="Y94" i="1"/>
  <c r="U94" i="1" s="1"/>
  <c r="Y18" i="1"/>
  <c r="U18" i="1" s="1"/>
  <c r="Y105" i="1"/>
  <c r="U105" i="1" s="1"/>
  <c r="Y30" i="1"/>
  <c r="U30" i="1" s="1"/>
  <c r="Y19" i="1"/>
  <c r="U19" i="1" s="1"/>
  <c r="Y99" i="1"/>
  <c r="U99" i="1" s="1"/>
  <c r="Y57" i="1"/>
  <c r="U57" i="1" s="1"/>
  <c r="Y16" i="1"/>
  <c r="U16" i="1" s="1"/>
  <c r="Y86" i="1"/>
  <c r="U86" i="1" s="1"/>
  <c r="Y72" i="1"/>
  <c r="U72" i="1" s="1"/>
  <c r="Y32" i="1"/>
  <c r="U32" i="1" s="1"/>
  <c r="Y128" i="1"/>
  <c r="U128" i="1" s="1"/>
  <c r="Y118" i="1"/>
  <c r="U118" i="1" s="1"/>
  <c r="Y45" i="1"/>
  <c r="U45" i="1" s="1"/>
  <c r="Y35" i="1"/>
  <c r="U35" i="1" s="1"/>
  <c r="Y54" i="1"/>
  <c r="U54" i="1" s="1"/>
  <c r="Y60" i="1"/>
  <c r="U60" i="1" s="1"/>
  <c r="Y41" i="1"/>
  <c r="U41" i="1" s="1"/>
  <c r="Y84" i="1"/>
  <c r="U84" i="1" s="1"/>
  <c r="Y102" i="1"/>
  <c r="U102" i="1" s="1"/>
  <c r="Y79" i="1"/>
  <c r="U79" i="1" s="1"/>
  <c r="Y47" i="1"/>
  <c r="U47" i="1" s="1"/>
  <c r="Y131" i="1"/>
  <c r="U131" i="1" s="1"/>
  <c r="Y38" i="1"/>
  <c r="U38" i="1" s="1"/>
  <c r="Y117" i="1"/>
  <c r="U117" i="1" s="1"/>
  <c r="Y107" i="1"/>
  <c r="U107" i="1" s="1"/>
  <c r="Y92" i="1"/>
  <c r="U92" i="1" s="1"/>
  <c r="Y124" i="1"/>
  <c r="U124" i="1" s="1"/>
  <c r="Y101" i="1"/>
  <c r="U101" i="1" s="1"/>
  <c r="Y78" i="1"/>
  <c r="U78" i="1" s="1"/>
  <c r="Y56" i="1"/>
  <c r="U56" i="1" s="1"/>
  <c r="Y34" i="1"/>
  <c r="U34" i="1" s="1"/>
  <c r="L142" i="1"/>
  <c r="M142" i="1"/>
  <c r="N142" i="1" s="1"/>
  <c r="K142" i="1"/>
  <c r="M123" i="1"/>
  <c r="K109" i="1"/>
  <c r="L109" i="1"/>
  <c r="M109" i="1"/>
  <c r="N109" i="1" s="1"/>
  <c r="K110" i="1"/>
  <c r="L110" i="1"/>
  <c r="M110" i="1"/>
  <c r="K118" i="1"/>
  <c r="L118" i="1"/>
  <c r="M118" i="1"/>
  <c r="N118" i="1" s="1"/>
  <c r="K123" i="1"/>
  <c r="L123" i="1"/>
  <c r="K133" i="1" l="1"/>
  <c r="L133" i="1"/>
  <c r="M133" i="1"/>
  <c r="N133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01" i="1"/>
  <c r="L101" i="1"/>
  <c r="M101" i="1"/>
  <c r="N101" i="1" s="1"/>
  <c r="K102" i="1"/>
  <c r="L102" i="1"/>
  <c r="M102" i="1"/>
  <c r="N102" i="1" s="1"/>
  <c r="K104" i="1"/>
  <c r="L104" i="1"/>
  <c r="M104" i="1"/>
  <c r="N104" i="1" s="1"/>
  <c r="K103" i="1"/>
  <c r="L103" i="1"/>
  <c r="M103" i="1"/>
  <c r="N103" i="1" s="1"/>
  <c r="L5" i="1"/>
  <c r="L6" i="1"/>
  <c r="L7" i="1"/>
  <c r="L8" i="1"/>
  <c r="L9" i="1"/>
  <c r="L1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4" i="1"/>
  <c r="L96" i="1"/>
  <c r="L98" i="1"/>
  <c r="L97" i="1"/>
  <c r="L99" i="1"/>
  <c r="L100" i="1"/>
  <c r="L105" i="1"/>
  <c r="L106" i="1"/>
  <c r="L107" i="1"/>
  <c r="L108" i="1"/>
  <c r="L114" i="1"/>
  <c r="L115" i="1"/>
  <c r="L116" i="1"/>
  <c r="L117" i="1"/>
  <c r="L119" i="1"/>
  <c r="L120" i="1"/>
  <c r="L121" i="1"/>
  <c r="L122" i="1"/>
  <c r="L124" i="1"/>
  <c r="L125" i="1"/>
  <c r="L126" i="1"/>
  <c r="L127" i="1"/>
  <c r="L128" i="1"/>
  <c r="L129" i="1"/>
  <c r="L130" i="1"/>
  <c r="L131" i="1"/>
  <c r="L132" i="1"/>
  <c r="L134" i="1"/>
  <c r="L135" i="1"/>
  <c r="L137" i="1"/>
  <c r="L136" i="1"/>
  <c r="L138" i="1"/>
  <c r="L139" i="1"/>
  <c r="L140" i="1"/>
  <c r="L141" i="1"/>
  <c r="L143" i="1"/>
  <c r="K5" i="1"/>
  <c r="M5" i="1"/>
  <c r="N5" i="1" s="1"/>
  <c r="K6" i="1"/>
  <c r="M6" i="1"/>
  <c r="N6" i="1" s="1"/>
  <c r="V3" i="1"/>
  <c r="L3" i="1"/>
  <c r="K80" i="1" l="1"/>
  <c r="M80" i="1"/>
  <c r="N80" i="1" s="1"/>
  <c r="K78" i="1"/>
  <c r="M78" i="1"/>
  <c r="N78" i="1" s="1"/>
  <c r="K73" i="1"/>
  <c r="M73" i="1"/>
  <c r="N73" i="1" s="1"/>
  <c r="K76" i="1"/>
  <c r="M76" i="1"/>
  <c r="N76" i="1" s="1"/>
  <c r="K70" i="1"/>
  <c r="M70" i="1"/>
  <c r="N70" i="1" s="1"/>
  <c r="K74" i="1"/>
  <c r="M74" i="1"/>
  <c r="N74" i="1" s="1"/>
  <c r="K68" i="1"/>
  <c r="M68" i="1"/>
  <c r="N68" i="1" s="1"/>
  <c r="K72" i="1"/>
  <c r="M72" i="1"/>
  <c r="K66" i="1"/>
  <c r="M66" i="1"/>
  <c r="N66" i="1" s="1"/>
  <c r="T3" i="1"/>
  <c r="W3" i="1"/>
  <c r="X3" i="1"/>
  <c r="Z3" i="1"/>
  <c r="AA3" i="1"/>
  <c r="L74" i="3"/>
  <c r="Q21" i="3"/>
  <c r="Q22" i="3"/>
  <c r="Q23" i="3"/>
  <c r="Q24" i="3"/>
  <c r="Q72" i="3"/>
  <c r="Q73" i="3"/>
  <c r="Q74" i="3"/>
  <c r="Q75" i="3"/>
  <c r="Q3" i="3"/>
  <c r="Q4" i="3"/>
  <c r="Q5" i="3"/>
  <c r="Q6" i="3"/>
  <c r="Q7" i="3"/>
  <c r="Q8" i="3"/>
  <c r="Q9" i="3"/>
  <c r="Q10" i="3"/>
  <c r="Q11" i="3"/>
  <c r="Q12" i="3"/>
  <c r="Q13" i="3"/>
  <c r="Q14" i="3"/>
  <c r="P72" i="3" l="1"/>
  <c r="P3" i="3"/>
  <c r="P14" i="3"/>
  <c r="P21" i="3"/>
  <c r="P73" i="3"/>
  <c r="P74" i="3"/>
  <c r="P7" i="3"/>
  <c r="P10" i="3"/>
  <c r="P24" i="3"/>
  <c r="P5" i="3"/>
  <c r="P8" i="3"/>
  <c r="P9" i="3"/>
  <c r="Y3" i="1"/>
  <c r="U3" i="1" s="1"/>
  <c r="P23" i="3"/>
  <c r="P22" i="3"/>
  <c r="P6" i="3"/>
  <c r="P4" i="3"/>
  <c r="K100" i="1" l="1"/>
  <c r="M100" i="1"/>
  <c r="N100" i="1" s="1"/>
  <c r="K139" i="1"/>
  <c r="M139" i="1"/>
  <c r="N139" i="1" s="1"/>
  <c r="K45" i="1"/>
  <c r="M45" i="1"/>
  <c r="K83" i="1" l="1"/>
  <c r="M83" i="1"/>
  <c r="N83" i="1" s="1"/>
  <c r="K77" i="1"/>
  <c r="M77" i="1"/>
  <c r="N77" i="1" s="1"/>
  <c r="K75" i="1"/>
  <c r="M75" i="1"/>
  <c r="N75" i="1" s="1"/>
  <c r="K71" i="1"/>
  <c r="M71" i="1"/>
  <c r="N71" i="1" s="1"/>
  <c r="K65" i="1"/>
  <c r="M65" i="1"/>
  <c r="K69" i="1"/>
  <c r="M69" i="1"/>
  <c r="K63" i="1"/>
  <c r="M63" i="1"/>
  <c r="N63" i="1" s="1"/>
  <c r="K60" i="1" l="1"/>
  <c r="M60" i="1"/>
  <c r="N60" i="1" s="1"/>
  <c r="K64" i="1"/>
  <c r="M64" i="1"/>
  <c r="N64" i="1" s="1"/>
  <c r="K58" i="1"/>
  <c r="M58" i="1"/>
  <c r="K88" i="1"/>
  <c r="M88" i="1"/>
  <c r="N88" i="1" s="1"/>
  <c r="K94" i="1"/>
  <c r="M94" i="1"/>
  <c r="N94" i="1" s="1"/>
  <c r="P11" i="3" l="1"/>
  <c r="P12" i="3"/>
  <c r="P13" i="3"/>
  <c r="P75" i="3"/>
  <c r="K120" i="1"/>
  <c r="K143" i="1"/>
  <c r="M120" i="1"/>
  <c r="N120" i="1" s="1"/>
  <c r="M143" i="1"/>
  <c r="N143" i="1" s="1"/>
  <c r="M56" i="1" l="1"/>
  <c r="N56" i="1" s="1"/>
  <c r="K56" i="1"/>
  <c r="Q16" i="3"/>
  <c r="Q17" i="3"/>
  <c r="Q18" i="3"/>
  <c r="Q19" i="3"/>
  <c r="Q20" i="3"/>
  <c r="K85" i="1" l="1"/>
  <c r="M85" i="1"/>
  <c r="N85" i="1" s="1"/>
  <c r="K79" i="1"/>
  <c r="M79" i="1"/>
  <c r="N79" i="1" s="1"/>
  <c r="K134" i="1"/>
  <c r="M134" i="1"/>
  <c r="N134" i="1" s="1"/>
  <c r="K127" i="1"/>
  <c r="M127" i="1"/>
  <c r="N127" i="1" s="1"/>
  <c r="K132" i="1"/>
  <c r="M132" i="1"/>
  <c r="N132" i="1" s="1"/>
  <c r="K125" i="1"/>
  <c r="M125" i="1"/>
  <c r="N125" i="1" s="1"/>
  <c r="K130" i="1"/>
  <c r="M130" i="1"/>
  <c r="N130" i="1" s="1"/>
  <c r="K128" i="1"/>
  <c r="M128" i="1"/>
  <c r="N128" i="1" s="1"/>
  <c r="K122" i="1"/>
  <c r="M122" i="1"/>
  <c r="N122" i="1" s="1"/>
  <c r="K126" i="1"/>
  <c r="M126" i="1"/>
  <c r="N126" i="1" s="1"/>
  <c r="K117" i="1"/>
  <c r="M117" i="1"/>
  <c r="N117" i="1" s="1"/>
  <c r="K124" i="1"/>
  <c r="M124" i="1"/>
  <c r="N124" i="1" s="1"/>
  <c r="K115" i="1"/>
  <c r="M115" i="1"/>
  <c r="K121" i="1"/>
  <c r="M121" i="1"/>
  <c r="N121" i="1" s="1"/>
  <c r="K119" i="1"/>
  <c r="M119" i="1"/>
  <c r="N119" i="1" s="1"/>
  <c r="K108" i="1"/>
  <c r="M108" i="1"/>
  <c r="N108" i="1" s="1"/>
  <c r="K116" i="1"/>
  <c r="M116" i="1"/>
  <c r="N116" i="1" s="1"/>
  <c r="K114" i="1"/>
  <c r="M114" i="1"/>
  <c r="N114" i="1" s="1"/>
  <c r="P20" i="3" l="1"/>
  <c r="P19" i="3"/>
  <c r="K105" i="1" l="1"/>
  <c r="M105" i="1"/>
  <c r="N105" i="1" s="1"/>
  <c r="K93" i="1"/>
  <c r="M93" i="1"/>
  <c r="N93" i="1" s="1"/>
  <c r="K86" i="1"/>
  <c r="M86" i="1"/>
  <c r="N86" i="1" s="1"/>
  <c r="K91" i="1"/>
  <c r="M91" i="1"/>
  <c r="N91" i="1" s="1"/>
  <c r="K89" i="1"/>
  <c r="M89" i="1"/>
  <c r="N89" i="1" s="1"/>
  <c r="K84" i="1"/>
  <c r="M84" i="1"/>
  <c r="N84" i="1" s="1"/>
  <c r="K82" i="1"/>
  <c r="M82" i="1"/>
  <c r="N82" i="1" s="1"/>
  <c r="P16" i="3"/>
  <c r="K81" i="1"/>
  <c r="M81" i="1"/>
  <c r="P81" i="1" s="1"/>
  <c r="K87" i="1"/>
  <c r="M87" i="1"/>
  <c r="N87" i="1" s="1"/>
  <c r="K67" i="1"/>
  <c r="M67" i="1"/>
  <c r="N67" i="1" s="1"/>
  <c r="K61" i="1"/>
  <c r="M61" i="1"/>
  <c r="N61" i="1" s="1"/>
  <c r="K62" i="1"/>
  <c r="M62" i="1"/>
  <c r="N62" i="1" s="1"/>
  <c r="K54" i="1"/>
  <c r="M54" i="1"/>
  <c r="N54" i="1" s="1"/>
  <c r="K59" i="1"/>
  <c r="M59" i="1"/>
  <c r="N59" i="1" s="1"/>
  <c r="K57" i="1"/>
  <c r="M57" i="1"/>
  <c r="N57" i="1" s="1"/>
  <c r="K50" i="1"/>
  <c r="M50" i="1"/>
  <c r="K52" i="1"/>
  <c r="M52" i="1"/>
  <c r="N52" i="1" s="1"/>
  <c r="K55" i="1"/>
  <c r="M55" i="1"/>
  <c r="N55" i="1" s="1"/>
  <c r="K48" i="1"/>
  <c r="M48" i="1"/>
  <c r="N48" i="1" s="1"/>
  <c r="K46" i="1"/>
  <c r="M46" i="1"/>
  <c r="N46" i="1" s="1"/>
  <c r="K53" i="1"/>
  <c r="M53" i="1"/>
  <c r="N53" i="1" s="1"/>
  <c r="K51" i="1"/>
  <c r="M51" i="1"/>
  <c r="N51" i="1" s="1"/>
  <c r="K49" i="1"/>
  <c r="M49" i="1"/>
  <c r="N49" i="1" s="1"/>
  <c r="K42" i="1"/>
  <c r="M42" i="1"/>
  <c r="K47" i="1"/>
  <c r="M47" i="1"/>
  <c r="N47" i="1" s="1"/>
  <c r="K10" i="1"/>
  <c r="M10" i="1"/>
  <c r="N10" i="1" s="1"/>
  <c r="K8" i="1"/>
  <c r="M8" i="1"/>
  <c r="N8" i="1" s="1"/>
  <c r="K44" i="1"/>
  <c r="M44" i="1"/>
  <c r="N44" i="1" s="1"/>
  <c r="K43" i="1"/>
  <c r="M43" i="1"/>
  <c r="N43" i="1" s="1"/>
  <c r="K7" i="1"/>
  <c r="M7" i="1"/>
  <c r="N7" i="1" s="1"/>
  <c r="K9" i="1"/>
  <c r="M9" i="1"/>
  <c r="N9" i="1" s="1"/>
  <c r="K3" i="1"/>
  <c r="M3" i="1"/>
  <c r="N3" i="1" s="1"/>
  <c r="K140" i="1"/>
  <c r="M140" i="1"/>
  <c r="N140" i="1" s="1"/>
  <c r="K136" i="1"/>
  <c r="M136" i="1"/>
  <c r="N136" i="1" s="1"/>
  <c r="K141" i="1"/>
  <c r="M141" i="1"/>
  <c r="N141" i="1" s="1"/>
  <c r="K135" i="1"/>
  <c r="M135" i="1"/>
  <c r="N135" i="1" s="1"/>
  <c r="K138" i="1"/>
  <c r="M138" i="1"/>
  <c r="N138" i="1" s="1"/>
  <c r="K131" i="1"/>
  <c r="M131" i="1"/>
  <c r="N131" i="1" s="1"/>
  <c r="K137" i="1"/>
  <c r="M137" i="1"/>
  <c r="N137" i="1" s="1"/>
  <c r="K129" i="1"/>
  <c r="M129" i="1"/>
  <c r="N129" i="1" s="1"/>
  <c r="K106" i="1"/>
  <c r="M106" i="1"/>
  <c r="N106" i="1" s="1"/>
  <c r="K98" i="1"/>
  <c r="M98" i="1"/>
  <c r="N98" i="1" s="1"/>
  <c r="K107" i="1"/>
  <c r="M107" i="1"/>
  <c r="N107" i="1" s="1"/>
  <c r="K96" i="1"/>
  <c r="M96" i="1"/>
  <c r="N96" i="1" s="1"/>
  <c r="K99" i="1"/>
  <c r="M99" i="1"/>
  <c r="N99" i="1" s="1"/>
  <c r="K95" i="1"/>
  <c r="M95" i="1"/>
  <c r="N95" i="1" s="1"/>
  <c r="K97" i="1"/>
  <c r="M97" i="1"/>
  <c r="N97" i="1" s="1"/>
  <c r="K92" i="1"/>
  <c r="M92" i="1"/>
  <c r="P18" i="3" l="1"/>
  <c r="P17" i="3"/>
  <c r="K90" i="1" l="1"/>
  <c r="A1" i="1" l="1"/>
  <c r="Q15" i="3"/>
  <c r="I4" i="6" l="1"/>
  <c r="I5" i="6"/>
  <c r="I6" i="6"/>
  <c r="I7" i="6"/>
  <c r="I3" i="6"/>
  <c r="P15" i="3"/>
  <c r="M90" i="1" l="1"/>
  <c r="N90" i="1" s="1"/>
  <c r="J148" i="1" l="1"/>
  <c r="J152" i="1"/>
  <c r="J149" i="1"/>
  <c r="J151" i="1"/>
  <c r="N152" i="1"/>
  <c r="J153" i="1" l="1"/>
  <c r="A1" i="6"/>
  <c r="M77" i="3"/>
  <c r="M78" i="3" s="1"/>
  <c r="A1" i="3"/>
  <c r="O150" i="1"/>
  <c r="N150" i="1"/>
  <c r="M150" i="1"/>
  <c r="O152" i="1" l="1"/>
  <c r="O149" i="1"/>
  <c r="M152" i="1"/>
  <c r="N149" i="1"/>
  <c r="M149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<sst xmlns="http://schemas.openxmlformats.org/spreadsheetml/2006/main" count="2367" uniqueCount="524">
  <si>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</si>
  <si>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</si>
  <si>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</si>
  <si>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</si>
  <si>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</si>
  <si>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</si>
  <si>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</si>
  <si>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</si>
  <si>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</si>
  <si>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</si>
  <si>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</si>
  <si>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</si>
  <si>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</si>
  <si>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</si>
  <si>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</si>
  <si>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</si>
  <si>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</si>
  <si>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</si>
  <si>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</si>
  <si>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</si>
  <si>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</si>
  <si>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</si>
  <si>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</si>
  <si>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</si>
  <si>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</si>
  <si>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</si>
  <si>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</si>
  <si>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</si>
  <si>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</si>
  <si>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</si>
  <si>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</si>
  <si>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</si>
  <si>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</si>
  <si>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</si>
  <si>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</si>
  <si>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</si>
  <si>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</si>
  <si>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</si>
  <si>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</si>
  <si>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</si>
  <si>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</si>
  <si>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</si>
  <si>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</si>
  <si>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</si>
  <si>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</si>
  <si>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</si>
  <si>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</si>
  <si>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</si>
  <si>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</si>
  <si>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</si>
  <si>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</si>
  <si>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</si>
  <si>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</si>
  <si>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</si>
  <si>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</si>
  <si>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</si>
  <si>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</si>
  <si>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</si>
  <si>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</si>
  <si>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</si>
  <si>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</si>
  <si>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</si>
  <si>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</si>
  <si>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</si>
  <si>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</si>
  <si>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</si>
  <si>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</si>
  <si>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</si>
  <si>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</si>
  <si>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</si>
  <si>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</si>
  <si>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</si>
  <si>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</si>
  <si>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</si>
  <si>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</si>
  <si>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</si>
  <si>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</si>
  <si>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</si>
  <si>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</si>
  <si>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</si>
  <si>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</si>
  <si>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</si>
  <si>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</si>
  <si>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</si>
  <si>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</si>
  <si>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</si>
  <si>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</si>
  <si>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</si>
  <si>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</si>
  <si>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</si>
  <si>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</si>
  <si>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</si>
  <si>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</si>
  <si>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</si>
  <si>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</si>
  <si>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</si>
  <si>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</si>
  <si>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</si>
  <si>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</si>
  <si>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</si>
  <si>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</si>
  <si>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</si>
  <si>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</si>
  <si>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</si>
  <si>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</si>
  <si>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</si>
  <si>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</si>
  <si>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</si>
  <si>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</si>
  <si>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</si>
  <si>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</si>
  <si>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</si>
  <si>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</si>
  <si>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</si>
  <si>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</si>
  <si>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</si>
  <si>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</si>
  <si>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</si>
  <si>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</si>
  <si>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</si>
  <si>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</si>
  <si>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</si>
  <si>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</si>
  <si>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</si>
  <si>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</si>
  <si>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</si>
  <si>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</si>
  <si>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</si>
  <si>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</si>
  <si>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</si>
  <si>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</si>
  <si>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</si>
  <si>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</si>
  <si>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</si>
  <si>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</si>
  <si>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</si>
  <si>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</si>
  <si>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</si>
  <si>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</si>
  <si>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</si>
  <si>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</si>
  <si>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</si>
  <si>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</si>
  <si>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</si>
  <si>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</si>
  <si>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</si>
  <si>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</si>
  <si>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</si>
  <si>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</si>
  <si>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</si>
  <si>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</si>
  <si>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</si>
  <si>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</si>
  <si>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</si>
  <si>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</si>
  <si>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</si>
  <si>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</si>
  <si>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</si>
  <si>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</si>
  <si>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235-09</t>
  </si>
  <si>
    <t>232-09</t>
  </si>
  <si>
    <t>222-09</t>
  </si>
  <si>
    <t>217-09</t>
  </si>
  <si>
    <t>229-09</t>
  </si>
  <si>
    <t>204-09</t>
  </si>
  <si>
    <t>215-09</t>
  </si>
  <si>
    <t>204:161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</si>
  <si>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</si>
  <si>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</si>
  <si>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</si>
  <si>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</si>
  <si>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</si>
  <si>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</si>
  <si>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</si>
  <si>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</si>
  <si>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</si>
  <si>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204:233295</t>
  </si>
  <si>
    <t>204:447</t>
  </si>
  <si>
    <t>204:233289</t>
  </si>
  <si>
    <t>rtdc.l.rtdc.4025:itc</t>
  </si>
  <si>
    <t>rtdc.l.rtdc.4040:itc</t>
  </si>
  <si>
    <t>rtdc.l.rtdc.4026:itc</t>
  </si>
  <si>
    <t>BRABO</t>
  </si>
  <si>
    <t>rtdc.l.rtdc.4039:itc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</si>
  <si>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</si>
  <si>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</si>
  <si>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</si>
  <si>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</si>
  <si>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</si>
  <si>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</si>
  <si>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</si>
  <si>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</si>
  <si>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</si>
  <si>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204:158</t>
  </si>
  <si>
    <t>204:233309</t>
  </si>
  <si>
    <t>204:233297</t>
  </si>
  <si>
    <t>204:233284</t>
  </si>
  <si>
    <t>204:233272</t>
  </si>
  <si>
    <t>RIVERA</t>
  </si>
  <si>
    <t>YORK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</si>
  <si>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</si>
  <si>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</si>
  <si>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</si>
  <si>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</si>
  <si>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</si>
  <si>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</si>
  <si>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</si>
  <si>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</si>
  <si>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</si>
  <si>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</si>
  <si>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</si>
  <si>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</si>
  <si>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</si>
  <si>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</si>
  <si>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</si>
  <si>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</si>
  <si>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</si>
  <si>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</si>
  <si>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231-15</t>
  </si>
  <si>
    <t>200-15</t>
  </si>
  <si>
    <t>242-15</t>
  </si>
  <si>
    <t>208-15</t>
  </si>
  <si>
    <t>227-15</t>
  </si>
  <si>
    <t>STRICKLAND</t>
  </si>
  <si>
    <t>241-15</t>
  </si>
  <si>
    <t>rtdc.l.rtdc.4012:itc</t>
  </si>
  <si>
    <t>228-15</t>
  </si>
  <si>
    <t>226-15</t>
  </si>
  <si>
    <t>221-15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</si>
  <si>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</si>
  <si>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</si>
  <si>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</si>
  <si>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</si>
  <si>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</si>
  <si>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</si>
  <si>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</si>
  <si>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</si>
  <si>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</si>
  <si>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</si>
  <si>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</si>
  <si>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</si>
  <si>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204:232979</t>
  </si>
  <si>
    <t>204:442</t>
  </si>
  <si>
    <t>204:232998</t>
  </si>
  <si>
    <t>204:163</t>
  </si>
  <si>
    <t>204:469</t>
  </si>
  <si>
    <t>204:232971</t>
  </si>
  <si>
    <t>204:233291</t>
  </si>
  <si>
    <t>204:139</t>
  </si>
  <si>
    <t>204:216</t>
  </si>
  <si>
    <t>204:233280</t>
  </si>
  <si>
    <t>rtdc.l.rtdc.4005:itc</t>
  </si>
  <si>
    <t>rtdc.l.rtdc.4006:itc</t>
  </si>
  <si>
    <t>CANFIELD</t>
  </si>
  <si>
    <t>204:169</t>
  </si>
  <si>
    <t>204:233011</t>
  </si>
  <si>
    <t>204:455</t>
  </si>
  <si>
    <t>204:165</t>
  </si>
  <si>
    <t>204:467</t>
  </si>
  <si>
    <t>204:422</t>
  </si>
  <si>
    <t>204:437</t>
  </si>
  <si>
    <t>204:433</t>
  </si>
  <si>
    <t>204:484</t>
  </si>
  <si>
    <t>204:232969</t>
  </si>
  <si>
    <t>204:233282</t>
  </si>
  <si>
    <t>204:440</t>
  </si>
  <si>
    <t>204:233270</t>
  </si>
  <si>
    <t>Recorded Loco</t>
  </si>
  <si>
    <t>Recorded time</t>
  </si>
  <si>
    <t>117-18</t>
  </si>
  <si>
    <t>STURGEON</t>
  </si>
  <si>
    <t>NELSON-18</t>
  </si>
  <si>
    <t>NELSON</t>
  </si>
  <si>
    <t>149-18</t>
  </si>
  <si>
    <t>163-18</t>
  </si>
  <si>
    <t>165-18</t>
  </si>
  <si>
    <t>LOCKLEAR</t>
  </si>
  <si>
    <t>143-18</t>
  </si>
  <si>
    <t>131-18</t>
  </si>
  <si>
    <t>139-18</t>
  </si>
  <si>
    <t>GEBRETEKLE</t>
  </si>
  <si>
    <t>142-18</t>
  </si>
  <si>
    <t>173-18</t>
  </si>
  <si>
    <t>WEBSTER</t>
  </si>
  <si>
    <t>195-18</t>
  </si>
  <si>
    <t>ACKERMAN</t>
  </si>
  <si>
    <t>134-18</t>
  </si>
  <si>
    <t>190-18</t>
  </si>
  <si>
    <t>240-18</t>
  </si>
  <si>
    <t>204-18</t>
  </si>
  <si>
    <t>228-18</t>
  </si>
  <si>
    <t>242-18</t>
  </si>
  <si>
    <t>DE LA ROSA</t>
  </si>
  <si>
    <t>198-18</t>
  </si>
  <si>
    <t>107-18</t>
  </si>
  <si>
    <t>191-18</t>
  </si>
  <si>
    <t>120-18</t>
  </si>
  <si>
    <t>123-18</t>
  </si>
  <si>
    <t>147-18</t>
  </si>
  <si>
    <t>101-18</t>
  </si>
  <si>
    <t>229-18</t>
  </si>
  <si>
    <t>205-18</t>
  </si>
  <si>
    <t>174-18</t>
  </si>
  <si>
    <t>199-18</t>
  </si>
  <si>
    <t>BRANNON</t>
  </si>
  <si>
    <t>186-18</t>
  </si>
  <si>
    <t>202-18</t>
  </si>
  <si>
    <t>211-18</t>
  </si>
  <si>
    <t>157-18</t>
  </si>
  <si>
    <t>109-18</t>
  </si>
  <si>
    <t>102-18</t>
  </si>
  <si>
    <t>121-18</t>
  </si>
  <si>
    <t>241-18</t>
  </si>
  <si>
    <t>116-18</t>
  </si>
  <si>
    <t>216-18</t>
  </si>
  <si>
    <t>124-18</t>
  </si>
  <si>
    <t>188-18</t>
  </si>
  <si>
    <t>153-18</t>
  </si>
  <si>
    <t>189-18</t>
  </si>
  <si>
    <t>181-18</t>
  </si>
  <si>
    <t>146-18</t>
  </si>
  <si>
    <t>193-18</t>
  </si>
  <si>
    <t>232-18</t>
  </si>
  <si>
    <t>203-18</t>
  </si>
  <si>
    <t>221-18</t>
  </si>
  <si>
    <t>207-18</t>
  </si>
  <si>
    <t>155-18</t>
  </si>
  <si>
    <t>125-18</t>
  </si>
  <si>
    <t>151-18</t>
  </si>
  <si>
    <t>138-18</t>
  </si>
  <si>
    <t>118-18</t>
  </si>
  <si>
    <t>180-18</t>
  </si>
  <si>
    <t>218-18</t>
  </si>
  <si>
    <t>196-18</t>
  </si>
  <si>
    <t>227-18</t>
  </si>
  <si>
    <t>213-18</t>
  </si>
  <si>
    <t>215-18</t>
  </si>
  <si>
    <t>212-18</t>
  </si>
  <si>
    <t>231-18</t>
  </si>
  <si>
    <t>103-18</t>
  </si>
  <si>
    <t>226-18</t>
  </si>
  <si>
    <t>105-18</t>
  </si>
  <si>
    <t>224-18</t>
  </si>
  <si>
    <t>119-18</t>
  </si>
  <si>
    <t>208-18</t>
  </si>
  <si>
    <t>136-18</t>
  </si>
  <si>
    <t>201-18</t>
  </si>
  <si>
    <t>162-18</t>
  </si>
  <si>
    <t>128-18</t>
  </si>
  <si>
    <t>171-18</t>
  </si>
  <si>
    <t>187-18</t>
  </si>
  <si>
    <t>115-18</t>
  </si>
  <si>
    <t>197-18</t>
  </si>
  <si>
    <t>194-18</t>
  </si>
  <si>
    <t>219-18</t>
  </si>
  <si>
    <t>HELVIE</t>
  </si>
  <si>
    <t>122-18</t>
  </si>
  <si>
    <t>114-18</t>
  </si>
  <si>
    <t>108-18</t>
  </si>
  <si>
    <t>129-18</t>
  </si>
  <si>
    <t>184-18</t>
  </si>
  <si>
    <t>182-18</t>
  </si>
  <si>
    <t>148-18</t>
  </si>
  <si>
    <t>176-18</t>
  </si>
  <si>
    <t>150-18</t>
  </si>
  <si>
    <t>179-18</t>
  </si>
  <si>
    <t>167-18</t>
  </si>
  <si>
    <t>172-18</t>
  </si>
  <si>
    <t>158-18</t>
  </si>
  <si>
    <t>137-18</t>
  </si>
  <si>
    <t>200-18</t>
  </si>
  <si>
    <t>209-18</t>
  </si>
  <si>
    <t>225-18</t>
  </si>
  <si>
    <t>175-18</t>
  </si>
  <si>
    <t>239-18</t>
  </si>
  <si>
    <t>168-18</t>
  </si>
  <si>
    <t>245-18</t>
  </si>
  <si>
    <t>169-18</t>
  </si>
  <si>
    <t>235-18</t>
  </si>
  <si>
    <t>154-18</t>
  </si>
  <si>
    <t>244-18</t>
  </si>
  <si>
    <t>106-18</t>
  </si>
  <si>
    <t>170-18</t>
  </si>
  <si>
    <t>140-18</t>
  </si>
  <si>
    <t>177-18</t>
  </si>
  <si>
    <t>183-18</t>
  </si>
  <si>
    <t>243-18</t>
  </si>
  <si>
    <t>185-18</t>
  </si>
  <si>
    <t>238-18</t>
  </si>
  <si>
    <t>206-18</t>
  </si>
  <si>
    <t>237-18</t>
  </si>
  <si>
    <t>220-18</t>
  </si>
  <si>
    <t>214-18</t>
  </si>
  <si>
    <t>145-18</t>
  </si>
  <si>
    <t>178-18</t>
  </si>
  <si>
    <t>144-18</t>
  </si>
  <si>
    <t>141-18</t>
  </si>
  <si>
    <t>156-18</t>
  </si>
  <si>
    <t>135-18</t>
  </si>
  <si>
    <t>233-18</t>
  </si>
  <si>
    <t>164-18</t>
  </si>
  <si>
    <t>192-18</t>
  </si>
  <si>
    <t>210-18</t>
  </si>
  <si>
    <t>217-18</t>
  </si>
  <si>
    <t>222-18</t>
  </si>
  <si>
    <t>230-18</t>
  </si>
  <si>
    <t>234-18</t>
  </si>
  <si>
    <t>236-18</t>
  </si>
  <si>
    <t>132-18</t>
  </si>
  <si>
    <t>127-18</t>
  </si>
  <si>
    <t>133-18</t>
  </si>
  <si>
    <t>126-18</t>
  </si>
  <si>
    <t>104-18</t>
  </si>
  <si>
    <t>166-18</t>
  </si>
  <si>
    <t>161-18</t>
  </si>
  <si>
    <t>152-18</t>
  </si>
  <si>
    <t>130-18</t>
  </si>
  <si>
    <t>110-18</t>
  </si>
  <si>
    <t>223-18</t>
  </si>
  <si>
    <t>204:766</t>
  </si>
  <si>
    <t>204:233261</t>
  </si>
  <si>
    <t>204:233240</t>
  </si>
  <si>
    <t>204:232591</t>
  </si>
  <si>
    <t>204:699</t>
  </si>
  <si>
    <t>204:232648</t>
  </si>
  <si>
    <t>204:233323</t>
  </si>
  <si>
    <t>204:233004</t>
  </si>
  <si>
    <t>204:232955</t>
  </si>
  <si>
    <t>204:345</t>
  </si>
  <si>
    <t>204:775</t>
  </si>
  <si>
    <t>204:233319</t>
  </si>
  <si>
    <t>204:94</t>
  </si>
  <si>
    <t>204:232988</t>
  </si>
  <si>
    <t>204:136</t>
  </si>
  <si>
    <t>204:743</t>
  </si>
  <si>
    <t>204:138</t>
  </si>
  <si>
    <t>204:233274</t>
  </si>
  <si>
    <t>204:129</t>
  </si>
  <si>
    <t>204:611</t>
  </si>
  <si>
    <t>204:232976</t>
  </si>
  <si>
    <t>204:1130</t>
  </si>
  <si>
    <t>204:336</t>
  </si>
  <si>
    <t>204:232967</t>
  </si>
  <si>
    <t>204:1164</t>
  </si>
  <si>
    <t>204:233306</t>
  </si>
  <si>
    <t>204:446</t>
  </si>
  <si>
    <t>204:406</t>
  </si>
  <si>
    <t>204:233410</t>
  </si>
  <si>
    <t>204:233081</t>
  </si>
  <si>
    <t>204:150</t>
  </si>
  <si>
    <t>204:1853</t>
  </si>
  <si>
    <t>204:233337</t>
  </si>
  <si>
    <t>204:232964</t>
  </si>
  <si>
    <t>204:233312</t>
  </si>
  <si>
    <t>204:1477</t>
  </si>
  <si>
    <t>204:233403</t>
  </si>
  <si>
    <t>204:233053</t>
  </si>
  <si>
    <t>204:233061</t>
  </si>
  <si>
    <t>204:233310</t>
  </si>
  <si>
    <t>204:1315</t>
  </si>
  <si>
    <t>204:3071</t>
  </si>
  <si>
    <t>204:143</t>
  </si>
  <si>
    <t>204:233318</t>
  </si>
  <si>
    <t>204:506</t>
  </si>
  <si>
    <t>204:233276</t>
  </si>
  <si>
    <t>204:232986</t>
  </si>
  <si>
    <t>204:4116</t>
  </si>
  <si>
    <t>204:233325</t>
  </si>
  <si>
    <t>204:233042</t>
  </si>
  <si>
    <t>204:233414</t>
  </si>
  <si>
    <t>204:233111</t>
  </si>
  <si>
    <t>204:228637</t>
  </si>
  <si>
    <t>204:356</t>
  </si>
  <si>
    <t>204:64698</t>
  </si>
  <si>
    <t>204:232989</t>
  </si>
  <si>
    <t>204:233003</t>
  </si>
  <si>
    <t>204:482</t>
  </si>
  <si>
    <t>204:233419</t>
  </si>
  <si>
    <t>204:233161</t>
  </si>
  <si>
    <t>204:473</t>
  </si>
  <si>
    <t>204:233002</t>
  </si>
  <si>
    <t>204:132</t>
  </si>
  <si>
    <t>204:444</t>
  </si>
  <si>
    <t>204:233307</t>
  </si>
  <si>
    <t>204:435</t>
  </si>
  <si>
    <t>204:130</t>
  </si>
  <si>
    <t>204:233445</t>
  </si>
  <si>
    <t>204:233113</t>
  </si>
  <si>
    <t>204:480</t>
  </si>
  <si>
    <t>204:144290</t>
  </si>
  <si>
    <t>204:233301</t>
  </si>
  <si>
    <t>204:233324</t>
  </si>
  <si>
    <t>204:233007</t>
  </si>
  <si>
    <t>204:486</t>
  </si>
  <si>
    <t>204:233451</t>
  </si>
  <si>
    <t>204:233153</t>
  </si>
  <si>
    <t>204:471</t>
  </si>
  <si>
    <t>204:232983</t>
  </si>
  <si>
    <t>204:183</t>
  </si>
  <si>
    <t>204:233300</t>
  </si>
  <si>
    <t>204:44458</t>
  </si>
  <si>
    <t>204:415</t>
  </si>
  <si>
    <t>204:232960</t>
  </si>
  <si>
    <t>204:429</t>
  </si>
  <si>
    <t>204:233278</t>
  </si>
  <si>
    <t>204:233266</t>
  </si>
  <si>
    <t>204:232947</t>
  </si>
  <si>
    <t>204:233314</t>
  </si>
  <si>
    <t>204:233329</t>
  </si>
  <si>
    <t>246-18</t>
  </si>
  <si>
    <t>204:212</t>
  </si>
  <si>
    <t>111-18</t>
  </si>
  <si>
    <t>112-18</t>
  </si>
  <si>
    <t>113-18</t>
  </si>
  <si>
    <t>159-18</t>
  </si>
  <si>
    <t>160-18</t>
  </si>
  <si>
    <t>Double Check</t>
  </si>
  <si>
    <t>Onboard In-Route Failure</t>
  </si>
  <si>
    <t>Dispatcher Error</t>
  </si>
  <si>
    <t>Onboard In-Route failure</t>
  </si>
  <si>
    <t>Comms</t>
  </si>
  <si>
    <t>FORM C</t>
  </si>
  <si>
    <t xml:space="preserve">Restricting Signal Speed Enforcement </t>
  </si>
  <si>
    <t>Signal at stop with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</si>
</sst>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1"/>
  <sheetViews>
    <sheetView showGridLines="0" tabSelected="1" topLeftCell="A7" zoomScale="85" zoomScaleNormal="85" workbookViewId="0">
      <selection activeCell="R59" sqref="R5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103" t="str">
        <f>"Eagle P3 System Performance - "&amp;TEXT(Variables!A2,"yyyy-mm-dd")</f>
        <v>Eagle P3 System Performance - 2016-06-18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299</v>
      </c>
      <c r="B3" s="60">
        <v>4011</v>
      </c>
      <c r="C3" s="60" t="s">
        <v>62</v>
      </c>
      <c r="D3" s="60" t="s">
        <v>419</v>
      </c>
      <c r="E3" s="30">
        <v>42539.126828703702</v>
      </c>
      <c r="F3" s="30">
        <v>42539.138020833336</v>
      </c>
      <c r="G3" s="38">
        <v>2</v>
      </c>
      <c r="H3" s="30" t="s">
        <v>420</v>
      </c>
      <c r="I3" s="30">
        <v>42539.169849537036</v>
      </c>
      <c r="J3" s="60">
        <v>0</v>
      </c>
      <c r="K3" s="60" t="str">
        <f t="shared" ref="K3:K34" si="0">IF(ISEVEN(B3),(B3-1)&amp;"/"&amp;B3,B3&amp;"/"&amp;(B3+1))</f>
        <v>4011/4012</v>
      </c>
      <c r="L3" s="60" t="str">
        <f>VLOOKUP(A3,'Trips&amp;Operators'!$C$1:$E$10000,3,FALSE)</f>
        <v>CANFIELD</v>
      </c>
      <c r="M3" s="12">
        <f t="shared" ref="M3:M34" si="1">I3-F3</f>
        <v>3.1828703700739425E-2</v>
      </c>
      <c r="N3" s="13">
        <f>24*60*SUM($M3:$M3)</f>
        <v>45.833333329064772</v>
      </c>
      <c r="O3" s="13"/>
      <c r="P3" s="13"/>
      <c r="Q3" s="61"/>
      <c r="R3" s="61"/>
      <c r="T3" s="73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https://search-rtdc-monitor-bjffxe2xuh6vdkpspy63sjmuny.us-east-1.es.amazonaws.com/_plugin/kibana/#/discover/Steve-Slow-Train-Analysis-(2080s-and-2083s)?_g=(refreshInterval:(display:Off,section:0,value:0),time:(from:'2016-06-18 03:01:38-0600',mode:absolute,to:'2016-06-18 04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 t="shared" ref="U3" si="3">IF(Y3&lt;23,"Y","N")</f>
        <v>N</v>
      </c>
      <c r="V3" s="73" t="e">
        <f>VALUE(LEFT(A3,3))-VALUE(LEFT(A2,3))</f>
        <v>#VALUE!</v>
      </c>
      <c r="W3" s="73">
        <f t="shared" ref="W3" si="4">RIGHT(D3,LEN(D3)-4)/10000</f>
        <v>7.6600000000000001E-2</v>
      </c>
      <c r="X3" s="73">
        <f t="shared" ref="X3" si="5">RIGHT(H3,LEN(H3)-4)/10000</f>
        <v>23.3261</v>
      </c>
      <c r="Y3" s="73">
        <f t="shared" ref="Y3" si="6">ABS(X3-W3)</f>
        <v>23.249500000000001</v>
      </c>
      <c r="Z3" s="74" t="e">
        <f>VLOOKUP(A3,Enforcements!$C$15:$J$75,8,0)</f>
        <v>#N/A</v>
      </c>
      <c r="AA3" s="74" t="e">
        <f>VLOOKUP(A3,Enforcements!$C$15:$J$75,3,0)</f>
        <v>#N/A</v>
      </c>
    </row>
    <row r="4" spans="1:89" s="2" customFormat="1" x14ac:dyDescent="0.25">
      <c r="A4" s="60" t="s">
        <v>310</v>
      </c>
      <c r="B4" s="60">
        <v>4030</v>
      </c>
      <c r="C4" s="60"/>
      <c r="D4" s="60"/>
      <c r="E4" s="30"/>
      <c r="F4" s="30">
        <v>42539.184178240743</v>
      </c>
      <c r="G4" s="38"/>
      <c r="H4" s="30"/>
      <c r="I4" s="30">
        <v>42539.184178240743</v>
      </c>
      <c r="J4" s="60"/>
      <c r="K4" s="60" t="str">
        <f t="shared" si="0"/>
        <v>4029/4030</v>
      </c>
      <c r="L4" s="60" t="str">
        <f>VLOOKUP(A4,'Trips&amp;Operators'!$C$1:$E$10000,3,FALSE)</f>
        <v>CANFIELD</v>
      </c>
      <c r="M4" s="12">
        <f t="shared" si="1"/>
        <v>0</v>
      </c>
      <c r="N4" s="13"/>
      <c r="O4" s="13"/>
      <c r="P4" s="13">
        <v>1</v>
      </c>
      <c r="Q4" s="61"/>
      <c r="R4" s="61" t="s">
        <v>518</v>
      </c>
      <c r="T4" s="73" t="e">
        <f t="shared" ref="T4:T15" si="7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#VALUE!</v>
      </c>
      <c r="U4" s="73" t="e">
        <f t="shared" ref="U4:U15" si="8">IF(Y4&lt;23,"Y","N")</f>
        <v>#VALUE!</v>
      </c>
      <c r="V4" s="73">
        <f t="shared" ref="V4:V15" si="9">VALUE(LEFT(A4,3))-VALUE(LEFT(A3,3))</f>
        <v>1</v>
      </c>
      <c r="W4" s="73" t="e">
        <f t="shared" ref="W4:W15" si="10">RIGHT(D4,LEN(D4)-4)/10000</f>
        <v>#VALUE!</v>
      </c>
      <c r="X4" s="73" t="e">
        <f t="shared" ref="X4:X15" si="11">RIGHT(H4,LEN(H4)-4)/10000</f>
        <v>#VALUE!</v>
      </c>
      <c r="Y4" s="73" t="e">
        <f t="shared" ref="Y4:Y15" si="12">ABS(X4-W4)</f>
        <v>#VALUE!</v>
      </c>
      <c r="Z4" s="74" t="e">
        <f>VLOOKUP(A4,Enforcements!$C$15:$J$75,8,0)</f>
        <v>#N/A</v>
      </c>
      <c r="AA4" s="74"/>
    </row>
    <row r="5" spans="1:89" s="2" customFormat="1" x14ac:dyDescent="0.25">
      <c r="A5" s="60" t="s">
        <v>339</v>
      </c>
      <c r="B5" s="60">
        <v>4020</v>
      </c>
      <c r="C5" s="60" t="s">
        <v>62</v>
      </c>
      <c r="D5" s="60" t="s">
        <v>419</v>
      </c>
      <c r="E5" s="30">
        <v>42539.150092592594</v>
      </c>
      <c r="F5" s="30">
        <v>42539.151689814818</v>
      </c>
      <c r="G5" s="38">
        <v>2</v>
      </c>
      <c r="H5" s="30" t="s">
        <v>421</v>
      </c>
      <c r="I5" s="30">
        <v>42539.183877314812</v>
      </c>
      <c r="J5" s="60">
        <v>0</v>
      </c>
      <c r="K5" s="60" t="str">
        <f t="shared" si="0"/>
        <v>4019/4020</v>
      </c>
      <c r="L5" s="60" t="str">
        <f>VLOOKUP(A5,'Trips&amp;Operators'!$C$1:$E$10000,3,FALSE)</f>
        <v>STURGEON</v>
      </c>
      <c r="M5" s="12">
        <f t="shared" si="1"/>
        <v>3.2187499993597157E-2</v>
      </c>
      <c r="N5" s="13">
        <f t="shared" ref="N5:N12" si="13">24*60*SUM($M5:$M5)</f>
        <v>46.349999990779907</v>
      </c>
      <c r="O5" s="13"/>
      <c r="P5" s="13"/>
      <c r="Q5" s="61"/>
      <c r="R5" s="61"/>
      <c r="T5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03:35:08-0600',mode:absolute,to:'2016-06-18 04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3" t="str">
        <f t="shared" si="8"/>
        <v>N</v>
      </c>
      <c r="V5" s="73">
        <f t="shared" si="9"/>
        <v>1</v>
      </c>
      <c r="W5" s="73">
        <f t="shared" si="10"/>
        <v>7.6600000000000001E-2</v>
      </c>
      <c r="X5" s="73">
        <f t="shared" si="11"/>
        <v>23.324000000000002</v>
      </c>
      <c r="Y5" s="73">
        <f t="shared" si="12"/>
        <v>23.247400000000003</v>
      </c>
      <c r="Z5" s="74" t="e">
        <f>VLOOKUP(A5,Enforcements!$C$15:$J$75,8,0)</f>
        <v>#N/A</v>
      </c>
      <c r="AA5" s="74"/>
    </row>
    <row r="6" spans="1:89" s="2" customFormat="1" x14ac:dyDescent="0.25">
      <c r="A6" s="60" t="s">
        <v>412</v>
      </c>
      <c r="B6" s="60">
        <v>4023</v>
      </c>
      <c r="C6" s="60" t="s">
        <v>62</v>
      </c>
      <c r="D6" s="60" t="s">
        <v>422</v>
      </c>
      <c r="E6" s="30">
        <v>42539.193761574075</v>
      </c>
      <c r="F6" s="30">
        <v>42539.194803240738</v>
      </c>
      <c r="G6" s="38">
        <v>1</v>
      </c>
      <c r="H6" s="30" t="s">
        <v>63</v>
      </c>
      <c r="I6" s="30">
        <v>42539.223738425928</v>
      </c>
      <c r="J6" s="60">
        <v>1</v>
      </c>
      <c r="K6" s="60" t="str">
        <f t="shared" si="0"/>
        <v>4023/4024</v>
      </c>
      <c r="L6" s="60" t="str">
        <f>VLOOKUP(A6,'Trips&amp;Operators'!$C$1:$E$10000,3,FALSE)</f>
        <v>STURGEON</v>
      </c>
      <c r="M6" s="12">
        <f t="shared" si="1"/>
        <v>2.8935185189766344E-2</v>
      </c>
      <c r="N6" s="13">
        <f t="shared" si="13"/>
        <v>41.666666673263535</v>
      </c>
      <c r="O6" s="13"/>
      <c r="P6" s="13"/>
      <c r="Q6" s="61"/>
      <c r="R6" s="61"/>
      <c r="T6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04:38:01-0600',mode:absolute,to:'2016-06-18 05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3" t="str">
        <f t="shared" si="8"/>
        <v>N</v>
      </c>
      <c r="V6" s="73">
        <f t="shared" si="9"/>
        <v>1</v>
      </c>
      <c r="W6" s="73">
        <f t="shared" si="10"/>
        <v>23.2591</v>
      </c>
      <c r="X6" s="73">
        <f t="shared" si="11"/>
        <v>1.4500000000000001E-2</v>
      </c>
      <c r="Y6" s="73">
        <f t="shared" si="12"/>
        <v>23.244599999999998</v>
      </c>
      <c r="Z6" s="74">
        <f>VLOOKUP(A6,Enforcements!$C$15:$J$75,8,0)</f>
        <v>1</v>
      </c>
      <c r="AA6" s="74" t="str">
        <f>VLOOKUP(A6,Enforcements!$C$15:$J$75,3,0)</f>
        <v>TRACK WARRANT AUTHORITY</v>
      </c>
    </row>
    <row r="7" spans="1:89" s="2" customFormat="1" x14ac:dyDescent="0.25">
      <c r="A7" s="60" t="s">
        <v>341</v>
      </c>
      <c r="B7" s="60">
        <v>4044</v>
      </c>
      <c r="C7" s="60" t="s">
        <v>62</v>
      </c>
      <c r="D7" s="60" t="s">
        <v>423</v>
      </c>
      <c r="E7" s="30">
        <v>42539.175497685188</v>
      </c>
      <c r="F7" s="30">
        <v>42539.176458333335</v>
      </c>
      <c r="G7" s="38">
        <v>1</v>
      </c>
      <c r="H7" s="30" t="s">
        <v>195</v>
      </c>
      <c r="I7" s="30">
        <v>42539.202673611115</v>
      </c>
      <c r="J7" s="60">
        <v>0</v>
      </c>
      <c r="K7" s="60" t="str">
        <f t="shared" si="0"/>
        <v>4043/4044</v>
      </c>
      <c r="L7" s="60" t="str">
        <f>VLOOKUP(A7,'Trips&amp;Operators'!$C$1:$E$10000,3,FALSE)</f>
        <v>YORK</v>
      </c>
      <c r="M7" s="12">
        <f t="shared" si="1"/>
        <v>2.6215277779556345E-2</v>
      </c>
      <c r="N7" s="13">
        <f t="shared" si="13"/>
        <v>37.750000002561137</v>
      </c>
      <c r="O7" s="13"/>
      <c r="P7" s="13"/>
      <c r="Q7" s="61"/>
      <c r="R7" s="61"/>
      <c r="T7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04:11:43-0600',mode:absolute,to:'2016-06-18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" s="73" t="str">
        <f t="shared" si="8"/>
        <v>N</v>
      </c>
      <c r="V7" s="73">
        <f t="shared" si="9"/>
        <v>1</v>
      </c>
      <c r="W7" s="73">
        <f t="shared" si="10"/>
        <v>6.9900000000000004E-2</v>
      </c>
      <c r="X7" s="73">
        <f t="shared" si="11"/>
        <v>23.329699999999999</v>
      </c>
      <c r="Y7" s="73">
        <f t="shared" si="12"/>
        <v>23.259799999999998</v>
      </c>
      <c r="Z7" s="74" t="e">
        <f>VLOOKUP(A7,Enforcements!$C$15:$J$75,8,0)</f>
        <v>#N/A</v>
      </c>
      <c r="AA7" s="74" t="e">
        <f>VLOOKUP(A7,Enforcements!$C$15:$J$75,3,0)</f>
        <v>#N/A</v>
      </c>
    </row>
    <row r="8" spans="1:89" s="2" customFormat="1" x14ac:dyDescent="0.25">
      <c r="A8" s="60" t="s">
        <v>381</v>
      </c>
      <c r="B8" s="60">
        <v>4039</v>
      </c>
      <c r="C8" s="60" t="s">
        <v>62</v>
      </c>
      <c r="D8" s="60" t="s">
        <v>424</v>
      </c>
      <c r="E8" s="30">
        <v>42539.204525462963</v>
      </c>
      <c r="F8" s="30">
        <v>42539.205381944441</v>
      </c>
      <c r="G8" s="38">
        <v>1</v>
      </c>
      <c r="H8" s="30" t="s">
        <v>93</v>
      </c>
      <c r="I8" s="30">
        <v>42539.244664351849</v>
      </c>
      <c r="J8" s="60">
        <v>0</v>
      </c>
      <c r="K8" s="60" t="str">
        <f t="shared" si="0"/>
        <v>4039/4040</v>
      </c>
      <c r="L8" s="60" t="str">
        <f>VLOOKUP(A8,'Trips&amp;Operators'!$C$1:$E$10000,3,FALSE)</f>
        <v>YORK</v>
      </c>
      <c r="M8" s="12">
        <f t="shared" si="1"/>
        <v>3.9282407407881692E-2</v>
      </c>
      <c r="N8" s="13">
        <f t="shared" si="13"/>
        <v>56.566666667349637</v>
      </c>
      <c r="O8" s="13"/>
      <c r="P8" s="13"/>
      <c r="Q8" s="61"/>
      <c r="R8" s="61"/>
      <c r="T8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04:53:31-0600',mode:absolute,to:'2016-06-18 05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" s="73" t="str">
        <f t="shared" si="8"/>
        <v>N</v>
      </c>
      <c r="V8" s="73">
        <f t="shared" si="9"/>
        <v>1</v>
      </c>
      <c r="W8" s="73">
        <f t="shared" si="10"/>
        <v>23.264800000000001</v>
      </c>
      <c r="X8" s="73">
        <f t="shared" si="11"/>
        <v>1.54E-2</v>
      </c>
      <c r="Y8" s="73">
        <f t="shared" si="12"/>
        <v>23.249400000000001</v>
      </c>
      <c r="Z8" s="74" t="e">
        <f>VLOOKUP(A8,Enforcements!$C$15:$J$75,8,0)</f>
        <v>#N/A</v>
      </c>
      <c r="AA8" s="74" t="e">
        <f>VLOOKUP(A8,Enforcements!$C$15:$J$75,3,0)</f>
        <v>#N/A</v>
      </c>
    </row>
    <row r="9" spans="1:89" s="2" customFormat="1" x14ac:dyDescent="0.25">
      <c r="A9" s="60" t="s">
        <v>294</v>
      </c>
      <c r="B9" s="60">
        <v>4042</v>
      </c>
      <c r="C9" s="60" t="s">
        <v>62</v>
      </c>
      <c r="D9" s="60" t="s">
        <v>75</v>
      </c>
      <c r="E9" s="30">
        <v>42539.179768518516</v>
      </c>
      <c r="F9" s="30">
        <v>42539.180949074071</v>
      </c>
      <c r="G9" s="38">
        <v>1</v>
      </c>
      <c r="H9" s="30" t="s">
        <v>425</v>
      </c>
      <c r="I9" s="30">
        <v>42539.214212962965</v>
      </c>
      <c r="J9" s="60">
        <v>0</v>
      </c>
      <c r="K9" s="60" t="str">
        <f t="shared" si="0"/>
        <v>4041/4042</v>
      </c>
      <c r="L9" s="60" t="str">
        <f>VLOOKUP(A9,'Trips&amp;Operators'!$C$1:$E$10000,3,FALSE)</f>
        <v>SANTIZO</v>
      </c>
      <c r="M9" s="12">
        <f t="shared" si="1"/>
        <v>3.3263888893998228E-2</v>
      </c>
      <c r="N9" s="13">
        <f t="shared" si="13"/>
        <v>47.900000007357448</v>
      </c>
      <c r="O9" s="13"/>
      <c r="P9" s="13"/>
      <c r="Q9" s="61"/>
      <c r="R9" s="61"/>
      <c r="T9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04:17:52-0600',mode:absolute,to:'2016-06-18 05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" s="73" t="str">
        <f t="shared" si="8"/>
        <v>N</v>
      </c>
      <c r="V9" s="73">
        <f t="shared" si="9"/>
        <v>1</v>
      </c>
      <c r="W9" s="73">
        <f t="shared" si="10"/>
        <v>4.5999999999999999E-2</v>
      </c>
      <c r="X9" s="73">
        <f t="shared" si="11"/>
        <v>23.3323</v>
      </c>
      <c r="Y9" s="73">
        <f t="shared" si="12"/>
        <v>23.286300000000001</v>
      </c>
      <c r="Z9" s="74" t="e">
        <f>VLOOKUP(A9,Enforcements!$C$15:$J$75,8,0)</f>
        <v>#N/A</v>
      </c>
      <c r="AA9" s="74" t="e">
        <f>VLOOKUP(A9,Enforcements!$C$15:$J$75,3,0)</f>
        <v>#N/A</v>
      </c>
    </row>
    <row r="10" spans="1:89" s="2" customFormat="1" x14ac:dyDescent="0.25">
      <c r="A10" s="60" t="s">
        <v>358</v>
      </c>
      <c r="B10" s="60">
        <v>4041</v>
      </c>
      <c r="C10" s="60" t="s">
        <v>62</v>
      </c>
      <c r="D10" s="60" t="s">
        <v>426</v>
      </c>
      <c r="E10" s="30">
        <v>42539.224305555559</v>
      </c>
      <c r="F10" s="30">
        <v>42539.224907407406</v>
      </c>
      <c r="G10" s="38">
        <v>0</v>
      </c>
      <c r="H10" s="30" t="s">
        <v>74</v>
      </c>
      <c r="I10" s="30">
        <v>42539.261145833334</v>
      </c>
      <c r="J10" s="60">
        <v>1</v>
      </c>
      <c r="K10" s="60" t="str">
        <f t="shared" si="0"/>
        <v>4041/4042</v>
      </c>
      <c r="L10" s="60" t="str">
        <f>VLOOKUP(A10,'Trips&amp;Operators'!$C$1:$E$10000,3,FALSE)</f>
        <v>SANTIZO</v>
      </c>
      <c r="M10" s="12">
        <f t="shared" si="1"/>
        <v>3.623842592787696E-2</v>
      </c>
      <c r="N10" s="13">
        <f t="shared" si="13"/>
        <v>52.183333336142823</v>
      </c>
      <c r="O10" s="13"/>
      <c r="P10" s="13"/>
      <c r="Q10" s="61"/>
      <c r="R10" s="61"/>
      <c r="T10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05:22:00-0600',mode:absolute,to:'2016-06-18 06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" s="73" t="str">
        <f t="shared" si="8"/>
        <v>N</v>
      </c>
      <c r="V10" s="73">
        <f t="shared" si="9"/>
        <v>1</v>
      </c>
      <c r="W10" s="73">
        <f t="shared" si="10"/>
        <v>23.3004</v>
      </c>
      <c r="X10" s="73">
        <f t="shared" si="11"/>
        <v>1.6E-2</v>
      </c>
      <c r="Y10" s="73">
        <f t="shared" si="12"/>
        <v>23.284400000000002</v>
      </c>
      <c r="Z10" s="74">
        <f>VLOOKUP(A10,Enforcements!$C$15:$J$75,8,0)</f>
        <v>1</v>
      </c>
      <c r="AA10" s="74" t="str">
        <f>VLOOKUP(A10,Enforcements!$C$15:$J$75,3,0)</f>
        <v>TRACK WARRANT AUTHORITY</v>
      </c>
    </row>
    <row r="11" spans="1:89" s="2" customFormat="1" x14ac:dyDescent="0.25">
      <c r="A11" s="60" t="s">
        <v>309</v>
      </c>
      <c r="B11" s="60">
        <v>4018</v>
      </c>
      <c r="C11" s="60" t="s">
        <v>62</v>
      </c>
      <c r="D11" s="60" t="s">
        <v>262</v>
      </c>
      <c r="E11" s="30">
        <v>42539.197870370372</v>
      </c>
      <c r="F11" s="30">
        <v>42539.198761574073</v>
      </c>
      <c r="G11" s="38">
        <v>1</v>
      </c>
      <c r="H11" s="30" t="s">
        <v>247</v>
      </c>
      <c r="I11" s="30">
        <v>42539.224120370367</v>
      </c>
      <c r="J11" s="60">
        <v>0</v>
      </c>
      <c r="K11" s="60" t="str">
        <f t="shared" si="0"/>
        <v>4017/4018</v>
      </c>
      <c r="L11" s="60" t="str">
        <f>VLOOKUP(A11,'Trips&amp;Operators'!$C$1:$E$10000,3,FALSE)</f>
        <v>MALAVE</v>
      </c>
      <c r="M11" s="12">
        <f t="shared" si="1"/>
        <v>2.5358796294312924E-2</v>
      </c>
      <c r="N11" s="13">
        <f t="shared" si="13"/>
        <v>36.516666663810611</v>
      </c>
      <c r="O11" s="13"/>
      <c r="P11" s="13"/>
      <c r="Q11" s="61"/>
      <c r="R11" s="61"/>
      <c r="T11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04:43:56-0600',mode:absolute,to:'2016-06-18 05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" s="73" t="str">
        <f t="shared" si="8"/>
        <v>N</v>
      </c>
      <c r="V11" s="73">
        <f t="shared" si="9"/>
        <v>1</v>
      </c>
      <c r="W11" s="73">
        <f t="shared" si="10"/>
        <v>4.8399999999999999E-2</v>
      </c>
      <c r="X11" s="73">
        <f t="shared" si="11"/>
        <v>23.3291</v>
      </c>
      <c r="Y11" s="73">
        <f t="shared" si="12"/>
        <v>23.2807</v>
      </c>
      <c r="Z11" s="74" t="e">
        <f>VLOOKUP(A11,Enforcements!$C$15:$J$75,8,0)</f>
        <v>#N/A</v>
      </c>
      <c r="AA11" s="74" t="e">
        <f>VLOOKUP(A11,Enforcements!$C$15:$J$75,3,0)</f>
        <v>#N/A</v>
      </c>
    </row>
    <row r="12" spans="1:89" s="2" customFormat="1" x14ac:dyDescent="0.25">
      <c r="A12" s="60" t="s">
        <v>417</v>
      </c>
      <c r="B12" s="60">
        <v>4017</v>
      </c>
      <c r="C12" s="60" t="s">
        <v>62</v>
      </c>
      <c r="D12" s="60" t="s">
        <v>427</v>
      </c>
      <c r="E12" s="30">
        <v>42539.236145833333</v>
      </c>
      <c r="F12" s="30">
        <v>42539.23709490741</v>
      </c>
      <c r="G12" s="38">
        <v>1</v>
      </c>
      <c r="H12" s="30" t="s">
        <v>428</v>
      </c>
      <c r="I12" s="30">
        <v>42539.267731481479</v>
      </c>
      <c r="J12" s="60">
        <v>0</v>
      </c>
      <c r="K12" s="60" t="str">
        <f t="shared" si="0"/>
        <v>4017/4018</v>
      </c>
      <c r="L12" s="60" t="str">
        <f>VLOOKUP(A12,'Trips&amp;Operators'!$C$1:$E$10000,3,FALSE)</f>
        <v>MALAVE</v>
      </c>
      <c r="M12" s="12">
        <f t="shared" si="1"/>
        <v>3.0636574068921618E-2</v>
      </c>
      <c r="N12" s="13">
        <f t="shared" si="13"/>
        <v>44.11666665924713</v>
      </c>
      <c r="O12" s="13"/>
      <c r="P12" s="13"/>
      <c r="Q12" s="61"/>
      <c r="R12" s="61"/>
      <c r="T12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05:39:03-0600',mode:absolute,to:'2016-06-18 06:26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" s="73" t="str">
        <f t="shared" si="8"/>
        <v>N</v>
      </c>
      <c r="V12" s="73">
        <f t="shared" si="9"/>
        <v>1</v>
      </c>
      <c r="W12" s="73">
        <f t="shared" si="10"/>
        <v>23.295500000000001</v>
      </c>
      <c r="X12" s="73">
        <f t="shared" si="11"/>
        <v>3.4500000000000003E-2</v>
      </c>
      <c r="Y12" s="73">
        <f t="shared" si="12"/>
        <v>23.260999999999999</v>
      </c>
      <c r="Z12" s="74" t="e">
        <f>VLOOKUP(A12,Enforcements!$C$15:$J$75,8,0)</f>
        <v>#N/A</v>
      </c>
      <c r="AA12" s="74" t="e">
        <f>VLOOKUP(A12,Enforcements!$C$15:$J$75,3,0)</f>
        <v>#N/A</v>
      </c>
    </row>
    <row r="13" spans="1:89" s="2" customFormat="1" x14ac:dyDescent="0.25">
      <c r="A13" s="60" t="s">
        <v>357</v>
      </c>
      <c r="B13" s="60">
        <v>4012</v>
      </c>
      <c r="C13" s="60"/>
      <c r="D13" s="60"/>
      <c r="E13" s="30"/>
      <c r="F13" s="30">
        <v>42539.265706018516</v>
      </c>
      <c r="G13" s="38"/>
      <c r="H13" s="30"/>
      <c r="I13" s="30">
        <v>42539.265706018516</v>
      </c>
      <c r="J13" s="60"/>
      <c r="K13" s="60" t="str">
        <f t="shared" si="0"/>
        <v>4011/4012</v>
      </c>
      <c r="L13" s="60" t="str">
        <f>VLOOKUP(A13,'Trips&amp;Operators'!$C$1:$E$10000,3,FALSE)</f>
        <v>CANFIELD</v>
      </c>
      <c r="M13" s="12">
        <f t="shared" si="1"/>
        <v>0</v>
      </c>
      <c r="N13" s="13"/>
      <c r="O13" s="13"/>
      <c r="P13" s="13">
        <v>1</v>
      </c>
      <c r="Q13" s="61"/>
      <c r="R13" s="61" t="s">
        <v>518</v>
      </c>
      <c r="T13" s="73" t="e">
        <f t="shared" si="7"/>
        <v>#VALUE!</v>
      </c>
      <c r="U13" s="73" t="e">
        <f t="shared" si="8"/>
        <v>#VALUE!</v>
      </c>
      <c r="V13" s="73">
        <f t="shared" si="9"/>
        <v>4</v>
      </c>
      <c r="W13" s="73" t="e">
        <f t="shared" si="10"/>
        <v>#VALUE!</v>
      </c>
      <c r="X13" s="73" t="e">
        <f t="shared" si="11"/>
        <v>#VALUE!</v>
      </c>
      <c r="Y13" s="73" t="e">
        <f t="shared" si="12"/>
        <v>#VALUE!</v>
      </c>
      <c r="Z13" s="74" t="e">
        <f>VLOOKUP(A13,Enforcements!$C$15:$J$75,8,0)</f>
        <v>#N/A</v>
      </c>
      <c r="AA13" s="74" t="e">
        <f>VLOOKUP(A13,Enforcements!$C$15:$J$75,3,0)</f>
        <v>#N/A</v>
      </c>
    </row>
    <row r="14" spans="1:89" s="2" customFormat="1" x14ac:dyDescent="0.25">
      <c r="A14" s="60" t="s">
        <v>351</v>
      </c>
      <c r="B14" s="60">
        <v>4020</v>
      </c>
      <c r="C14" s="60" t="s">
        <v>62</v>
      </c>
      <c r="D14" s="60" t="s">
        <v>429</v>
      </c>
      <c r="E14" s="30">
        <v>42539.227500000001</v>
      </c>
      <c r="F14" s="30">
        <v>42539.229618055557</v>
      </c>
      <c r="G14" s="38">
        <v>1</v>
      </c>
      <c r="H14" s="30" t="s">
        <v>430</v>
      </c>
      <c r="I14" s="30">
        <v>42539.271921296298</v>
      </c>
      <c r="J14" s="60">
        <v>1</v>
      </c>
      <c r="K14" s="60" t="str">
        <f t="shared" si="0"/>
        <v>4019/4020</v>
      </c>
      <c r="L14" s="60" t="str">
        <f>VLOOKUP(A14,'Trips&amp;Operators'!$C$1:$E$10000,3,FALSE)</f>
        <v>STARKS</v>
      </c>
      <c r="M14" s="12">
        <f t="shared" si="1"/>
        <v>4.2303240741603076E-2</v>
      </c>
      <c r="N14" s="13">
        <f t="shared" ref="N14:N41" si="14">24*60*SUM($M14:$M14)</f>
        <v>60.91666666790843</v>
      </c>
      <c r="O14" s="13"/>
      <c r="P14" s="13"/>
      <c r="Q14" s="61"/>
      <c r="R14" s="61"/>
      <c r="T14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05:26:36-0600',mode:absolute,to:'2016-06-18 06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" s="73" t="str">
        <f t="shared" si="8"/>
        <v>N</v>
      </c>
      <c r="V14" s="73">
        <f t="shared" si="9"/>
        <v>1</v>
      </c>
      <c r="W14" s="73">
        <f t="shared" si="10"/>
        <v>7.7499999999999999E-2</v>
      </c>
      <c r="X14" s="73">
        <f t="shared" si="11"/>
        <v>23.331900000000001</v>
      </c>
      <c r="Y14" s="73">
        <f t="shared" si="12"/>
        <v>23.2544</v>
      </c>
      <c r="Z14" s="74">
        <f>VLOOKUP(A14,Enforcements!$C$15:$J$75,8,0)</f>
        <v>228572</v>
      </c>
      <c r="AA14" s="74" t="str">
        <f>VLOOKUP(A14,Enforcements!$C$15:$J$75,3,0)</f>
        <v>SIGNAL</v>
      </c>
    </row>
    <row r="15" spans="1:89" s="2" customFormat="1" x14ac:dyDescent="0.25">
      <c r="A15" s="60" t="s">
        <v>313</v>
      </c>
      <c r="B15" s="60">
        <v>4019</v>
      </c>
      <c r="C15" s="60" t="s">
        <v>62</v>
      </c>
      <c r="D15" s="60" t="s">
        <v>73</v>
      </c>
      <c r="E15" s="30">
        <v>42539.273043981484</v>
      </c>
      <c r="F15" s="30">
        <v>42539.273958333331</v>
      </c>
      <c r="G15" s="38">
        <v>1</v>
      </c>
      <c r="H15" s="30" t="s">
        <v>431</v>
      </c>
      <c r="I15" s="30">
        <v>42539.307986111111</v>
      </c>
      <c r="J15" s="60">
        <v>1</v>
      </c>
      <c r="K15" s="60" t="str">
        <f t="shared" si="0"/>
        <v>4019/4020</v>
      </c>
      <c r="L15" s="60" t="str">
        <f>VLOOKUP(A15,'Trips&amp;Operators'!$C$1:$E$10000,3,FALSE)</f>
        <v>STARKS</v>
      </c>
      <c r="M15" s="12">
        <f t="shared" si="1"/>
        <v>3.4027777779556345E-2</v>
      </c>
      <c r="N15" s="13">
        <f t="shared" si="14"/>
        <v>49.000000002561137</v>
      </c>
      <c r="O15" s="13"/>
      <c r="P15" s="13"/>
      <c r="Q15" s="61"/>
      <c r="R15" s="61"/>
      <c r="T15" s="73" t="str">
        <f t="shared" si="7"/>
        <v>https://search-rtdc-monitor-bjffxe2xuh6vdkpspy63sjmuny.us-east-1.es.amazonaws.com/_plugin/kibana/#/discover/Steve-Slow-Train-Analysis-(2080s-and-2083s)?_g=(refreshInterval:(display:Off,section:0,value:0),time:(from:'2016-06-18 06:32:11-0600',mode:absolute,to:'2016-06-18 07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" s="73" t="str">
        <f t="shared" si="8"/>
        <v>N</v>
      </c>
      <c r="V15" s="73">
        <f t="shared" si="9"/>
        <v>1</v>
      </c>
      <c r="W15" s="73">
        <f t="shared" si="10"/>
        <v>23.299600000000002</v>
      </c>
      <c r="X15" s="73">
        <f t="shared" si="11"/>
        <v>9.4000000000000004E-3</v>
      </c>
      <c r="Y15" s="73">
        <f t="shared" si="12"/>
        <v>23.290200000000002</v>
      </c>
      <c r="Z15" s="74">
        <f>VLOOKUP(A15,Enforcements!$C$15:$J$75,8,0)</f>
        <v>1</v>
      </c>
      <c r="AA15" s="74" t="str">
        <f>VLOOKUP(A15,Enforcements!$C$15:$J$75,3,0)</f>
        <v>TRACK WARRANT AUTHORITY</v>
      </c>
    </row>
    <row r="16" spans="1:89" s="2" customFormat="1" x14ac:dyDescent="0.25">
      <c r="A16" s="60" t="s">
        <v>269</v>
      </c>
      <c r="B16" s="60">
        <v>4024</v>
      </c>
      <c r="C16" s="60" t="s">
        <v>62</v>
      </c>
      <c r="D16" s="60" t="s">
        <v>265</v>
      </c>
      <c r="E16" s="30">
        <v>42539.230775462966</v>
      </c>
      <c r="F16" s="30">
        <v>42539.232025462959</v>
      </c>
      <c r="G16" s="38">
        <v>1</v>
      </c>
      <c r="H16" s="30" t="s">
        <v>178</v>
      </c>
      <c r="I16" s="30">
        <v>42539.275682870371</v>
      </c>
      <c r="J16" s="60">
        <v>0</v>
      </c>
      <c r="K16" s="60" t="str">
        <f t="shared" si="0"/>
        <v>4023/4024</v>
      </c>
      <c r="L16" s="60" t="str">
        <f>VLOOKUP(A16,'Trips&amp;Operators'!$C$1:$E$10000,3,FALSE)</f>
        <v>STURGEON</v>
      </c>
      <c r="M16" s="12">
        <f t="shared" si="1"/>
        <v>4.3657407411956228E-2</v>
      </c>
      <c r="N16" s="13">
        <f t="shared" si="14"/>
        <v>62.866666673216969</v>
      </c>
      <c r="O16" s="13"/>
      <c r="P16" s="13"/>
      <c r="Q16" s="61"/>
      <c r="R16" s="61"/>
      <c r="T16" s="73" t="str">
        <f t="shared" ref="T16:T65" si="15"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https://search-rtdc-monitor-bjffxe2xuh6vdkpspy63sjmuny.us-east-1.es.amazonaws.com/_plugin/kibana/#/discover/Steve-Slow-Train-Analysis-(2080s-and-2083s)?_g=(refreshInterval:(display:Off,section:0,value:0),time:(from:'2016-06-18 05:31:19-0600',mode:absolute,to:'2016-06-18 06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6" s="73" t="str">
        <f t="shared" ref="U16:U65" si="16">IF(Y16&lt;23,"Y","N")</f>
        <v>N</v>
      </c>
      <c r="V16" s="73">
        <f t="shared" ref="V16:V73" si="17">VALUE(LEFT(A16,3))-VALUE(LEFT(A15,3))</f>
        <v>1</v>
      </c>
      <c r="W16" s="73">
        <f t="shared" ref="W16:W65" si="18">RIGHT(D16,LEN(D16)-4)/10000</f>
        <v>4.3999999999999997E-2</v>
      </c>
      <c r="X16" s="73">
        <f t="shared" ref="X16:X65" si="19">RIGHT(H16,LEN(H16)-4)/10000</f>
        <v>23.328900000000001</v>
      </c>
      <c r="Y16" s="73">
        <f t="shared" ref="Y16:Y65" si="20">ABS(X16-W16)</f>
        <v>23.2849</v>
      </c>
      <c r="Z16" s="74" t="e">
        <f>VLOOKUP(A16,Enforcements!$C$15:$J$75,8,0)</f>
        <v>#N/A</v>
      </c>
      <c r="AA16" s="74" t="e">
        <f>VLOOKUP(A16,Enforcements!$C$15:$J$75,3,0)</f>
        <v>#N/A</v>
      </c>
    </row>
    <row r="17" spans="1:27" s="2" customFormat="1" x14ac:dyDescent="0.25">
      <c r="A17" s="60" t="s">
        <v>330</v>
      </c>
      <c r="B17" s="60">
        <v>4023</v>
      </c>
      <c r="C17" s="60" t="s">
        <v>62</v>
      </c>
      <c r="D17" s="60" t="s">
        <v>432</v>
      </c>
      <c r="E17" s="30">
        <v>42539.277071759258</v>
      </c>
      <c r="F17" s="30">
        <v>42539.27789351852</v>
      </c>
      <c r="G17" s="38">
        <v>1</v>
      </c>
      <c r="H17" s="30" t="s">
        <v>433</v>
      </c>
      <c r="I17" s="30">
        <v>42539.312071759261</v>
      </c>
      <c r="J17" s="60">
        <v>0</v>
      </c>
      <c r="K17" s="60" t="str">
        <f t="shared" si="0"/>
        <v>4023/4024</v>
      </c>
      <c r="L17" s="60" t="str">
        <f>VLOOKUP(A17,'Trips&amp;Operators'!$C$1:$E$10000,3,FALSE)</f>
        <v>STURGEON</v>
      </c>
      <c r="M17" s="12">
        <f t="shared" si="1"/>
        <v>3.4178240741312038E-2</v>
      </c>
      <c r="N17" s="13">
        <f t="shared" si="14"/>
        <v>49.216666667489335</v>
      </c>
      <c r="O17" s="13"/>
      <c r="P17" s="13"/>
      <c r="Q17" s="61"/>
      <c r="R17" s="61"/>
      <c r="T1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06:37:59-0600',mode:absolute,to:'2016-06-18 07:30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7" s="73" t="str">
        <f t="shared" si="16"/>
        <v>N</v>
      </c>
      <c r="V17" s="73">
        <f t="shared" si="17"/>
        <v>1</v>
      </c>
      <c r="W17" s="73">
        <f t="shared" si="18"/>
        <v>23.2988</v>
      </c>
      <c r="X17" s="73">
        <f t="shared" si="19"/>
        <v>1.3599999999999999E-2</v>
      </c>
      <c r="Y17" s="73">
        <f t="shared" si="20"/>
        <v>23.2852</v>
      </c>
      <c r="Z17" s="74" t="e">
        <f>VLOOKUP(A17,Enforcements!$C$15:$J$75,8,0)</f>
        <v>#N/A</v>
      </c>
      <c r="AA17" s="74" t="e">
        <f>VLOOKUP(A17,Enforcements!$C$15:$J$75,3,0)</f>
        <v>#N/A</v>
      </c>
    </row>
    <row r="18" spans="1:27" s="2" customFormat="1" x14ac:dyDescent="0.25">
      <c r="A18" s="60" t="s">
        <v>343</v>
      </c>
      <c r="B18" s="60">
        <v>4044</v>
      </c>
      <c r="C18" s="60" t="s">
        <v>62</v>
      </c>
      <c r="D18" s="60" t="s">
        <v>434</v>
      </c>
      <c r="E18" s="30">
        <v>42539.251342592594</v>
      </c>
      <c r="F18" s="30">
        <v>42539.252071759256</v>
      </c>
      <c r="G18" s="38">
        <v>1</v>
      </c>
      <c r="H18" s="30" t="s">
        <v>184</v>
      </c>
      <c r="I18" s="30">
        <v>42539.27815972222</v>
      </c>
      <c r="J18" s="60">
        <v>0</v>
      </c>
      <c r="K18" s="60" t="str">
        <f t="shared" si="0"/>
        <v>4043/4044</v>
      </c>
      <c r="L18" s="60" t="str">
        <f>VLOOKUP(A18,'Trips&amp;Operators'!$C$1:$E$10000,3,FALSE)</f>
        <v>YORK</v>
      </c>
      <c r="M18" s="12">
        <f t="shared" si="1"/>
        <v>2.6087962964083999E-2</v>
      </c>
      <c r="N18" s="13">
        <f t="shared" si="14"/>
        <v>37.566666668280959</v>
      </c>
      <c r="O18" s="13"/>
      <c r="P18" s="13"/>
      <c r="Q18" s="61"/>
      <c r="R18" s="61"/>
      <c r="T1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06:00:56-0600',mode:absolute,to:'2016-06-18 06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8" s="73" t="str">
        <f t="shared" si="16"/>
        <v>N</v>
      </c>
      <c r="V18" s="73">
        <f t="shared" si="17"/>
        <v>1</v>
      </c>
      <c r="W18" s="73">
        <f t="shared" si="18"/>
        <v>7.4300000000000005E-2</v>
      </c>
      <c r="X18" s="73">
        <f t="shared" si="19"/>
        <v>23.330200000000001</v>
      </c>
      <c r="Y18" s="73">
        <f t="shared" si="20"/>
        <v>23.2559</v>
      </c>
      <c r="Z18" s="74" t="e">
        <f>VLOOKUP(A18,Enforcements!$C$15:$J$75,8,0)</f>
        <v>#N/A</v>
      </c>
      <c r="AA18" s="74" t="e">
        <f>VLOOKUP(A18,Enforcements!$C$15:$J$75,3,0)</f>
        <v>#N/A</v>
      </c>
    </row>
    <row r="19" spans="1:27" s="2" customFormat="1" x14ac:dyDescent="0.25">
      <c r="A19" s="60" t="s">
        <v>296</v>
      </c>
      <c r="B19" s="60">
        <v>4043</v>
      </c>
      <c r="C19" s="60" t="s">
        <v>62</v>
      </c>
      <c r="D19" s="60" t="s">
        <v>241</v>
      </c>
      <c r="E19" s="30">
        <v>42539.279085648152</v>
      </c>
      <c r="F19" s="30">
        <v>42539.280092592591</v>
      </c>
      <c r="G19" s="38">
        <v>1</v>
      </c>
      <c r="H19" s="30" t="s">
        <v>435</v>
      </c>
      <c r="I19" s="30">
        <v>42539.317326388889</v>
      </c>
      <c r="J19" s="60">
        <v>0</v>
      </c>
      <c r="K19" s="60" t="str">
        <f t="shared" si="0"/>
        <v>4043/4044</v>
      </c>
      <c r="L19" s="60" t="str">
        <f>VLOOKUP(A19,'Trips&amp;Operators'!$C$1:$E$10000,3,FALSE)</f>
        <v>YORK</v>
      </c>
      <c r="M19" s="12">
        <f t="shared" si="1"/>
        <v>3.7233796298096422E-2</v>
      </c>
      <c r="N19" s="13">
        <f t="shared" si="14"/>
        <v>53.616666669258848</v>
      </c>
      <c r="O19" s="13"/>
      <c r="P19" s="13"/>
      <c r="Q19" s="61"/>
      <c r="R19" s="61"/>
      <c r="T1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06:40:53-0600',mode:absolute,to:'2016-06-18 07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9" s="73" t="str">
        <f t="shared" si="16"/>
        <v>N</v>
      </c>
      <c r="V19" s="73">
        <f t="shared" si="17"/>
        <v>1</v>
      </c>
      <c r="W19" s="73">
        <f t="shared" si="18"/>
        <v>23.297899999999998</v>
      </c>
      <c r="X19" s="73">
        <f t="shared" si="19"/>
        <v>1.38E-2</v>
      </c>
      <c r="Y19" s="73">
        <f t="shared" si="20"/>
        <v>23.284099999999999</v>
      </c>
      <c r="Z19" s="74" t="e">
        <f>VLOOKUP(A19,Enforcements!$C$15:$J$75,8,0)</f>
        <v>#N/A</v>
      </c>
      <c r="AA19" s="74" t="e">
        <f>VLOOKUP(A19,Enforcements!$C$15:$J$75,3,0)</f>
        <v>#N/A</v>
      </c>
    </row>
    <row r="20" spans="1:27" s="2" customFormat="1" x14ac:dyDescent="0.25">
      <c r="A20" s="60" t="s">
        <v>311</v>
      </c>
      <c r="B20" s="60">
        <v>4042</v>
      </c>
      <c r="C20" s="60" t="s">
        <v>62</v>
      </c>
      <c r="D20" s="60" t="s">
        <v>79</v>
      </c>
      <c r="E20" s="30">
        <v>42539.262870370374</v>
      </c>
      <c r="F20" s="30">
        <v>42539.264502314814</v>
      </c>
      <c r="G20" s="38">
        <v>2</v>
      </c>
      <c r="H20" s="30" t="s">
        <v>436</v>
      </c>
      <c r="I20" s="30">
        <v>42539.294224537036</v>
      </c>
      <c r="J20" s="60">
        <v>1</v>
      </c>
      <c r="K20" s="60" t="str">
        <f t="shared" si="0"/>
        <v>4041/4042</v>
      </c>
      <c r="L20" s="60" t="str">
        <f>VLOOKUP(A20,'Trips&amp;Operators'!$C$1:$E$10000,3,FALSE)</f>
        <v>SANTIZO</v>
      </c>
      <c r="M20" s="12">
        <f t="shared" si="1"/>
        <v>2.9722222221607808E-2</v>
      </c>
      <c r="N20" s="13">
        <f t="shared" si="14"/>
        <v>42.799999999115244</v>
      </c>
      <c r="O20" s="13"/>
      <c r="P20" s="13"/>
      <c r="Q20" s="61"/>
      <c r="R20" s="61"/>
      <c r="T2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06:17:32-0600',mode:absolute,to:'2016-06-18 07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0" s="73" t="str">
        <f t="shared" si="16"/>
        <v>N</v>
      </c>
      <c r="V20" s="73">
        <f t="shared" si="17"/>
        <v>1</v>
      </c>
      <c r="W20" s="73">
        <f t="shared" si="18"/>
        <v>4.6600000000000003E-2</v>
      </c>
      <c r="X20" s="73">
        <f t="shared" si="19"/>
        <v>23.327400000000001</v>
      </c>
      <c r="Y20" s="73">
        <f t="shared" si="20"/>
        <v>23.280799999999999</v>
      </c>
      <c r="Z20" s="74">
        <f>VLOOKUP(A20,Enforcements!$C$15:$J$75,8,0)</f>
        <v>144300</v>
      </c>
      <c r="AA20" s="74" t="str">
        <f>VLOOKUP(A20,Enforcements!$C$15:$J$75,3,0)</f>
        <v>SIGNAL</v>
      </c>
    </row>
    <row r="21" spans="1:27" s="2" customFormat="1" x14ac:dyDescent="0.25">
      <c r="A21" s="60" t="s">
        <v>356</v>
      </c>
      <c r="B21" s="60">
        <v>4041</v>
      </c>
      <c r="C21" s="60" t="s">
        <v>62</v>
      </c>
      <c r="D21" s="60" t="s">
        <v>78</v>
      </c>
      <c r="E21" s="30">
        <v>42539.297638888886</v>
      </c>
      <c r="F21" s="30">
        <v>42539.29891203704</v>
      </c>
      <c r="G21" s="38">
        <v>1</v>
      </c>
      <c r="H21" s="30" t="s">
        <v>437</v>
      </c>
      <c r="I21" s="30">
        <v>42539.3284375</v>
      </c>
      <c r="J21" s="60">
        <v>1</v>
      </c>
      <c r="K21" s="60" t="str">
        <f t="shared" si="0"/>
        <v>4041/4042</v>
      </c>
      <c r="L21" s="60" t="str">
        <f>VLOOKUP(A21,'Trips&amp;Operators'!$C$1:$E$10000,3,FALSE)</f>
        <v>SANTIZO</v>
      </c>
      <c r="M21" s="12">
        <f t="shared" si="1"/>
        <v>2.9525462960009463E-2</v>
      </c>
      <c r="N21" s="13">
        <f t="shared" si="14"/>
        <v>42.516666662413627</v>
      </c>
      <c r="O21" s="13"/>
      <c r="P21" s="13"/>
      <c r="Q21" s="61"/>
      <c r="R21" s="61"/>
      <c r="T2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07:07:36-0600',mode:absolute,to:'2016-06-18 07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1" s="73" t="str">
        <f t="shared" si="16"/>
        <v>N</v>
      </c>
      <c r="V21" s="73">
        <f t="shared" si="17"/>
        <v>1</v>
      </c>
      <c r="W21" s="73">
        <f t="shared" si="18"/>
        <v>23.297699999999999</v>
      </c>
      <c r="X21" s="73">
        <f t="shared" si="19"/>
        <v>1.29E-2</v>
      </c>
      <c r="Y21" s="73">
        <f t="shared" si="20"/>
        <v>23.284800000000001</v>
      </c>
      <c r="Z21" s="74">
        <f>VLOOKUP(A21,Enforcements!$C$15:$J$75,8,0)</f>
        <v>1</v>
      </c>
      <c r="AA21" s="74" t="str">
        <f>VLOOKUP(A21,Enforcements!$C$15:$J$75,3,0)</f>
        <v>TRACK WARRANT AUTHORITY</v>
      </c>
    </row>
    <row r="22" spans="1:27" s="2" customFormat="1" x14ac:dyDescent="0.25">
      <c r="A22" s="60" t="s">
        <v>297</v>
      </c>
      <c r="B22" s="60">
        <v>4018</v>
      </c>
      <c r="C22" s="60" t="s">
        <v>62</v>
      </c>
      <c r="D22" s="60" t="s">
        <v>438</v>
      </c>
      <c r="E22" s="30">
        <v>42539.270370370374</v>
      </c>
      <c r="F22" s="30">
        <v>42539.271967592591</v>
      </c>
      <c r="G22" s="38">
        <v>2</v>
      </c>
      <c r="H22" s="30" t="s">
        <v>176</v>
      </c>
      <c r="I22" s="30">
        <v>42539.298379629632</v>
      </c>
      <c r="J22" s="60">
        <v>0</v>
      </c>
      <c r="K22" s="60" t="str">
        <f t="shared" si="0"/>
        <v>4017/4018</v>
      </c>
      <c r="L22" s="60" t="str">
        <f>VLOOKUP(A22,'Trips&amp;Operators'!$C$1:$E$10000,3,FALSE)</f>
        <v>MALAVE</v>
      </c>
      <c r="M22" s="12">
        <f t="shared" si="1"/>
        <v>2.641203704115469E-2</v>
      </c>
      <c r="N22" s="13">
        <f t="shared" si="14"/>
        <v>38.033333339262754</v>
      </c>
      <c r="O22" s="13"/>
      <c r="P22" s="13"/>
      <c r="Q22" s="61"/>
      <c r="R22" s="61"/>
      <c r="T2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06:28:20-0600',mode:absolute,to:'2016-06-18 07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2" s="73" t="str">
        <f t="shared" si="16"/>
        <v>N</v>
      </c>
      <c r="V22" s="73">
        <f t="shared" si="17"/>
        <v>1</v>
      </c>
      <c r="W22" s="73">
        <f t="shared" si="18"/>
        <v>6.1100000000000002E-2</v>
      </c>
      <c r="X22" s="73">
        <f t="shared" si="19"/>
        <v>23.329499999999999</v>
      </c>
      <c r="Y22" s="73">
        <f t="shared" si="20"/>
        <v>23.2684</v>
      </c>
      <c r="Z22" s="74">
        <f>VLOOKUP(A22,Enforcements!$C$15:$J$75,8,0)</f>
        <v>233491</v>
      </c>
      <c r="AA22" s="74" t="str">
        <f>VLOOKUP(A22,Enforcements!$C$15:$J$75,3,0)</f>
        <v>TRACK WARRANT AUTHORITY</v>
      </c>
    </row>
    <row r="23" spans="1:27" s="2" customFormat="1" x14ac:dyDescent="0.25">
      <c r="A23" s="60" t="s">
        <v>315</v>
      </c>
      <c r="B23" s="60">
        <v>4017</v>
      </c>
      <c r="C23" s="60" t="s">
        <v>62</v>
      </c>
      <c r="D23" s="60" t="s">
        <v>439</v>
      </c>
      <c r="E23" s="30">
        <v>42539.30740740741</v>
      </c>
      <c r="F23" s="30">
        <v>42539.308622685188</v>
      </c>
      <c r="G23" s="38">
        <v>1</v>
      </c>
      <c r="H23" s="30" t="s">
        <v>440</v>
      </c>
      <c r="I23" s="30">
        <v>42539.339050925926</v>
      </c>
      <c r="J23" s="60">
        <v>2</v>
      </c>
      <c r="K23" s="60" t="str">
        <f t="shared" si="0"/>
        <v>4017/4018</v>
      </c>
      <c r="L23" s="60" t="str">
        <f>VLOOKUP(A23,'Trips&amp;Operators'!$C$1:$E$10000,3,FALSE)</f>
        <v>MALAVE</v>
      </c>
      <c r="M23" s="12">
        <f t="shared" si="1"/>
        <v>3.0428240737819578E-2</v>
      </c>
      <c r="N23" s="13">
        <f t="shared" si="14"/>
        <v>43.816666662460193</v>
      </c>
      <c r="O23" s="13"/>
      <c r="P23" s="13"/>
      <c r="Q23" s="61"/>
      <c r="R23" s="61"/>
      <c r="T2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07:21:40-0600',mode:absolute,to:'2016-06-18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3" s="73" t="str">
        <f t="shared" si="16"/>
        <v>N</v>
      </c>
      <c r="V23" s="73">
        <f t="shared" si="17"/>
        <v>1</v>
      </c>
      <c r="W23" s="73">
        <f t="shared" si="18"/>
        <v>23.297599999999999</v>
      </c>
      <c r="X23" s="73">
        <f t="shared" si="19"/>
        <v>0.113</v>
      </c>
      <c r="Y23" s="73">
        <f t="shared" si="20"/>
        <v>23.1846</v>
      </c>
      <c r="Z23" s="74">
        <f>VLOOKUP(A23,Enforcements!$C$15:$J$75,8,0)</f>
        <v>839</v>
      </c>
      <c r="AA23" s="74" t="str">
        <f>VLOOKUP(A23,Enforcements!$C$15:$J$75,3,0)</f>
        <v>TRACK WARRANT AUTHORITY</v>
      </c>
    </row>
    <row r="24" spans="1:27" s="2" customFormat="1" x14ac:dyDescent="0.25">
      <c r="A24" s="60" t="s">
        <v>327</v>
      </c>
      <c r="B24" s="60">
        <v>4040</v>
      </c>
      <c r="C24" s="60" t="s">
        <v>62</v>
      </c>
      <c r="D24" s="60" t="s">
        <v>441</v>
      </c>
      <c r="E24" s="30">
        <v>42539.28019675926</v>
      </c>
      <c r="F24" s="30">
        <v>42539.281226851854</v>
      </c>
      <c r="G24" s="38">
        <v>1</v>
      </c>
      <c r="H24" s="30" t="s">
        <v>264</v>
      </c>
      <c r="I24" s="30">
        <v>42539.309965277775</v>
      </c>
      <c r="J24" s="60">
        <v>2</v>
      </c>
      <c r="K24" s="60" t="str">
        <f t="shared" si="0"/>
        <v>4039/4040</v>
      </c>
      <c r="L24" s="60" t="str">
        <f>VLOOKUP(A24,'Trips&amp;Operators'!$C$1:$E$10000,3,FALSE)</f>
        <v>BRABO</v>
      </c>
      <c r="M24" s="12">
        <f t="shared" si="1"/>
        <v>2.8738425920892041E-2</v>
      </c>
      <c r="N24" s="13">
        <f t="shared" si="14"/>
        <v>41.383333326084539</v>
      </c>
      <c r="O24" s="13"/>
      <c r="P24" s="13"/>
      <c r="Q24" s="61"/>
      <c r="R24" s="61"/>
      <c r="T2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06:42:29-0600',mode:absolute,to:'2016-06-18 07:27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3" t="str">
        <f t="shared" si="16"/>
        <v>N</v>
      </c>
      <c r="V24" s="73">
        <f t="shared" si="17"/>
        <v>1</v>
      </c>
      <c r="W24" s="73">
        <f t="shared" si="18"/>
        <v>3.3599999999999998E-2</v>
      </c>
      <c r="X24" s="73">
        <f t="shared" si="19"/>
        <v>23.328199999999999</v>
      </c>
      <c r="Y24" s="73">
        <f t="shared" si="20"/>
        <v>23.294599999999999</v>
      </c>
      <c r="Z24" s="74">
        <f>VLOOKUP(A24,Enforcements!$C$15:$J$75,8,0)</f>
        <v>144300</v>
      </c>
      <c r="AA24" s="74" t="str">
        <f>VLOOKUP(A24,Enforcements!$C$15:$J$75,3,0)</f>
        <v>SIGNAL</v>
      </c>
    </row>
    <row r="25" spans="1:27" s="2" customFormat="1" x14ac:dyDescent="0.25">
      <c r="A25" s="60" t="s">
        <v>411</v>
      </c>
      <c r="B25" s="60">
        <v>4039</v>
      </c>
      <c r="C25" s="60" t="s">
        <v>62</v>
      </c>
      <c r="D25" s="60" t="s">
        <v>442</v>
      </c>
      <c r="E25" s="30">
        <v>42539.318958333337</v>
      </c>
      <c r="F25" s="30">
        <v>42539.320347222223</v>
      </c>
      <c r="G25" s="38">
        <v>1</v>
      </c>
      <c r="H25" s="30" t="s">
        <v>72</v>
      </c>
      <c r="I25" s="30">
        <v>42539.350601851853</v>
      </c>
      <c r="J25" s="60">
        <v>3</v>
      </c>
      <c r="K25" s="60" t="str">
        <f t="shared" si="0"/>
        <v>4039/4040</v>
      </c>
      <c r="L25" s="60" t="str">
        <f>VLOOKUP(A25,'Trips&amp;Operators'!$C$1:$E$10000,3,FALSE)</f>
        <v>BRABO</v>
      </c>
      <c r="M25" s="12">
        <f t="shared" si="1"/>
        <v>3.0254629629780538E-2</v>
      </c>
      <c r="N25" s="13">
        <f t="shared" si="14"/>
        <v>43.566666666883975</v>
      </c>
      <c r="O25" s="13"/>
      <c r="P25" s="13"/>
      <c r="Q25" s="61"/>
      <c r="R25" s="61"/>
      <c r="T2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3" t="str">
        <f t="shared" si="16"/>
        <v>N</v>
      </c>
      <c r="V25" s="73">
        <f t="shared" si="17"/>
        <v>1</v>
      </c>
      <c r="W25" s="73">
        <f t="shared" si="18"/>
        <v>23.296700000000001</v>
      </c>
      <c r="X25" s="73">
        <f t="shared" si="19"/>
        <v>1.47E-2</v>
      </c>
      <c r="Y25" s="73">
        <f t="shared" si="20"/>
        <v>23.282</v>
      </c>
      <c r="Z25" s="74">
        <f>VLOOKUP(A25,Enforcements!$C$15:$J$75,8,0)</f>
        <v>138851</v>
      </c>
      <c r="AA25" s="74" t="str">
        <f>VLOOKUP(A25,Enforcements!$C$15:$J$75,3,0)</f>
        <v>SIGNAL</v>
      </c>
    </row>
    <row r="26" spans="1:27" s="2" customFormat="1" x14ac:dyDescent="0.25">
      <c r="A26" s="60" t="s">
        <v>409</v>
      </c>
      <c r="B26" s="60">
        <v>4029</v>
      </c>
      <c r="C26" s="60" t="s">
        <v>62</v>
      </c>
      <c r="D26" s="60" t="s">
        <v>443</v>
      </c>
      <c r="E26" s="30">
        <v>42539.291689814818</v>
      </c>
      <c r="F26" s="30">
        <v>42539.292407407411</v>
      </c>
      <c r="G26" s="38">
        <v>1</v>
      </c>
      <c r="H26" s="30" t="s">
        <v>444</v>
      </c>
      <c r="I26" s="30">
        <v>42539.320717592593</v>
      </c>
      <c r="J26" s="60">
        <v>3</v>
      </c>
      <c r="K26" s="60" t="str">
        <f t="shared" si="0"/>
        <v>4029/4030</v>
      </c>
      <c r="L26" s="60" t="str">
        <f>VLOOKUP(A26,'Trips&amp;Operators'!$C$1:$E$10000,3,FALSE)</f>
        <v>STRICKLAND</v>
      </c>
      <c r="M26" s="12">
        <f t="shared" si="1"/>
        <v>2.8310185181908309E-2</v>
      </c>
      <c r="N26" s="13">
        <f t="shared" si="14"/>
        <v>40.766666661947966</v>
      </c>
      <c r="O26" s="13"/>
      <c r="P26" s="13"/>
      <c r="Q26" s="61"/>
      <c r="R26" s="61"/>
      <c r="T2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6" s="73" t="str">
        <f t="shared" si="16"/>
        <v>N</v>
      </c>
      <c r="V26" s="73">
        <f t="shared" si="17"/>
        <v>1</v>
      </c>
      <c r="W26" s="73">
        <f t="shared" si="18"/>
        <v>0.1164</v>
      </c>
      <c r="X26" s="73">
        <f t="shared" si="19"/>
        <v>23.3306</v>
      </c>
      <c r="Y26" s="73">
        <f t="shared" si="20"/>
        <v>23.214200000000002</v>
      </c>
      <c r="Z26" s="74">
        <f>VLOOKUP(A26,Enforcements!$C$15:$J$75,8,0)</f>
        <v>116838</v>
      </c>
      <c r="AA26" s="74" t="str">
        <f>VLOOKUP(A26,Enforcements!$C$15:$J$75,3,0)</f>
        <v>PERMANENT SPEED RESTRICTION</v>
      </c>
    </row>
    <row r="27" spans="1:27" s="2" customFormat="1" x14ac:dyDescent="0.25">
      <c r="A27" s="60" t="s">
        <v>348</v>
      </c>
      <c r="B27" s="60">
        <v>4030</v>
      </c>
      <c r="C27" s="60" t="s">
        <v>62</v>
      </c>
      <c r="D27" s="60" t="s">
        <v>175</v>
      </c>
      <c r="E27" s="30">
        <v>42539.327893518515</v>
      </c>
      <c r="F27" s="30">
        <v>42539.33085648148</v>
      </c>
      <c r="G27" s="38">
        <v>2</v>
      </c>
      <c r="H27" s="30" t="s">
        <v>246</v>
      </c>
      <c r="I27" s="30">
        <v>42539.359467592592</v>
      </c>
      <c r="J27" s="60">
        <v>4</v>
      </c>
      <c r="K27" s="60" t="str">
        <f t="shared" si="0"/>
        <v>4029/4030</v>
      </c>
      <c r="L27" s="60" t="str">
        <f>VLOOKUP(A27,'Trips&amp;Operators'!$C$1:$E$10000,3,FALSE)</f>
        <v>STRICKLAND</v>
      </c>
      <c r="M27" s="12">
        <f t="shared" si="1"/>
        <v>2.8611111112695653E-2</v>
      </c>
      <c r="N27" s="13">
        <f t="shared" si="14"/>
        <v>41.20000000228174</v>
      </c>
      <c r="O27" s="13"/>
      <c r="P27" s="13"/>
      <c r="Q27" s="61"/>
      <c r="R27" s="61"/>
      <c r="T2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7" s="73" t="str">
        <f t="shared" si="16"/>
        <v>N</v>
      </c>
      <c r="V27" s="73">
        <f t="shared" si="17"/>
        <v>1</v>
      </c>
      <c r="W27" s="73">
        <f t="shared" si="18"/>
        <v>23.2987</v>
      </c>
      <c r="X27" s="73">
        <v>1.6E-2</v>
      </c>
      <c r="Y27" s="73">
        <f t="shared" si="20"/>
        <v>23.282700000000002</v>
      </c>
      <c r="Z27" s="74">
        <f>VLOOKUP(A27,Enforcements!$C$15:$J$75,8,0)</f>
        <v>4677</v>
      </c>
      <c r="AA27" s="74" t="str">
        <f>VLOOKUP(A27,Enforcements!$C$15:$J$75,3,0)</f>
        <v>PERMANENT SPEED RESTRICTION</v>
      </c>
    </row>
    <row r="28" spans="1:27" s="2" customFormat="1" x14ac:dyDescent="0.25">
      <c r="A28" s="60" t="s">
        <v>359</v>
      </c>
      <c r="B28" s="60">
        <v>4011</v>
      </c>
      <c r="C28" s="60" t="s">
        <v>62</v>
      </c>
      <c r="D28" s="60" t="s">
        <v>445</v>
      </c>
      <c r="E28" s="30">
        <v>42539.301400462966</v>
      </c>
      <c r="F28" s="30">
        <v>42539.303055555552</v>
      </c>
      <c r="G28" s="38">
        <v>2</v>
      </c>
      <c r="H28" s="30" t="s">
        <v>195</v>
      </c>
      <c r="I28" s="30">
        <v>42539.330150462964</v>
      </c>
      <c r="J28" s="60">
        <v>0</v>
      </c>
      <c r="K28" s="60" t="str">
        <f t="shared" si="0"/>
        <v>4011/4012</v>
      </c>
      <c r="L28" s="60" t="str">
        <f>VLOOKUP(A28,'Trips&amp;Operators'!$C$1:$E$10000,3,FALSE)</f>
        <v>CANFIELD</v>
      </c>
      <c r="M28" s="12">
        <f t="shared" si="1"/>
        <v>2.7094907411083113E-2</v>
      </c>
      <c r="N28" s="13">
        <f t="shared" si="14"/>
        <v>39.016666671959683</v>
      </c>
      <c r="O28" s="13"/>
      <c r="P28" s="13"/>
      <c r="Q28" s="61"/>
      <c r="R28" s="61"/>
      <c r="T2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07:13:01-0600',mode:absolute,to:'2016-06-18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8" s="73" t="str">
        <f t="shared" si="16"/>
        <v>N</v>
      </c>
      <c r="V28" s="73">
        <f t="shared" si="17"/>
        <v>1</v>
      </c>
      <c r="W28" s="73">
        <f t="shared" si="18"/>
        <v>4.4600000000000001E-2</v>
      </c>
      <c r="X28" s="73">
        <f t="shared" si="19"/>
        <v>23.329699999999999</v>
      </c>
      <c r="Y28" s="73">
        <f t="shared" si="20"/>
        <v>23.2851</v>
      </c>
      <c r="Z28" s="74" t="e">
        <f>VLOOKUP(A28,Enforcements!$C$15:$J$75,8,0)</f>
        <v>#N/A</v>
      </c>
      <c r="AA28" s="74" t="e">
        <f>VLOOKUP(A28,Enforcements!$C$15:$J$75,3,0)</f>
        <v>#N/A</v>
      </c>
    </row>
    <row r="29" spans="1:27" s="2" customFormat="1" x14ac:dyDescent="0.25">
      <c r="A29" s="60" t="s">
        <v>416</v>
      </c>
      <c r="B29" s="60">
        <v>4012</v>
      </c>
      <c r="C29" s="60" t="s">
        <v>62</v>
      </c>
      <c r="D29" s="60" t="s">
        <v>263</v>
      </c>
      <c r="E29" s="30">
        <v>42539.334513888891</v>
      </c>
      <c r="F29" s="30">
        <v>42539.335509259261</v>
      </c>
      <c r="G29" s="38">
        <v>1</v>
      </c>
      <c r="H29" s="30" t="s">
        <v>244</v>
      </c>
      <c r="I29" s="30">
        <v>42539.368807870371</v>
      </c>
      <c r="J29" s="60">
        <v>0</v>
      </c>
      <c r="K29" s="60" t="str">
        <f t="shared" si="0"/>
        <v>4011/4012</v>
      </c>
      <c r="L29" s="60" t="str">
        <f>VLOOKUP(A29,'Trips&amp;Operators'!$C$1:$E$10000,3,FALSE)</f>
        <v>CANFIELD</v>
      </c>
      <c r="M29" s="12">
        <f t="shared" si="1"/>
        <v>3.329861110978527E-2</v>
      </c>
      <c r="N29" s="13">
        <f t="shared" si="14"/>
        <v>47.949999998090789</v>
      </c>
      <c r="O29" s="13"/>
      <c r="P29" s="13"/>
      <c r="Q29" s="61"/>
      <c r="R29" s="61"/>
      <c r="T2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08:00:42-0600',mode:absolute,to:'2016-06-18 08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9" s="73" t="str">
        <f t="shared" si="16"/>
        <v>N</v>
      </c>
      <c r="V29" s="73">
        <f t="shared" si="17"/>
        <v>1</v>
      </c>
      <c r="W29" s="73">
        <f t="shared" si="18"/>
        <v>23.296900000000001</v>
      </c>
      <c r="X29" s="73">
        <f t="shared" si="19"/>
        <v>1.6299999999999999E-2</v>
      </c>
      <c r="Y29" s="73">
        <f t="shared" si="20"/>
        <v>23.2806</v>
      </c>
      <c r="Z29" s="74" t="e">
        <f>VLOOKUP(A29,Enforcements!$C$15:$J$75,8,0)</f>
        <v>#N/A</v>
      </c>
      <c r="AA29" s="74" t="e">
        <f>VLOOKUP(A29,Enforcements!$C$15:$J$75,3,0)</f>
        <v>#N/A</v>
      </c>
    </row>
    <row r="30" spans="1:27" s="2" customFormat="1" x14ac:dyDescent="0.25">
      <c r="A30" s="60" t="s">
        <v>278</v>
      </c>
      <c r="B30" s="60">
        <v>4020</v>
      </c>
      <c r="C30" s="60" t="s">
        <v>62</v>
      </c>
      <c r="D30" s="60" t="s">
        <v>446</v>
      </c>
      <c r="E30" s="30">
        <v>42539.312083333331</v>
      </c>
      <c r="F30" s="30">
        <v>42539.312881944446</v>
      </c>
      <c r="G30" s="38">
        <v>1</v>
      </c>
      <c r="H30" s="30" t="s">
        <v>447</v>
      </c>
      <c r="I30" s="30">
        <v>42539.340069444443</v>
      </c>
      <c r="J30" s="60">
        <v>1</v>
      </c>
      <c r="K30" s="60" t="str">
        <f t="shared" si="0"/>
        <v>4019/4020</v>
      </c>
      <c r="L30" s="60" t="str">
        <f>VLOOKUP(A30,'Trips&amp;Operators'!$C$1:$E$10000,3,FALSE)</f>
        <v>STARKS</v>
      </c>
      <c r="M30" s="12">
        <f t="shared" si="1"/>
        <v>2.7187499996216502E-2</v>
      </c>
      <c r="N30" s="13">
        <f t="shared" si="14"/>
        <v>39.149999994551763</v>
      </c>
      <c r="O30" s="13"/>
      <c r="P30" s="13"/>
      <c r="Q30" s="61"/>
      <c r="R30" s="61"/>
      <c r="T3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07:28:24-0600',mode:absolute,to:'2016-06-18 08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 t="shared" si="16"/>
        <v>N</v>
      </c>
      <c r="V30" s="73">
        <f t="shared" si="17"/>
        <v>1</v>
      </c>
      <c r="W30" s="73">
        <f t="shared" si="18"/>
        <v>4.0599999999999997E-2</v>
      </c>
      <c r="X30" s="73">
        <f t="shared" si="19"/>
        <v>23.341000000000001</v>
      </c>
      <c r="Y30" s="73">
        <f t="shared" si="20"/>
        <v>23.3004</v>
      </c>
      <c r="Z30" s="74">
        <f>VLOOKUP(A30,Enforcements!$C$15:$J$75,8,0)</f>
        <v>233491</v>
      </c>
      <c r="AA30" s="74" t="str">
        <f>VLOOKUP(A30,Enforcements!$C$15:$J$75,3,0)</f>
        <v>TRACK WARRANT AUTHORITY</v>
      </c>
    </row>
    <row r="31" spans="1:27" s="2" customFormat="1" x14ac:dyDescent="0.25">
      <c r="A31" s="60" t="s">
        <v>408</v>
      </c>
      <c r="B31" s="60">
        <v>4019</v>
      </c>
      <c r="C31" s="60" t="s">
        <v>62</v>
      </c>
      <c r="D31" s="60" t="s">
        <v>448</v>
      </c>
      <c r="E31" s="30">
        <v>42539.349826388891</v>
      </c>
      <c r="F31" s="30">
        <v>42539.350868055553</v>
      </c>
      <c r="G31" s="38">
        <v>1</v>
      </c>
      <c r="H31" s="30" t="s">
        <v>449</v>
      </c>
      <c r="I31" s="30">
        <v>42539.379062499997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STARKS</v>
      </c>
      <c r="M31" s="12">
        <f t="shared" si="1"/>
        <v>2.8194444443215616E-2</v>
      </c>
      <c r="N31" s="13">
        <f t="shared" si="14"/>
        <v>40.599999998230487</v>
      </c>
      <c r="O31" s="13"/>
      <c r="P31" s="13"/>
      <c r="Q31" s="61"/>
      <c r="R31" s="61"/>
      <c r="T3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08:22:45-0600',mode:absolute,to:'2016-06-18 09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 t="shared" si="16"/>
        <v>N</v>
      </c>
      <c r="V31" s="73">
        <f t="shared" si="17"/>
        <v>1</v>
      </c>
      <c r="W31" s="73">
        <f t="shared" si="18"/>
        <v>23.3081</v>
      </c>
      <c r="X31" s="73">
        <f t="shared" si="19"/>
        <v>1.4999999999999999E-2</v>
      </c>
      <c r="Y31" s="73">
        <f t="shared" si="20"/>
        <v>23.293099999999999</v>
      </c>
      <c r="Z31" s="74" t="e">
        <f>VLOOKUP(A31,Enforcements!$C$15:$J$75,8,0)</f>
        <v>#N/A</v>
      </c>
      <c r="AA31" s="74" t="e">
        <f>VLOOKUP(A31,Enforcements!$C$15:$J$75,3,0)</f>
        <v>#N/A</v>
      </c>
    </row>
    <row r="32" spans="1:27" s="2" customFormat="1" x14ac:dyDescent="0.25">
      <c r="A32" s="60" t="s">
        <v>410</v>
      </c>
      <c r="B32" s="60">
        <v>4024</v>
      </c>
      <c r="C32" s="60" t="s">
        <v>62</v>
      </c>
      <c r="D32" s="60" t="s">
        <v>265</v>
      </c>
      <c r="E32" s="30">
        <v>42539.319664351853</v>
      </c>
      <c r="F32" s="30">
        <v>42539.318252314813</v>
      </c>
      <c r="G32" s="38">
        <v>1</v>
      </c>
      <c r="H32" s="30" t="s">
        <v>247</v>
      </c>
      <c r="I32" s="30">
        <v>42539.350023148145</v>
      </c>
      <c r="J32" s="60">
        <v>0</v>
      </c>
      <c r="K32" s="60" t="str">
        <f t="shared" si="0"/>
        <v>4023/4024</v>
      </c>
      <c r="L32" s="60" t="str">
        <f>VLOOKUP(A32,'Trips&amp;Operators'!$C$1:$E$10000,3,FALSE)</f>
        <v>STURGEON</v>
      </c>
      <c r="M32" s="12">
        <f t="shared" si="1"/>
        <v>3.1770833331393078E-2</v>
      </c>
      <c r="N32" s="13">
        <f t="shared" si="14"/>
        <v>45.749999997206032</v>
      </c>
      <c r="O32" s="13"/>
      <c r="P32" s="13"/>
      <c r="Q32" s="61"/>
      <c r="R32" s="61"/>
      <c r="T3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07:39:19-0600',mode:absolute,to:'2016-06-18 08:25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3" t="str">
        <f t="shared" si="16"/>
        <v>N</v>
      </c>
      <c r="V32" s="73">
        <f t="shared" si="17"/>
        <v>1</v>
      </c>
      <c r="W32" s="73">
        <f t="shared" si="18"/>
        <v>4.3999999999999997E-2</v>
      </c>
      <c r="X32" s="73">
        <f t="shared" si="19"/>
        <v>23.3291</v>
      </c>
      <c r="Y32" s="73">
        <f t="shared" si="20"/>
        <v>23.2851</v>
      </c>
      <c r="Z32" s="74" t="e">
        <f>VLOOKUP(A32,Enforcements!$C$15:$J$75,8,0)</f>
        <v>#N/A</v>
      </c>
      <c r="AA32" s="74" t="e">
        <f>VLOOKUP(A32,Enforcements!$C$15:$J$75,3,0)</f>
        <v>#N/A</v>
      </c>
    </row>
    <row r="33" spans="1:27" s="2" customFormat="1" x14ac:dyDescent="0.25">
      <c r="A33" s="60" t="s">
        <v>286</v>
      </c>
      <c r="B33" s="60">
        <v>4023</v>
      </c>
      <c r="C33" s="60" t="s">
        <v>62</v>
      </c>
      <c r="D33" s="60" t="s">
        <v>78</v>
      </c>
      <c r="E33" s="30">
        <v>42539.361574074072</v>
      </c>
      <c r="F33" s="30">
        <v>42539.362210648149</v>
      </c>
      <c r="G33" s="38">
        <v>0</v>
      </c>
      <c r="H33" s="30" t="s">
        <v>244</v>
      </c>
      <c r="I33" s="30">
        <v>42539.390729166669</v>
      </c>
      <c r="J33" s="60">
        <v>1</v>
      </c>
      <c r="K33" s="60" t="str">
        <f t="shared" si="0"/>
        <v>4023/4024</v>
      </c>
      <c r="L33" s="60" t="str">
        <f>VLOOKUP(A33,'Trips&amp;Operators'!$C$1:$E$10000,3,FALSE)</f>
        <v>STURGEON</v>
      </c>
      <c r="M33" s="12">
        <f t="shared" si="1"/>
        <v>2.8518518520286307E-2</v>
      </c>
      <c r="N33" s="13">
        <f t="shared" si="14"/>
        <v>41.066666669212282</v>
      </c>
      <c r="O33" s="13"/>
      <c r="P33" s="13"/>
      <c r="Q33" s="61"/>
      <c r="R33" s="61"/>
      <c r="T3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08:39:40-0600',mode:absolute,to:'2016-06-18 09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3" t="str">
        <f t="shared" si="16"/>
        <v>N</v>
      </c>
      <c r="V33" s="73">
        <f t="shared" si="17"/>
        <v>1</v>
      </c>
      <c r="W33" s="73">
        <f t="shared" si="18"/>
        <v>23.297699999999999</v>
      </c>
      <c r="X33" s="73">
        <f t="shared" si="19"/>
        <v>1.6299999999999999E-2</v>
      </c>
      <c r="Y33" s="73">
        <f t="shared" si="20"/>
        <v>23.281399999999998</v>
      </c>
      <c r="Z33" s="74">
        <f>VLOOKUP(A33,Enforcements!$C$15:$J$75,8,0)</f>
        <v>1</v>
      </c>
      <c r="AA33" s="74" t="str">
        <f>VLOOKUP(A33,Enforcements!$C$15:$J$75,3,0)</f>
        <v>TRACK WARRANT AUTHORITY</v>
      </c>
    </row>
    <row r="34" spans="1:27" s="2" customFormat="1" x14ac:dyDescent="0.25">
      <c r="A34" s="60" t="s">
        <v>398</v>
      </c>
      <c r="B34" s="60">
        <v>4044</v>
      </c>
      <c r="C34" s="60" t="s">
        <v>62</v>
      </c>
      <c r="D34" s="60" t="s">
        <v>265</v>
      </c>
      <c r="E34" s="30">
        <v>42539.33048611111</v>
      </c>
      <c r="F34" s="30">
        <v>42539.331354166665</v>
      </c>
      <c r="G34" s="38">
        <v>1</v>
      </c>
      <c r="H34" s="30" t="s">
        <v>192</v>
      </c>
      <c r="I34" s="30">
        <v>42539.358263888891</v>
      </c>
      <c r="J34" s="60">
        <v>0</v>
      </c>
      <c r="K34" s="60" t="str">
        <f t="shared" si="0"/>
        <v>4043/4044</v>
      </c>
      <c r="L34" s="60" t="str">
        <f>VLOOKUP(A34,'Trips&amp;Operators'!$C$1:$E$10000,3,FALSE)</f>
        <v>YORK</v>
      </c>
      <c r="M34" s="12">
        <f t="shared" si="1"/>
        <v>2.6909722226264421E-2</v>
      </c>
      <c r="N34" s="13">
        <f t="shared" si="14"/>
        <v>38.750000005820766</v>
      </c>
      <c r="O34" s="13"/>
      <c r="P34" s="13"/>
      <c r="Q34" s="61"/>
      <c r="R34" s="61"/>
      <c r="T3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07:54:54-0600',mode:absolute,to:'2016-06-18 08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4" s="73" t="str">
        <f t="shared" si="16"/>
        <v>N</v>
      </c>
      <c r="V34" s="73">
        <f t="shared" si="17"/>
        <v>1</v>
      </c>
      <c r="W34" s="73">
        <f t="shared" si="18"/>
        <v>4.3999999999999997E-2</v>
      </c>
      <c r="X34" s="73">
        <f t="shared" si="19"/>
        <v>23.3293</v>
      </c>
      <c r="Y34" s="73">
        <f t="shared" si="20"/>
        <v>23.285299999999999</v>
      </c>
      <c r="Z34" s="74" t="e">
        <f>VLOOKUP(A34,Enforcements!$C$15:$J$75,8,0)</f>
        <v>#N/A</v>
      </c>
      <c r="AA34" s="74" t="e">
        <f>VLOOKUP(A34,Enforcements!$C$15:$J$75,3,0)</f>
        <v>#N/A</v>
      </c>
    </row>
    <row r="35" spans="1:27" s="2" customFormat="1" x14ac:dyDescent="0.25">
      <c r="A35" s="60" t="s">
        <v>345</v>
      </c>
      <c r="B35" s="60">
        <v>4043</v>
      </c>
      <c r="C35" s="60" t="s">
        <v>62</v>
      </c>
      <c r="D35" s="60" t="s">
        <v>241</v>
      </c>
      <c r="E35" s="30">
        <v>42539.370300925926</v>
      </c>
      <c r="F35" s="30">
        <v>42539.370937500003</v>
      </c>
      <c r="G35" s="38">
        <v>0</v>
      </c>
      <c r="H35" s="30" t="s">
        <v>65</v>
      </c>
      <c r="I35" s="30">
        <v>42539.398900462962</v>
      </c>
      <c r="J35" s="60">
        <v>0</v>
      </c>
      <c r="K35" s="60" t="str">
        <f t="shared" ref="K35:K66" si="21">IF(ISEVEN(B35),(B35-1)&amp;"/"&amp;B35,B35&amp;"/"&amp;(B35+1))</f>
        <v>4043/4044</v>
      </c>
      <c r="L35" s="60" t="str">
        <f>VLOOKUP(A35,'Trips&amp;Operators'!$C$1:$E$10000,3,FALSE)</f>
        <v>YORK</v>
      </c>
      <c r="M35" s="12">
        <f t="shared" ref="M35:M66" si="22">I35-F35</f>
        <v>2.7962962958554272E-2</v>
      </c>
      <c r="N35" s="13">
        <f t="shared" si="14"/>
        <v>40.266666660318151</v>
      </c>
      <c r="O35" s="13"/>
      <c r="P35" s="13"/>
      <c r="Q35" s="61"/>
      <c r="R35" s="61"/>
      <c r="T3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08:52:14-0600',mode:absolute,to:'2016-06-18 09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5" s="73" t="str">
        <f t="shared" si="16"/>
        <v>N</v>
      </c>
      <c r="V35" s="73">
        <f t="shared" si="17"/>
        <v>1</v>
      </c>
      <c r="W35" s="73">
        <f t="shared" si="18"/>
        <v>23.297899999999998</v>
      </c>
      <c r="X35" s="73">
        <f t="shared" si="19"/>
        <v>1.52E-2</v>
      </c>
      <c r="Y35" s="73">
        <f t="shared" si="20"/>
        <v>23.282699999999998</v>
      </c>
      <c r="Z35" s="74" t="e">
        <f>VLOOKUP(A35,Enforcements!$C$15:$J$75,8,0)</f>
        <v>#N/A</v>
      </c>
      <c r="AA35" s="74" t="e">
        <f>VLOOKUP(A35,Enforcements!$C$15:$J$75,3,0)</f>
        <v>#N/A</v>
      </c>
    </row>
    <row r="36" spans="1:27" s="2" customFormat="1" x14ac:dyDescent="0.25">
      <c r="A36" s="60" t="s">
        <v>369</v>
      </c>
      <c r="B36" s="60">
        <v>4042</v>
      </c>
      <c r="C36" s="60" t="s">
        <v>62</v>
      </c>
      <c r="D36" s="60" t="s">
        <v>450</v>
      </c>
      <c r="E36" s="30">
        <v>42539.346145833333</v>
      </c>
      <c r="F36" s="30">
        <v>42539.348043981481</v>
      </c>
      <c r="G36" s="38">
        <v>2</v>
      </c>
      <c r="H36" s="30" t="s">
        <v>196</v>
      </c>
      <c r="I36" s="30">
        <v>42539.376388888886</v>
      </c>
      <c r="J36" s="60">
        <v>0</v>
      </c>
      <c r="K36" s="60" t="str">
        <f t="shared" si="21"/>
        <v>4041/4042</v>
      </c>
      <c r="L36" s="60" t="str">
        <f>VLOOKUP(A36,'Trips&amp;Operators'!$C$1:$E$10000,3,FALSE)</f>
        <v>MALAVE</v>
      </c>
      <c r="M36" s="12">
        <f t="shared" si="22"/>
        <v>2.8344907404971309E-2</v>
      </c>
      <c r="N36" s="13">
        <f t="shared" si="14"/>
        <v>40.816666663158685</v>
      </c>
      <c r="O36" s="13"/>
      <c r="P36" s="13"/>
      <c r="Q36" s="61"/>
      <c r="R36" s="61"/>
      <c r="T3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08:17:27-0600',mode:absolute,to:'2016-06-18 09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6" s="73" t="str">
        <f t="shared" si="16"/>
        <v>N</v>
      </c>
      <c r="V36" s="73">
        <f t="shared" si="17"/>
        <v>1</v>
      </c>
      <c r="W36" s="73">
        <f t="shared" si="18"/>
        <v>0.18529999999999999</v>
      </c>
      <c r="X36" s="73">
        <f t="shared" si="19"/>
        <v>23.328399999999998</v>
      </c>
      <c r="Y36" s="73">
        <f t="shared" si="20"/>
        <v>23.143099999999997</v>
      </c>
      <c r="Z36" s="74" t="e">
        <f>VLOOKUP(A36,Enforcements!$C$15:$J$75,8,0)</f>
        <v>#N/A</v>
      </c>
      <c r="AA36" s="74" t="e">
        <f>VLOOKUP(A36,Enforcements!$C$15:$J$75,3,0)</f>
        <v>#N/A</v>
      </c>
    </row>
    <row r="37" spans="1:27" s="2" customFormat="1" x14ac:dyDescent="0.25">
      <c r="A37" s="60" t="s">
        <v>329</v>
      </c>
      <c r="B37" s="60">
        <v>4041</v>
      </c>
      <c r="C37" s="60" t="s">
        <v>62</v>
      </c>
      <c r="D37" s="60" t="s">
        <v>442</v>
      </c>
      <c r="E37" s="30">
        <v>42539.379548611112</v>
      </c>
      <c r="F37" s="30">
        <v>42539.381319444445</v>
      </c>
      <c r="G37" s="38">
        <v>2</v>
      </c>
      <c r="H37" s="30" t="s">
        <v>72</v>
      </c>
      <c r="I37" s="30">
        <v>42539.413553240738</v>
      </c>
      <c r="J37" s="60">
        <v>2</v>
      </c>
      <c r="K37" s="60" t="str">
        <f t="shared" si="21"/>
        <v>4041/4042</v>
      </c>
      <c r="L37" s="60" t="str">
        <f>VLOOKUP(A37,'Trips&amp;Operators'!$C$1:$E$10000,3,FALSE)</f>
        <v>MALAVE</v>
      </c>
      <c r="M37" s="12">
        <f t="shared" si="22"/>
        <v>3.2233796293439809E-2</v>
      </c>
      <c r="N37" s="13">
        <f t="shared" si="14"/>
        <v>46.416666662553325</v>
      </c>
      <c r="O37" s="13"/>
      <c r="P37" s="13"/>
      <c r="Q37" s="61"/>
      <c r="R37" s="61"/>
      <c r="T3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09:05:33-0600',mode:absolute,to:'2016-06-18 09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7" s="73" t="str">
        <f t="shared" si="16"/>
        <v>N</v>
      </c>
      <c r="V37" s="73">
        <f t="shared" si="17"/>
        <v>1</v>
      </c>
      <c r="W37" s="73">
        <f t="shared" si="18"/>
        <v>23.296700000000001</v>
      </c>
      <c r="X37" s="73">
        <f t="shared" si="19"/>
        <v>1.47E-2</v>
      </c>
      <c r="Y37" s="73">
        <f t="shared" si="20"/>
        <v>23.282</v>
      </c>
      <c r="Z37" s="74">
        <f>VLOOKUP(A37,Enforcements!$C$15:$J$75,8,0)</f>
        <v>21848</v>
      </c>
      <c r="AA37" s="74" t="str">
        <f>VLOOKUP(A37,Enforcements!$C$15:$J$75,3,0)</f>
        <v>PERMANENT SPEED RESTRICTION</v>
      </c>
    </row>
    <row r="38" spans="1:27" s="2" customFormat="1" x14ac:dyDescent="0.25">
      <c r="A38" s="60" t="s">
        <v>279</v>
      </c>
      <c r="B38" s="60">
        <v>4040</v>
      </c>
      <c r="C38" s="60" t="s">
        <v>62</v>
      </c>
      <c r="D38" s="60" t="s">
        <v>107</v>
      </c>
      <c r="E38" s="30">
        <v>42539.354467592595</v>
      </c>
      <c r="F38" s="30">
        <v>42539.355381944442</v>
      </c>
      <c r="G38" s="38">
        <v>1</v>
      </c>
      <c r="H38" s="30" t="s">
        <v>197</v>
      </c>
      <c r="I38" s="30">
        <v>42539.381064814814</v>
      </c>
      <c r="J38" s="60">
        <v>0</v>
      </c>
      <c r="K38" s="60" t="str">
        <f t="shared" si="21"/>
        <v>4039/4040</v>
      </c>
      <c r="L38" s="60" t="str">
        <f>VLOOKUP(A38,'Trips&amp;Operators'!$C$1:$E$10000,3,FALSE)</f>
        <v>GEBRETEKLE</v>
      </c>
      <c r="M38" s="12">
        <f t="shared" si="22"/>
        <v>2.5682870371383615E-2</v>
      </c>
      <c r="N38" s="13">
        <f t="shared" si="14"/>
        <v>36.983333334792405</v>
      </c>
      <c r="O38" s="13"/>
      <c r="P38" s="13"/>
      <c r="Q38" s="61"/>
      <c r="R38" s="61"/>
      <c r="T3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08:29:26-0600',mode:absolute,to:'2016-06-18 09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3" t="str">
        <f t="shared" si="16"/>
        <v>N</v>
      </c>
      <c r="V38" s="73">
        <f t="shared" si="17"/>
        <v>1</v>
      </c>
      <c r="W38" s="73">
        <f t="shared" si="18"/>
        <v>4.6399999999999997E-2</v>
      </c>
      <c r="X38" s="73">
        <f t="shared" si="19"/>
        <v>23.327200000000001</v>
      </c>
      <c r="Y38" s="73">
        <f t="shared" si="20"/>
        <v>23.280800000000003</v>
      </c>
      <c r="Z38" s="74" t="e">
        <f>VLOOKUP(A38,Enforcements!$C$15:$J$75,8,0)</f>
        <v>#N/A</v>
      </c>
      <c r="AA38" s="74" t="e">
        <f>VLOOKUP(A38,Enforcements!$C$15:$J$75,3,0)</f>
        <v>#N/A</v>
      </c>
    </row>
    <row r="39" spans="1:27" s="2" customFormat="1" x14ac:dyDescent="0.25">
      <c r="A39" s="60" t="s">
        <v>383</v>
      </c>
      <c r="B39" s="60">
        <v>4039</v>
      </c>
      <c r="C39" s="60" t="s">
        <v>62</v>
      </c>
      <c r="D39" s="60" t="s">
        <v>167</v>
      </c>
      <c r="E39" s="30">
        <v>42539.389305555553</v>
      </c>
      <c r="F39" s="30">
        <v>42539.390509259261</v>
      </c>
      <c r="G39" s="38">
        <v>1</v>
      </c>
      <c r="H39" s="30" t="s">
        <v>449</v>
      </c>
      <c r="I39" s="30">
        <v>42539.420428240737</v>
      </c>
      <c r="J39" s="60">
        <v>1</v>
      </c>
      <c r="K39" s="60" t="str">
        <f t="shared" si="21"/>
        <v>4039/4040</v>
      </c>
      <c r="L39" s="60" t="str">
        <f>VLOOKUP(A39,'Trips&amp;Operators'!$C$1:$E$10000,3,FALSE)</f>
        <v>GEBRETEKLE</v>
      </c>
      <c r="M39" s="12">
        <f t="shared" si="22"/>
        <v>2.9918981475930195E-2</v>
      </c>
      <c r="N39" s="13">
        <f t="shared" si="14"/>
        <v>43.083333325339481</v>
      </c>
      <c r="O39" s="13"/>
      <c r="P39" s="13"/>
      <c r="Q39" s="61"/>
      <c r="R39" s="61"/>
      <c r="T3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09:19:36-0600',mode:absolute,to:'2016-06-18 10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3" t="str">
        <f t="shared" si="16"/>
        <v>N</v>
      </c>
      <c r="V39" s="73">
        <f t="shared" si="17"/>
        <v>1</v>
      </c>
      <c r="W39" s="73">
        <f t="shared" si="18"/>
        <v>23.298100000000002</v>
      </c>
      <c r="X39" s="73">
        <f t="shared" si="19"/>
        <v>1.4999999999999999E-2</v>
      </c>
      <c r="Y39" s="73">
        <f t="shared" si="20"/>
        <v>23.283100000000001</v>
      </c>
      <c r="Z39" s="74">
        <f>VLOOKUP(A39,Enforcements!$C$15:$J$75,8,0)</f>
        <v>182920</v>
      </c>
      <c r="AA39" s="74" t="str">
        <f>VLOOKUP(A39,Enforcements!$C$15:$J$75,3,0)</f>
        <v>SIGNAL</v>
      </c>
    </row>
    <row r="40" spans="1:27" s="2" customFormat="1" x14ac:dyDescent="0.25">
      <c r="A40" s="60" t="s">
        <v>396</v>
      </c>
      <c r="B40" s="60">
        <v>4029</v>
      </c>
      <c r="C40" s="60" t="s">
        <v>62</v>
      </c>
      <c r="D40" s="60" t="s">
        <v>186</v>
      </c>
      <c r="E40" s="30">
        <v>42539.363576388889</v>
      </c>
      <c r="F40" s="30">
        <v>42539.364548611113</v>
      </c>
      <c r="G40" s="38">
        <v>1</v>
      </c>
      <c r="H40" s="30" t="s">
        <v>451</v>
      </c>
      <c r="I40" s="30">
        <v>42539.39234953704</v>
      </c>
      <c r="J40" s="60">
        <v>0</v>
      </c>
      <c r="K40" s="60" t="str">
        <f t="shared" si="21"/>
        <v>4029/4030</v>
      </c>
      <c r="L40" s="60" t="str">
        <f>VLOOKUP(A40,'Trips&amp;Operators'!$C$1:$E$10000,3,FALSE)</f>
        <v>STRICKLAND</v>
      </c>
      <c r="M40" s="12">
        <f t="shared" si="22"/>
        <v>2.7800925927294884E-2</v>
      </c>
      <c r="N40" s="13">
        <f t="shared" si="14"/>
        <v>40.033333335304633</v>
      </c>
      <c r="O40" s="13"/>
      <c r="P40" s="13"/>
      <c r="Q40" s="61"/>
      <c r="R40" s="61"/>
      <c r="T4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08:42:33-0600',mode:absolute,to:'2016-06-18 09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0" s="73" t="str">
        <f t="shared" si="16"/>
        <v>N</v>
      </c>
      <c r="V40" s="73">
        <f t="shared" si="17"/>
        <v>1</v>
      </c>
      <c r="W40" s="73">
        <f t="shared" si="18"/>
        <v>4.7800000000000002E-2</v>
      </c>
      <c r="X40" s="73">
        <f t="shared" si="19"/>
        <v>23.3337</v>
      </c>
      <c r="Y40" s="73">
        <f t="shared" si="20"/>
        <v>23.285900000000002</v>
      </c>
      <c r="Z40" s="74" t="e">
        <f>VLOOKUP(A40,Enforcements!$C$15:$J$75,8,0)</f>
        <v>#N/A</v>
      </c>
      <c r="AA40" s="74" t="e">
        <f>VLOOKUP(A40,Enforcements!$C$15:$J$75,3,0)</f>
        <v>#N/A</v>
      </c>
    </row>
    <row r="41" spans="1:27" s="2" customFormat="1" x14ac:dyDescent="0.25">
      <c r="A41" s="60" t="s">
        <v>281</v>
      </c>
      <c r="B41" s="60">
        <v>4030</v>
      </c>
      <c r="C41" s="60" t="s">
        <v>62</v>
      </c>
      <c r="D41" s="60" t="s">
        <v>92</v>
      </c>
      <c r="E41" s="30">
        <v>42539.401678240742</v>
      </c>
      <c r="F41" s="30">
        <v>42539.400868055556</v>
      </c>
      <c r="G41" s="38">
        <v>1</v>
      </c>
      <c r="H41" s="30" t="s">
        <v>452</v>
      </c>
      <c r="I41" s="30">
        <v>42539.432546296295</v>
      </c>
      <c r="J41" s="60">
        <v>4</v>
      </c>
      <c r="K41" s="60" t="str">
        <f t="shared" si="21"/>
        <v>4029/4030</v>
      </c>
      <c r="L41" s="60" t="str">
        <f>VLOOKUP(A41,'Trips&amp;Operators'!$C$1:$E$10000,3,FALSE)</f>
        <v>STRICKLAND</v>
      </c>
      <c r="M41" s="12">
        <f t="shared" si="22"/>
        <v>3.1678240738983732E-2</v>
      </c>
      <c r="N41" s="13">
        <f t="shared" si="14"/>
        <v>45.616666664136574</v>
      </c>
      <c r="O41" s="13"/>
      <c r="P41" s="13"/>
      <c r="Q41" s="61"/>
      <c r="R41" s="61"/>
      <c r="T4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09:37:25-0600',mode:absolute,to:'2016-06-18 10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1" s="73" t="str">
        <f t="shared" si="16"/>
        <v>Y</v>
      </c>
      <c r="V41" s="73">
        <f t="shared" si="17"/>
        <v>1</v>
      </c>
      <c r="W41" s="73">
        <f t="shared" si="18"/>
        <v>23.297799999999999</v>
      </c>
      <c r="X41" s="73">
        <f t="shared" si="19"/>
        <v>23.296399999999998</v>
      </c>
      <c r="Y41" s="73">
        <f t="shared" si="20"/>
        <v>1.4000000000002899E-3</v>
      </c>
      <c r="Z41" s="74" t="e">
        <f>VLOOKUP(A41,Enforcements!$C$15:$J$75,8,0)</f>
        <v>#N/A</v>
      </c>
      <c r="AA41" s="74" t="e">
        <f>VLOOKUP(A41,Enforcements!$C$15:$J$75,3,0)</f>
        <v>#N/A</v>
      </c>
    </row>
    <row r="42" spans="1:27" s="2" customFormat="1" x14ac:dyDescent="0.25">
      <c r="A42" s="60" t="s">
        <v>277</v>
      </c>
      <c r="B42" s="60">
        <v>4011</v>
      </c>
      <c r="C42" s="60" t="s">
        <v>62</v>
      </c>
      <c r="D42" s="60" t="s">
        <v>245</v>
      </c>
      <c r="E42" s="30">
        <v>42539.371608796297</v>
      </c>
      <c r="F42" s="30">
        <v>42539.372557870367</v>
      </c>
      <c r="G42" s="38">
        <v>1</v>
      </c>
      <c r="H42" s="30" t="s">
        <v>453</v>
      </c>
      <c r="I42" s="30">
        <v>42539.374050925922</v>
      </c>
      <c r="J42" s="60">
        <v>0</v>
      </c>
      <c r="K42" s="60" t="str">
        <f t="shared" si="21"/>
        <v>4011/4012</v>
      </c>
      <c r="L42" s="60" t="str">
        <f>VLOOKUP(A42,'Trips&amp;Operators'!$C$1:$E$10000,3,FALSE)</f>
        <v>CANFIELD</v>
      </c>
      <c r="M42" s="12">
        <f t="shared" si="22"/>
        <v>1.4930555553291924E-3</v>
      </c>
      <c r="N42" s="13"/>
      <c r="O42" s="13"/>
      <c r="P42" s="13">
        <f>24*60*SUM($M42:$M42)</f>
        <v>2.1499999996740371</v>
      </c>
      <c r="Q42" s="61"/>
      <c r="R42" s="61" t="s">
        <v>517</v>
      </c>
      <c r="T4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08:54:07-0600',mode:absolute,to:'2016-06-18 08:59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2" s="73" t="str">
        <f t="shared" si="16"/>
        <v>N</v>
      </c>
      <c r="V42" s="73">
        <f t="shared" si="17"/>
        <v>1</v>
      </c>
      <c r="W42" s="73">
        <f t="shared" si="18"/>
        <v>4.6899999999999997E-2</v>
      </c>
      <c r="X42" s="73">
        <f t="shared" si="19"/>
        <v>23.331199999999999</v>
      </c>
      <c r="Y42" s="73">
        <f t="shared" si="20"/>
        <v>23.284299999999998</v>
      </c>
      <c r="Z42" s="74" t="e">
        <f>VLOOKUP(A42,Enforcements!$C$15:$J$75,8,0)</f>
        <v>#N/A</v>
      </c>
      <c r="AA42" s="74" t="e">
        <f>VLOOKUP(A42,Enforcements!$C$15:$J$75,3,0)</f>
        <v>#N/A</v>
      </c>
    </row>
    <row r="43" spans="1:27" s="2" customFormat="1" x14ac:dyDescent="0.25">
      <c r="A43" s="60" t="s">
        <v>395</v>
      </c>
      <c r="B43" s="60">
        <v>4012</v>
      </c>
      <c r="C43" s="60" t="s">
        <v>62</v>
      </c>
      <c r="D43" s="60" t="s">
        <v>83</v>
      </c>
      <c r="E43" s="30">
        <v>42539.410509259258</v>
      </c>
      <c r="F43" s="30">
        <v>42539.411296296297</v>
      </c>
      <c r="G43" s="38">
        <v>1</v>
      </c>
      <c r="H43" s="30" t="s">
        <v>454</v>
      </c>
      <c r="I43" s="30">
        <v>42539.445451388892</v>
      </c>
      <c r="J43" s="60">
        <v>1</v>
      </c>
      <c r="K43" s="60" t="str">
        <f t="shared" si="21"/>
        <v>4011/4012</v>
      </c>
      <c r="L43" s="60" t="str">
        <f>VLOOKUP(A43,'Trips&amp;Operators'!$C$1:$E$10000,3,FALSE)</f>
        <v>CANFIELD</v>
      </c>
      <c r="M43" s="12">
        <f t="shared" si="22"/>
        <v>3.4155092595028691E-2</v>
      </c>
      <c r="N43" s="13">
        <f>24*60*SUM($M43:$M43)</f>
        <v>49.183333336841315</v>
      </c>
      <c r="O43" s="13"/>
      <c r="P43" s="13"/>
      <c r="Q43" s="61"/>
      <c r="R43" s="61"/>
      <c r="T4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09:50:08-0600',mode:absolute,to:'2016-06-18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3" s="73" t="str">
        <f t="shared" si="16"/>
        <v>N</v>
      </c>
      <c r="V43" s="73">
        <f t="shared" si="17"/>
        <v>1</v>
      </c>
      <c r="W43" s="73">
        <f t="shared" si="18"/>
        <v>23.299099999999999</v>
      </c>
      <c r="X43" s="73">
        <f t="shared" si="19"/>
        <v>0.1477</v>
      </c>
      <c r="Y43" s="73">
        <f t="shared" si="20"/>
        <v>23.151399999999999</v>
      </c>
      <c r="Z43" s="74">
        <f>VLOOKUP(A43,Enforcements!$C$15:$J$75,8,0)</f>
        <v>182920</v>
      </c>
      <c r="AA43" s="74" t="str">
        <f>VLOOKUP(A43,Enforcements!$C$15:$J$75,3,0)</f>
        <v>SIGNAL</v>
      </c>
    </row>
    <row r="44" spans="1:27" s="2" customFormat="1" x14ac:dyDescent="0.25">
      <c r="A44" s="60" t="s">
        <v>393</v>
      </c>
      <c r="B44" s="60">
        <v>4020</v>
      </c>
      <c r="C44" s="60" t="s">
        <v>62</v>
      </c>
      <c r="D44" s="60" t="s">
        <v>259</v>
      </c>
      <c r="E44" s="30">
        <v>42539.383599537039</v>
      </c>
      <c r="F44" s="30">
        <v>42539.384456018517</v>
      </c>
      <c r="G44" s="38">
        <v>1</v>
      </c>
      <c r="H44" s="30" t="s">
        <v>455</v>
      </c>
      <c r="I44" s="30">
        <v>42539.412002314813</v>
      </c>
      <c r="J44" s="60">
        <v>1</v>
      </c>
      <c r="K44" s="60" t="str">
        <f t="shared" si="21"/>
        <v>4019/4020</v>
      </c>
      <c r="L44" s="60" t="str">
        <f>VLOOKUP(A44,'Trips&amp;Operators'!$C$1:$E$10000,3,FALSE)</f>
        <v>STARKS</v>
      </c>
      <c r="M44" s="12">
        <f t="shared" si="22"/>
        <v>2.7546296296350192E-2</v>
      </c>
      <c r="N44" s="13">
        <f>24*60*SUM($M44:$M44)</f>
        <v>39.666666666744277</v>
      </c>
      <c r="O44" s="13"/>
      <c r="P44" s="13"/>
      <c r="Q44" s="61"/>
      <c r="R44" s="61"/>
      <c r="T4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09:11:23-0600',mode:absolute,to:'2016-06-18 09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4" s="73" t="str">
        <f t="shared" si="16"/>
        <v>N</v>
      </c>
      <c r="V44" s="73">
        <f t="shared" si="17"/>
        <v>1</v>
      </c>
      <c r="W44" s="73">
        <f t="shared" si="18"/>
        <v>4.2200000000000001E-2</v>
      </c>
      <c r="X44" s="73">
        <f t="shared" si="19"/>
        <v>23.340299999999999</v>
      </c>
      <c r="Y44" s="73">
        <f t="shared" si="20"/>
        <v>23.298099999999998</v>
      </c>
      <c r="Z44" s="74">
        <f>VLOOKUP(A44,Enforcements!$C$15:$J$75,8,0)</f>
        <v>233491</v>
      </c>
      <c r="AA44" s="74" t="str">
        <f>VLOOKUP(A44,Enforcements!$C$15:$J$75,3,0)</f>
        <v>TRACK WARRANT AUTHORITY</v>
      </c>
    </row>
    <row r="45" spans="1:27" s="2" customFormat="1" x14ac:dyDescent="0.25">
      <c r="A45" s="60" t="s">
        <v>320</v>
      </c>
      <c r="B45" s="60">
        <v>4019</v>
      </c>
      <c r="C45" s="60" t="s">
        <v>62</v>
      </c>
      <c r="D45" s="60" t="s">
        <v>456</v>
      </c>
      <c r="E45" s="30">
        <v>42539.421643518515</v>
      </c>
      <c r="F45" s="30">
        <v>42539.422592592593</v>
      </c>
      <c r="G45" s="38">
        <v>1</v>
      </c>
      <c r="H45" s="30" t="s">
        <v>457</v>
      </c>
      <c r="I45" s="30">
        <v>42539.423634259256</v>
      </c>
      <c r="J45" s="60">
        <v>0</v>
      </c>
      <c r="K45" s="60" t="str">
        <f t="shared" si="21"/>
        <v>4019/4020</v>
      </c>
      <c r="L45" s="60" t="str">
        <f>VLOOKUP(A45,'Trips&amp;Operators'!$C$1:$E$10000,3,FALSE)</f>
        <v>STARKS</v>
      </c>
      <c r="M45" s="12">
        <f t="shared" si="22"/>
        <v>1.0416666627861559E-3</v>
      </c>
      <c r="N45" s="13"/>
      <c r="O45" s="13"/>
      <c r="P45" s="13">
        <f>24*60*SUM($M45:$M45)</f>
        <v>1.4999999944120646</v>
      </c>
      <c r="Q45" s="61"/>
      <c r="R45" s="61" t="s">
        <v>517</v>
      </c>
      <c r="T4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10:06:10-0600',mode:absolute,to:'2016-06-18 10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5" s="73" t="str">
        <f t="shared" si="16"/>
        <v>Y</v>
      </c>
      <c r="V45" s="73">
        <f t="shared" si="17"/>
        <v>1</v>
      </c>
      <c r="W45" s="73">
        <f t="shared" si="18"/>
        <v>23.305299999999999</v>
      </c>
      <c r="X45" s="73">
        <f t="shared" si="19"/>
        <v>23.306100000000001</v>
      </c>
      <c r="Y45" s="73">
        <f t="shared" si="20"/>
        <v>8.0000000000168825E-4</v>
      </c>
      <c r="Z45" s="74" t="e">
        <f>VLOOKUP(A45,Enforcements!$C$15:$J$75,8,0)</f>
        <v>#N/A</v>
      </c>
      <c r="AA45" s="74" t="e">
        <f>VLOOKUP(A45,Enforcements!$C$15:$J$75,3,0)</f>
        <v>#N/A</v>
      </c>
    </row>
    <row r="46" spans="1:27" s="2" customFormat="1" x14ac:dyDescent="0.25">
      <c r="A46" s="60" t="s">
        <v>298</v>
      </c>
      <c r="B46" s="60">
        <v>4024</v>
      </c>
      <c r="C46" s="60" t="s">
        <v>62</v>
      </c>
      <c r="D46" s="60" t="s">
        <v>177</v>
      </c>
      <c r="E46" s="30">
        <v>42539.393009259256</v>
      </c>
      <c r="F46" s="30">
        <v>42539.394270833334</v>
      </c>
      <c r="G46" s="38">
        <v>1</v>
      </c>
      <c r="H46" s="30" t="s">
        <v>458</v>
      </c>
      <c r="I46" s="30">
        <v>42539.42119212963</v>
      </c>
      <c r="J46" s="60">
        <v>0</v>
      </c>
      <c r="K46" s="60" t="str">
        <f t="shared" si="21"/>
        <v>4023/4024</v>
      </c>
      <c r="L46" s="60" t="str">
        <f>VLOOKUP(A46,'Trips&amp;Operators'!$C$1:$E$10000,3,FALSE)</f>
        <v>SANTIZO</v>
      </c>
      <c r="M46" s="12">
        <f t="shared" si="22"/>
        <v>2.6921296295768116E-2</v>
      </c>
      <c r="N46" s="13">
        <f>24*60*SUM($M46:$M46)</f>
        <v>38.766666665906087</v>
      </c>
      <c r="O46" s="13"/>
      <c r="P46" s="13"/>
      <c r="Q46" s="61"/>
      <c r="R46" s="61"/>
      <c r="T4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09:24:56-0600',mode:absolute,to:'2016-06-18 10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6" s="73" t="str">
        <f t="shared" si="16"/>
        <v>N</v>
      </c>
      <c r="V46" s="73">
        <f t="shared" si="17"/>
        <v>1</v>
      </c>
      <c r="W46" s="73">
        <f t="shared" si="18"/>
        <v>4.4699999999999997E-2</v>
      </c>
      <c r="X46" s="73">
        <f t="shared" si="19"/>
        <v>23.331</v>
      </c>
      <c r="Y46" s="73">
        <f t="shared" si="20"/>
        <v>23.286300000000001</v>
      </c>
      <c r="Z46" s="74" t="e">
        <f>VLOOKUP(A46,Enforcements!$C$15:$J$75,8,0)</f>
        <v>#N/A</v>
      </c>
      <c r="AA46" s="74" t="e">
        <f>VLOOKUP(A46,Enforcements!$C$15:$J$75,3,0)</f>
        <v>#N/A</v>
      </c>
    </row>
    <row r="47" spans="1:27" s="2" customFormat="1" x14ac:dyDescent="0.25">
      <c r="A47" s="60" t="s">
        <v>362</v>
      </c>
      <c r="B47" s="60">
        <v>4023</v>
      </c>
      <c r="C47" s="60" t="s">
        <v>62</v>
      </c>
      <c r="D47" s="60" t="s">
        <v>243</v>
      </c>
      <c r="E47" s="30">
        <v>42539.434386574074</v>
      </c>
      <c r="F47" s="30">
        <v>42539.435219907406</v>
      </c>
      <c r="G47" s="38">
        <v>1</v>
      </c>
      <c r="H47" s="30" t="s">
        <v>72</v>
      </c>
      <c r="I47" s="30">
        <v>42539.465949074074</v>
      </c>
      <c r="J47" s="60">
        <v>1</v>
      </c>
      <c r="K47" s="60" t="str">
        <f t="shared" si="21"/>
        <v>4023/4024</v>
      </c>
      <c r="L47" s="60" t="str">
        <f>VLOOKUP(A47,'Trips&amp;Operators'!$C$1:$E$10000,3,FALSE)</f>
        <v>SANTIZO</v>
      </c>
      <c r="M47" s="12">
        <f t="shared" si="22"/>
        <v>3.0729166668606922E-2</v>
      </c>
      <c r="N47" s="13">
        <f>24*60*SUM($M47:$M47)</f>
        <v>44.250000002793968</v>
      </c>
      <c r="O47" s="13"/>
      <c r="P47" s="13"/>
      <c r="Q47" s="61"/>
      <c r="R47" s="61"/>
      <c r="T4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10:24:31-0600',mode:absolute,to:'2016-06-18 11:11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7" s="73" t="str">
        <f t="shared" si="16"/>
        <v>N</v>
      </c>
      <c r="V47" s="73">
        <f t="shared" si="17"/>
        <v>1</v>
      </c>
      <c r="W47" s="73">
        <f t="shared" si="18"/>
        <v>23.299800000000001</v>
      </c>
      <c r="X47" s="73">
        <f t="shared" si="19"/>
        <v>1.47E-2</v>
      </c>
      <c r="Y47" s="73">
        <f t="shared" si="20"/>
        <v>23.2851</v>
      </c>
      <c r="Z47" s="74">
        <f>VLOOKUP(A47,Enforcements!$C$15:$J$75,8,0)</f>
        <v>1</v>
      </c>
      <c r="AA47" s="74" t="str">
        <f>VLOOKUP(A47,Enforcements!$C$15:$J$75,3,0)</f>
        <v>TRACK WARRANT AUTHORITY</v>
      </c>
    </row>
    <row r="48" spans="1:27" s="2" customFormat="1" x14ac:dyDescent="0.25">
      <c r="A48" s="60" t="s">
        <v>273</v>
      </c>
      <c r="B48" s="60">
        <v>4044</v>
      </c>
      <c r="C48" s="60" t="s">
        <v>62</v>
      </c>
      <c r="D48" s="60" t="s">
        <v>75</v>
      </c>
      <c r="E48" s="30">
        <v>42539.403148148151</v>
      </c>
      <c r="F48" s="30">
        <v>42539.403969907406</v>
      </c>
      <c r="G48" s="38">
        <v>1</v>
      </c>
      <c r="H48" s="30" t="s">
        <v>192</v>
      </c>
      <c r="I48" s="30">
        <v>42539.435381944444</v>
      </c>
      <c r="J48" s="60">
        <v>0</v>
      </c>
      <c r="K48" s="60" t="str">
        <f t="shared" si="21"/>
        <v>4043/4044</v>
      </c>
      <c r="L48" s="60" t="str">
        <f>VLOOKUP(A48,'Trips&amp;Operators'!$C$1:$E$10000,3,FALSE)</f>
        <v>YORK</v>
      </c>
      <c r="M48" s="12">
        <f t="shared" si="22"/>
        <v>3.1412037038535345E-2</v>
      </c>
      <c r="N48" s="13">
        <f>24*60*SUM($M48:$M48)</f>
        <v>45.233333335490897</v>
      </c>
      <c r="O48" s="13"/>
      <c r="P48" s="13"/>
      <c r="Q48" s="61"/>
      <c r="R48" s="61"/>
      <c r="T4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09:39:32-0600',mode:absolute,to:'2016-06-18 10:27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8" s="73" t="str">
        <f t="shared" si="16"/>
        <v>N</v>
      </c>
      <c r="V48" s="73">
        <f t="shared" si="17"/>
        <v>1</v>
      </c>
      <c r="W48" s="73">
        <f t="shared" si="18"/>
        <v>4.5999999999999999E-2</v>
      </c>
      <c r="X48" s="73">
        <f t="shared" si="19"/>
        <v>23.3293</v>
      </c>
      <c r="Y48" s="73">
        <f t="shared" si="20"/>
        <v>23.283300000000001</v>
      </c>
      <c r="Z48" s="74" t="e">
        <f>VLOOKUP(A48,Enforcements!$C$15:$J$75,8,0)</f>
        <v>#N/A</v>
      </c>
      <c r="AA48" s="74" t="e">
        <f>VLOOKUP(A48,Enforcements!$C$15:$J$75,3,0)</f>
        <v>#N/A</v>
      </c>
    </row>
    <row r="49" spans="1:27" s="2" customFormat="1" x14ac:dyDescent="0.25">
      <c r="A49" s="60" t="s">
        <v>364</v>
      </c>
      <c r="B49" s="60">
        <v>4043</v>
      </c>
      <c r="C49" s="60" t="s">
        <v>62</v>
      </c>
      <c r="D49" s="60" t="s">
        <v>246</v>
      </c>
      <c r="E49" s="30">
        <v>42539.442106481481</v>
      </c>
      <c r="F49" s="30">
        <v>42539.442916666667</v>
      </c>
      <c r="G49" s="38">
        <v>1</v>
      </c>
      <c r="H49" s="30" t="s">
        <v>248</v>
      </c>
      <c r="I49" s="30">
        <v>42539.472118055557</v>
      </c>
      <c r="J49" s="60">
        <v>0</v>
      </c>
      <c r="K49" s="60" t="str">
        <f t="shared" si="21"/>
        <v>4043/4044</v>
      </c>
      <c r="L49" s="60" t="str">
        <f>VLOOKUP(A49,'Trips&amp;Operators'!$C$1:$E$10000,3,FALSE)</f>
        <v>YORK</v>
      </c>
      <c r="M49" s="12">
        <f t="shared" si="22"/>
        <v>2.920138889021473E-2</v>
      </c>
      <c r="N49" s="13">
        <f>24*60*SUM($M49:$M49)</f>
        <v>42.050000001909211</v>
      </c>
      <c r="O49" s="13"/>
      <c r="P49" s="13"/>
      <c r="Q49" s="61"/>
      <c r="R49" s="61"/>
      <c r="T4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10:35:38-0600',mode:absolute,to:'2016-06-18 11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9" s="73" t="str">
        <f t="shared" si="16"/>
        <v>N</v>
      </c>
      <c r="V49" s="73">
        <f t="shared" si="17"/>
        <v>1</v>
      </c>
      <c r="W49" s="73">
        <f t="shared" si="18"/>
        <v>23.2971</v>
      </c>
      <c r="X49" s="73">
        <f t="shared" si="19"/>
        <v>1.3899999999999999E-2</v>
      </c>
      <c r="Y49" s="73">
        <f t="shared" si="20"/>
        <v>23.283200000000001</v>
      </c>
      <c r="Z49" s="74" t="e">
        <f>VLOOKUP(A49,Enforcements!$C$15:$J$75,8,0)</f>
        <v>#N/A</v>
      </c>
      <c r="AA49" s="74" t="e">
        <f>VLOOKUP(A49,Enforcements!$C$15:$J$75,3,0)</f>
        <v>#N/A</v>
      </c>
    </row>
    <row r="50" spans="1:27" s="2" customFormat="1" x14ac:dyDescent="0.25">
      <c r="A50" s="60" t="s">
        <v>328</v>
      </c>
      <c r="B50" s="60">
        <v>4042</v>
      </c>
      <c r="C50" s="60" t="s">
        <v>62</v>
      </c>
      <c r="D50" s="60" t="s">
        <v>459</v>
      </c>
      <c r="E50" s="30">
        <v>42539.416412037041</v>
      </c>
      <c r="F50" s="30">
        <v>42539.417696759258</v>
      </c>
      <c r="G50" s="38">
        <v>1</v>
      </c>
      <c r="H50" s="30" t="s">
        <v>460</v>
      </c>
      <c r="I50" s="30">
        <v>42539.418263888889</v>
      </c>
      <c r="J50" s="60">
        <v>0</v>
      </c>
      <c r="K50" s="60" t="str">
        <f t="shared" si="21"/>
        <v>4041/4042</v>
      </c>
      <c r="L50" s="60" t="str">
        <f>VLOOKUP(A50,'Trips&amp;Operators'!$C$1:$E$10000,3,FALSE)</f>
        <v>MALAVE</v>
      </c>
      <c r="M50" s="12">
        <f t="shared" si="22"/>
        <v>5.671296312357299E-4</v>
      </c>
      <c r="N50" s="13"/>
      <c r="O50" s="13"/>
      <c r="P50" s="13">
        <f>24*60*SUM($M50:$M50)</f>
        <v>0.81666666897945106</v>
      </c>
      <c r="Q50" s="61"/>
      <c r="R50" s="61" t="s">
        <v>517</v>
      </c>
      <c r="T5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09:58:38-0600',mode:absolute,to:'2016-06-18 10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0" s="73" t="str">
        <f t="shared" si="16"/>
        <v>Y</v>
      </c>
      <c r="V50" s="73">
        <f t="shared" si="17"/>
        <v>1</v>
      </c>
      <c r="W50" s="73">
        <f t="shared" si="18"/>
        <v>0.13150000000000001</v>
      </c>
      <c r="X50" s="73">
        <f t="shared" si="19"/>
        <v>0.30709999999999998</v>
      </c>
      <c r="Y50" s="73">
        <f t="shared" si="20"/>
        <v>0.17559999999999998</v>
      </c>
      <c r="Z50" s="74" t="e">
        <f>VLOOKUP(A50,Enforcements!$C$15:$J$75,8,0)</f>
        <v>#N/A</v>
      </c>
      <c r="AA50" s="74" t="e">
        <f>VLOOKUP(A50,Enforcements!$C$15:$J$75,3,0)</f>
        <v>#N/A</v>
      </c>
    </row>
    <row r="51" spans="1:27" s="2" customFormat="1" x14ac:dyDescent="0.25">
      <c r="A51" s="60" t="s">
        <v>415</v>
      </c>
      <c r="B51" s="60">
        <v>4041</v>
      </c>
      <c r="C51" s="60" t="s">
        <v>62</v>
      </c>
      <c r="D51" s="60" t="s">
        <v>241</v>
      </c>
      <c r="E51" s="30">
        <v>42539.454259259262</v>
      </c>
      <c r="F51" s="30">
        <v>42539.454872685186</v>
      </c>
      <c r="G51" s="38">
        <v>0</v>
      </c>
      <c r="H51" s="30" t="s">
        <v>461</v>
      </c>
      <c r="I51" s="30">
        <v>42539.482141203705</v>
      </c>
      <c r="J51" s="60">
        <v>0</v>
      </c>
      <c r="K51" s="60" t="str">
        <f t="shared" si="21"/>
        <v>4041/4042</v>
      </c>
      <c r="L51" s="60" t="str">
        <f>VLOOKUP(A51,'Trips&amp;Operators'!$C$1:$E$10000,3,FALSE)</f>
        <v>MALAVE</v>
      </c>
      <c r="M51" s="12">
        <f t="shared" si="22"/>
        <v>2.7268518519122154E-2</v>
      </c>
      <c r="N51" s="13">
        <f t="shared" ref="N51:N57" si="23">24*60*SUM($M51:$M51)</f>
        <v>39.266666667535901</v>
      </c>
      <c r="O51" s="13"/>
      <c r="P51" s="13"/>
      <c r="Q51" s="61"/>
      <c r="R51" s="61"/>
      <c r="T5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10:53:08-0600',mode:absolute,to:'2016-06-18 11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1" s="73" t="str">
        <f t="shared" si="16"/>
        <v>N</v>
      </c>
      <c r="V51" s="73">
        <f t="shared" si="17"/>
        <v>1</v>
      </c>
      <c r="W51" s="73">
        <f t="shared" si="18"/>
        <v>23.297899999999998</v>
      </c>
      <c r="X51" s="73">
        <f t="shared" si="19"/>
        <v>1.43E-2</v>
      </c>
      <c r="Y51" s="73">
        <f t="shared" si="20"/>
        <v>23.2836</v>
      </c>
      <c r="Z51" s="74">
        <f>VLOOKUP(A51,Enforcements!$C$15:$J$75,8,0)</f>
        <v>1</v>
      </c>
      <c r="AA51" s="74" t="str">
        <f>VLOOKUP(A51,Enforcements!$C$15:$J$75,3,0)</f>
        <v>TRACK WARRANT AUTHORITY</v>
      </c>
    </row>
    <row r="52" spans="1:27" s="2" customFormat="1" x14ac:dyDescent="0.25">
      <c r="A52" s="60" t="s">
        <v>317</v>
      </c>
      <c r="B52" s="60">
        <v>4040</v>
      </c>
      <c r="C52" s="60" t="s">
        <v>62</v>
      </c>
      <c r="D52" s="60" t="s">
        <v>90</v>
      </c>
      <c r="E52" s="30">
        <v>42539.424293981479</v>
      </c>
      <c r="F52" s="30">
        <v>42539.426076388889</v>
      </c>
      <c r="G52" s="38">
        <v>2</v>
      </c>
      <c r="H52" s="30" t="s">
        <v>462</v>
      </c>
      <c r="I52" s="30">
        <v>42539.453472222223</v>
      </c>
      <c r="J52" s="60">
        <v>1</v>
      </c>
      <c r="K52" s="60" t="str">
        <f t="shared" si="21"/>
        <v>4039/4040</v>
      </c>
      <c r="L52" s="60" t="str">
        <f>VLOOKUP(A52,'Trips&amp;Operators'!$C$1:$E$10000,3,FALSE)</f>
        <v>ACKERMAN</v>
      </c>
      <c r="M52" s="12">
        <f t="shared" si="22"/>
        <v>2.7395833334594499E-2</v>
      </c>
      <c r="N52" s="13">
        <f t="shared" si="23"/>
        <v>39.450000001816079</v>
      </c>
      <c r="O52" s="13"/>
      <c r="P52" s="13"/>
      <c r="Q52" s="61"/>
      <c r="R52" s="61"/>
      <c r="T5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10:09:59-0600',mode:absolute,to:'2016-06-18 10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3" t="str">
        <f t="shared" si="16"/>
        <v>N</v>
      </c>
      <c r="V52" s="73">
        <f t="shared" si="17"/>
        <v>1</v>
      </c>
      <c r="W52" s="73">
        <f t="shared" si="18"/>
        <v>4.53E-2</v>
      </c>
      <c r="X52" s="73">
        <f t="shared" si="19"/>
        <v>23.331800000000001</v>
      </c>
      <c r="Y52" s="73">
        <f t="shared" si="20"/>
        <v>23.2865</v>
      </c>
      <c r="Z52" s="74">
        <f>VLOOKUP(A52,Enforcements!$C$15:$J$75,8,0)</f>
        <v>149694</v>
      </c>
      <c r="AA52" s="74" t="str">
        <f>VLOOKUP(A52,Enforcements!$C$15:$J$75,3,0)</f>
        <v>SIGNAL</v>
      </c>
    </row>
    <row r="53" spans="1:27" s="2" customFormat="1" x14ac:dyDescent="0.25">
      <c r="A53" s="60" t="s">
        <v>379</v>
      </c>
      <c r="B53" s="60">
        <v>4039</v>
      </c>
      <c r="C53" s="60" t="s">
        <v>62</v>
      </c>
      <c r="D53" s="60" t="s">
        <v>243</v>
      </c>
      <c r="E53" s="30">
        <v>42539.46056712963</v>
      </c>
      <c r="F53" s="30">
        <v>42539.461597222224</v>
      </c>
      <c r="G53" s="38">
        <v>1</v>
      </c>
      <c r="H53" s="30" t="s">
        <v>248</v>
      </c>
      <c r="I53" s="30">
        <v>42539.492256944446</v>
      </c>
      <c r="J53" s="60">
        <v>0</v>
      </c>
      <c r="K53" s="60" t="str">
        <f t="shared" si="21"/>
        <v>4039/4040</v>
      </c>
      <c r="L53" s="60" t="str">
        <f>VLOOKUP(A53,'Trips&amp;Operators'!$C$1:$E$10000,3,FALSE)</f>
        <v>ACKERMAN</v>
      </c>
      <c r="M53" s="12">
        <f t="shared" si="22"/>
        <v>3.0659722222480923E-2</v>
      </c>
      <c r="N53" s="13">
        <f t="shared" si="23"/>
        <v>44.150000000372529</v>
      </c>
      <c r="O53" s="13"/>
      <c r="P53" s="13"/>
      <c r="Q53" s="61"/>
      <c r="R53" s="61"/>
      <c r="T5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11:02:13-0600',mode:absolute,to:'2016-06-18 11:49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3" t="str">
        <f t="shared" si="16"/>
        <v>N</v>
      </c>
      <c r="V53" s="73">
        <f t="shared" si="17"/>
        <v>1</v>
      </c>
      <c r="W53" s="73">
        <f t="shared" si="18"/>
        <v>23.299800000000001</v>
      </c>
      <c r="X53" s="73">
        <f t="shared" si="19"/>
        <v>1.3899999999999999E-2</v>
      </c>
      <c r="Y53" s="73">
        <f t="shared" si="20"/>
        <v>23.285900000000002</v>
      </c>
      <c r="Z53" s="74" t="e">
        <f>VLOOKUP(A53,Enforcements!$C$15:$J$75,8,0)</f>
        <v>#N/A</v>
      </c>
      <c r="AA53" s="74" t="e">
        <f>VLOOKUP(A53,Enforcements!$C$15:$J$75,3,0)</f>
        <v>#N/A</v>
      </c>
    </row>
    <row r="54" spans="1:27" s="2" customFormat="1" x14ac:dyDescent="0.25">
      <c r="A54" s="60" t="s">
        <v>326</v>
      </c>
      <c r="B54" s="60">
        <v>4029</v>
      </c>
      <c r="C54" s="60" t="s">
        <v>62</v>
      </c>
      <c r="D54" s="60" t="s">
        <v>463</v>
      </c>
      <c r="E54" s="30">
        <v>42539.43472222222</v>
      </c>
      <c r="F54" s="30">
        <v>42539.435983796298</v>
      </c>
      <c r="G54" s="38">
        <v>1</v>
      </c>
      <c r="H54" s="30" t="s">
        <v>464</v>
      </c>
      <c r="I54" s="30">
        <v>42539.464456018519</v>
      </c>
      <c r="J54" s="60">
        <v>0</v>
      </c>
      <c r="K54" s="60" t="str">
        <f t="shared" si="21"/>
        <v>4029/4030</v>
      </c>
      <c r="L54" s="60" t="str">
        <f>VLOOKUP(A54,'Trips&amp;Operators'!$C$1:$E$10000,3,FALSE)</f>
        <v>GEBRETEKLE</v>
      </c>
      <c r="M54" s="12">
        <f t="shared" si="22"/>
        <v>2.8472222220443655E-2</v>
      </c>
      <c r="N54" s="13">
        <f t="shared" si="23"/>
        <v>40.999999997438863</v>
      </c>
      <c r="O54" s="13"/>
      <c r="P54" s="13"/>
      <c r="Q54" s="61"/>
      <c r="R54" s="61"/>
      <c r="T5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10:25:00-0600',mode:absolute,to:'2016-06-18 11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4" s="73" t="str">
        <f t="shared" si="16"/>
        <v>N</v>
      </c>
      <c r="V54" s="73">
        <f t="shared" si="17"/>
        <v>1</v>
      </c>
      <c r="W54" s="73">
        <f t="shared" si="18"/>
        <v>5.0599999999999999E-2</v>
      </c>
      <c r="X54" s="73">
        <f t="shared" si="19"/>
        <v>23.3276</v>
      </c>
      <c r="Y54" s="73">
        <f t="shared" si="20"/>
        <v>23.277000000000001</v>
      </c>
      <c r="Z54" s="74" t="e">
        <f>VLOOKUP(A54,Enforcements!$C$15:$J$75,8,0)</f>
        <v>#N/A</v>
      </c>
      <c r="AA54" s="74" t="e">
        <f>VLOOKUP(A54,Enforcements!$C$15:$J$75,3,0)</f>
        <v>#N/A</v>
      </c>
    </row>
    <row r="55" spans="1:27" s="2" customFormat="1" x14ac:dyDescent="0.25">
      <c r="A55" s="60" t="s">
        <v>397</v>
      </c>
      <c r="B55" s="60">
        <v>4030</v>
      </c>
      <c r="C55" s="60" t="s">
        <v>62</v>
      </c>
      <c r="D55" s="60" t="s">
        <v>439</v>
      </c>
      <c r="E55" s="30">
        <v>42539.472905092596</v>
      </c>
      <c r="F55" s="30">
        <v>42539.473796296297</v>
      </c>
      <c r="G55" s="38">
        <v>1</v>
      </c>
      <c r="H55" s="30" t="s">
        <v>65</v>
      </c>
      <c r="I55" s="30">
        <v>42539.503159722219</v>
      </c>
      <c r="J55" s="60">
        <v>0</v>
      </c>
      <c r="K55" s="60" t="str">
        <f t="shared" si="21"/>
        <v>4029/4030</v>
      </c>
      <c r="L55" s="60" t="str">
        <f>VLOOKUP(A55,'Trips&amp;Operators'!$C$1:$E$10000,3,FALSE)</f>
        <v>GEBRETEKLE</v>
      </c>
      <c r="M55" s="12">
        <f t="shared" si="22"/>
        <v>2.9363425921474118E-2</v>
      </c>
      <c r="N55" s="13">
        <f t="shared" si="23"/>
        <v>42.28333332692273</v>
      </c>
      <c r="O55" s="13"/>
      <c r="P55" s="13"/>
      <c r="Q55" s="61"/>
      <c r="R55" s="61"/>
      <c r="T5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11:19:59-0600',mode:absolute,to:'2016-06-18 12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5" s="73" t="str">
        <f t="shared" si="16"/>
        <v>N</v>
      </c>
      <c r="V55" s="73">
        <f t="shared" si="17"/>
        <v>1</v>
      </c>
      <c r="W55" s="73">
        <f t="shared" si="18"/>
        <v>23.297599999999999</v>
      </c>
      <c r="X55" s="73">
        <f t="shared" si="19"/>
        <v>1.52E-2</v>
      </c>
      <c r="Y55" s="73">
        <f t="shared" si="20"/>
        <v>23.282399999999999</v>
      </c>
      <c r="Z55" s="74" t="e">
        <f>VLOOKUP(A55,Enforcements!$C$15:$J$75,8,0)</f>
        <v>#N/A</v>
      </c>
      <c r="AA55" s="74" t="e">
        <f>VLOOKUP(A55,Enforcements!$C$15:$J$75,3,0)</f>
        <v>#N/A</v>
      </c>
    </row>
    <row r="56" spans="1:27" s="2" customFormat="1" x14ac:dyDescent="0.25">
      <c r="A56" s="60" t="s">
        <v>308</v>
      </c>
      <c r="B56" s="60">
        <v>4018</v>
      </c>
      <c r="C56" s="60" t="s">
        <v>62</v>
      </c>
      <c r="D56" s="60" t="s">
        <v>99</v>
      </c>
      <c r="E56" s="30">
        <v>42539.441481481481</v>
      </c>
      <c r="F56" s="30">
        <v>42539.442361111112</v>
      </c>
      <c r="G56" s="38">
        <v>1</v>
      </c>
      <c r="H56" s="30" t="s">
        <v>96</v>
      </c>
      <c r="I56" s="30">
        <v>42539.47351851852</v>
      </c>
      <c r="J56" s="60">
        <v>2</v>
      </c>
      <c r="K56" s="60" t="str">
        <f t="shared" si="21"/>
        <v>4017/4018</v>
      </c>
      <c r="L56" s="60" t="str">
        <f>VLOOKUP(A56,'Trips&amp;Operators'!$C$1:$E$10000,3,FALSE)</f>
        <v>BRANNON</v>
      </c>
      <c r="M56" s="12">
        <f t="shared" si="22"/>
        <v>3.1157407407590654E-2</v>
      </c>
      <c r="N56" s="13">
        <f t="shared" si="23"/>
        <v>44.866666666930541</v>
      </c>
      <c r="O56" s="13"/>
      <c r="P56" s="13"/>
      <c r="Q56" s="61"/>
      <c r="R56" s="61"/>
      <c r="T5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10:34:44-0600',mode:absolute,to:'2016-06-18 11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3" t="str">
        <f t="shared" si="16"/>
        <v>N</v>
      </c>
      <c r="V56" s="73">
        <f t="shared" si="17"/>
        <v>1</v>
      </c>
      <c r="W56" s="73">
        <f t="shared" si="18"/>
        <v>4.58E-2</v>
      </c>
      <c r="X56" s="73">
        <f t="shared" si="19"/>
        <v>23.329899999999999</v>
      </c>
      <c r="Y56" s="73">
        <f t="shared" si="20"/>
        <v>23.284099999999999</v>
      </c>
      <c r="Z56" s="74">
        <f>VLOOKUP(A56,Enforcements!$C$15:$J$75,8,0)</f>
        <v>183829</v>
      </c>
      <c r="AA56" s="74" t="str">
        <f>VLOOKUP(A56,Enforcements!$C$15:$J$75,3,0)</f>
        <v>PERMANENT SPEED RESTRICTION</v>
      </c>
    </row>
    <row r="57" spans="1:27" s="2" customFormat="1" x14ac:dyDescent="0.25">
      <c r="A57" s="60" t="s">
        <v>368</v>
      </c>
      <c r="B57" s="60">
        <v>4017</v>
      </c>
      <c r="C57" s="60" t="s">
        <v>62</v>
      </c>
      <c r="D57" s="60" t="s">
        <v>465</v>
      </c>
      <c r="E57" s="30">
        <v>42539.485879629632</v>
      </c>
      <c r="F57" s="30">
        <v>42539.486493055556</v>
      </c>
      <c r="G57" s="38">
        <v>0</v>
      </c>
      <c r="H57" s="30" t="s">
        <v>248</v>
      </c>
      <c r="I57" s="30">
        <v>42539.513020833336</v>
      </c>
      <c r="J57" s="60">
        <v>0</v>
      </c>
      <c r="K57" s="60" t="str">
        <f t="shared" si="21"/>
        <v>4017/4018</v>
      </c>
      <c r="L57" s="60" t="str">
        <f>VLOOKUP(A57,'Trips&amp;Operators'!$C$1:$E$10000,3,FALSE)</f>
        <v>BRANNON</v>
      </c>
      <c r="M57" s="12">
        <f t="shared" si="22"/>
        <v>2.6527777779847383E-2</v>
      </c>
      <c r="N57" s="13">
        <f t="shared" si="23"/>
        <v>38.200000002980232</v>
      </c>
      <c r="O57" s="13"/>
      <c r="P57" s="13"/>
      <c r="Q57" s="61"/>
      <c r="R57" s="61"/>
      <c r="T5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11:38:40-0600',mode:absolute,to:'2016-06-18 12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3" t="str">
        <f t="shared" si="16"/>
        <v>N</v>
      </c>
      <c r="V57" s="73">
        <f t="shared" si="17"/>
        <v>1</v>
      </c>
      <c r="W57" s="73">
        <f t="shared" si="18"/>
        <v>23.2986</v>
      </c>
      <c r="X57" s="73">
        <f t="shared" si="19"/>
        <v>1.3899999999999999E-2</v>
      </c>
      <c r="Y57" s="73">
        <f t="shared" si="20"/>
        <v>23.284700000000001</v>
      </c>
      <c r="Z57" s="74" t="e">
        <f>VLOOKUP(A57,Enforcements!$C$15:$J$75,8,0)</f>
        <v>#N/A</v>
      </c>
      <c r="AA57" s="74" t="e">
        <f>VLOOKUP(A57,Enforcements!$C$15:$J$75,3,0)</f>
        <v>#N/A</v>
      </c>
    </row>
    <row r="58" spans="1:27" s="2" customFormat="1" x14ac:dyDescent="0.25">
      <c r="A58" s="60" t="s">
        <v>414</v>
      </c>
      <c r="B58" s="60">
        <v>4024</v>
      </c>
      <c r="C58" s="60" t="s">
        <v>62</v>
      </c>
      <c r="D58" s="60" t="s">
        <v>82</v>
      </c>
      <c r="E58" s="30">
        <v>42539.467534722222</v>
      </c>
      <c r="F58" s="30">
        <v>42539.469039351854</v>
      </c>
      <c r="G58" s="38">
        <v>2</v>
      </c>
      <c r="H58" s="30" t="s">
        <v>466</v>
      </c>
      <c r="I58" s="30">
        <v>42539.470335648148</v>
      </c>
      <c r="J58" s="60">
        <v>0</v>
      </c>
      <c r="K58" s="60" t="str">
        <f t="shared" si="21"/>
        <v>4023/4024</v>
      </c>
      <c r="L58" s="60" t="str">
        <f>VLOOKUP(A58,'Trips&amp;Operators'!$C$1:$E$10000,3,FALSE)</f>
        <v>RIVERA</v>
      </c>
      <c r="M58" s="12">
        <f t="shared" si="22"/>
        <v>1.2962962937308475E-3</v>
      </c>
      <c r="N58" s="13"/>
      <c r="O58" s="13"/>
      <c r="P58" s="13">
        <f>24*60*SUM($M58:$M58)</f>
        <v>1.8666666629724205</v>
      </c>
      <c r="Q58" s="61"/>
      <c r="R58" s="61" t="s">
        <v>518</v>
      </c>
      <c r="T5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11:12:15-0600',mode:absolute,to:'2016-06-18 11:18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3" t="str">
        <f t="shared" si="16"/>
        <v>Y</v>
      </c>
      <c r="V58" s="73">
        <f t="shared" si="17"/>
        <v>3</v>
      </c>
      <c r="W58" s="73">
        <f t="shared" si="18"/>
        <v>4.5699999999999998E-2</v>
      </c>
      <c r="X58" s="73">
        <f t="shared" si="19"/>
        <v>0.41160000000000002</v>
      </c>
      <c r="Y58" s="73">
        <f t="shared" si="20"/>
        <v>0.3659</v>
      </c>
      <c r="Z58" s="74" t="e">
        <f>VLOOKUP(A58,Enforcements!$C$15:$J$75,8,0)</f>
        <v>#N/A</v>
      </c>
      <c r="AA58" s="74" t="e">
        <f>VLOOKUP(A58,Enforcements!$C$15:$J$75,3,0)</f>
        <v>#N/A</v>
      </c>
    </row>
    <row r="59" spans="1:27" s="2" customFormat="1" x14ac:dyDescent="0.25">
      <c r="A59" s="60" t="s">
        <v>347</v>
      </c>
      <c r="B59" s="60">
        <v>4023</v>
      </c>
      <c r="C59" s="60" t="s">
        <v>62</v>
      </c>
      <c r="D59" s="60" t="s">
        <v>432</v>
      </c>
      <c r="E59" s="30">
        <v>42539.50277777778</v>
      </c>
      <c r="F59" s="30">
        <v>42539.503912037035</v>
      </c>
      <c r="G59" s="38">
        <v>1</v>
      </c>
      <c r="H59" s="30" t="s">
        <v>84</v>
      </c>
      <c r="I59" s="30">
        <v>42539.533738425926</v>
      </c>
      <c r="J59" s="60">
        <v>0</v>
      </c>
      <c r="K59" s="60" t="str">
        <f t="shared" si="21"/>
        <v>4023/4024</v>
      </c>
      <c r="L59" s="60" t="str">
        <f>VLOOKUP(A59,'Trips&amp;Operators'!$C$1:$E$10000,3,FALSE)</f>
        <v>RIVERA</v>
      </c>
      <c r="M59" s="12">
        <f t="shared" si="22"/>
        <v>2.9826388890796807E-2</v>
      </c>
      <c r="N59" s="13">
        <f t="shared" ref="N59:N64" si="24">24*60*SUM($M59:$M59)</f>
        <v>42.950000002747402</v>
      </c>
      <c r="O59" s="13"/>
      <c r="P59" s="13"/>
      <c r="Q59" s="61"/>
      <c r="R59" s="61"/>
      <c r="T5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12:03:00-0600',mode:absolute,to:'2016-06-18 12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3" t="str">
        <f t="shared" si="16"/>
        <v>N</v>
      </c>
      <c r="V59" s="73">
        <f t="shared" si="17"/>
        <v>1</v>
      </c>
      <c r="W59" s="73">
        <f t="shared" si="18"/>
        <v>23.2988</v>
      </c>
      <c r="X59" s="73">
        <f t="shared" si="19"/>
        <v>1.41E-2</v>
      </c>
      <c r="Y59" s="73">
        <f t="shared" si="20"/>
        <v>23.284700000000001</v>
      </c>
      <c r="Z59" s="74" t="e">
        <f>VLOOKUP(A59,Enforcements!$C$15:$J$75,8,0)</f>
        <v>#N/A</v>
      </c>
      <c r="AA59" s="74" t="e">
        <f>VLOOKUP(A59,Enforcements!$C$15:$J$75,3,0)</f>
        <v>#N/A</v>
      </c>
    </row>
    <row r="60" spans="1:27" s="2" customFormat="1" x14ac:dyDescent="0.25">
      <c r="A60" s="60" t="s">
        <v>274</v>
      </c>
      <c r="B60" s="60">
        <v>4044</v>
      </c>
      <c r="C60" s="60" t="s">
        <v>62</v>
      </c>
      <c r="D60" s="60" t="s">
        <v>256</v>
      </c>
      <c r="E60" s="30">
        <v>42539.476076388892</v>
      </c>
      <c r="F60" s="30">
        <v>42539.477060185185</v>
      </c>
      <c r="G60" s="38">
        <v>1</v>
      </c>
      <c r="H60" s="30" t="s">
        <v>467</v>
      </c>
      <c r="I60" s="30">
        <v>42539.50577546296</v>
      </c>
      <c r="J60" s="60">
        <v>1</v>
      </c>
      <c r="K60" s="60" t="str">
        <f t="shared" si="21"/>
        <v>4043/4044</v>
      </c>
      <c r="L60" s="60" t="str">
        <f>VLOOKUP(A60,'Trips&amp;Operators'!$C$1:$E$10000,3,FALSE)</f>
        <v>BONDS</v>
      </c>
      <c r="M60" s="12">
        <f t="shared" si="22"/>
        <v>2.8715277774608694E-2</v>
      </c>
      <c r="N60" s="13">
        <f t="shared" si="24"/>
        <v>41.349999995436519</v>
      </c>
      <c r="O60" s="13"/>
      <c r="P60" s="13"/>
      <c r="Q60" s="61"/>
      <c r="R60" s="61"/>
      <c r="T6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11:24:33-0600',mode:absolute,to:'2016-06-18 12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0" s="73" t="str">
        <f t="shared" si="16"/>
        <v>N</v>
      </c>
      <c r="V60" s="73">
        <f t="shared" si="17"/>
        <v>1</v>
      </c>
      <c r="W60" s="73">
        <f t="shared" si="18"/>
        <v>4.5499999999999999E-2</v>
      </c>
      <c r="X60" s="73">
        <f t="shared" si="19"/>
        <v>23.3325</v>
      </c>
      <c r="Y60" s="73">
        <f t="shared" si="20"/>
        <v>23.286999999999999</v>
      </c>
      <c r="Z60" s="74" t="e">
        <f>VLOOKUP(A60,Enforcements!$C$15:$J$75,8,0)</f>
        <v>#N/A</v>
      </c>
      <c r="AA60" s="74" t="e">
        <f>VLOOKUP(A60,Enforcements!$C$15:$J$75,3,0)</f>
        <v>#N/A</v>
      </c>
    </row>
    <row r="61" spans="1:27" s="2" customFormat="1" x14ac:dyDescent="0.25">
      <c r="A61" s="60" t="s">
        <v>400</v>
      </c>
      <c r="B61" s="60">
        <v>4043</v>
      </c>
      <c r="C61" s="60" t="s">
        <v>62</v>
      </c>
      <c r="D61" s="60" t="s">
        <v>468</v>
      </c>
      <c r="E61" s="30">
        <v>42539.511793981481</v>
      </c>
      <c r="F61" s="30">
        <v>42539.512824074074</v>
      </c>
      <c r="G61" s="38">
        <v>1</v>
      </c>
      <c r="H61" s="30" t="s">
        <v>244</v>
      </c>
      <c r="I61" s="30">
        <v>42539.545428240737</v>
      </c>
      <c r="J61" s="60">
        <v>0</v>
      </c>
      <c r="K61" s="60" t="str">
        <f t="shared" si="21"/>
        <v>4043/4044</v>
      </c>
      <c r="L61" s="60" t="str">
        <f>VLOOKUP(A61,'Trips&amp;Operators'!$C$1:$E$10000,3,FALSE)</f>
        <v>BONDS</v>
      </c>
      <c r="M61" s="12">
        <f t="shared" si="22"/>
        <v>3.2604166663077194E-2</v>
      </c>
      <c r="N61" s="13">
        <f t="shared" si="24"/>
        <v>46.94999999483116</v>
      </c>
      <c r="O61" s="13"/>
      <c r="P61" s="13"/>
      <c r="Q61" s="61"/>
      <c r="R61" s="61"/>
      <c r="T6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12:15:59-0600',mode:absolute,to:'2016-06-18 13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1" s="73" t="str">
        <f t="shared" si="16"/>
        <v>N</v>
      </c>
      <c r="V61" s="73">
        <f t="shared" si="17"/>
        <v>1</v>
      </c>
      <c r="W61" s="73">
        <f t="shared" si="18"/>
        <v>23.304200000000002</v>
      </c>
      <c r="X61" s="73">
        <f t="shared" si="19"/>
        <v>1.6299999999999999E-2</v>
      </c>
      <c r="Y61" s="73">
        <f t="shared" si="20"/>
        <v>23.2879</v>
      </c>
      <c r="Z61" s="74" t="e">
        <f>VLOOKUP(A61,Enforcements!$C$15:$J$75,8,0)</f>
        <v>#N/A</v>
      </c>
      <c r="AA61" s="74" t="e">
        <f>VLOOKUP(A61,Enforcements!$C$15:$J$75,3,0)</f>
        <v>#N/A</v>
      </c>
    </row>
    <row r="62" spans="1:27" s="2" customFormat="1" x14ac:dyDescent="0.25">
      <c r="A62" s="60" t="s">
        <v>275</v>
      </c>
      <c r="B62" s="60">
        <v>4042</v>
      </c>
      <c r="C62" s="60" t="s">
        <v>62</v>
      </c>
      <c r="D62" s="60" t="s">
        <v>90</v>
      </c>
      <c r="E62" s="30">
        <v>42539.487754629627</v>
      </c>
      <c r="F62" s="30">
        <v>42539.48846064815</v>
      </c>
      <c r="G62" s="38">
        <v>1</v>
      </c>
      <c r="H62" s="30" t="s">
        <v>469</v>
      </c>
      <c r="I62" s="30">
        <v>42539.515335648146</v>
      </c>
      <c r="J62" s="60">
        <v>1</v>
      </c>
      <c r="K62" s="60" t="str">
        <f t="shared" si="21"/>
        <v>4041/4042</v>
      </c>
      <c r="L62" s="60" t="str">
        <f>VLOOKUP(A62,'Trips&amp;Operators'!$C$1:$E$10000,3,FALSE)</f>
        <v>LOCKLEAR</v>
      </c>
      <c r="M62" s="12">
        <f t="shared" si="22"/>
        <v>2.6874999995925464E-2</v>
      </c>
      <c r="N62" s="13">
        <f t="shared" si="24"/>
        <v>38.699999994132668</v>
      </c>
      <c r="O62" s="13"/>
      <c r="P62" s="13"/>
      <c r="Q62" s="61"/>
      <c r="R62" s="61"/>
      <c r="T6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11:41:22-0600',mode:absolute,to:'2016-06-18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2" s="73" t="str">
        <f t="shared" si="16"/>
        <v>N</v>
      </c>
      <c r="V62" s="73">
        <f t="shared" si="17"/>
        <v>1</v>
      </c>
      <c r="W62" s="73">
        <f t="shared" si="18"/>
        <v>4.53E-2</v>
      </c>
      <c r="X62" s="73">
        <f t="shared" si="19"/>
        <v>23.3414</v>
      </c>
      <c r="Y62" s="73">
        <f t="shared" si="20"/>
        <v>23.296099999999999</v>
      </c>
      <c r="Z62" s="74">
        <f>VLOOKUP(A62,Enforcements!$C$15:$J$75,8,0)</f>
        <v>233491</v>
      </c>
      <c r="AA62" s="74" t="str">
        <f>VLOOKUP(A62,Enforcements!$C$15:$J$75,3,0)</f>
        <v>TRACK WARRANT AUTHORITY</v>
      </c>
    </row>
    <row r="63" spans="1:27" s="2" customFormat="1" x14ac:dyDescent="0.25">
      <c r="A63" s="60" t="s">
        <v>413</v>
      </c>
      <c r="B63" s="60">
        <v>4041</v>
      </c>
      <c r="C63" s="60" t="s">
        <v>62</v>
      </c>
      <c r="D63" s="60" t="s">
        <v>470</v>
      </c>
      <c r="E63" s="30">
        <v>42539.526030092595</v>
      </c>
      <c r="F63" s="30">
        <v>42539.526909722219</v>
      </c>
      <c r="G63" s="38">
        <v>1</v>
      </c>
      <c r="H63" s="30" t="s">
        <v>449</v>
      </c>
      <c r="I63" s="30">
        <v>42539.555474537039</v>
      </c>
      <c r="J63" s="60">
        <v>0</v>
      </c>
      <c r="K63" s="60" t="str">
        <f t="shared" si="21"/>
        <v>4041/4042</v>
      </c>
      <c r="L63" s="60" t="str">
        <f>VLOOKUP(A63,'Trips&amp;Operators'!$C$1:$E$10000,3,FALSE)</f>
        <v>LOCKLEAR</v>
      </c>
      <c r="M63" s="12">
        <f t="shared" si="22"/>
        <v>2.8564814820128959E-2</v>
      </c>
      <c r="N63" s="13">
        <f t="shared" si="24"/>
        <v>41.1333333409857</v>
      </c>
      <c r="O63" s="13"/>
      <c r="P63" s="13"/>
      <c r="Q63" s="61"/>
      <c r="R63" s="61"/>
      <c r="T6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12:36:29-0600',mode:absolute,to:'2016-06-18 13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3" s="73" t="str">
        <f t="shared" si="16"/>
        <v>N</v>
      </c>
      <c r="V63" s="73">
        <f t="shared" si="17"/>
        <v>1</v>
      </c>
      <c r="W63" s="73">
        <f t="shared" si="18"/>
        <v>23.3111</v>
      </c>
      <c r="X63" s="73">
        <f t="shared" si="19"/>
        <v>1.4999999999999999E-2</v>
      </c>
      <c r="Y63" s="73">
        <f t="shared" si="20"/>
        <v>23.296099999999999</v>
      </c>
      <c r="Z63" s="74" t="e">
        <f>VLOOKUP(A63,Enforcements!$C$15:$J$75,8,0)</f>
        <v>#N/A</v>
      </c>
      <c r="AA63" s="74" t="e">
        <f>VLOOKUP(A63,Enforcements!$C$15:$J$75,3,0)</f>
        <v>#N/A</v>
      </c>
    </row>
    <row r="64" spans="1:27" s="2" customFormat="1" x14ac:dyDescent="0.25">
      <c r="A64" s="60" t="s">
        <v>366</v>
      </c>
      <c r="B64" s="60">
        <v>4040</v>
      </c>
      <c r="C64" s="60" t="s">
        <v>62</v>
      </c>
      <c r="D64" s="60" t="s">
        <v>64</v>
      </c>
      <c r="E64" s="30">
        <v>42539.495856481481</v>
      </c>
      <c r="F64" s="30">
        <v>42539.496817129628</v>
      </c>
      <c r="G64" s="38">
        <v>1</v>
      </c>
      <c r="H64" s="30" t="s">
        <v>94</v>
      </c>
      <c r="I64" s="30">
        <v>42539.526145833333</v>
      </c>
      <c r="J64" s="60">
        <v>1</v>
      </c>
      <c r="K64" s="60" t="str">
        <f t="shared" si="21"/>
        <v>4039/4040</v>
      </c>
      <c r="L64" s="60" t="str">
        <f>VLOOKUP(A64,'Trips&amp;Operators'!$C$1:$E$10000,3,FALSE)</f>
        <v>ACKERMAN</v>
      </c>
      <c r="M64" s="12">
        <f t="shared" si="22"/>
        <v>2.9328703705687076E-2</v>
      </c>
      <c r="N64" s="13">
        <f t="shared" si="24"/>
        <v>42.233333336189389</v>
      </c>
      <c r="O64" s="13"/>
      <c r="P64" s="13"/>
      <c r="Q64" s="61"/>
      <c r="R64" s="61"/>
      <c r="T6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11:53:02-0600',mode:absolute,to:'2016-06-18 12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4" s="73" t="str">
        <f t="shared" si="16"/>
        <v>N</v>
      </c>
      <c r="V64" s="73">
        <f t="shared" si="17"/>
        <v>1</v>
      </c>
      <c r="W64" s="73">
        <f t="shared" si="18"/>
        <v>4.5100000000000001E-2</v>
      </c>
      <c r="X64" s="73">
        <f t="shared" si="19"/>
        <v>23.330400000000001</v>
      </c>
      <c r="Y64" s="73">
        <f t="shared" si="20"/>
        <v>23.285299999999999</v>
      </c>
      <c r="Z64" s="74">
        <f>VLOOKUP(A64,Enforcements!$C$15:$J$75,8,0)</f>
        <v>149694</v>
      </c>
      <c r="AA64" s="74" t="str">
        <f>VLOOKUP(A64,Enforcements!$C$15:$J$75,3,0)</f>
        <v>SIGNAL</v>
      </c>
    </row>
    <row r="65" spans="1:27" s="2" customFormat="1" x14ac:dyDescent="0.25">
      <c r="A65" s="60" t="s">
        <v>375</v>
      </c>
      <c r="B65" s="60">
        <v>4039</v>
      </c>
      <c r="C65" s="60" t="s">
        <v>62</v>
      </c>
      <c r="D65" s="60" t="s">
        <v>167</v>
      </c>
      <c r="E65" s="30">
        <v>42539.531805555554</v>
      </c>
      <c r="F65" s="30">
        <v>42539.532766203702</v>
      </c>
      <c r="G65" s="38">
        <v>1</v>
      </c>
      <c r="H65" s="30" t="s">
        <v>461</v>
      </c>
      <c r="I65" s="30">
        <v>42539.533993055556</v>
      </c>
      <c r="J65" s="60">
        <v>2</v>
      </c>
      <c r="K65" s="60" t="str">
        <f t="shared" si="21"/>
        <v>4039/4040</v>
      </c>
      <c r="L65" s="60" t="str">
        <f>VLOOKUP(A65,'Trips&amp;Operators'!$C$1:$E$10000,3,FALSE)</f>
        <v>ACKERMAN</v>
      </c>
      <c r="M65" s="12">
        <f t="shared" si="22"/>
        <v>1.2268518548808061E-3</v>
      </c>
      <c r="N65" s="13"/>
      <c r="O65" s="13"/>
      <c r="P65" s="13">
        <f>24*60*SUM($M65:$M65)</f>
        <v>1.7666666710283607</v>
      </c>
      <c r="Q65" s="61"/>
      <c r="R65" s="61" t="s">
        <v>517</v>
      </c>
      <c r="T6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https://search-rtdc-monitor-bjffxe2xuh6vdkpspy63sjmuny.us-east-1.es.amazonaws.com/_plugin/kibana/#/discover/Steve-Slow-Train-Analysis-(2080s-and-2083s)?_g=(refreshInterval:(display:Off,section:0,value:0),time:(from:'2016-06-18 12:44:48-0600',mode:absolute,to:'2016-06-18 12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5" s="73" t="str">
        <f t="shared" si="16"/>
        <v>N</v>
      </c>
      <c r="V65" s="73">
        <f t="shared" si="17"/>
        <v>1</v>
      </c>
      <c r="W65" s="73">
        <f t="shared" si="18"/>
        <v>23.298100000000002</v>
      </c>
      <c r="X65" s="73">
        <f t="shared" si="19"/>
        <v>1.43E-2</v>
      </c>
      <c r="Y65" s="73">
        <f t="shared" si="20"/>
        <v>23.283800000000003</v>
      </c>
      <c r="Z65" s="74" t="e">
        <f>VLOOKUP(A65,Enforcements!$C$15:$J$75,8,0)</f>
        <v>#N/A</v>
      </c>
      <c r="AA65" s="74" t="e">
        <f>VLOOKUP(A65,Enforcements!$C$15:$J$75,3,0)</f>
        <v>#N/A</v>
      </c>
    </row>
    <row r="66" spans="1:27" s="2" customFormat="1" x14ac:dyDescent="0.25">
      <c r="A66" s="60" t="s">
        <v>377</v>
      </c>
      <c r="B66" s="60">
        <v>4029</v>
      </c>
      <c r="C66" s="60" t="s">
        <v>62</v>
      </c>
      <c r="D66" s="60" t="s">
        <v>242</v>
      </c>
      <c r="E66" s="30">
        <v>42539.505636574075</v>
      </c>
      <c r="F66" s="30">
        <v>42539.508125</v>
      </c>
      <c r="G66" s="38">
        <v>3</v>
      </c>
      <c r="H66" s="30" t="s">
        <v>194</v>
      </c>
      <c r="I66" s="30">
        <v>42539.537638888891</v>
      </c>
      <c r="J66" s="60">
        <v>0</v>
      </c>
      <c r="K66" s="60" t="str">
        <f t="shared" si="21"/>
        <v>4029/4030</v>
      </c>
      <c r="L66" s="60" t="str">
        <f>VLOOKUP(A66,'Trips&amp;Operators'!$C$1:$E$10000,3,FALSE)</f>
        <v>STEWART</v>
      </c>
      <c r="M66" s="12">
        <f t="shared" si="22"/>
        <v>2.9513888890505768E-2</v>
      </c>
      <c r="N66" s="13">
        <f>24*60*SUM($M66:$M66)</f>
        <v>42.500000002328306</v>
      </c>
      <c r="O66" s="13"/>
      <c r="P66" s="13"/>
      <c r="Q66" s="61"/>
      <c r="R66" s="61"/>
      <c r="T66" s="73" t="str">
        <f t="shared" ref="T66:T125" si="25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https://search-rtdc-monitor-bjffxe2xuh6vdkpspy63sjmuny.us-east-1.es.amazonaws.com/_plugin/kibana/#/discover/Steve-Slow-Train-Analysis-(2080s-and-2083s)?_g=(refreshInterval:(display:Off,section:0,value:0),time:(from:'2016-06-18 12:07:07-0600',mode:absolute,to:'2016-06-18 12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 t="shared" ref="U66:U125" si="26">IF(Y66&lt;23,"Y","N")</f>
        <v>N</v>
      </c>
      <c r="V66" s="73">
        <f t="shared" si="17"/>
        <v>1</v>
      </c>
      <c r="W66" s="73">
        <f t="shared" ref="W66:W125" si="27">RIGHT(D66,LEN(D66)-4)/10000</f>
        <v>4.4200000000000003E-2</v>
      </c>
      <c r="X66" s="73">
        <f t="shared" ref="X66:X125" si="28">RIGHT(H66,LEN(H66)-4)/10000</f>
        <v>23.3309</v>
      </c>
      <c r="Y66" s="73">
        <f t="shared" ref="Y66:Y125" si="29">ABS(X66-W66)</f>
        <v>23.2867</v>
      </c>
      <c r="Z66" s="74" t="e">
        <f>VLOOKUP(A66,Enforcements!$C$15:$J$75,8,0)</f>
        <v>#N/A</v>
      </c>
      <c r="AA66" s="74" t="e">
        <f>VLOOKUP(A66,Enforcements!$C$15:$J$75,3,0)</f>
        <v>#N/A</v>
      </c>
    </row>
    <row r="67" spans="1:27" s="2" customFormat="1" x14ac:dyDescent="0.25">
      <c r="A67" s="60" t="s">
        <v>382</v>
      </c>
      <c r="B67" s="60">
        <v>4030</v>
      </c>
      <c r="C67" s="60" t="s">
        <v>62</v>
      </c>
      <c r="D67" s="60" t="s">
        <v>78</v>
      </c>
      <c r="E67" s="30">
        <v>42539.546400462961</v>
      </c>
      <c r="F67" s="30">
        <v>42539.548194444447</v>
      </c>
      <c r="G67" s="38">
        <v>2</v>
      </c>
      <c r="H67" s="30" t="s">
        <v>93</v>
      </c>
      <c r="I67" s="30">
        <v>42539.578136574077</v>
      </c>
      <c r="J67" s="60">
        <v>0</v>
      </c>
      <c r="K67" s="60" t="str">
        <f t="shared" ref="K67:K98" si="30">IF(ISEVEN(B67),(B67-1)&amp;"/"&amp;B67,B67&amp;"/"&amp;(B67+1))</f>
        <v>4029/4030</v>
      </c>
      <c r="L67" s="60" t="str">
        <f>VLOOKUP(A67,'Trips&amp;Operators'!$C$1:$E$10000,3,FALSE)</f>
        <v>STEWART</v>
      </c>
      <c r="M67" s="12">
        <f t="shared" ref="M67:M98" si="31">I67-F67</f>
        <v>2.99421296294895E-2</v>
      </c>
      <c r="N67" s="13">
        <f>24*60*SUM($M67:$M67)</f>
        <v>43.11666666646488</v>
      </c>
      <c r="O67" s="13"/>
      <c r="P67" s="13"/>
      <c r="Q67" s="61"/>
      <c r="R67" s="61"/>
      <c r="T6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13:05:49-0600',mode:absolute,to:'2016-06-18 13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7" s="73" t="str">
        <f t="shared" si="26"/>
        <v>N</v>
      </c>
      <c r="V67" s="73">
        <f t="shared" si="17"/>
        <v>1</v>
      </c>
      <c r="W67" s="73">
        <f t="shared" si="27"/>
        <v>23.297699999999999</v>
      </c>
      <c r="X67" s="73">
        <f t="shared" si="28"/>
        <v>1.54E-2</v>
      </c>
      <c r="Y67" s="73">
        <f t="shared" si="29"/>
        <v>23.282299999999999</v>
      </c>
      <c r="Z67" s="74" t="e">
        <f>VLOOKUP(A67,Enforcements!$C$15:$J$75,8,0)</f>
        <v>#N/A</v>
      </c>
      <c r="AA67" s="74" t="e">
        <f>VLOOKUP(A67,Enforcements!$C$15:$J$75,3,0)</f>
        <v>#N/A</v>
      </c>
    </row>
    <row r="68" spans="1:27" s="2" customFormat="1" x14ac:dyDescent="0.25">
      <c r="A68" s="60" t="s">
        <v>349</v>
      </c>
      <c r="B68" s="60">
        <v>4018</v>
      </c>
      <c r="C68" s="60" t="s">
        <v>62</v>
      </c>
      <c r="D68" s="60" t="s">
        <v>261</v>
      </c>
      <c r="E68" s="30">
        <v>42539.514155092591</v>
      </c>
      <c r="F68" s="30">
        <v>42539.514756944445</v>
      </c>
      <c r="G68" s="38">
        <v>0</v>
      </c>
      <c r="H68" s="30" t="s">
        <v>444</v>
      </c>
      <c r="I68" s="30">
        <v>42539.546030092592</v>
      </c>
      <c r="J68" s="60">
        <v>1</v>
      </c>
      <c r="K68" s="60" t="str">
        <f t="shared" si="30"/>
        <v>4017/4018</v>
      </c>
      <c r="L68" s="60" t="str">
        <f>VLOOKUP(A68,'Trips&amp;Operators'!$C$1:$E$10000,3,FALSE)</f>
        <v>BRANNON</v>
      </c>
      <c r="M68" s="12">
        <f t="shared" si="31"/>
        <v>3.1273148146283347E-2</v>
      </c>
      <c r="N68" s="13">
        <f>24*60*SUM($M68:$M68)</f>
        <v>45.03333333064802</v>
      </c>
      <c r="O68" s="13"/>
      <c r="P68" s="13"/>
      <c r="Q68" s="61"/>
      <c r="R68" s="61"/>
      <c r="T6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12:19:23-0600',mode:absolute,to:'2016-06-18 13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8" s="73" t="str">
        <f t="shared" si="26"/>
        <v>N</v>
      </c>
      <c r="V68" s="73">
        <f t="shared" si="17"/>
        <v>1</v>
      </c>
      <c r="W68" s="73">
        <f t="shared" si="27"/>
        <v>4.3299999999999998E-2</v>
      </c>
      <c r="X68" s="73">
        <f t="shared" si="28"/>
        <v>23.3306</v>
      </c>
      <c r="Y68" s="73">
        <f t="shared" si="29"/>
        <v>23.287300000000002</v>
      </c>
      <c r="Z68" s="74">
        <f>VLOOKUP(A68,Enforcements!$C$15:$J$75,8,0)</f>
        <v>233491</v>
      </c>
      <c r="AA68" s="74" t="str">
        <f>VLOOKUP(A68,Enforcements!$C$15:$J$75,3,0)</f>
        <v>TRACK WARRANT AUTHORITY</v>
      </c>
    </row>
    <row r="69" spans="1:27" s="2" customFormat="1" x14ac:dyDescent="0.25">
      <c r="A69" s="60" t="s">
        <v>367</v>
      </c>
      <c r="B69" s="60">
        <v>4017</v>
      </c>
      <c r="C69" s="60" t="s">
        <v>62</v>
      </c>
      <c r="D69" s="60" t="s">
        <v>175</v>
      </c>
      <c r="E69" s="30">
        <v>42539.547986111109</v>
      </c>
      <c r="F69" s="30">
        <v>42539.548657407409</v>
      </c>
      <c r="G69" s="38">
        <v>0</v>
      </c>
      <c r="H69" s="30" t="s">
        <v>471</v>
      </c>
      <c r="I69" s="30">
        <v>42539.560694444444</v>
      </c>
      <c r="J69" s="60">
        <v>0</v>
      </c>
      <c r="K69" s="60" t="str">
        <f t="shared" si="30"/>
        <v>4017/4018</v>
      </c>
      <c r="L69" s="60" t="str">
        <f>VLOOKUP(A69,'Trips&amp;Operators'!$C$1:$E$10000,3,FALSE)</f>
        <v>BRANNON</v>
      </c>
      <c r="M69" s="12">
        <f t="shared" si="31"/>
        <v>1.2037037035042886E-2</v>
      </c>
      <c r="N69" s="13"/>
      <c r="O69" s="13"/>
      <c r="P69" s="13">
        <f>24*60*SUM($M69:$M69)</f>
        <v>17.333333330461755</v>
      </c>
      <c r="Q69" s="61"/>
      <c r="R69" s="61" t="s">
        <v>517</v>
      </c>
      <c r="T6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13:08:06-0600',mode:absolute,to:'2016-06-18 13:28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9" s="73" t="str">
        <f t="shared" si="26"/>
        <v>Y</v>
      </c>
      <c r="V69" s="73">
        <f t="shared" si="17"/>
        <v>1</v>
      </c>
      <c r="W69" s="73">
        <f t="shared" si="27"/>
        <v>23.2987</v>
      </c>
      <c r="X69" s="73">
        <f t="shared" si="28"/>
        <v>22.863700000000001</v>
      </c>
      <c r="Y69" s="73">
        <f t="shared" si="29"/>
        <v>0.43499999999999872</v>
      </c>
      <c r="Z69" s="74" t="e">
        <f>VLOOKUP(A69,Enforcements!$C$15:$J$75,8,0)</f>
        <v>#N/A</v>
      </c>
      <c r="AA69" s="74" t="e">
        <f>VLOOKUP(A69,Enforcements!$C$15:$J$75,3,0)</f>
        <v>#N/A</v>
      </c>
    </row>
    <row r="70" spans="1:27" s="2" customFormat="1" x14ac:dyDescent="0.25">
      <c r="A70" s="60" t="s">
        <v>282</v>
      </c>
      <c r="B70" s="60">
        <v>4020</v>
      </c>
      <c r="C70" s="60" t="s">
        <v>62</v>
      </c>
      <c r="D70" s="60" t="s">
        <v>472</v>
      </c>
      <c r="E70" s="30">
        <v>42539.530798611115</v>
      </c>
      <c r="F70" s="30">
        <v>42539.531608796293</v>
      </c>
      <c r="G70" s="38">
        <v>1</v>
      </c>
      <c r="H70" s="30" t="s">
        <v>192</v>
      </c>
      <c r="I70" s="30">
        <v>42539.557916666665</v>
      </c>
      <c r="J70" s="60">
        <v>2</v>
      </c>
      <c r="K70" s="60" t="str">
        <f t="shared" si="30"/>
        <v>4019/4020</v>
      </c>
      <c r="L70" s="60" t="str">
        <f>VLOOKUP(A70,'Trips&amp;Operators'!$C$1:$E$10000,3,FALSE)</f>
        <v>WEBSTER</v>
      </c>
      <c r="M70" s="12">
        <f t="shared" si="31"/>
        <v>2.6307870371965691E-2</v>
      </c>
      <c r="N70" s="13">
        <f>24*60*SUM($M70:$M70)</f>
        <v>37.883333335630596</v>
      </c>
      <c r="O70" s="13"/>
      <c r="P70" s="13"/>
      <c r="Q70" s="61"/>
      <c r="R70" s="61"/>
      <c r="T7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12:43:21-0600',mode:absolute,to:'2016-06-18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0" s="73" t="str">
        <f t="shared" si="26"/>
        <v>N</v>
      </c>
      <c r="V70" s="73">
        <f t="shared" si="17"/>
        <v>1</v>
      </c>
      <c r="W70" s="73">
        <f t="shared" si="27"/>
        <v>3.56E-2</v>
      </c>
      <c r="X70" s="73">
        <f t="shared" si="28"/>
        <v>23.3293</v>
      </c>
      <c r="Y70" s="73">
        <f t="shared" si="29"/>
        <v>23.293700000000001</v>
      </c>
      <c r="Z70" s="74">
        <f>VLOOKUP(A70,Enforcements!$C$15:$J$75,8,0)</f>
        <v>233491</v>
      </c>
      <c r="AA70" s="74" t="str">
        <f>VLOOKUP(A70,Enforcements!$C$15:$J$75,3,0)</f>
        <v>TRACK WARRANT AUTHORITY</v>
      </c>
    </row>
    <row r="71" spans="1:27" s="2" customFormat="1" x14ac:dyDescent="0.25">
      <c r="A71" s="60" t="s">
        <v>302</v>
      </c>
      <c r="B71" s="60">
        <v>4019</v>
      </c>
      <c r="C71" s="60" t="s">
        <v>62</v>
      </c>
      <c r="D71" s="60" t="s">
        <v>92</v>
      </c>
      <c r="E71" s="30">
        <v>42539.564155092594</v>
      </c>
      <c r="F71" s="30">
        <v>42539.566574074073</v>
      </c>
      <c r="G71" s="38">
        <v>3</v>
      </c>
      <c r="H71" s="30" t="s">
        <v>86</v>
      </c>
      <c r="I71" s="30">
        <v>42539.597268518519</v>
      </c>
      <c r="J71" s="60">
        <v>1</v>
      </c>
      <c r="K71" s="60" t="str">
        <f t="shared" si="30"/>
        <v>4019/4020</v>
      </c>
      <c r="L71" s="60" t="str">
        <f>VLOOKUP(A71,'Trips&amp;Operators'!$C$1:$E$10000,3,FALSE)</f>
        <v>WEBSTER</v>
      </c>
      <c r="M71" s="12">
        <f t="shared" si="31"/>
        <v>3.0694444445543922E-2</v>
      </c>
      <c r="N71" s="13">
        <f>24*60*SUM($M71:$M71)</f>
        <v>44.200000001583248</v>
      </c>
      <c r="O71" s="13"/>
      <c r="P71" s="13"/>
      <c r="Q71" s="61"/>
      <c r="R71" s="61"/>
      <c r="T7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13:31:23-0600',mode:absolute,to:'2016-06-18 14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1" s="73" t="str">
        <f t="shared" si="26"/>
        <v>N</v>
      </c>
      <c r="V71" s="73">
        <f t="shared" si="17"/>
        <v>1</v>
      </c>
      <c r="W71" s="73">
        <f t="shared" si="27"/>
        <v>23.297799999999999</v>
      </c>
      <c r="X71" s="73">
        <f t="shared" si="28"/>
        <v>1.49E-2</v>
      </c>
      <c r="Y71" s="73">
        <f t="shared" si="29"/>
        <v>23.282899999999998</v>
      </c>
      <c r="Z71" s="74">
        <f>VLOOKUP(A71,Enforcements!$C$15:$J$75,8,0)</f>
        <v>1</v>
      </c>
      <c r="AA71" s="74" t="str">
        <f>VLOOKUP(A71,Enforcements!$C$15:$J$75,3,0)</f>
        <v>TRACK WARRANT AUTHORITY</v>
      </c>
    </row>
    <row r="72" spans="1:27" s="2" customFormat="1" x14ac:dyDescent="0.25">
      <c r="A72" s="60" t="s">
        <v>373</v>
      </c>
      <c r="B72" s="60">
        <v>4024</v>
      </c>
      <c r="C72" s="60" t="s">
        <v>62</v>
      </c>
      <c r="D72" s="60" t="s">
        <v>473</v>
      </c>
      <c r="E72" s="30">
        <v>42539.551423611112</v>
      </c>
      <c r="F72" s="30">
        <v>42539.538449074076</v>
      </c>
      <c r="G72" s="38">
        <v>0</v>
      </c>
      <c r="H72" s="30" t="s">
        <v>94</v>
      </c>
      <c r="I72" s="30">
        <v>42539.567696759259</v>
      </c>
      <c r="J72" s="60">
        <v>0</v>
      </c>
      <c r="K72" s="60" t="str">
        <f t="shared" si="30"/>
        <v>4023/4024</v>
      </c>
      <c r="L72" s="60" t="str">
        <f>VLOOKUP(A72,'Trips&amp;Operators'!$C$1:$E$10000,3,FALSE)</f>
        <v>RIVERA</v>
      </c>
      <c r="M72" s="12">
        <f t="shared" si="31"/>
        <v>2.9247685182781424E-2</v>
      </c>
      <c r="N72" s="13"/>
      <c r="O72" s="13"/>
      <c r="P72" s="13">
        <f>24*60*SUM($M72:$M72)</f>
        <v>42.116666663205251</v>
      </c>
      <c r="Q72" s="61"/>
      <c r="R72" s="61" t="s">
        <v>518</v>
      </c>
      <c r="T7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13:13:03-0600',mode:absolute,to:'2016-06-18 13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2" s="73" t="str">
        <f t="shared" si="26"/>
        <v>Y</v>
      </c>
      <c r="V72" s="73">
        <f t="shared" si="17"/>
        <v>1</v>
      </c>
      <c r="W72" s="73">
        <f t="shared" si="27"/>
        <v>6.4698000000000002</v>
      </c>
      <c r="X72" s="73">
        <f t="shared" si="28"/>
        <v>23.330400000000001</v>
      </c>
      <c r="Y72" s="73">
        <f t="shared" si="29"/>
        <v>16.860600000000002</v>
      </c>
      <c r="Z72" s="74" t="e">
        <f>VLOOKUP(A72,Enforcements!$C$15:$J$75,8,0)</f>
        <v>#N/A</v>
      </c>
      <c r="AA72" s="74" t="e">
        <f>VLOOKUP(A72,Enforcements!$C$15:$J$75,3,0)</f>
        <v>#N/A</v>
      </c>
    </row>
    <row r="73" spans="1:27" s="2" customFormat="1" x14ac:dyDescent="0.25">
      <c r="A73" s="60" t="s">
        <v>363</v>
      </c>
      <c r="B73" s="60">
        <v>4023</v>
      </c>
      <c r="C73" s="60" t="s">
        <v>62</v>
      </c>
      <c r="D73" s="60" t="s">
        <v>474</v>
      </c>
      <c r="E73" s="30">
        <v>42539.576516203706</v>
      </c>
      <c r="F73" s="30">
        <v>42539.5778125</v>
      </c>
      <c r="G73" s="38">
        <v>1</v>
      </c>
      <c r="H73" s="30" t="s">
        <v>433</v>
      </c>
      <c r="I73" s="30">
        <v>42539.606493055559</v>
      </c>
      <c r="J73" s="60">
        <v>1</v>
      </c>
      <c r="K73" s="60" t="str">
        <f t="shared" si="30"/>
        <v>4023/4024</v>
      </c>
      <c r="L73" s="60" t="str">
        <f>VLOOKUP(A73,'Trips&amp;Operators'!$C$1:$E$10000,3,FALSE)</f>
        <v>RIVERA</v>
      </c>
      <c r="M73" s="12">
        <f t="shared" si="31"/>
        <v>2.8680555558821652E-2</v>
      </c>
      <c r="N73" s="13">
        <f t="shared" ref="N73:N80" si="32">24*60*SUM($M73:$M73)</f>
        <v>41.300000004703179</v>
      </c>
      <c r="O73" s="13"/>
      <c r="P73" s="13"/>
      <c r="Q73" s="61"/>
      <c r="R73" s="61"/>
      <c r="T7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13:49:11-0600',mode:absolute,to:'2016-06-18 14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3" s="73" t="str">
        <f t="shared" si="26"/>
        <v>N</v>
      </c>
      <c r="V73" s="73">
        <f t="shared" si="17"/>
        <v>1</v>
      </c>
      <c r="W73" s="73">
        <f t="shared" si="27"/>
        <v>23.2989</v>
      </c>
      <c r="X73" s="73">
        <f t="shared" si="28"/>
        <v>1.3599999999999999E-2</v>
      </c>
      <c r="Y73" s="73">
        <f t="shared" si="29"/>
        <v>23.285299999999999</v>
      </c>
      <c r="Z73" s="74">
        <f>VLOOKUP(A73,Enforcements!$C$15:$J$75,8,0)</f>
        <v>1</v>
      </c>
      <c r="AA73" s="74" t="str">
        <f>VLOOKUP(A73,Enforcements!$C$15:$J$75,3,0)</f>
        <v>TRACK WARRANT AUTHORITY</v>
      </c>
    </row>
    <row r="74" spans="1:27" s="2" customFormat="1" ht="16.5" customHeight="1" x14ac:dyDescent="0.25">
      <c r="A74" s="60" t="s">
        <v>384</v>
      </c>
      <c r="B74" s="60">
        <v>4044</v>
      </c>
      <c r="C74" s="60" t="s">
        <v>62</v>
      </c>
      <c r="D74" s="60" t="s">
        <v>64</v>
      </c>
      <c r="E74" s="30">
        <v>42539.548773148148</v>
      </c>
      <c r="F74" s="30">
        <v>42539.549456018518</v>
      </c>
      <c r="G74" s="38">
        <v>0</v>
      </c>
      <c r="H74" s="30" t="s">
        <v>194</v>
      </c>
      <c r="I74" s="30">
        <v>42539.577592592592</v>
      </c>
      <c r="J74" s="60">
        <v>0</v>
      </c>
      <c r="K74" s="60" t="str">
        <f t="shared" si="30"/>
        <v>4043/4044</v>
      </c>
      <c r="L74" s="60" t="str">
        <f>VLOOKUP(A74,'Trips&amp;Operators'!$C$1:$E$10000,3,FALSE)</f>
        <v>BONDS</v>
      </c>
      <c r="M74" s="12">
        <f t="shared" si="31"/>
        <v>2.8136574073869269E-2</v>
      </c>
      <c r="N74" s="13">
        <f t="shared" si="32"/>
        <v>40.516666666371748</v>
      </c>
      <c r="O74" s="13"/>
      <c r="P74" s="13"/>
      <c r="Q74" s="61"/>
      <c r="R74" s="61"/>
      <c r="T7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13:09:14-0600',mode:absolute,to:'2016-06-18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4" s="73" t="str">
        <f t="shared" si="26"/>
        <v>N</v>
      </c>
      <c r="V74" s="73">
        <f t="shared" ref="V74:V125" si="33">VALUE(LEFT(A74,3))-VALUE(LEFT(A73,3))</f>
        <v>1</v>
      </c>
      <c r="W74" s="73">
        <f t="shared" si="27"/>
        <v>4.5100000000000001E-2</v>
      </c>
      <c r="X74" s="73">
        <f t="shared" si="28"/>
        <v>23.3309</v>
      </c>
      <c r="Y74" s="73">
        <f t="shared" si="29"/>
        <v>23.285799999999998</v>
      </c>
      <c r="Z74" s="74" t="e">
        <f>VLOOKUP(A74,Enforcements!$C$15:$J$75,8,0)</f>
        <v>#N/A</v>
      </c>
      <c r="AA74" s="74" t="e">
        <f>VLOOKUP(A74,Enforcements!$C$15:$J$75,3,0)</f>
        <v>#N/A</v>
      </c>
    </row>
    <row r="75" spans="1:27" s="2" customFormat="1" ht="16.5" customHeight="1" x14ac:dyDescent="0.25">
      <c r="A75" s="60" t="s">
        <v>394</v>
      </c>
      <c r="B75" s="60">
        <v>4043</v>
      </c>
      <c r="C75" s="60" t="s">
        <v>62</v>
      </c>
      <c r="D75" s="60" t="s">
        <v>475</v>
      </c>
      <c r="E75" s="30">
        <v>42539.582465277781</v>
      </c>
      <c r="F75" s="30">
        <v>42539.583379629628</v>
      </c>
      <c r="G75" s="38">
        <v>1</v>
      </c>
      <c r="H75" s="30" t="s">
        <v>435</v>
      </c>
      <c r="I75" s="30">
        <v>42539.619432870371</v>
      </c>
      <c r="J75" s="60">
        <v>1</v>
      </c>
      <c r="K75" s="60" t="str">
        <f t="shared" si="30"/>
        <v>4043/4044</v>
      </c>
      <c r="L75" s="60" t="str">
        <f>VLOOKUP(A75,'Trips&amp;Operators'!$C$1:$E$10000,3,FALSE)</f>
        <v>BONDS</v>
      </c>
      <c r="M75" s="12">
        <f t="shared" si="31"/>
        <v>3.6053240743058268E-2</v>
      </c>
      <c r="N75" s="13">
        <f t="shared" si="32"/>
        <v>51.916666670003906</v>
      </c>
      <c r="O75" s="13"/>
      <c r="P75" s="13"/>
      <c r="Q75" s="61"/>
      <c r="R75" s="61"/>
      <c r="T7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13:57:45-0600',mode:absolute,to:'2016-06-18 14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5" s="73" t="str">
        <f t="shared" si="26"/>
        <v>N</v>
      </c>
      <c r="V75" s="73">
        <f t="shared" si="33"/>
        <v>1</v>
      </c>
      <c r="W75" s="73">
        <f t="shared" si="27"/>
        <v>23.3003</v>
      </c>
      <c r="X75" s="73">
        <f t="shared" si="28"/>
        <v>1.38E-2</v>
      </c>
      <c r="Y75" s="73">
        <f t="shared" si="29"/>
        <v>23.2865</v>
      </c>
      <c r="Z75" s="74">
        <f>VLOOKUP(A75,Enforcements!$C$15:$J$75,8,0)</f>
        <v>191723</v>
      </c>
      <c r="AA75" s="74" t="str">
        <f>VLOOKUP(A75,Enforcements!$C$15:$J$75,3,0)</f>
        <v>SIGNAL</v>
      </c>
    </row>
    <row r="76" spans="1:27" s="2" customFormat="1" x14ac:dyDescent="0.25">
      <c r="A76" s="60" t="s">
        <v>365</v>
      </c>
      <c r="B76" s="60">
        <v>4042</v>
      </c>
      <c r="C76" s="60" t="s">
        <v>62</v>
      </c>
      <c r="D76" s="60" t="s">
        <v>476</v>
      </c>
      <c r="E76" s="30">
        <v>42539.56040509259</v>
      </c>
      <c r="F76" s="30">
        <v>42539.561377314814</v>
      </c>
      <c r="G76" s="38">
        <v>1</v>
      </c>
      <c r="H76" s="30" t="s">
        <v>477</v>
      </c>
      <c r="I76" s="30">
        <v>42539.587847222225</v>
      </c>
      <c r="J76" s="60">
        <v>0</v>
      </c>
      <c r="K76" s="60" t="str">
        <f t="shared" si="30"/>
        <v>4041/4042</v>
      </c>
      <c r="L76" s="60" t="str">
        <f>VLOOKUP(A76,'Trips&amp;Operators'!$C$1:$E$10000,3,FALSE)</f>
        <v>LOCKLEAR</v>
      </c>
      <c r="M76" s="12">
        <f t="shared" si="31"/>
        <v>2.6469907410501037E-2</v>
      </c>
      <c r="N76" s="13">
        <f t="shared" si="32"/>
        <v>38.116666671121493</v>
      </c>
      <c r="O76" s="13"/>
      <c r="P76" s="13"/>
      <c r="Q76" s="61"/>
      <c r="R76" s="61"/>
      <c r="T7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13:25:59-0600',mode:absolute,to:'2016-06-18 14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6" s="73" t="str">
        <f t="shared" si="26"/>
        <v>N</v>
      </c>
      <c r="V76" s="73">
        <f t="shared" si="33"/>
        <v>1</v>
      </c>
      <c r="W76" s="73">
        <f t="shared" si="27"/>
        <v>4.82E-2</v>
      </c>
      <c r="X76" s="73">
        <f t="shared" si="28"/>
        <v>23.341899999999999</v>
      </c>
      <c r="Y76" s="73">
        <f t="shared" si="29"/>
        <v>23.293699999999998</v>
      </c>
      <c r="Z76" s="74" t="e">
        <f>VLOOKUP(A76,Enforcements!$C$15:$J$75,8,0)</f>
        <v>#N/A</v>
      </c>
      <c r="AA76" s="74" t="e">
        <f>VLOOKUP(A76,Enforcements!$C$15:$J$75,3,0)</f>
        <v>#N/A</v>
      </c>
    </row>
    <row r="77" spans="1:27" s="2" customFormat="1" x14ac:dyDescent="0.25">
      <c r="A77" s="60" t="s">
        <v>331</v>
      </c>
      <c r="B77" s="60">
        <v>4041</v>
      </c>
      <c r="C77" s="60" t="s">
        <v>62</v>
      </c>
      <c r="D77" s="60" t="s">
        <v>478</v>
      </c>
      <c r="E77" s="30">
        <v>42539.596967592595</v>
      </c>
      <c r="F77" s="30">
        <v>42539.597870370373</v>
      </c>
      <c r="G77" s="38">
        <v>1</v>
      </c>
      <c r="H77" s="30" t="s">
        <v>63</v>
      </c>
      <c r="I77" s="30">
        <v>42539.629363425927</v>
      </c>
      <c r="J77" s="60">
        <v>0</v>
      </c>
      <c r="K77" s="60" t="str">
        <f t="shared" si="30"/>
        <v>4041/4042</v>
      </c>
      <c r="L77" s="60" t="str">
        <f>VLOOKUP(A77,'Trips&amp;Operators'!$C$1:$E$10000,3,FALSE)</f>
        <v>LOCKLEAR</v>
      </c>
      <c r="M77" s="12">
        <f t="shared" si="31"/>
        <v>3.1493055554165039E-2</v>
      </c>
      <c r="N77" s="13">
        <f t="shared" si="32"/>
        <v>45.349999997997656</v>
      </c>
      <c r="O77" s="13"/>
      <c r="P77" s="13"/>
      <c r="Q77" s="61"/>
      <c r="R77" s="61"/>
      <c r="T7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14:18:38-0600',mode:absolute,to:'2016-06-18 15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7" s="73" t="str">
        <f t="shared" si="26"/>
        <v>N</v>
      </c>
      <c r="V77" s="73">
        <f t="shared" si="33"/>
        <v>1</v>
      </c>
      <c r="W77" s="73">
        <f t="shared" si="27"/>
        <v>23.316099999999999</v>
      </c>
      <c r="X77" s="73">
        <f t="shared" si="28"/>
        <v>1.4500000000000001E-2</v>
      </c>
      <c r="Y77" s="73">
        <f t="shared" si="29"/>
        <v>23.301599999999997</v>
      </c>
      <c r="Z77" s="74" t="e">
        <f>VLOOKUP(A77,Enforcements!$C$15:$J$75,8,0)</f>
        <v>#N/A</v>
      </c>
      <c r="AA77" s="74" t="e">
        <f>VLOOKUP(A77,Enforcements!$C$15:$J$75,3,0)</f>
        <v>#N/A</v>
      </c>
    </row>
    <row r="78" spans="1:27" s="2" customFormat="1" x14ac:dyDescent="0.25">
      <c r="A78" s="60" t="s">
        <v>319</v>
      </c>
      <c r="B78" s="60">
        <v>4040</v>
      </c>
      <c r="C78" s="60" t="s">
        <v>62</v>
      </c>
      <c r="D78" s="60" t="s">
        <v>479</v>
      </c>
      <c r="E78" s="30">
        <v>42539.569143518522</v>
      </c>
      <c r="F78" s="30">
        <v>42539.573078703703</v>
      </c>
      <c r="G78" s="38">
        <v>5</v>
      </c>
      <c r="H78" s="30" t="s">
        <v>264</v>
      </c>
      <c r="I78" s="30">
        <v>42539.600451388891</v>
      </c>
      <c r="J78" s="60">
        <v>2</v>
      </c>
      <c r="K78" s="60" t="str">
        <f t="shared" si="30"/>
        <v>4039/4040</v>
      </c>
      <c r="L78" s="60" t="str">
        <f>VLOOKUP(A78,'Trips&amp;Operators'!$C$1:$E$10000,3,FALSE)</f>
        <v>ACKERMAN</v>
      </c>
      <c r="M78" s="12">
        <f t="shared" si="31"/>
        <v>2.7372685188311152E-2</v>
      </c>
      <c r="N78" s="13">
        <f t="shared" si="32"/>
        <v>39.416666671168059</v>
      </c>
      <c r="O78" s="13"/>
      <c r="P78" s="13"/>
      <c r="Q78" s="61"/>
      <c r="R78" s="61"/>
      <c r="T7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13:38:34-0600',mode:absolute,to:'2016-06-18 14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8" s="73" t="str">
        <f t="shared" si="26"/>
        <v>N</v>
      </c>
      <c r="V78" s="73">
        <f t="shared" si="33"/>
        <v>1</v>
      </c>
      <c r="W78" s="73">
        <f t="shared" si="27"/>
        <v>4.7300000000000002E-2</v>
      </c>
      <c r="X78" s="73">
        <f t="shared" si="28"/>
        <v>23.328199999999999</v>
      </c>
      <c r="Y78" s="73">
        <f t="shared" si="29"/>
        <v>23.280899999999999</v>
      </c>
      <c r="Z78" s="74">
        <f>VLOOKUP(A78,Enforcements!$C$15:$J$75,8,0)</f>
        <v>149694</v>
      </c>
      <c r="AA78" s="74" t="str">
        <f>VLOOKUP(A78,Enforcements!$C$15:$J$75,3,0)</f>
        <v>SIGNAL</v>
      </c>
    </row>
    <row r="79" spans="1:27" s="2" customFormat="1" x14ac:dyDescent="0.25">
      <c r="A79" s="60" t="s">
        <v>361</v>
      </c>
      <c r="B79" s="60">
        <v>4039</v>
      </c>
      <c r="C79" s="60" t="s">
        <v>62</v>
      </c>
      <c r="D79" s="60" t="s">
        <v>106</v>
      </c>
      <c r="E79" s="30">
        <v>42539.606388888889</v>
      </c>
      <c r="F79" s="30">
        <v>42539.60765046296</v>
      </c>
      <c r="G79" s="38">
        <v>1</v>
      </c>
      <c r="H79" s="30" t="s">
        <v>461</v>
      </c>
      <c r="I79" s="30">
        <v>42539.640636574077</v>
      </c>
      <c r="J79" s="60">
        <v>2</v>
      </c>
      <c r="K79" s="60" t="str">
        <f t="shared" si="30"/>
        <v>4039/4040</v>
      </c>
      <c r="L79" s="60" t="str">
        <f>VLOOKUP(A79,'Trips&amp;Operators'!$C$1:$E$10000,3,FALSE)</f>
        <v>ACKERMAN</v>
      </c>
      <c r="M79" s="12">
        <f t="shared" si="31"/>
        <v>3.2986111116770189E-2</v>
      </c>
      <c r="N79" s="13">
        <f t="shared" si="32"/>
        <v>47.500000008149073</v>
      </c>
      <c r="O79" s="13"/>
      <c r="P79" s="13"/>
      <c r="Q79" s="61"/>
      <c r="R79" s="61"/>
      <c r="T7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14:32:12-0600',mode:absolute,to:'2016-06-18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9" s="73" t="str">
        <f t="shared" si="26"/>
        <v>N</v>
      </c>
      <c r="V79" s="73">
        <f t="shared" si="33"/>
        <v>1</v>
      </c>
      <c r="W79" s="73">
        <f t="shared" si="27"/>
        <v>23.297499999999999</v>
      </c>
      <c r="X79" s="73">
        <f t="shared" si="28"/>
        <v>1.43E-2</v>
      </c>
      <c r="Y79" s="73">
        <f t="shared" si="29"/>
        <v>23.283200000000001</v>
      </c>
      <c r="Z79" s="74">
        <f>VLOOKUP(A79,Enforcements!$C$15:$J$75,8,0)</f>
        <v>182920</v>
      </c>
      <c r="AA79" s="74" t="str">
        <f>VLOOKUP(A79,Enforcements!$C$15:$J$75,3,0)</f>
        <v>SIGNAL</v>
      </c>
    </row>
    <row r="80" spans="1:27" s="2" customFormat="1" x14ac:dyDescent="0.25">
      <c r="A80" s="60" t="s">
        <v>385</v>
      </c>
      <c r="B80" s="60">
        <v>4029</v>
      </c>
      <c r="C80" s="60" t="s">
        <v>62</v>
      </c>
      <c r="D80" s="60" t="s">
        <v>75</v>
      </c>
      <c r="E80" s="30">
        <v>42539.582013888888</v>
      </c>
      <c r="F80" s="30">
        <v>42539.583645833336</v>
      </c>
      <c r="G80" s="38">
        <v>2</v>
      </c>
      <c r="H80" s="30" t="s">
        <v>192</v>
      </c>
      <c r="I80" s="30">
        <v>42539.611111111109</v>
      </c>
      <c r="J80" s="60">
        <v>0</v>
      </c>
      <c r="K80" s="60" t="str">
        <f t="shared" si="30"/>
        <v>4029/4030</v>
      </c>
      <c r="L80" s="60" t="str">
        <f>VLOOKUP(A80,'Trips&amp;Operators'!$C$1:$E$10000,3,FALSE)</f>
        <v>STEWART</v>
      </c>
      <c r="M80" s="12">
        <f t="shared" si="31"/>
        <v>2.7465277773444541E-2</v>
      </c>
      <c r="N80" s="13">
        <f t="shared" si="32"/>
        <v>39.549999993760139</v>
      </c>
      <c r="O80" s="13"/>
      <c r="P80" s="13"/>
      <c r="Q80" s="61"/>
      <c r="R80" s="61"/>
      <c r="T8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13:57:06-0600',mode:absolute,to:'2016-06-18 14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0" s="73" t="str">
        <f t="shared" si="26"/>
        <v>N</v>
      </c>
      <c r="V80" s="73">
        <f t="shared" si="33"/>
        <v>1</v>
      </c>
      <c r="W80" s="73">
        <f t="shared" si="27"/>
        <v>4.5999999999999999E-2</v>
      </c>
      <c r="X80" s="73">
        <f t="shared" si="28"/>
        <v>23.3293</v>
      </c>
      <c r="Y80" s="73">
        <f t="shared" si="29"/>
        <v>23.283300000000001</v>
      </c>
      <c r="Z80" s="74" t="e">
        <f>VLOOKUP(A80,Enforcements!$C$15:$J$75,8,0)</f>
        <v>#N/A</v>
      </c>
      <c r="AA80" s="74" t="e">
        <f>VLOOKUP(A80,Enforcements!$C$15:$J$75,3,0)</f>
        <v>#N/A</v>
      </c>
    </row>
    <row r="81" spans="1:27" s="90" customFormat="1" x14ac:dyDescent="0.25">
      <c r="A81" s="60" t="s">
        <v>360</v>
      </c>
      <c r="B81" s="60">
        <v>4030</v>
      </c>
      <c r="C81" s="60" t="s">
        <v>62</v>
      </c>
      <c r="D81" s="60" t="s">
        <v>480</v>
      </c>
      <c r="E81" s="30">
        <v>42539.620335648149</v>
      </c>
      <c r="F81" s="30">
        <v>42539.62122685185</v>
      </c>
      <c r="G81" s="38">
        <v>1</v>
      </c>
      <c r="H81" s="30" t="s">
        <v>480</v>
      </c>
      <c r="I81" s="30">
        <v>42539.622615740744</v>
      </c>
      <c r="J81" s="60">
        <v>0</v>
      </c>
      <c r="K81" s="60" t="str">
        <f t="shared" si="30"/>
        <v>4029/4030</v>
      </c>
      <c r="L81" s="60" t="str">
        <f>VLOOKUP(A81,'Trips&amp;Operators'!$C$1:$E$10000,3,FALSE)</f>
        <v>STEWART</v>
      </c>
      <c r="M81" s="12">
        <f t="shared" si="31"/>
        <v>1.3888888934161514E-3</v>
      </c>
      <c r="N81" s="13"/>
      <c r="O81" s="13"/>
      <c r="P81" s="13">
        <f>24*60*SUM($M81:$M81)</f>
        <v>2.000000006519258</v>
      </c>
      <c r="Q81" s="61"/>
      <c r="R81" s="61" t="s">
        <v>519</v>
      </c>
      <c r="S81" s="2"/>
      <c r="T8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14:52:17-0600',mode:absolute,to:'2016-06-18 14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1" s="73" t="str">
        <f t="shared" si="26"/>
        <v>Y</v>
      </c>
      <c r="V81" s="73">
        <f t="shared" si="33"/>
        <v>1</v>
      </c>
      <c r="W81" s="73">
        <f t="shared" si="27"/>
        <v>23.3002</v>
      </c>
      <c r="X81" s="73">
        <f t="shared" si="28"/>
        <v>23.3002</v>
      </c>
      <c r="Y81" s="73">
        <f t="shared" si="29"/>
        <v>0</v>
      </c>
      <c r="Z81" s="74" t="e">
        <f>VLOOKUP(A81,Enforcements!$C$15:$J$75,8,0)</f>
        <v>#N/A</v>
      </c>
      <c r="AA81" s="74" t="e">
        <f>VLOOKUP(A81,Enforcements!$C$15:$J$75,3,0)</f>
        <v>#N/A</v>
      </c>
    </row>
    <row r="82" spans="1:27" s="2" customFormat="1" ht="14.25" customHeight="1" x14ac:dyDescent="0.25">
      <c r="A82" s="60" t="s">
        <v>387</v>
      </c>
      <c r="B82" s="60">
        <v>4025</v>
      </c>
      <c r="C82" s="60" t="s">
        <v>62</v>
      </c>
      <c r="D82" s="60" t="s">
        <v>64</v>
      </c>
      <c r="E82" s="30">
        <v>42539.59270833333</v>
      </c>
      <c r="F82" s="30">
        <v>42539.594456018516</v>
      </c>
      <c r="G82" s="38">
        <v>2</v>
      </c>
      <c r="H82" s="30" t="s">
        <v>176</v>
      </c>
      <c r="I82" s="30">
        <v>42539.620138888888</v>
      </c>
      <c r="J82" s="60">
        <v>2</v>
      </c>
      <c r="K82" s="60" t="str">
        <f t="shared" si="30"/>
        <v>4025/4026</v>
      </c>
      <c r="L82" s="60" t="str">
        <f>VLOOKUP(A82,'Trips&amp;Operators'!$C$1:$E$10000,3,FALSE)</f>
        <v>BRANNON</v>
      </c>
      <c r="M82" s="12">
        <f t="shared" si="31"/>
        <v>2.5682870371383615E-2</v>
      </c>
      <c r="N82" s="13">
        <f t="shared" ref="N82:N91" si="34">24*60*SUM($M82:$M82)</f>
        <v>36.983333334792405</v>
      </c>
      <c r="O82" s="13"/>
      <c r="P82" s="13"/>
      <c r="Q82" s="61"/>
      <c r="R82" s="61"/>
      <c r="T8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14:12:30-0600',mode:absolute,to:'2016-06-18 14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2" s="73" t="str">
        <f t="shared" si="26"/>
        <v>N</v>
      </c>
      <c r="V82" s="73">
        <f t="shared" si="33"/>
        <v>1</v>
      </c>
      <c r="W82" s="73">
        <f t="shared" si="27"/>
        <v>4.5100000000000001E-2</v>
      </c>
      <c r="X82" s="73">
        <f t="shared" si="28"/>
        <v>23.329499999999999</v>
      </c>
      <c r="Y82" s="73">
        <f t="shared" si="29"/>
        <v>23.284399999999998</v>
      </c>
      <c r="Z82" s="74">
        <f>VLOOKUP(A82,Enforcements!$C$15:$J$75,8,0)</f>
        <v>144300</v>
      </c>
      <c r="AA82" s="74" t="str">
        <f>VLOOKUP(A82,Enforcements!$C$15:$J$75,3,0)</f>
        <v>SIGNAL</v>
      </c>
    </row>
    <row r="83" spans="1:27" s="2" customFormat="1" x14ac:dyDescent="0.25">
      <c r="A83" s="60" t="s">
        <v>305</v>
      </c>
      <c r="B83" s="60">
        <v>4026</v>
      </c>
      <c r="C83" s="60" t="s">
        <v>62</v>
      </c>
      <c r="D83" s="60" t="s">
        <v>78</v>
      </c>
      <c r="E83" s="30">
        <v>42539.632488425923</v>
      </c>
      <c r="F83" s="30">
        <v>42539.633460648147</v>
      </c>
      <c r="G83" s="38">
        <v>1</v>
      </c>
      <c r="H83" s="30" t="s">
        <v>481</v>
      </c>
      <c r="I83" s="30">
        <v>42539.658564814818</v>
      </c>
      <c r="J83" s="60">
        <v>0</v>
      </c>
      <c r="K83" s="60" t="str">
        <f t="shared" si="30"/>
        <v>4025/4026</v>
      </c>
      <c r="L83" s="60" t="str">
        <f>VLOOKUP(A83,'Trips&amp;Operators'!$C$1:$E$10000,3,FALSE)</f>
        <v>BRANNON</v>
      </c>
      <c r="M83" s="12">
        <f t="shared" si="31"/>
        <v>2.510416667064419E-2</v>
      </c>
      <c r="N83" s="13">
        <f t="shared" si="34"/>
        <v>36.150000005727634</v>
      </c>
      <c r="O83" s="13"/>
      <c r="P83" s="13"/>
      <c r="Q83" s="61"/>
      <c r="R83" s="61"/>
      <c r="T8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15:09:47-0600',mode:absolute,to:'2016-06-18 15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3" s="73" t="str">
        <f t="shared" si="26"/>
        <v>N</v>
      </c>
      <c r="V83" s="73">
        <f t="shared" si="33"/>
        <v>1</v>
      </c>
      <c r="W83" s="73">
        <f t="shared" si="27"/>
        <v>23.297699999999999</v>
      </c>
      <c r="X83" s="73">
        <f t="shared" si="28"/>
        <v>1.32E-2</v>
      </c>
      <c r="Y83" s="73">
        <f t="shared" si="29"/>
        <v>23.284499999999998</v>
      </c>
      <c r="Z83" s="74" t="e">
        <f>VLOOKUP(A83,Enforcements!$C$15:$J$75,8,0)</f>
        <v>#N/A</v>
      </c>
      <c r="AA83" s="74" t="e">
        <f>VLOOKUP(A83,Enforcements!$C$15:$J$75,3,0)</f>
        <v>#N/A</v>
      </c>
    </row>
    <row r="84" spans="1:27" s="2" customFormat="1" x14ac:dyDescent="0.25">
      <c r="A84" s="60" t="s">
        <v>350</v>
      </c>
      <c r="B84" s="60">
        <v>4020</v>
      </c>
      <c r="C84" s="60" t="s">
        <v>62</v>
      </c>
      <c r="D84" s="60" t="s">
        <v>482</v>
      </c>
      <c r="E84" s="30">
        <v>42539.598807870374</v>
      </c>
      <c r="F84" s="30">
        <v>42539.600659722222</v>
      </c>
      <c r="G84" s="38">
        <v>2</v>
      </c>
      <c r="H84" s="30" t="s">
        <v>458</v>
      </c>
      <c r="I84" s="30">
        <v>42539.630324074074</v>
      </c>
      <c r="J84" s="60">
        <v>0</v>
      </c>
      <c r="K84" s="60" t="str">
        <f t="shared" si="30"/>
        <v>4019/4020</v>
      </c>
      <c r="L84" s="60" t="str">
        <f>VLOOKUP(A84,'Trips&amp;Operators'!$C$1:$E$10000,3,FALSE)</f>
        <v>WEBSTER</v>
      </c>
      <c r="M84" s="12">
        <f t="shared" si="31"/>
        <v>2.9664351852261461E-2</v>
      </c>
      <c r="N84" s="13">
        <f t="shared" si="34"/>
        <v>42.716666667256504</v>
      </c>
      <c r="O84" s="13"/>
      <c r="P84" s="13"/>
      <c r="Q84" s="61"/>
      <c r="R84" s="61"/>
      <c r="T8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14:21:17-0600',mode:absolute,to:'2016-06-18 15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4" s="73" t="str">
        <f t="shared" si="26"/>
        <v>N</v>
      </c>
      <c r="V84" s="73">
        <f t="shared" si="33"/>
        <v>1</v>
      </c>
      <c r="W84" s="73">
        <f t="shared" si="27"/>
        <v>4.4400000000000002E-2</v>
      </c>
      <c r="X84" s="73">
        <f t="shared" si="28"/>
        <v>23.331</v>
      </c>
      <c r="Y84" s="73">
        <f t="shared" si="29"/>
        <v>23.2866</v>
      </c>
      <c r="Z84" s="74" t="e">
        <f>VLOOKUP(A84,Enforcements!$C$15:$J$75,8,0)</f>
        <v>#N/A</v>
      </c>
      <c r="AA84" s="74" t="e">
        <f>VLOOKUP(A84,Enforcements!$C$15:$J$75,3,0)</f>
        <v>#N/A</v>
      </c>
    </row>
    <row r="85" spans="1:27" s="2" customFormat="1" x14ac:dyDescent="0.25">
      <c r="A85" s="60" t="s">
        <v>316</v>
      </c>
      <c r="B85" s="60">
        <v>4019</v>
      </c>
      <c r="C85" s="60" t="s">
        <v>62</v>
      </c>
      <c r="D85" s="60" t="s">
        <v>175</v>
      </c>
      <c r="E85" s="30">
        <v>42539.64135416667</v>
      </c>
      <c r="F85" s="30">
        <v>42539.642152777778</v>
      </c>
      <c r="G85" s="38">
        <v>1</v>
      </c>
      <c r="H85" s="30" t="s">
        <v>86</v>
      </c>
      <c r="I85" s="30">
        <v>42539.669895833336</v>
      </c>
      <c r="J85" s="60">
        <v>0</v>
      </c>
      <c r="K85" s="60" t="str">
        <f t="shared" si="30"/>
        <v>4019/4020</v>
      </c>
      <c r="L85" s="60" t="str">
        <f>VLOOKUP(A85,'Trips&amp;Operators'!$C$1:$E$10000,3,FALSE)</f>
        <v>WEBSTER</v>
      </c>
      <c r="M85" s="12">
        <f t="shared" si="31"/>
        <v>2.7743055557948537E-2</v>
      </c>
      <c r="N85" s="13">
        <f t="shared" si="34"/>
        <v>39.950000003445894</v>
      </c>
      <c r="O85" s="13"/>
      <c r="P85" s="13"/>
      <c r="Q85" s="61"/>
      <c r="R85" s="61"/>
      <c r="T8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15:22:33-0600',mode:absolute,to:'2016-06-18 16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5" s="73" t="str">
        <f t="shared" si="26"/>
        <v>N</v>
      </c>
      <c r="V85" s="73">
        <f t="shared" si="33"/>
        <v>1</v>
      </c>
      <c r="W85" s="73">
        <f t="shared" si="27"/>
        <v>23.2987</v>
      </c>
      <c r="X85" s="73">
        <f t="shared" si="28"/>
        <v>1.49E-2</v>
      </c>
      <c r="Y85" s="73">
        <f t="shared" si="29"/>
        <v>23.283799999999999</v>
      </c>
      <c r="Z85" s="74" t="e">
        <f>VLOOKUP(A85,Enforcements!$C$15:$J$75,8,0)</f>
        <v>#N/A</v>
      </c>
      <c r="AA85" s="74" t="e">
        <f>VLOOKUP(A85,Enforcements!$C$15:$J$75,3,0)</f>
        <v>#N/A</v>
      </c>
    </row>
    <row r="86" spans="1:27" s="2" customFormat="1" x14ac:dyDescent="0.25">
      <c r="A86" s="60" t="s">
        <v>318</v>
      </c>
      <c r="B86" s="60">
        <v>4024</v>
      </c>
      <c r="C86" s="60" t="s">
        <v>62</v>
      </c>
      <c r="D86" s="60" t="s">
        <v>265</v>
      </c>
      <c r="E86" s="30">
        <v>42539.608391203707</v>
      </c>
      <c r="F86" s="30">
        <v>42539.609467592592</v>
      </c>
      <c r="G86" s="38">
        <v>1</v>
      </c>
      <c r="H86" s="30" t="s">
        <v>483</v>
      </c>
      <c r="I86" s="30">
        <v>42539.639710648145</v>
      </c>
      <c r="J86" s="60">
        <v>0</v>
      </c>
      <c r="K86" s="60" t="str">
        <f t="shared" si="30"/>
        <v>4023/4024</v>
      </c>
      <c r="L86" s="60" t="str">
        <f>VLOOKUP(A86,'Trips&amp;Operators'!$C$1:$E$10000,3,FALSE)</f>
        <v>RIVERA</v>
      </c>
      <c r="M86" s="12">
        <f t="shared" si="31"/>
        <v>3.0243055553000886E-2</v>
      </c>
      <c r="N86" s="13">
        <f t="shared" si="34"/>
        <v>43.549999996321276</v>
      </c>
      <c r="O86" s="13"/>
      <c r="P86" s="13"/>
      <c r="Q86" s="61"/>
      <c r="R86" s="61"/>
      <c r="T8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14:35:05-0600',mode:absolute,to:'2016-06-18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3" t="str">
        <f t="shared" si="26"/>
        <v>N</v>
      </c>
      <c r="V86" s="73">
        <f t="shared" si="33"/>
        <v>1</v>
      </c>
      <c r="W86" s="73">
        <f t="shared" si="27"/>
        <v>4.3999999999999997E-2</v>
      </c>
      <c r="X86" s="73">
        <f t="shared" si="28"/>
        <v>23.3307</v>
      </c>
      <c r="Y86" s="73">
        <f t="shared" si="29"/>
        <v>23.2867</v>
      </c>
      <c r="Z86" s="74" t="e">
        <f>VLOOKUP(A86,Enforcements!$C$15:$J$75,8,0)</f>
        <v>#N/A</v>
      </c>
      <c r="AA86" s="74" t="e">
        <f>VLOOKUP(A86,Enforcements!$C$15:$J$75,3,0)</f>
        <v>#N/A</v>
      </c>
    </row>
    <row r="87" spans="1:27" s="2" customFormat="1" x14ac:dyDescent="0.25">
      <c r="A87" s="60" t="s">
        <v>287</v>
      </c>
      <c r="B87" s="60">
        <v>4023</v>
      </c>
      <c r="C87" s="60" t="s">
        <v>62</v>
      </c>
      <c r="D87" s="60" t="s">
        <v>432</v>
      </c>
      <c r="E87" s="30">
        <v>42539.650034722225</v>
      </c>
      <c r="F87" s="30">
        <v>42539.650879629633</v>
      </c>
      <c r="G87" s="38">
        <v>1</v>
      </c>
      <c r="H87" s="30" t="s">
        <v>72</v>
      </c>
      <c r="I87" s="30">
        <v>42539.679166666669</v>
      </c>
      <c r="J87" s="60">
        <v>0</v>
      </c>
      <c r="K87" s="60" t="str">
        <f t="shared" si="30"/>
        <v>4023/4024</v>
      </c>
      <c r="L87" s="60" t="str">
        <f>VLOOKUP(A87,'Trips&amp;Operators'!$C$1:$E$10000,3,FALSE)</f>
        <v>RIVERA</v>
      </c>
      <c r="M87" s="12">
        <f t="shared" si="31"/>
        <v>2.8287037035624962E-2</v>
      </c>
      <c r="N87" s="13">
        <f t="shared" si="34"/>
        <v>40.733333331299946</v>
      </c>
      <c r="O87" s="13"/>
      <c r="P87" s="13"/>
      <c r="Q87" s="61"/>
      <c r="R87" s="61"/>
      <c r="T8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15:35:03-0600',mode:absolute,to:'2016-06-18 16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3" t="str">
        <f t="shared" si="26"/>
        <v>N</v>
      </c>
      <c r="V87" s="73">
        <f t="shared" si="33"/>
        <v>1</v>
      </c>
      <c r="W87" s="73">
        <f t="shared" si="27"/>
        <v>23.2988</v>
      </c>
      <c r="X87" s="73">
        <f t="shared" si="28"/>
        <v>1.47E-2</v>
      </c>
      <c r="Y87" s="73">
        <f t="shared" si="29"/>
        <v>23.284099999999999</v>
      </c>
      <c r="Z87" s="74" t="e">
        <f>VLOOKUP(A87,Enforcements!$C$15:$J$75,8,0)</f>
        <v>#N/A</v>
      </c>
      <c r="AA87" s="74" t="e">
        <f>VLOOKUP(A87,Enforcements!$C$15:$J$75,3,0)</f>
        <v>#N/A</v>
      </c>
    </row>
    <row r="88" spans="1:27" s="2" customFormat="1" x14ac:dyDescent="0.25">
      <c r="A88" s="60" t="s">
        <v>295</v>
      </c>
      <c r="B88" s="60">
        <v>4044</v>
      </c>
      <c r="C88" s="60" t="s">
        <v>62</v>
      </c>
      <c r="D88" s="60" t="s">
        <v>484</v>
      </c>
      <c r="E88" s="30">
        <v>42539.623252314814</v>
      </c>
      <c r="F88" s="30">
        <v>42539.623923611114</v>
      </c>
      <c r="G88" s="38">
        <v>0</v>
      </c>
      <c r="H88" s="30" t="s">
        <v>105</v>
      </c>
      <c r="I88" s="30">
        <v>42539.650868055556</v>
      </c>
      <c r="J88" s="60">
        <v>1</v>
      </c>
      <c r="K88" s="60" t="str">
        <f t="shared" si="30"/>
        <v>4043/4044</v>
      </c>
      <c r="L88" s="60" t="str">
        <f>VLOOKUP(A88,'Trips&amp;Operators'!$C$1:$E$10000,3,FALSE)</f>
        <v>BONDS</v>
      </c>
      <c r="M88" s="12">
        <f t="shared" si="31"/>
        <v>2.6944444442051463E-2</v>
      </c>
      <c r="N88" s="13">
        <f t="shared" si="34"/>
        <v>38.799999996554106</v>
      </c>
      <c r="O88" s="13"/>
      <c r="P88" s="13"/>
      <c r="Q88" s="61"/>
      <c r="R88" s="61"/>
      <c r="T8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14:56:29-0600',mode:absolute,to:'2016-06-18 15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8" s="73" t="str">
        <f t="shared" si="26"/>
        <v>N</v>
      </c>
      <c r="V88" s="73">
        <f t="shared" si="33"/>
        <v>1</v>
      </c>
      <c r="W88" s="73">
        <f t="shared" si="27"/>
        <v>4.3499999999999997E-2</v>
      </c>
      <c r="X88" s="73">
        <f t="shared" si="28"/>
        <v>23.331499999999998</v>
      </c>
      <c r="Y88" s="73">
        <f t="shared" si="29"/>
        <v>23.287999999999997</v>
      </c>
      <c r="Z88" s="74" t="e">
        <f>VLOOKUP(A88,Enforcements!$C$15:$J$75,8,0)</f>
        <v>#N/A</v>
      </c>
      <c r="AA88" s="74" t="e">
        <f>VLOOKUP(A88,Enforcements!$C$15:$J$75,3,0)</f>
        <v>#N/A</v>
      </c>
    </row>
    <row r="89" spans="1:27" s="2" customFormat="1" x14ac:dyDescent="0.25">
      <c r="A89" s="60" t="s">
        <v>401</v>
      </c>
      <c r="B89" s="60">
        <v>4043</v>
      </c>
      <c r="C89" s="60" t="s">
        <v>62</v>
      </c>
      <c r="D89" s="60" t="s">
        <v>480</v>
      </c>
      <c r="E89" s="30">
        <v>42539.656064814815</v>
      </c>
      <c r="F89" s="30">
        <v>42539.656840277778</v>
      </c>
      <c r="G89" s="38">
        <v>1</v>
      </c>
      <c r="H89" s="30" t="s">
        <v>485</v>
      </c>
      <c r="I89" s="30">
        <v>42539.691250000003</v>
      </c>
      <c r="J89" s="60">
        <v>1</v>
      </c>
      <c r="K89" s="60" t="str">
        <f t="shared" si="30"/>
        <v>4043/4044</v>
      </c>
      <c r="L89" s="60" t="str">
        <f>VLOOKUP(A89,'Trips&amp;Operators'!$C$1:$E$10000,3,FALSE)</f>
        <v>BONDS</v>
      </c>
      <c r="M89" s="12">
        <f t="shared" si="31"/>
        <v>3.4409722225973383E-2</v>
      </c>
      <c r="N89" s="13">
        <f t="shared" si="34"/>
        <v>49.550000005401671</v>
      </c>
      <c r="O89" s="13"/>
      <c r="P89" s="13"/>
      <c r="Q89" s="61"/>
      <c r="R89" s="61"/>
      <c r="T8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15:43:44-0600',mode:absolute,to:'2016-06-18 16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9" s="73" t="str">
        <f t="shared" si="26"/>
        <v>N</v>
      </c>
      <c r="V89" s="73">
        <f t="shared" si="33"/>
        <v>1</v>
      </c>
      <c r="W89" s="73">
        <f t="shared" si="27"/>
        <v>23.3002</v>
      </c>
      <c r="X89" s="73">
        <f t="shared" si="28"/>
        <v>1.2999999999999999E-2</v>
      </c>
      <c r="Y89" s="73">
        <f t="shared" si="29"/>
        <v>23.287199999999999</v>
      </c>
      <c r="Z89" s="74">
        <f>VLOOKUP(A89,Enforcements!$C$15:$J$75,8,0)</f>
        <v>191723</v>
      </c>
      <c r="AA89" s="74" t="str">
        <f>VLOOKUP(A89,Enforcements!$C$15:$J$75,3,0)</f>
        <v>SIGNAL</v>
      </c>
    </row>
    <row r="90" spans="1:27" s="2" customFormat="1" x14ac:dyDescent="0.25">
      <c r="A90" s="60" t="s">
        <v>321</v>
      </c>
      <c r="B90" s="60">
        <v>4042</v>
      </c>
      <c r="C90" s="60" t="s">
        <v>62</v>
      </c>
      <c r="D90" s="60" t="s">
        <v>262</v>
      </c>
      <c r="E90" s="30">
        <v>42539.634733796294</v>
      </c>
      <c r="F90" s="30">
        <v>42539.635810185187</v>
      </c>
      <c r="G90" s="38">
        <v>1</v>
      </c>
      <c r="H90" s="30" t="s">
        <v>486</v>
      </c>
      <c r="I90" s="30">
        <v>42539.66064814815</v>
      </c>
      <c r="J90" s="60">
        <v>0</v>
      </c>
      <c r="K90" s="60" t="str">
        <f t="shared" si="30"/>
        <v>4041/4042</v>
      </c>
      <c r="L90" s="60" t="str">
        <f>VLOOKUP(A90,'Trips&amp;Operators'!$C$1:$E$10000,3,FALSE)</f>
        <v>LOCKLEAR</v>
      </c>
      <c r="M90" s="12">
        <f t="shared" si="31"/>
        <v>2.4837962962919846E-2</v>
      </c>
      <c r="N90" s="13">
        <f t="shared" si="34"/>
        <v>35.766666666604578</v>
      </c>
      <c r="O90" s="13"/>
      <c r="P90" s="13"/>
      <c r="Q90" s="61"/>
      <c r="R90" s="61"/>
      <c r="T9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15:13:01-0600',mode:absolute,to:'2016-06-18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3" t="str">
        <f t="shared" si="26"/>
        <v>N</v>
      </c>
      <c r="V90" s="73">
        <f t="shared" si="33"/>
        <v>1</v>
      </c>
      <c r="W90" s="73">
        <f t="shared" si="27"/>
        <v>4.8399999999999999E-2</v>
      </c>
      <c r="X90" s="73">
        <f t="shared" si="28"/>
        <v>23.3445</v>
      </c>
      <c r="Y90" s="73">
        <f t="shared" si="29"/>
        <v>23.296099999999999</v>
      </c>
      <c r="Z90" s="74" t="e">
        <f>VLOOKUP(A90,Enforcements!$C$15:$J$75,8,0)</f>
        <v>#N/A</v>
      </c>
      <c r="AA90" s="74" t="e">
        <f>VLOOKUP(A90,Enforcements!$C$15:$J$75,3,0)</f>
        <v>#N/A</v>
      </c>
    </row>
    <row r="91" spans="1:27" s="2" customFormat="1" x14ac:dyDescent="0.25">
      <c r="A91" s="60" t="s">
        <v>353</v>
      </c>
      <c r="B91" s="60">
        <v>4041</v>
      </c>
      <c r="C91" s="60" t="s">
        <v>62</v>
      </c>
      <c r="D91" s="60" t="s">
        <v>487</v>
      </c>
      <c r="E91" s="30">
        <v>42539.669571759259</v>
      </c>
      <c r="F91" s="30">
        <v>42539.670543981483</v>
      </c>
      <c r="G91" s="38">
        <v>1</v>
      </c>
      <c r="H91" s="30" t="s">
        <v>257</v>
      </c>
      <c r="I91" s="30">
        <v>42539.700185185182</v>
      </c>
      <c r="J91" s="60">
        <v>1</v>
      </c>
      <c r="K91" s="60" t="str">
        <f t="shared" si="30"/>
        <v>4041/4042</v>
      </c>
      <c r="L91" s="60" t="str">
        <f>VLOOKUP(A91,'Trips&amp;Operators'!$C$1:$E$10000,3,FALSE)</f>
        <v>LOCKLEAR</v>
      </c>
      <c r="M91" s="12">
        <f t="shared" si="31"/>
        <v>2.9641203698702157E-2</v>
      </c>
      <c r="N91" s="13">
        <f t="shared" si="34"/>
        <v>42.683333326131105</v>
      </c>
      <c r="O91" s="13"/>
      <c r="P91" s="13"/>
      <c r="Q91" s="61"/>
      <c r="R91" s="61"/>
      <c r="T9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16:03:11-0600',mode:absolute,to:'2016-06-18 16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1" s="73" t="str">
        <f t="shared" si="26"/>
        <v>N</v>
      </c>
      <c r="V91" s="73">
        <f t="shared" si="33"/>
        <v>1</v>
      </c>
      <c r="W91" s="73">
        <f t="shared" si="27"/>
        <v>23.311299999999999</v>
      </c>
      <c r="X91" s="73">
        <f t="shared" si="28"/>
        <v>1.6500000000000001E-2</v>
      </c>
      <c r="Y91" s="73">
        <f t="shared" si="29"/>
        <v>23.294799999999999</v>
      </c>
      <c r="Z91" s="74">
        <f>VLOOKUP(A91,Enforcements!$C$15:$J$75,8,0)</f>
        <v>233492</v>
      </c>
      <c r="AA91" s="74" t="str">
        <f>VLOOKUP(A91,Enforcements!$C$15:$J$75,3,0)</f>
        <v>SIGNAL</v>
      </c>
    </row>
    <row r="92" spans="1:27" s="2" customFormat="1" x14ac:dyDescent="0.25">
      <c r="A92" s="60" t="s">
        <v>284</v>
      </c>
      <c r="B92" s="60">
        <v>4040</v>
      </c>
      <c r="C92" s="60" t="s">
        <v>62</v>
      </c>
      <c r="D92" s="60" t="s">
        <v>488</v>
      </c>
      <c r="E92" s="30">
        <v>42539.643495370372</v>
      </c>
      <c r="F92" s="30">
        <v>42539.644247685188</v>
      </c>
      <c r="G92" s="38">
        <v>1</v>
      </c>
      <c r="H92" s="30" t="s">
        <v>489</v>
      </c>
      <c r="I92" s="30">
        <v>42539.664837962962</v>
      </c>
      <c r="J92" s="60">
        <v>2</v>
      </c>
      <c r="K92" s="60" t="str">
        <f t="shared" si="30"/>
        <v>4039/4040</v>
      </c>
      <c r="L92" s="60" t="str">
        <f>VLOOKUP(A92,'Trips&amp;Operators'!$C$1:$E$10000,3,FALSE)</f>
        <v>ACKERMAN</v>
      </c>
      <c r="M92" s="12">
        <f t="shared" si="31"/>
        <v>2.0590277774317656E-2</v>
      </c>
      <c r="N92" s="13"/>
      <c r="O92" s="13"/>
      <c r="P92" s="13">
        <f>24*60*SUM($M92:$M92)</f>
        <v>29.649999995017424</v>
      </c>
      <c r="Q92" s="61"/>
      <c r="R92" s="61" t="s">
        <v>520</v>
      </c>
      <c r="T9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15:25:38-0600',mode:absolute,to:'2016-06-18 15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2" s="73" t="str">
        <f t="shared" si="26"/>
        <v>Y</v>
      </c>
      <c r="V92" s="73">
        <f t="shared" si="33"/>
        <v>1</v>
      </c>
      <c r="W92" s="73">
        <f t="shared" si="27"/>
        <v>4.8000000000000001E-2</v>
      </c>
      <c r="X92" s="73">
        <f t="shared" si="28"/>
        <v>14.429</v>
      </c>
      <c r="Y92" s="73">
        <f t="shared" si="29"/>
        <v>14.381</v>
      </c>
      <c r="Z92" s="74">
        <f>VLOOKUP(A92,Enforcements!$C$15:$J$75,8,0)</f>
        <v>144300</v>
      </c>
      <c r="AA92" s="74" t="str">
        <f>VLOOKUP(A92,Enforcements!$C$15:$J$75,3,0)</f>
        <v>SIGNAL</v>
      </c>
    </row>
    <row r="93" spans="1:27" s="2" customFormat="1" x14ac:dyDescent="0.25">
      <c r="A93" s="60" t="s">
        <v>333</v>
      </c>
      <c r="B93" s="60">
        <v>4039</v>
      </c>
      <c r="C93" s="60" t="s">
        <v>62</v>
      </c>
      <c r="D93" s="60" t="s">
        <v>83</v>
      </c>
      <c r="E93" s="30">
        <v>42539.679861111108</v>
      </c>
      <c r="F93" s="30">
        <v>42539.68074074074</v>
      </c>
      <c r="G93" s="38">
        <v>1</v>
      </c>
      <c r="H93" s="30" t="s">
        <v>449</v>
      </c>
      <c r="I93" s="30">
        <v>42539.711342592593</v>
      </c>
      <c r="J93" s="60">
        <v>0</v>
      </c>
      <c r="K93" s="60" t="str">
        <f t="shared" si="30"/>
        <v>4039/4040</v>
      </c>
      <c r="L93" s="60" t="str">
        <f>VLOOKUP(A93,'Trips&amp;Operators'!$C$1:$E$10000,3,FALSE)</f>
        <v>ACKERMAN</v>
      </c>
      <c r="M93" s="12">
        <f t="shared" si="31"/>
        <v>3.0601851853134576E-2</v>
      </c>
      <c r="N93" s="13">
        <f t="shared" ref="N93:N109" si="35">24*60*SUM($M93:$M93)</f>
        <v>44.06666666851379</v>
      </c>
      <c r="O93" s="13"/>
      <c r="P93" s="13"/>
      <c r="Q93" s="61"/>
      <c r="R93" s="61"/>
      <c r="T9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16:18:00-0600',mode:absolute,to:'2016-06-18 17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3" s="73" t="str">
        <f t="shared" si="26"/>
        <v>N</v>
      </c>
      <c r="V93" s="73">
        <f t="shared" si="33"/>
        <v>1</v>
      </c>
      <c r="W93" s="73">
        <f t="shared" si="27"/>
        <v>23.299099999999999</v>
      </c>
      <c r="X93" s="73">
        <f t="shared" si="28"/>
        <v>1.4999999999999999E-2</v>
      </c>
      <c r="Y93" s="73">
        <f t="shared" si="29"/>
        <v>23.284099999999999</v>
      </c>
      <c r="Z93" s="74" t="e">
        <f>VLOOKUP(A93,Enforcements!$C$15:$J$75,8,0)</f>
        <v>#N/A</v>
      </c>
      <c r="AA93" s="74" t="e">
        <f>VLOOKUP(A93,Enforcements!$C$15:$J$75,3,0)</f>
        <v>#N/A</v>
      </c>
    </row>
    <row r="94" spans="1:27" s="2" customFormat="1" x14ac:dyDescent="0.25">
      <c r="A94" s="60" t="s">
        <v>352</v>
      </c>
      <c r="B94" s="60">
        <v>4018</v>
      </c>
      <c r="C94" s="60" t="s">
        <v>62</v>
      </c>
      <c r="D94" s="60" t="s">
        <v>90</v>
      </c>
      <c r="E94" s="30">
        <v>42539.660925925928</v>
      </c>
      <c r="F94" s="30">
        <v>42539.662314814814</v>
      </c>
      <c r="G94" s="38">
        <v>2</v>
      </c>
      <c r="H94" s="30" t="s">
        <v>490</v>
      </c>
      <c r="I94" s="30">
        <v>42539.690787037034</v>
      </c>
      <c r="J94" s="60">
        <v>0</v>
      </c>
      <c r="K94" s="60" t="str">
        <f t="shared" si="30"/>
        <v>4017/4018</v>
      </c>
      <c r="L94" s="60" t="str">
        <f>VLOOKUP(A94,'Trips&amp;Operators'!$C$1:$E$10000,3,FALSE)</f>
        <v>STEWART</v>
      </c>
      <c r="M94" s="12">
        <f t="shared" si="31"/>
        <v>2.8472222220443655E-2</v>
      </c>
      <c r="N94" s="13">
        <f t="shared" si="35"/>
        <v>40.999999997438863</v>
      </c>
      <c r="O94" s="13"/>
      <c r="P94" s="13"/>
      <c r="Q94" s="61"/>
      <c r="R94" s="61"/>
      <c r="T9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15:50:44-0600',mode:absolute,to:'2016-06-18 16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3" t="str">
        <f t="shared" si="26"/>
        <v>N</v>
      </c>
      <c r="V94" s="73">
        <f t="shared" si="33"/>
        <v>1</v>
      </c>
      <c r="W94" s="73">
        <f t="shared" si="27"/>
        <v>4.53E-2</v>
      </c>
      <c r="X94" s="73">
        <f t="shared" si="28"/>
        <v>23.330100000000002</v>
      </c>
      <c r="Y94" s="73">
        <f t="shared" si="29"/>
        <v>23.284800000000001</v>
      </c>
      <c r="Z94" s="74" t="e">
        <f>VLOOKUP(A94,Enforcements!$C$15:$J$75,8,0)</f>
        <v>#N/A</v>
      </c>
      <c r="AA94" s="74" t="e">
        <f>VLOOKUP(A94,Enforcements!$C$15:$J$75,3,0)</f>
        <v>#N/A</v>
      </c>
    </row>
    <row r="95" spans="1:27" s="2" customFormat="1" x14ac:dyDescent="0.25">
      <c r="A95" s="60" t="s">
        <v>293</v>
      </c>
      <c r="B95" s="60">
        <v>4017</v>
      </c>
      <c r="C95" s="60" t="s">
        <v>62</v>
      </c>
      <c r="D95" s="60" t="s">
        <v>78</v>
      </c>
      <c r="E95" s="30">
        <v>42539.692546296297</v>
      </c>
      <c r="F95" s="30">
        <v>42539.693680555552</v>
      </c>
      <c r="G95" s="38">
        <v>1</v>
      </c>
      <c r="H95" s="30" t="s">
        <v>93</v>
      </c>
      <c r="I95" s="30">
        <v>42539.722962962966</v>
      </c>
      <c r="J95" s="60">
        <v>1</v>
      </c>
      <c r="K95" s="60" t="str">
        <f t="shared" si="30"/>
        <v>4017/4018</v>
      </c>
      <c r="L95" s="60" t="str">
        <f>VLOOKUP(A95,'Trips&amp;Operators'!$C$1:$E$10000,3,FALSE)</f>
        <v>STEWART</v>
      </c>
      <c r="M95" s="12">
        <f t="shared" si="31"/>
        <v>2.9282407413120382E-2</v>
      </c>
      <c r="N95" s="13">
        <f t="shared" si="35"/>
        <v>42.166666674893349</v>
      </c>
      <c r="O95" s="13"/>
      <c r="P95" s="13"/>
      <c r="Q95" s="61"/>
      <c r="R95" s="61"/>
      <c r="T9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16:36:16-0600',mode:absolute,to:'2016-06-18 17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5" s="73" t="str">
        <f t="shared" si="26"/>
        <v>N</v>
      </c>
      <c r="V95" s="73">
        <f t="shared" si="33"/>
        <v>1</v>
      </c>
      <c r="W95" s="73">
        <f t="shared" si="27"/>
        <v>23.297699999999999</v>
      </c>
      <c r="X95" s="73">
        <f t="shared" si="28"/>
        <v>1.54E-2</v>
      </c>
      <c r="Y95" s="73">
        <f t="shared" si="29"/>
        <v>23.282299999999999</v>
      </c>
      <c r="Z95" s="74" t="e">
        <f>VLOOKUP(A95,Enforcements!$C$15:$J$75,8,0)</f>
        <v>#N/A</v>
      </c>
      <c r="AA95" s="74" t="e">
        <f>VLOOKUP(A95,Enforcements!$C$15:$J$75,3,0)</f>
        <v>#N/A</v>
      </c>
    </row>
    <row r="96" spans="1:27" s="2" customFormat="1" x14ac:dyDescent="0.25">
      <c r="A96" s="60" t="s">
        <v>303</v>
      </c>
      <c r="B96" s="60">
        <v>4025</v>
      </c>
      <c r="C96" s="60" t="s">
        <v>62</v>
      </c>
      <c r="D96" s="60" t="s">
        <v>260</v>
      </c>
      <c r="E96" s="30">
        <v>42539.659918981481</v>
      </c>
      <c r="F96" s="30">
        <v>42539.660717592589</v>
      </c>
      <c r="G96" s="38">
        <v>1</v>
      </c>
      <c r="H96" s="30" t="s">
        <v>444</v>
      </c>
      <c r="I96" s="30">
        <v>42539.692407407405</v>
      </c>
      <c r="J96" s="60">
        <v>0</v>
      </c>
      <c r="K96" s="60" t="str">
        <f t="shared" si="30"/>
        <v>4025/4026</v>
      </c>
      <c r="L96" s="60" t="str">
        <f>VLOOKUP(A96,'Trips&amp;Operators'!$C$1:$E$10000,3,FALSE)</f>
        <v>BRANNON</v>
      </c>
      <c r="M96" s="12">
        <f t="shared" si="31"/>
        <v>3.1689814815763384E-2</v>
      </c>
      <c r="N96" s="13">
        <f t="shared" si="35"/>
        <v>45.633333334699273</v>
      </c>
      <c r="O96" s="13"/>
      <c r="P96" s="13"/>
      <c r="Q96" s="61"/>
      <c r="R96" s="61"/>
      <c r="T9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15:49:17-0600',mode:absolute,to:'2016-06-18 16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6" s="73" t="str">
        <f t="shared" si="26"/>
        <v>N</v>
      </c>
      <c r="V96" s="73">
        <f t="shared" si="33"/>
        <v>1</v>
      </c>
      <c r="W96" s="73">
        <f t="shared" si="27"/>
        <v>4.3700000000000003E-2</v>
      </c>
      <c r="X96" s="73">
        <f t="shared" si="28"/>
        <v>23.3306</v>
      </c>
      <c r="Y96" s="73">
        <f t="shared" si="29"/>
        <v>23.286899999999999</v>
      </c>
      <c r="Z96" s="74" t="e">
        <f>VLOOKUP(A96,Enforcements!$C$15:$J$75,8,0)</f>
        <v>#N/A</v>
      </c>
      <c r="AA96" s="74" t="e">
        <f>VLOOKUP(A96,Enforcements!$C$15:$J$75,3,0)</f>
        <v>#N/A</v>
      </c>
    </row>
    <row r="97" spans="1:27" s="2" customFormat="1" x14ac:dyDescent="0.25">
      <c r="A97" s="60" t="s">
        <v>370</v>
      </c>
      <c r="B97" s="60">
        <v>4026</v>
      </c>
      <c r="C97" s="60" t="s">
        <v>62</v>
      </c>
      <c r="D97" s="60" t="s">
        <v>83</v>
      </c>
      <c r="E97" s="30">
        <v>42539.693865740737</v>
      </c>
      <c r="F97" s="30">
        <v>42539.694652777776</v>
      </c>
      <c r="G97" s="38">
        <v>1</v>
      </c>
      <c r="H97" s="30" t="s">
        <v>86</v>
      </c>
      <c r="I97" s="30">
        <v>42539.731261574074</v>
      </c>
      <c r="J97" s="60">
        <v>1</v>
      </c>
      <c r="K97" s="60" t="str">
        <f t="shared" si="30"/>
        <v>4025/4026</v>
      </c>
      <c r="L97" s="60" t="str">
        <f>VLOOKUP(A97,'Trips&amp;Operators'!$C$1:$E$10000,3,FALSE)</f>
        <v>BRANNON</v>
      </c>
      <c r="M97" s="12">
        <f t="shared" si="31"/>
        <v>3.6608796297514345E-2</v>
      </c>
      <c r="N97" s="13">
        <f t="shared" si="35"/>
        <v>52.716666668420658</v>
      </c>
      <c r="O97" s="13"/>
      <c r="P97" s="13"/>
      <c r="Q97" s="61"/>
      <c r="R97" s="61"/>
      <c r="T9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16:38:10-0600',mode:absolute,to:'2016-06-18 17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7" s="73" t="str">
        <f t="shared" si="26"/>
        <v>N</v>
      </c>
      <c r="V97" s="73">
        <f t="shared" si="33"/>
        <v>1</v>
      </c>
      <c r="W97" s="73">
        <f t="shared" si="27"/>
        <v>23.299099999999999</v>
      </c>
      <c r="X97" s="73">
        <f t="shared" si="28"/>
        <v>1.49E-2</v>
      </c>
      <c r="Y97" s="73">
        <f t="shared" si="29"/>
        <v>23.284199999999998</v>
      </c>
      <c r="Z97" s="74">
        <f>VLOOKUP(A97,Enforcements!$C$15:$J$75,8,0)</f>
        <v>1</v>
      </c>
      <c r="AA97" s="74" t="str">
        <f>VLOOKUP(A97,Enforcements!$C$15:$J$75,3,0)</f>
        <v>TRACK WARRANT AUTHORITY</v>
      </c>
    </row>
    <row r="98" spans="1:27" s="2" customFormat="1" x14ac:dyDescent="0.25">
      <c r="A98" s="60" t="s">
        <v>346</v>
      </c>
      <c r="B98" s="60">
        <v>4020</v>
      </c>
      <c r="C98" s="60" t="s">
        <v>62</v>
      </c>
      <c r="D98" s="60" t="s">
        <v>99</v>
      </c>
      <c r="E98" s="30">
        <v>42539.674085648148</v>
      </c>
      <c r="F98" s="30">
        <v>42539.675335648149</v>
      </c>
      <c r="G98" s="38">
        <v>1</v>
      </c>
      <c r="H98" s="30" t="s">
        <v>194</v>
      </c>
      <c r="I98" s="30">
        <v>42539.702476851853</v>
      </c>
      <c r="J98" s="60">
        <v>0</v>
      </c>
      <c r="K98" s="60" t="str">
        <f t="shared" si="30"/>
        <v>4019/4020</v>
      </c>
      <c r="L98" s="60" t="str">
        <f>VLOOKUP(A98,'Trips&amp;Operators'!$C$1:$E$10000,3,FALSE)</f>
        <v>WEBSTER</v>
      </c>
      <c r="M98" s="12">
        <f t="shared" si="31"/>
        <v>2.7141203703649808E-2</v>
      </c>
      <c r="N98" s="13">
        <f t="shared" si="35"/>
        <v>39.083333333255723</v>
      </c>
      <c r="O98" s="13"/>
      <c r="P98" s="13"/>
      <c r="Q98" s="61"/>
      <c r="R98" s="61"/>
      <c r="T9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16:09:41-0600',mode:absolute,to:'2016-06-18 16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3" t="str">
        <f t="shared" si="26"/>
        <v>N</v>
      </c>
      <c r="V98" s="73">
        <f t="shared" si="33"/>
        <v>1</v>
      </c>
      <c r="W98" s="73">
        <f t="shared" si="27"/>
        <v>4.58E-2</v>
      </c>
      <c r="X98" s="73">
        <f t="shared" si="28"/>
        <v>23.3309</v>
      </c>
      <c r="Y98" s="73">
        <f t="shared" si="29"/>
        <v>23.2851</v>
      </c>
      <c r="Z98" s="74" t="e">
        <f>VLOOKUP(A98,Enforcements!$C$15:$J$75,8,0)</f>
        <v>#N/A</v>
      </c>
      <c r="AA98" s="74" t="e">
        <f>VLOOKUP(A98,Enforcements!$C$15:$J$75,3,0)</f>
        <v>#N/A</v>
      </c>
    </row>
    <row r="99" spans="1:27" s="2" customFormat="1" x14ac:dyDescent="0.25">
      <c r="A99" s="60" t="s">
        <v>306</v>
      </c>
      <c r="B99" s="60">
        <v>4019</v>
      </c>
      <c r="C99" s="60" t="s">
        <v>62</v>
      </c>
      <c r="D99" s="60" t="s">
        <v>92</v>
      </c>
      <c r="E99" s="30">
        <v>42539.710729166669</v>
      </c>
      <c r="F99" s="30">
        <v>42539.711759259262</v>
      </c>
      <c r="G99" s="38">
        <v>1</v>
      </c>
      <c r="H99" s="30" t="s">
        <v>65</v>
      </c>
      <c r="I99" s="30">
        <v>42539.743171296293</v>
      </c>
      <c r="J99" s="60">
        <v>0</v>
      </c>
      <c r="K99" s="60" t="str">
        <f t="shared" ref="K99:K130" si="36">IF(ISEVEN(B99),(B99-1)&amp;"/"&amp;B99,B99&amp;"/"&amp;(B99+1))</f>
        <v>4019/4020</v>
      </c>
      <c r="L99" s="60" t="str">
        <f>VLOOKUP(A99,'Trips&amp;Operators'!$C$1:$E$10000,3,FALSE)</f>
        <v>WEBSTER</v>
      </c>
      <c r="M99" s="12">
        <f t="shared" ref="M99:M130" si="37">I99-F99</f>
        <v>3.1412037031259388E-2</v>
      </c>
      <c r="N99" s="13">
        <f t="shared" si="35"/>
        <v>45.233333325013518</v>
      </c>
      <c r="O99" s="13"/>
      <c r="P99" s="13"/>
      <c r="Q99" s="61"/>
      <c r="R99" s="61"/>
      <c r="T9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17:02:27-0600',mode:absolute,to:'2016-06-18 17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3" t="str">
        <f t="shared" si="26"/>
        <v>N</v>
      </c>
      <c r="V99" s="73">
        <f t="shared" si="33"/>
        <v>1</v>
      </c>
      <c r="W99" s="73">
        <f t="shared" si="27"/>
        <v>23.297799999999999</v>
      </c>
      <c r="X99" s="73">
        <f t="shared" si="28"/>
        <v>1.52E-2</v>
      </c>
      <c r="Y99" s="73">
        <f t="shared" si="29"/>
        <v>23.282599999999999</v>
      </c>
      <c r="Z99" s="74" t="e">
        <f>VLOOKUP(A99,Enforcements!$C$15:$J$75,8,0)</f>
        <v>#N/A</v>
      </c>
      <c r="AA99" s="74" t="e">
        <f>VLOOKUP(A99,Enforcements!$C$15:$J$75,3,0)</f>
        <v>#N/A</v>
      </c>
    </row>
    <row r="100" spans="1:27" s="2" customFormat="1" x14ac:dyDescent="0.25">
      <c r="A100" s="60" t="s">
        <v>323</v>
      </c>
      <c r="B100" s="60">
        <v>4024</v>
      </c>
      <c r="C100" s="60" t="s">
        <v>62</v>
      </c>
      <c r="D100" s="60" t="s">
        <v>82</v>
      </c>
      <c r="E100" s="30">
        <v>42539.681342592594</v>
      </c>
      <c r="F100" s="30">
        <v>42539.682106481479</v>
      </c>
      <c r="G100" s="38">
        <v>1</v>
      </c>
      <c r="H100" s="30" t="s">
        <v>105</v>
      </c>
      <c r="I100" s="30">
        <v>42539.712094907409</v>
      </c>
      <c r="J100" s="60">
        <v>0</v>
      </c>
      <c r="K100" s="60" t="str">
        <f t="shared" si="36"/>
        <v>4023/4024</v>
      </c>
      <c r="L100" s="60" t="str">
        <f>VLOOKUP(A100,'Trips&amp;Operators'!$C$1:$E$10000,3,FALSE)</f>
        <v>RIVERA</v>
      </c>
      <c r="M100" s="12">
        <f t="shared" si="37"/>
        <v>2.9988425929332152E-2</v>
      </c>
      <c r="N100" s="13">
        <f t="shared" si="35"/>
        <v>43.183333338238299</v>
      </c>
      <c r="O100" s="13"/>
      <c r="P100" s="13"/>
      <c r="Q100" s="61"/>
      <c r="R100" s="61"/>
      <c r="T10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16:20:08-0600',mode:absolute,to:'2016-06-18 17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3" t="str">
        <f t="shared" si="26"/>
        <v>N</v>
      </c>
      <c r="V100" s="73">
        <f t="shared" si="33"/>
        <v>1</v>
      </c>
      <c r="W100" s="73">
        <f t="shared" si="27"/>
        <v>4.5699999999999998E-2</v>
      </c>
      <c r="X100" s="73">
        <f t="shared" si="28"/>
        <v>23.331499999999998</v>
      </c>
      <c r="Y100" s="73">
        <f t="shared" si="29"/>
        <v>23.285799999999998</v>
      </c>
      <c r="Z100" s="74" t="e">
        <f>VLOOKUP(A100,Enforcements!$C$15:$J$75,8,0)</f>
        <v>#N/A</v>
      </c>
      <c r="AA100" s="74" t="e">
        <f>VLOOKUP(A100,Enforcements!$C$15:$J$75,3,0)</f>
        <v>#N/A</v>
      </c>
    </row>
    <row r="101" spans="1:27" s="2" customFormat="1" x14ac:dyDescent="0.25">
      <c r="A101" s="60" t="s">
        <v>289</v>
      </c>
      <c r="B101" s="60">
        <v>4023</v>
      </c>
      <c r="C101" s="60" t="s">
        <v>62</v>
      </c>
      <c r="D101" s="60" t="s">
        <v>426</v>
      </c>
      <c r="E101" s="30">
        <v>42539.720069444447</v>
      </c>
      <c r="F101" s="30">
        <v>42539.721168981479</v>
      </c>
      <c r="G101" s="38">
        <v>1</v>
      </c>
      <c r="H101" s="30" t="s">
        <v>257</v>
      </c>
      <c r="I101" s="30">
        <v>42539.75240740741</v>
      </c>
      <c r="J101" s="60">
        <v>1</v>
      </c>
      <c r="K101" s="60" t="str">
        <f t="shared" si="36"/>
        <v>4023/4024</v>
      </c>
      <c r="L101" s="60" t="str">
        <f>VLOOKUP(A101,'Trips&amp;Operators'!$C$1:$E$10000,3,FALSE)</f>
        <v>RIVERA</v>
      </c>
      <c r="M101" s="12">
        <f t="shared" si="37"/>
        <v>3.1238425930496305E-2</v>
      </c>
      <c r="N101" s="13">
        <f t="shared" si="35"/>
        <v>44.98333333991468</v>
      </c>
      <c r="O101" s="13"/>
      <c r="P101" s="13"/>
      <c r="Q101" s="61"/>
      <c r="R101" s="61"/>
      <c r="T10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17:15:54-0600',mode:absolute,to:'2016-06-18 18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3" t="str">
        <f t="shared" si="26"/>
        <v>N</v>
      </c>
      <c r="V101" s="73">
        <f t="shared" si="33"/>
        <v>1</v>
      </c>
      <c r="W101" s="73">
        <f t="shared" si="27"/>
        <v>23.3004</v>
      </c>
      <c r="X101" s="73">
        <f t="shared" si="28"/>
        <v>1.6500000000000001E-2</v>
      </c>
      <c r="Y101" s="73">
        <f t="shared" si="29"/>
        <v>23.283899999999999</v>
      </c>
      <c r="Z101" s="74">
        <f>VLOOKUP(A101,Enforcements!$C$15:$J$75,8,0)</f>
        <v>1</v>
      </c>
      <c r="AA101" s="74" t="str">
        <f>VLOOKUP(A101,Enforcements!$C$15:$J$75,3,0)</f>
        <v>TRACK WARRANT AUTHORITY</v>
      </c>
    </row>
    <row r="102" spans="1:27" s="2" customFormat="1" x14ac:dyDescent="0.25">
      <c r="A102" s="60" t="s">
        <v>301</v>
      </c>
      <c r="B102" s="60">
        <v>4044</v>
      </c>
      <c r="C102" s="60" t="s">
        <v>62</v>
      </c>
      <c r="D102" s="60" t="s">
        <v>261</v>
      </c>
      <c r="E102" s="30">
        <v>42539.693599537037</v>
      </c>
      <c r="F102" s="30">
        <v>42539.694340277776</v>
      </c>
      <c r="G102" s="38">
        <v>1</v>
      </c>
      <c r="H102" s="30" t="s">
        <v>491</v>
      </c>
      <c r="I102" s="30">
        <v>42539.724189814813</v>
      </c>
      <c r="J102" s="60">
        <v>1</v>
      </c>
      <c r="K102" s="60" t="str">
        <f t="shared" si="36"/>
        <v>4043/4044</v>
      </c>
      <c r="L102" s="60" t="str">
        <f>VLOOKUP(A102,'Trips&amp;Operators'!$C$1:$E$10000,3,FALSE)</f>
        <v>BONDS</v>
      </c>
      <c r="M102" s="12">
        <f t="shared" si="37"/>
        <v>2.9849537037080154E-2</v>
      </c>
      <c r="N102" s="13">
        <f t="shared" si="35"/>
        <v>42.983333333395422</v>
      </c>
      <c r="O102" s="13"/>
      <c r="P102" s="13"/>
      <c r="Q102" s="61"/>
      <c r="R102" s="61"/>
      <c r="T10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16:37:47-0600',mode:absolute,to:'2016-06-18 17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2" s="73" t="str">
        <f t="shared" si="26"/>
        <v>N</v>
      </c>
      <c r="V102" s="73">
        <f t="shared" si="33"/>
        <v>1</v>
      </c>
      <c r="W102" s="73">
        <f t="shared" si="27"/>
        <v>4.3299999999999998E-2</v>
      </c>
      <c r="X102" s="73">
        <f t="shared" si="28"/>
        <v>23.3324</v>
      </c>
      <c r="Y102" s="73">
        <f t="shared" si="29"/>
        <v>23.289100000000001</v>
      </c>
      <c r="Z102" s="74" t="e">
        <f>VLOOKUP(A102,Enforcements!$C$15:$J$75,8,0)</f>
        <v>#N/A</v>
      </c>
      <c r="AA102" s="74" t="e">
        <f>VLOOKUP(A102,Enforcements!$C$15:$J$75,3,0)</f>
        <v>#N/A</v>
      </c>
    </row>
    <row r="103" spans="1:27" s="2" customFormat="1" x14ac:dyDescent="0.25">
      <c r="A103" s="60" t="s">
        <v>389</v>
      </c>
      <c r="B103" s="60">
        <v>4043</v>
      </c>
      <c r="C103" s="60" t="s">
        <v>62</v>
      </c>
      <c r="D103" s="60" t="s">
        <v>492</v>
      </c>
      <c r="E103" s="30">
        <v>42539.730613425927</v>
      </c>
      <c r="F103" s="30">
        <v>42539.731458333335</v>
      </c>
      <c r="G103" s="38">
        <v>1</v>
      </c>
      <c r="H103" s="30" t="s">
        <v>74</v>
      </c>
      <c r="I103" s="30">
        <v>42539.763842592591</v>
      </c>
      <c r="J103" s="60">
        <v>0</v>
      </c>
      <c r="K103" s="60" t="str">
        <f t="shared" si="36"/>
        <v>4043/4044</v>
      </c>
      <c r="L103" s="60" t="str">
        <f>VLOOKUP(A103,'Trips&amp;Operators'!$C$1:$E$10000,3,FALSE)</f>
        <v>BONDS</v>
      </c>
      <c r="M103" s="12">
        <f t="shared" si="37"/>
        <v>3.2384259255195502E-2</v>
      </c>
      <c r="N103" s="13">
        <f t="shared" si="35"/>
        <v>46.633333327481523</v>
      </c>
      <c r="O103" s="13"/>
      <c r="P103" s="13"/>
      <c r="Q103" s="61"/>
      <c r="R103" s="61"/>
      <c r="T10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17:31:05-0600',mode:absolute,to:'2016-06-18 18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3" s="73" t="str">
        <f t="shared" si="26"/>
        <v>N</v>
      </c>
      <c r="V103" s="73">
        <f t="shared" si="33"/>
        <v>1</v>
      </c>
      <c r="W103" s="73">
        <f t="shared" si="27"/>
        <v>23.300699999999999</v>
      </c>
      <c r="X103" s="73">
        <f t="shared" si="28"/>
        <v>1.6E-2</v>
      </c>
      <c r="Y103" s="73">
        <f t="shared" si="29"/>
        <v>23.284700000000001</v>
      </c>
      <c r="Z103" s="74" t="e">
        <f>VLOOKUP(A103,Enforcements!$C$15:$J$75,8,0)</f>
        <v>#N/A</v>
      </c>
      <c r="AA103" s="74" t="e">
        <f>VLOOKUP(A103,Enforcements!$C$15:$J$75,3,0)</f>
        <v>#N/A</v>
      </c>
    </row>
    <row r="104" spans="1:27" s="2" customFormat="1" x14ac:dyDescent="0.25">
      <c r="A104" s="60" t="s">
        <v>325</v>
      </c>
      <c r="B104" s="60">
        <v>4042</v>
      </c>
      <c r="C104" s="60" t="s">
        <v>62</v>
      </c>
      <c r="D104" s="60" t="s">
        <v>493</v>
      </c>
      <c r="E104" s="30">
        <v>42539.702557870369</v>
      </c>
      <c r="F104" s="30">
        <v>42539.703587962962</v>
      </c>
      <c r="G104" s="38">
        <v>1</v>
      </c>
      <c r="H104" s="30" t="s">
        <v>494</v>
      </c>
      <c r="I104" s="30">
        <v>42539.734513888892</v>
      </c>
      <c r="J104" s="60">
        <v>2</v>
      </c>
      <c r="K104" s="60" t="str">
        <f t="shared" si="36"/>
        <v>4041/4042</v>
      </c>
      <c r="L104" s="60" t="str">
        <f>VLOOKUP(A104,'Trips&amp;Operators'!$C$1:$E$10000,3,FALSE)</f>
        <v>LOCKLEAR</v>
      </c>
      <c r="M104" s="12">
        <f t="shared" si="37"/>
        <v>3.0925925930205267E-2</v>
      </c>
      <c r="N104" s="13">
        <f t="shared" si="35"/>
        <v>44.533333339495584</v>
      </c>
      <c r="O104" s="13"/>
      <c r="P104" s="13"/>
      <c r="Q104" s="61"/>
      <c r="R104" s="61"/>
      <c r="T10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16:50:41-0600',mode:absolute,to:'2016-06-18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4" s="73" t="str">
        <f t="shared" si="26"/>
        <v>N</v>
      </c>
      <c r="V104" s="73">
        <f t="shared" si="33"/>
        <v>1</v>
      </c>
      <c r="W104" s="73">
        <f t="shared" si="27"/>
        <v>4.8599999999999997E-2</v>
      </c>
      <c r="X104" s="73">
        <f t="shared" si="28"/>
        <v>23.345099999999999</v>
      </c>
      <c r="Y104" s="73">
        <f t="shared" si="29"/>
        <v>23.296499999999998</v>
      </c>
      <c r="Z104" s="74">
        <f>VLOOKUP(A104,Enforcements!$C$15:$J$75,8,0)</f>
        <v>233491</v>
      </c>
      <c r="AA104" s="74" t="str">
        <f>VLOOKUP(A104,Enforcements!$C$15:$J$75,3,0)</f>
        <v>TRACK WARRANT AUTHORITY</v>
      </c>
    </row>
    <row r="105" spans="1:27" s="2" customFormat="1" x14ac:dyDescent="0.25">
      <c r="A105" s="60" t="s">
        <v>344</v>
      </c>
      <c r="B105" s="60">
        <v>4041</v>
      </c>
      <c r="C105" s="60" t="s">
        <v>62</v>
      </c>
      <c r="D105" s="60" t="s">
        <v>495</v>
      </c>
      <c r="E105" s="30">
        <v>42539.74490740741</v>
      </c>
      <c r="F105" s="30">
        <v>42539.745868055557</v>
      </c>
      <c r="G105" s="38">
        <v>1</v>
      </c>
      <c r="H105" s="30" t="s">
        <v>449</v>
      </c>
      <c r="I105" s="30">
        <v>42539.773414351854</v>
      </c>
      <c r="J105" s="60">
        <v>0</v>
      </c>
      <c r="K105" s="60" t="str">
        <f t="shared" si="36"/>
        <v>4041/4042</v>
      </c>
      <c r="L105" s="60" t="str">
        <f>VLOOKUP(A105,'Trips&amp;Operators'!$C$1:$E$10000,3,FALSE)</f>
        <v>LOCKLEAR</v>
      </c>
      <c r="M105" s="12">
        <f t="shared" si="37"/>
        <v>2.7546296296350192E-2</v>
      </c>
      <c r="N105" s="13">
        <f t="shared" si="35"/>
        <v>39.666666666744277</v>
      </c>
      <c r="O105" s="13"/>
      <c r="P105" s="13"/>
      <c r="Q105" s="61"/>
      <c r="R105" s="61"/>
      <c r="T10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17:51:40-0600',mode:absolute,to:'2016-06-18 18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5" s="73" t="str">
        <f t="shared" si="26"/>
        <v>N</v>
      </c>
      <c r="V105" s="73">
        <f t="shared" si="33"/>
        <v>1</v>
      </c>
      <c r="W105" s="73">
        <f t="shared" si="27"/>
        <v>23.315300000000001</v>
      </c>
      <c r="X105" s="73">
        <f t="shared" si="28"/>
        <v>1.4999999999999999E-2</v>
      </c>
      <c r="Y105" s="73">
        <f t="shared" si="29"/>
        <v>23.3003</v>
      </c>
      <c r="Z105" s="74" t="e">
        <f>VLOOKUP(A105,Enforcements!$C$15:$J$75,8,0)</f>
        <v>#N/A</v>
      </c>
      <c r="AA105" s="74" t="e">
        <f>VLOOKUP(A105,Enforcements!$C$15:$J$75,3,0)</f>
        <v>#N/A</v>
      </c>
    </row>
    <row r="106" spans="1:27" s="2" customFormat="1" x14ac:dyDescent="0.25">
      <c r="A106" s="60" t="s">
        <v>371</v>
      </c>
      <c r="B106" s="60">
        <v>4040</v>
      </c>
      <c r="C106" s="60" t="s">
        <v>62</v>
      </c>
      <c r="D106" s="60" t="s">
        <v>258</v>
      </c>
      <c r="E106" s="30">
        <v>42539.713229166664</v>
      </c>
      <c r="F106" s="30">
        <v>42539.714456018519</v>
      </c>
      <c r="G106" s="38">
        <v>1</v>
      </c>
      <c r="H106" s="30" t="s">
        <v>195</v>
      </c>
      <c r="I106" s="30">
        <v>42539.743680555555</v>
      </c>
      <c r="J106" s="60">
        <v>0</v>
      </c>
      <c r="K106" s="60" t="str">
        <f t="shared" si="36"/>
        <v>4039/4040</v>
      </c>
      <c r="L106" s="60" t="str">
        <f>VLOOKUP(A106,'Trips&amp;Operators'!$C$1:$E$10000,3,FALSE)</f>
        <v>ACKERMAN</v>
      </c>
      <c r="M106" s="12">
        <f t="shared" si="37"/>
        <v>2.9224537036498077E-2</v>
      </c>
      <c r="N106" s="13">
        <f t="shared" si="35"/>
        <v>42.083333332557231</v>
      </c>
      <c r="O106" s="13"/>
      <c r="P106" s="13"/>
      <c r="Q106" s="61"/>
      <c r="R106" s="61"/>
      <c r="T10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17:06:03-0600',mode:absolute,to:'2016-06-18 17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6" s="73" t="str">
        <f t="shared" si="26"/>
        <v>N</v>
      </c>
      <c r="V106" s="73">
        <f t="shared" si="33"/>
        <v>1</v>
      </c>
      <c r="W106" s="73">
        <f t="shared" si="27"/>
        <v>4.6699999999999998E-2</v>
      </c>
      <c r="X106" s="73">
        <f t="shared" si="28"/>
        <v>23.329699999999999</v>
      </c>
      <c r="Y106" s="73">
        <f t="shared" si="29"/>
        <v>23.282999999999998</v>
      </c>
      <c r="Z106" s="74" t="e">
        <f>VLOOKUP(A106,Enforcements!$C$15:$J$75,8,0)</f>
        <v>#N/A</v>
      </c>
      <c r="AA106" s="74" t="e">
        <f>VLOOKUP(A106,Enforcements!$C$15:$J$75,3,0)</f>
        <v>#N/A</v>
      </c>
    </row>
    <row r="107" spans="1:27" s="2" customFormat="1" x14ac:dyDescent="0.25">
      <c r="A107" s="60" t="s">
        <v>402</v>
      </c>
      <c r="B107" s="60">
        <v>4039</v>
      </c>
      <c r="C107" s="60" t="s">
        <v>62</v>
      </c>
      <c r="D107" s="60" t="s">
        <v>78</v>
      </c>
      <c r="E107" s="30">
        <v>42539.751574074071</v>
      </c>
      <c r="F107" s="30">
        <v>42539.752442129633</v>
      </c>
      <c r="G107" s="38">
        <v>1</v>
      </c>
      <c r="H107" s="30" t="s">
        <v>433</v>
      </c>
      <c r="I107" s="30">
        <v>42539.786099537036</v>
      </c>
      <c r="J107" s="60">
        <v>0</v>
      </c>
      <c r="K107" s="60" t="str">
        <f t="shared" si="36"/>
        <v>4039/4040</v>
      </c>
      <c r="L107" s="60" t="str">
        <f>VLOOKUP(A107,'Trips&amp;Operators'!$C$1:$E$10000,3,FALSE)</f>
        <v>ACKERMAN</v>
      </c>
      <c r="M107" s="12">
        <f t="shared" si="37"/>
        <v>3.3657407402643003E-2</v>
      </c>
      <c r="N107" s="13">
        <f t="shared" si="35"/>
        <v>48.466666659805924</v>
      </c>
      <c r="O107" s="13"/>
      <c r="P107" s="13"/>
      <c r="Q107" s="61"/>
      <c r="R107" s="61"/>
      <c r="T10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18:01:16-0600',mode:absolute,to:'2016-06-18 18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7" s="73" t="str">
        <f t="shared" si="26"/>
        <v>N</v>
      </c>
      <c r="V107" s="73">
        <f t="shared" si="33"/>
        <v>1</v>
      </c>
      <c r="W107" s="73">
        <f t="shared" si="27"/>
        <v>23.297699999999999</v>
      </c>
      <c r="X107" s="73">
        <f t="shared" si="28"/>
        <v>1.3599999999999999E-2</v>
      </c>
      <c r="Y107" s="73">
        <f t="shared" si="29"/>
        <v>23.284099999999999</v>
      </c>
      <c r="Z107" s="74" t="e">
        <f>VLOOKUP(A107,Enforcements!$C$15:$J$75,8,0)</f>
        <v>#N/A</v>
      </c>
      <c r="AA107" s="74" t="e">
        <f>VLOOKUP(A107,Enforcements!$C$15:$J$75,3,0)</f>
        <v>#N/A</v>
      </c>
    </row>
    <row r="108" spans="1:27" s="2" customFormat="1" x14ac:dyDescent="0.25">
      <c r="A108" s="60" t="s">
        <v>307</v>
      </c>
      <c r="B108" s="60">
        <v>4018</v>
      </c>
      <c r="C108" s="60" t="s">
        <v>62</v>
      </c>
      <c r="D108" s="60" t="s">
        <v>496</v>
      </c>
      <c r="E108" s="30">
        <v>42539.726342592592</v>
      </c>
      <c r="F108" s="30">
        <v>42539.729386574072</v>
      </c>
      <c r="G108" s="38">
        <v>4</v>
      </c>
      <c r="H108" s="30" t="s">
        <v>197</v>
      </c>
      <c r="I108" s="30">
        <v>42539.755543981482</v>
      </c>
      <c r="J108" s="60">
        <v>0</v>
      </c>
      <c r="K108" s="60" t="str">
        <f t="shared" si="36"/>
        <v>4017/4018</v>
      </c>
      <c r="L108" s="60" t="str">
        <f>VLOOKUP(A108,'Trips&amp;Operators'!$C$1:$E$10000,3,FALSE)</f>
        <v>STEWART</v>
      </c>
      <c r="M108" s="12">
        <f t="shared" si="37"/>
        <v>2.6157407410209998E-2</v>
      </c>
      <c r="N108" s="13">
        <f t="shared" si="35"/>
        <v>37.666666670702398</v>
      </c>
      <c r="O108" s="13"/>
      <c r="P108" s="13"/>
      <c r="Q108" s="61"/>
      <c r="R108" s="61"/>
      <c r="T10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17:24:56-0600',mode:absolute,to:'2016-06-18 18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8" s="73" t="str">
        <f t="shared" si="26"/>
        <v>N</v>
      </c>
      <c r="V108" s="73">
        <f t="shared" si="33"/>
        <v>1</v>
      </c>
      <c r="W108" s="73">
        <f t="shared" si="27"/>
        <v>4.7100000000000003E-2</v>
      </c>
      <c r="X108" s="73">
        <f t="shared" si="28"/>
        <v>23.327200000000001</v>
      </c>
      <c r="Y108" s="73">
        <f t="shared" si="29"/>
        <v>23.280100000000001</v>
      </c>
      <c r="Z108" s="74" t="e">
        <f>VLOOKUP(A108,Enforcements!$C$15:$J$75,8,0)</f>
        <v>#N/A</v>
      </c>
      <c r="AA108" s="74" t="e">
        <f>VLOOKUP(A108,Enforcements!$C$15:$J$75,3,0)</f>
        <v>#N/A</v>
      </c>
    </row>
    <row r="109" spans="1:27" s="2" customFormat="1" x14ac:dyDescent="0.25">
      <c r="A109" s="60" t="s">
        <v>337</v>
      </c>
      <c r="B109" s="60">
        <v>4017</v>
      </c>
      <c r="C109" s="60" t="s">
        <v>62</v>
      </c>
      <c r="D109" s="60" t="s">
        <v>497</v>
      </c>
      <c r="E109" s="30">
        <v>42539.764791666668</v>
      </c>
      <c r="F109" s="30">
        <v>42539.766203703701</v>
      </c>
      <c r="G109" s="38">
        <v>2</v>
      </c>
      <c r="H109" s="30" t="s">
        <v>498</v>
      </c>
      <c r="I109" s="30">
        <v>42539.79587962963</v>
      </c>
      <c r="J109" s="60">
        <v>1</v>
      </c>
      <c r="K109" s="60" t="str">
        <f t="shared" si="36"/>
        <v>4017/4018</v>
      </c>
      <c r="L109" s="60" t="str">
        <f>VLOOKUP(A109,'Trips&amp;Operators'!$C$1:$E$10000,3,FALSE)</f>
        <v>STEWART</v>
      </c>
      <c r="M109" s="12">
        <f t="shared" si="37"/>
        <v>2.9675925929041114E-2</v>
      </c>
      <c r="N109" s="13">
        <f t="shared" si="35"/>
        <v>42.733333337819204</v>
      </c>
      <c r="O109" s="13"/>
      <c r="P109" s="13"/>
      <c r="Q109" s="61"/>
      <c r="R109" s="61"/>
      <c r="T10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18:20:18-0600',mode:absolute,to:'2016-06-18 19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9" s="73" t="str">
        <f t="shared" si="26"/>
        <v>N</v>
      </c>
      <c r="V109" s="73">
        <f t="shared" si="33"/>
        <v>1</v>
      </c>
      <c r="W109" s="73">
        <f t="shared" si="27"/>
        <v>23.298300000000001</v>
      </c>
      <c r="X109" s="73">
        <f t="shared" si="28"/>
        <v>1.83E-2</v>
      </c>
      <c r="Y109" s="73">
        <f t="shared" si="29"/>
        <v>23.28</v>
      </c>
      <c r="Z109" s="74">
        <f>VLOOKUP(A109,Enforcements!$C$15:$J$75,8,0)</f>
        <v>1</v>
      </c>
      <c r="AA109" s="74" t="str">
        <f>VLOOKUP(A109,Enforcements!$C$15:$J$75,3,0)</f>
        <v>TRACK WARRANT AUTHORITY</v>
      </c>
    </row>
    <row r="110" spans="1:27" s="2" customFormat="1" x14ac:dyDescent="0.25">
      <c r="A110" s="60" t="s">
        <v>335</v>
      </c>
      <c r="B110" s="60">
        <v>4025</v>
      </c>
      <c r="C110" s="60" t="s">
        <v>62</v>
      </c>
      <c r="D110" s="60" t="s">
        <v>90</v>
      </c>
      <c r="E110" s="30">
        <v>42539.734814814816</v>
      </c>
      <c r="F110" s="30">
        <v>42539.736006944448</v>
      </c>
      <c r="G110" s="38">
        <v>1</v>
      </c>
      <c r="H110" s="30" t="s">
        <v>266</v>
      </c>
      <c r="I110" s="30">
        <v>42539.737372685187</v>
      </c>
      <c r="J110" s="60">
        <v>0</v>
      </c>
      <c r="K110" s="60" t="str">
        <f t="shared" si="36"/>
        <v>4025/4026</v>
      </c>
      <c r="L110" s="60" t="str">
        <f>VLOOKUP(A110,'Trips&amp;Operators'!$C$1:$E$10000,3,FALSE)</f>
        <v>LEVERE</v>
      </c>
      <c r="M110" s="12">
        <f t="shared" si="37"/>
        <v>1.3657407398568466E-3</v>
      </c>
      <c r="N110" s="13"/>
      <c r="O110" s="13"/>
      <c r="P110" s="13">
        <f>24*60*SUM($M110:$M110)</f>
        <v>1.9666666653938591</v>
      </c>
      <c r="Q110" s="61"/>
      <c r="R110" s="61" t="s">
        <v>517</v>
      </c>
      <c r="T11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17:37:08-0600',mode:absolute,to:'2016-06-18 17:42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0" s="73" t="str">
        <f t="shared" si="26"/>
        <v>N</v>
      </c>
      <c r="V110" s="73">
        <f t="shared" si="33"/>
        <v>1</v>
      </c>
      <c r="W110" s="73">
        <f t="shared" si="27"/>
        <v>4.53E-2</v>
      </c>
      <c r="X110" s="73">
        <f t="shared" si="28"/>
        <v>23.327000000000002</v>
      </c>
      <c r="Y110" s="73">
        <f t="shared" si="29"/>
        <v>23.281700000000001</v>
      </c>
      <c r="Z110" s="74" t="e">
        <f>VLOOKUP(A110,Enforcements!$C$15:$J$75,8,0)</f>
        <v>#N/A</v>
      </c>
      <c r="AA110" s="74" t="e">
        <f>VLOOKUP(A110,Enforcements!$C$15:$J$75,3,0)</f>
        <v>#N/A</v>
      </c>
    </row>
    <row r="111" spans="1:27" s="2" customFormat="1" x14ac:dyDescent="0.25">
      <c r="A111" s="60" t="s">
        <v>392</v>
      </c>
      <c r="B111" s="60">
        <v>4026</v>
      </c>
      <c r="C111" s="60" t="s">
        <v>62</v>
      </c>
      <c r="D111" s="60" t="s">
        <v>246</v>
      </c>
      <c r="E111" s="30">
        <v>42539.772430555553</v>
      </c>
      <c r="F111" s="30">
        <v>42539.773668981485</v>
      </c>
      <c r="G111" s="38">
        <v>1</v>
      </c>
      <c r="H111" s="30" t="s">
        <v>65</v>
      </c>
      <c r="I111" s="30">
        <v>42539.806041666663</v>
      </c>
      <c r="J111" s="60">
        <v>1</v>
      </c>
      <c r="K111" s="60" t="str">
        <f t="shared" si="36"/>
        <v>4025/4026</v>
      </c>
      <c r="L111" s="60" t="str">
        <f>VLOOKUP(A111,'Trips&amp;Operators'!$C$1:$E$10000,3,FALSE)</f>
        <v>LEVERE</v>
      </c>
      <c r="M111" s="12">
        <f t="shared" si="37"/>
        <v>3.237268517841585E-2</v>
      </c>
      <c r="N111" s="13">
        <f>24*60*SUM($M111:$M111)</f>
        <v>46.616666656918824</v>
      </c>
      <c r="O111" s="13"/>
      <c r="P111" s="13"/>
      <c r="Q111" s="61"/>
      <c r="R111" s="61"/>
      <c r="T11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18:31:18-0600',mode:absolute,to:'2016-06-18 19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1" s="73" t="str">
        <f t="shared" si="26"/>
        <v>N</v>
      </c>
      <c r="V111" s="73">
        <f t="shared" si="33"/>
        <v>1</v>
      </c>
      <c r="W111" s="73">
        <f t="shared" si="27"/>
        <v>23.2971</v>
      </c>
      <c r="X111" s="73">
        <f t="shared" si="28"/>
        <v>1.52E-2</v>
      </c>
      <c r="Y111" s="73">
        <f t="shared" si="29"/>
        <v>23.2819</v>
      </c>
      <c r="Z111" s="74">
        <f>VLOOKUP(A111,Enforcements!$C$15:$J$75,8,0)</f>
        <v>1</v>
      </c>
      <c r="AA111" s="74" t="str">
        <f>VLOOKUP(A111,Enforcements!$C$15:$J$75,3,0)</f>
        <v>TRACK WARRANT AUTHORITY</v>
      </c>
    </row>
    <row r="112" spans="1:27" s="2" customFormat="1" x14ac:dyDescent="0.25">
      <c r="A112" s="60" t="s">
        <v>336</v>
      </c>
      <c r="B112" s="60">
        <v>4020</v>
      </c>
      <c r="C112" s="60" t="s">
        <v>62</v>
      </c>
      <c r="D112" s="60" t="s">
        <v>185</v>
      </c>
      <c r="E112" s="30">
        <v>42539.747048611112</v>
      </c>
      <c r="F112" s="30">
        <v>42539.747743055559</v>
      </c>
      <c r="G112" s="38">
        <v>1</v>
      </c>
      <c r="H112" s="30" t="s">
        <v>499</v>
      </c>
      <c r="I112" s="30">
        <v>42539.775671296295</v>
      </c>
      <c r="J112" s="60">
        <v>1</v>
      </c>
      <c r="K112" s="60" t="str">
        <f t="shared" si="36"/>
        <v>4019/4020</v>
      </c>
      <c r="L112" s="60" t="str">
        <f>VLOOKUP(A112,'Trips&amp;Operators'!$C$1:$E$10000,3,FALSE)</f>
        <v>WEBSTER</v>
      </c>
      <c r="M112" s="12">
        <f t="shared" si="37"/>
        <v>2.7928240735491272E-2</v>
      </c>
      <c r="N112" s="13">
        <f>24*60*SUM($M112:$M112)</f>
        <v>40.216666659107432</v>
      </c>
      <c r="O112" s="13"/>
      <c r="P112" s="13"/>
      <c r="Q112" s="61"/>
      <c r="R112" s="61"/>
      <c r="T11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17:54:45-0600',mode:absolute,to:'2016-06-18 18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3" t="str">
        <f t="shared" si="26"/>
        <v>N</v>
      </c>
      <c r="V112" s="73">
        <f t="shared" si="33"/>
        <v>1</v>
      </c>
      <c r="W112" s="73">
        <f t="shared" si="27"/>
        <v>4.4900000000000002E-2</v>
      </c>
      <c r="X112" s="73">
        <f t="shared" si="28"/>
        <v>23.33</v>
      </c>
      <c r="Y112" s="73">
        <f t="shared" si="29"/>
        <v>23.2851</v>
      </c>
      <c r="Z112" s="74">
        <f>VLOOKUP(A112,Enforcements!$C$15:$J$75,8,0)</f>
        <v>233491</v>
      </c>
      <c r="AA112" s="74" t="str">
        <f>VLOOKUP(A112,Enforcements!$C$15:$J$75,3,0)</f>
        <v>TRACK WARRANT AUTHORITY</v>
      </c>
    </row>
    <row r="113" spans="1:27" s="2" customFormat="1" x14ac:dyDescent="0.25">
      <c r="A113" s="60" t="s">
        <v>314</v>
      </c>
      <c r="B113" s="60">
        <v>4019</v>
      </c>
      <c r="C113" s="60" t="s">
        <v>62</v>
      </c>
      <c r="D113" s="60" t="s">
        <v>167</v>
      </c>
      <c r="E113" s="30">
        <v>42539.783078703702</v>
      </c>
      <c r="F113" s="30">
        <v>42539.784317129626</v>
      </c>
      <c r="G113" s="38">
        <v>1</v>
      </c>
      <c r="H113" s="30" t="s">
        <v>481</v>
      </c>
      <c r="I113" s="30">
        <v>42539.81658564815</v>
      </c>
      <c r="J113" s="60">
        <v>0</v>
      </c>
      <c r="K113" s="60" t="str">
        <f t="shared" si="36"/>
        <v>4019/4020</v>
      </c>
      <c r="L113" s="60" t="str">
        <f>VLOOKUP(A113,'Trips&amp;Operators'!$C$1:$E$10000,3,FALSE)</f>
        <v>WEBSTER</v>
      </c>
      <c r="M113" s="12">
        <f t="shared" si="37"/>
        <v>3.2268518523778766E-2</v>
      </c>
      <c r="N113" s="13">
        <f>24*60*SUM($M113:$M113)</f>
        <v>46.466666674241424</v>
      </c>
      <c r="O113" s="13"/>
      <c r="P113" s="13"/>
      <c r="Q113" s="61"/>
      <c r="R113" s="61"/>
      <c r="T11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18:46:38-0600',mode:absolute,to:'2016-06-18 19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3" t="str">
        <f t="shared" si="26"/>
        <v>N</v>
      </c>
      <c r="V113" s="73">
        <f t="shared" si="33"/>
        <v>1</v>
      </c>
      <c r="W113" s="73">
        <f t="shared" si="27"/>
        <v>23.298100000000002</v>
      </c>
      <c r="X113" s="73">
        <f t="shared" si="28"/>
        <v>1.32E-2</v>
      </c>
      <c r="Y113" s="73">
        <f t="shared" si="29"/>
        <v>23.2849</v>
      </c>
      <c r="Z113" s="74">
        <f>VLOOKUP(A113,Enforcements!$C$15:$J$75,8,0)</f>
        <v>1</v>
      </c>
      <c r="AA113" s="74" t="str">
        <f>VLOOKUP(A113,Enforcements!$C$15:$J$75,3,0)</f>
        <v>TRACK WARRANT AUTHORITY</v>
      </c>
    </row>
    <row r="114" spans="1:27" s="2" customFormat="1" x14ac:dyDescent="0.25">
      <c r="A114" s="60" t="s">
        <v>403</v>
      </c>
      <c r="B114" s="60">
        <v>4024</v>
      </c>
      <c r="C114" s="60" t="s">
        <v>62</v>
      </c>
      <c r="D114" s="60" t="s">
        <v>82</v>
      </c>
      <c r="E114" s="30">
        <v>42539.755162037036</v>
      </c>
      <c r="F114" s="30">
        <v>42539.757245370369</v>
      </c>
      <c r="G114" s="38">
        <v>3</v>
      </c>
      <c r="H114" s="30" t="s">
        <v>483</v>
      </c>
      <c r="I114" s="30">
        <v>42539.786180555559</v>
      </c>
      <c r="J114" s="60">
        <v>0</v>
      </c>
      <c r="K114" s="60" t="str">
        <f t="shared" si="36"/>
        <v>4023/4024</v>
      </c>
      <c r="L114" s="60" t="str">
        <f>VLOOKUP(A114,'Trips&amp;Operators'!$C$1:$E$10000,3,FALSE)</f>
        <v>DE LA ROSA</v>
      </c>
      <c r="M114" s="12">
        <f t="shared" si="37"/>
        <v>2.8935185189766344E-2</v>
      </c>
      <c r="N114" s="13">
        <f>24*60*SUM($M114:$M114)</f>
        <v>41.666666673263535</v>
      </c>
      <c r="O114" s="13"/>
      <c r="P114" s="13"/>
      <c r="Q114" s="61"/>
      <c r="R114" s="61"/>
      <c r="T11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18:06:26-0600',mode:absolute,to:'2016-06-18 18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3" t="str">
        <f t="shared" si="26"/>
        <v>N</v>
      </c>
      <c r="V114" s="73">
        <f t="shared" si="33"/>
        <v>1</v>
      </c>
      <c r="W114" s="73">
        <f t="shared" si="27"/>
        <v>4.5699999999999998E-2</v>
      </c>
      <c r="X114" s="73">
        <f t="shared" si="28"/>
        <v>23.3307</v>
      </c>
      <c r="Y114" s="73">
        <f t="shared" si="29"/>
        <v>23.285</v>
      </c>
      <c r="Z114" s="74" t="e">
        <f>VLOOKUP(A114,Enforcements!$C$15:$J$75,8,0)</f>
        <v>#N/A</v>
      </c>
      <c r="AA114" s="74" t="e">
        <f>VLOOKUP(A114,Enforcements!$C$15:$J$75,3,0)</f>
        <v>#N/A</v>
      </c>
    </row>
    <row r="115" spans="1:27" s="2" customFormat="1" x14ac:dyDescent="0.25">
      <c r="A115" s="60" t="s">
        <v>332</v>
      </c>
      <c r="B115" s="60">
        <v>4023</v>
      </c>
      <c r="C115" s="60" t="s">
        <v>62</v>
      </c>
      <c r="D115" s="60" t="s">
        <v>106</v>
      </c>
      <c r="E115" s="30">
        <v>42539.794212962966</v>
      </c>
      <c r="F115" s="30">
        <v>42539.795474537037</v>
      </c>
      <c r="G115" s="38">
        <v>1</v>
      </c>
      <c r="H115" s="30" t="s">
        <v>500</v>
      </c>
      <c r="I115" s="30">
        <v>42539.819548611114</v>
      </c>
      <c r="J115" s="60">
        <v>0</v>
      </c>
      <c r="K115" s="60" t="str">
        <f t="shared" si="36"/>
        <v>4023/4024</v>
      </c>
      <c r="L115" s="60" t="str">
        <f>VLOOKUP(A115,'Trips&amp;Operators'!$C$1:$E$10000,3,FALSE)</f>
        <v>DE LA ROSA</v>
      </c>
      <c r="M115" s="12">
        <f t="shared" si="37"/>
        <v>2.4074074077361729E-2</v>
      </c>
      <c r="N115" s="13"/>
      <c r="O115" s="13"/>
      <c r="P115" s="13">
        <f>24*60*SUM($M115:$M115)</f>
        <v>34.66666667140089</v>
      </c>
      <c r="Q115" s="61"/>
      <c r="R115" s="61" t="s">
        <v>520</v>
      </c>
      <c r="T11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19:02:40-0600',mode:absolute,to:'2016-06-18 19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3" t="str">
        <f t="shared" si="26"/>
        <v>Y</v>
      </c>
      <c r="V115" s="73">
        <f t="shared" si="33"/>
        <v>1</v>
      </c>
      <c r="W115" s="73">
        <f t="shared" si="27"/>
        <v>23.297499999999999</v>
      </c>
      <c r="X115" s="73">
        <f t="shared" si="28"/>
        <v>4.4458000000000002</v>
      </c>
      <c r="Y115" s="73">
        <f t="shared" si="29"/>
        <v>18.851700000000001</v>
      </c>
      <c r="Z115" s="74" t="e">
        <f>VLOOKUP(A115,Enforcements!$C$15:$J$75,8,0)</f>
        <v>#N/A</v>
      </c>
      <c r="AA115" s="74" t="e">
        <f>VLOOKUP(A115,Enforcements!$C$15:$J$75,3,0)</f>
        <v>#N/A</v>
      </c>
    </row>
    <row r="116" spans="1:27" s="2" customFormat="1" x14ac:dyDescent="0.25">
      <c r="A116" s="60" t="s">
        <v>354</v>
      </c>
      <c r="B116" s="60">
        <v>4044</v>
      </c>
      <c r="C116" s="60" t="s">
        <v>62</v>
      </c>
      <c r="D116" s="60" t="s">
        <v>501</v>
      </c>
      <c r="E116" s="30">
        <v>42539.76903935185</v>
      </c>
      <c r="F116" s="30">
        <v>42539.771631944444</v>
      </c>
      <c r="G116" s="38">
        <v>3</v>
      </c>
      <c r="H116" s="30" t="s">
        <v>178</v>
      </c>
      <c r="I116" s="30">
        <v>42539.797025462962</v>
      </c>
      <c r="J116" s="60">
        <v>0</v>
      </c>
      <c r="K116" s="60" t="str">
        <f t="shared" si="36"/>
        <v>4043/4044</v>
      </c>
      <c r="L116" s="60" t="str">
        <f>VLOOKUP(A116,'Trips&amp;Operators'!$C$1:$E$10000,3,FALSE)</f>
        <v>HELVIE</v>
      </c>
      <c r="M116" s="12">
        <f t="shared" si="37"/>
        <v>2.5393518517375924E-2</v>
      </c>
      <c r="N116" s="13">
        <f t="shared" ref="N116:N122" si="38">24*60*SUM($M116:$M116)</f>
        <v>36.56666666502133</v>
      </c>
      <c r="O116" s="13"/>
      <c r="P116" s="13"/>
      <c r="Q116" s="61"/>
      <c r="R116" s="61"/>
      <c r="T116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18:26:25-0600',mode:absolute,to:'2016-06-18 19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6" s="73" t="str">
        <f t="shared" si="26"/>
        <v>N</v>
      </c>
      <c r="V116" s="73">
        <f t="shared" si="33"/>
        <v>1</v>
      </c>
      <c r="W116" s="73">
        <f t="shared" si="27"/>
        <v>4.1500000000000002E-2</v>
      </c>
      <c r="X116" s="73">
        <f t="shared" si="28"/>
        <v>23.328900000000001</v>
      </c>
      <c r="Y116" s="73">
        <f t="shared" si="29"/>
        <v>23.287400000000002</v>
      </c>
      <c r="Z116" s="74" t="e">
        <f>VLOOKUP(A116,Enforcements!$C$15:$J$75,8,0)</f>
        <v>#N/A</v>
      </c>
      <c r="AA116" s="74" t="e">
        <f>VLOOKUP(A116,Enforcements!$C$15:$J$75,3,0)</f>
        <v>#N/A</v>
      </c>
    </row>
    <row r="117" spans="1:27" s="2" customFormat="1" x14ac:dyDescent="0.25">
      <c r="A117" s="60" t="s">
        <v>391</v>
      </c>
      <c r="B117" s="60">
        <v>4043</v>
      </c>
      <c r="C117" s="60" t="s">
        <v>62</v>
      </c>
      <c r="D117" s="60" t="s">
        <v>241</v>
      </c>
      <c r="E117" s="30">
        <v>42539.803761574076</v>
      </c>
      <c r="F117" s="30">
        <v>42539.8046875</v>
      </c>
      <c r="G117" s="38">
        <v>1</v>
      </c>
      <c r="H117" s="30" t="s">
        <v>74</v>
      </c>
      <c r="I117" s="30">
        <v>42539.836724537039</v>
      </c>
      <c r="J117" s="60">
        <v>0</v>
      </c>
      <c r="K117" s="60" t="str">
        <f t="shared" si="36"/>
        <v>4043/4044</v>
      </c>
      <c r="L117" s="60" t="str">
        <f>VLOOKUP(A117,'Trips&amp;Operators'!$C$1:$E$10000,3,FALSE)</f>
        <v>HELVIE</v>
      </c>
      <c r="M117" s="12">
        <f t="shared" si="37"/>
        <v>3.2037037039117422E-2</v>
      </c>
      <c r="N117" s="13">
        <f t="shared" si="38"/>
        <v>46.133333336329088</v>
      </c>
      <c r="O117" s="13"/>
      <c r="P117" s="13"/>
      <c r="Q117" s="61"/>
      <c r="R117" s="61"/>
      <c r="T117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19:16:25-0600',mode:absolute,to:'2016-06-18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7" s="73" t="str">
        <f t="shared" si="26"/>
        <v>N</v>
      </c>
      <c r="V117" s="73">
        <f t="shared" si="33"/>
        <v>1</v>
      </c>
      <c r="W117" s="73">
        <f t="shared" si="27"/>
        <v>23.297899999999998</v>
      </c>
      <c r="X117" s="73">
        <f t="shared" si="28"/>
        <v>1.6E-2</v>
      </c>
      <c r="Y117" s="73">
        <f t="shared" si="29"/>
        <v>23.2819</v>
      </c>
      <c r="Z117" s="74" t="e">
        <f>VLOOKUP(A117,Enforcements!$C$15:$J$75,8,0)</f>
        <v>#N/A</v>
      </c>
      <c r="AA117" s="74" t="e">
        <f>VLOOKUP(A117,Enforcements!$C$15:$J$75,3,0)</f>
        <v>#N/A</v>
      </c>
    </row>
    <row r="118" spans="1:27" s="2" customFormat="1" x14ac:dyDescent="0.25">
      <c r="A118" s="60" t="s">
        <v>324</v>
      </c>
      <c r="B118" s="60">
        <v>4040</v>
      </c>
      <c r="C118" s="60" t="s">
        <v>62</v>
      </c>
      <c r="D118" s="60" t="s">
        <v>90</v>
      </c>
      <c r="E118" s="30">
        <v>42539.788414351853</v>
      </c>
      <c r="F118" s="30">
        <v>42539.78974537037</v>
      </c>
      <c r="G118" s="38">
        <v>1</v>
      </c>
      <c r="H118" s="30" t="s">
        <v>453</v>
      </c>
      <c r="I118" s="30">
        <v>42539.818055555559</v>
      </c>
      <c r="J118" s="60">
        <v>1</v>
      </c>
      <c r="K118" s="60" t="str">
        <f t="shared" si="36"/>
        <v>4039/4040</v>
      </c>
      <c r="L118" s="60" t="str">
        <f>VLOOKUP(A118,'Trips&amp;Operators'!$C$1:$E$10000,3,FALSE)</f>
        <v>ADANE</v>
      </c>
      <c r="M118" s="12">
        <f t="shared" si="37"/>
        <v>2.8310185189184267E-2</v>
      </c>
      <c r="N118" s="13">
        <f t="shared" si="38"/>
        <v>40.766666672425345</v>
      </c>
      <c r="O118" s="13"/>
      <c r="P118" s="13"/>
      <c r="Q118" s="61"/>
      <c r="R118" s="61"/>
      <c r="T118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18:54:19-0600',mode:absolute,to:'2016-06-18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8" s="73" t="str">
        <f t="shared" si="26"/>
        <v>N</v>
      </c>
      <c r="V118" s="73">
        <f t="shared" si="33"/>
        <v>1</v>
      </c>
      <c r="W118" s="73">
        <f t="shared" si="27"/>
        <v>4.53E-2</v>
      </c>
      <c r="X118" s="73">
        <f t="shared" si="28"/>
        <v>23.331199999999999</v>
      </c>
      <c r="Y118" s="73">
        <f t="shared" si="29"/>
        <v>23.285899999999998</v>
      </c>
      <c r="Z118" s="74">
        <f>VLOOKUP(A118,Enforcements!$C$15:$J$75,8,0)</f>
        <v>144300</v>
      </c>
      <c r="AA118" s="74" t="str">
        <f>VLOOKUP(A118,Enforcements!$C$15:$J$75,3,0)</f>
        <v>SIGNAL</v>
      </c>
    </row>
    <row r="119" spans="1:27" s="2" customFormat="1" x14ac:dyDescent="0.25">
      <c r="A119" s="60" t="s">
        <v>404</v>
      </c>
      <c r="B119" s="60">
        <v>4039</v>
      </c>
      <c r="C119" s="60" t="s">
        <v>62</v>
      </c>
      <c r="D119" s="60" t="s">
        <v>167</v>
      </c>
      <c r="E119" s="30">
        <v>42539.828159722223</v>
      </c>
      <c r="F119" s="30">
        <v>42539.829259259262</v>
      </c>
      <c r="G119" s="38">
        <v>1</v>
      </c>
      <c r="H119" s="30" t="s">
        <v>93</v>
      </c>
      <c r="I119" s="30">
        <v>42539.856493055559</v>
      </c>
      <c r="J119" s="60">
        <v>1</v>
      </c>
      <c r="K119" s="60" t="str">
        <f t="shared" si="36"/>
        <v>4039/4040</v>
      </c>
      <c r="L119" s="60" t="str">
        <f>VLOOKUP(A119,'Trips&amp;Operators'!$C$1:$E$10000,3,FALSE)</f>
        <v>ADANE</v>
      </c>
      <c r="M119" s="12">
        <f t="shared" si="37"/>
        <v>2.7233796296059154E-2</v>
      </c>
      <c r="N119" s="13">
        <f t="shared" si="38"/>
        <v>39.216666666325182</v>
      </c>
      <c r="O119" s="13"/>
      <c r="P119" s="13"/>
      <c r="Q119" s="61"/>
      <c r="R119" s="61"/>
      <c r="T119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19:51:33-0600',mode:absolute,to:'2016-06-18 20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9" s="73" t="str">
        <f t="shared" si="26"/>
        <v>N</v>
      </c>
      <c r="V119" s="73">
        <f t="shared" si="33"/>
        <v>1</v>
      </c>
      <c r="W119" s="73">
        <f t="shared" si="27"/>
        <v>23.298100000000002</v>
      </c>
      <c r="X119" s="73">
        <f t="shared" si="28"/>
        <v>1.54E-2</v>
      </c>
      <c r="Y119" s="73">
        <f t="shared" si="29"/>
        <v>23.282700000000002</v>
      </c>
      <c r="Z119" s="74">
        <f>VLOOKUP(A119,Enforcements!$C$15:$J$75,8,0)</f>
        <v>182920</v>
      </c>
      <c r="AA119" s="74" t="str">
        <f>VLOOKUP(A119,Enforcements!$C$15:$J$75,3,0)</f>
        <v>SIGNAL</v>
      </c>
    </row>
    <row r="120" spans="1:27" s="2" customFormat="1" x14ac:dyDescent="0.25">
      <c r="A120" s="60" t="s">
        <v>418</v>
      </c>
      <c r="B120" s="60">
        <v>4025</v>
      </c>
      <c r="C120" s="60" t="s">
        <v>62</v>
      </c>
      <c r="D120" s="60" t="s">
        <v>107</v>
      </c>
      <c r="E120" s="30">
        <v>42539.807662037034</v>
      </c>
      <c r="F120" s="30">
        <v>42539.808599537035</v>
      </c>
      <c r="G120" s="38">
        <v>1</v>
      </c>
      <c r="H120" s="30" t="s">
        <v>266</v>
      </c>
      <c r="I120" s="30">
        <v>42539.837893518517</v>
      </c>
      <c r="J120" s="60">
        <v>0</v>
      </c>
      <c r="K120" s="60" t="str">
        <f t="shared" si="36"/>
        <v>4025/4026</v>
      </c>
      <c r="L120" s="60" t="str">
        <f>VLOOKUP(A120,'Trips&amp;Operators'!$C$1:$E$10000,3,FALSE)</f>
        <v>LEVERE</v>
      </c>
      <c r="M120" s="12">
        <f t="shared" si="37"/>
        <v>2.9293981482624076E-2</v>
      </c>
      <c r="N120" s="13">
        <f t="shared" si="38"/>
        <v>42.18333333497867</v>
      </c>
      <c r="O120" s="13"/>
      <c r="P120" s="13"/>
      <c r="Q120" s="61"/>
      <c r="R120" s="61"/>
      <c r="T12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19:22:02-0600',mode:absolute,to:'2016-06-18 20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3" t="str">
        <f t="shared" si="26"/>
        <v>N</v>
      </c>
      <c r="V120" s="73">
        <f t="shared" si="33"/>
        <v>1</v>
      </c>
      <c r="W120" s="73">
        <f t="shared" si="27"/>
        <v>4.6399999999999997E-2</v>
      </c>
      <c r="X120" s="73">
        <f t="shared" si="28"/>
        <v>23.327000000000002</v>
      </c>
      <c r="Y120" s="73">
        <f t="shared" si="29"/>
        <v>23.280600000000003</v>
      </c>
      <c r="Z120" s="74" t="e">
        <f>VLOOKUP(A120,Enforcements!$C$15:$J$75,8,0)</f>
        <v>#N/A</v>
      </c>
      <c r="AA120" s="74" t="e">
        <f>VLOOKUP(A120,Enforcements!$C$15:$J$75,3,0)</f>
        <v>#N/A</v>
      </c>
    </row>
    <row r="121" spans="1:27" s="2" customFormat="1" x14ac:dyDescent="0.25">
      <c r="A121" s="60" t="s">
        <v>342</v>
      </c>
      <c r="B121" s="60">
        <v>4026</v>
      </c>
      <c r="C121" s="60" t="s">
        <v>62</v>
      </c>
      <c r="D121" s="60" t="s">
        <v>502</v>
      </c>
      <c r="E121" s="30">
        <v>42539.84233796296</v>
      </c>
      <c r="F121" s="30">
        <v>42539.843252314815</v>
      </c>
      <c r="G121" s="38">
        <v>1</v>
      </c>
      <c r="H121" s="30" t="s">
        <v>254</v>
      </c>
      <c r="I121" s="30">
        <v>42539.878032407411</v>
      </c>
      <c r="J121" s="60">
        <v>0</v>
      </c>
      <c r="K121" s="60" t="str">
        <f t="shared" si="36"/>
        <v>4025/4026</v>
      </c>
      <c r="L121" s="60" t="str">
        <f>VLOOKUP(A121,'Trips&amp;Operators'!$C$1:$E$10000,3,FALSE)</f>
        <v>LEVERE</v>
      </c>
      <c r="M121" s="12">
        <f t="shared" si="37"/>
        <v>3.4780092595610768E-2</v>
      </c>
      <c r="N121" s="13">
        <f t="shared" si="38"/>
        <v>50.083333337679505</v>
      </c>
      <c r="O121" s="13"/>
      <c r="P121" s="13"/>
      <c r="Q121" s="61"/>
      <c r="R121" s="61"/>
      <c r="T12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20:11:58-0600',mode:absolute,to:'2016-06-18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3" t="str">
        <f t="shared" si="26"/>
        <v>N</v>
      </c>
      <c r="V121" s="73">
        <f t="shared" si="33"/>
        <v>1</v>
      </c>
      <c r="W121" s="73">
        <f t="shared" si="27"/>
        <v>23.295999999999999</v>
      </c>
      <c r="X121" s="73">
        <f t="shared" si="28"/>
        <v>1.6899999999999998E-2</v>
      </c>
      <c r="Y121" s="73">
        <f t="shared" si="29"/>
        <v>23.2791</v>
      </c>
      <c r="Z121" s="74" t="e">
        <f>VLOOKUP(A121,Enforcements!$C$15:$J$75,8,0)</f>
        <v>#N/A</v>
      </c>
      <c r="AA121" s="74" t="e">
        <f>VLOOKUP(A121,Enforcements!$C$15:$J$75,3,0)</f>
        <v>#N/A</v>
      </c>
    </row>
    <row r="122" spans="1:27" s="2" customFormat="1" x14ac:dyDescent="0.25">
      <c r="A122" s="60" t="s">
        <v>372</v>
      </c>
      <c r="B122" s="60">
        <v>4024</v>
      </c>
      <c r="C122" s="60" t="s">
        <v>62</v>
      </c>
      <c r="D122" s="60" t="s">
        <v>503</v>
      </c>
      <c r="E122" s="30">
        <v>42539.829791666663</v>
      </c>
      <c r="F122" s="30">
        <v>42539.831423611111</v>
      </c>
      <c r="G122" s="38">
        <v>2</v>
      </c>
      <c r="H122" s="30" t="s">
        <v>194</v>
      </c>
      <c r="I122" s="30">
        <v>42539.858935185184</v>
      </c>
      <c r="J122" s="60">
        <v>0</v>
      </c>
      <c r="K122" s="60" t="str">
        <f t="shared" si="36"/>
        <v>4023/4024</v>
      </c>
      <c r="L122" s="60" t="str">
        <f>VLOOKUP(A122,'Trips&amp;Operators'!$C$1:$E$10000,3,FALSE)</f>
        <v>DE LA ROSA</v>
      </c>
      <c r="M122" s="12">
        <f t="shared" si="37"/>
        <v>2.7511574073287193E-2</v>
      </c>
      <c r="N122" s="13">
        <f t="shared" si="38"/>
        <v>39.616666665533558</v>
      </c>
      <c r="O122" s="13"/>
      <c r="P122" s="13"/>
      <c r="Q122" s="61"/>
      <c r="R122" s="61"/>
      <c r="T122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19:53:54-0600',mode:absolute,to:'2016-06-18 20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2" s="73" t="str">
        <f t="shared" si="26"/>
        <v>N</v>
      </c>
      <c r="V122" s="73">
        <f t="shared" si="33"/>
        <v>1</v>
      </c>
      <c r="W122" s="73">
        <f t="shared" si="27"/>
        <v>4.2900000000000001E-2</v>
      </c>
      <c r="X122" s="73">
        <f t="shared" si="28"/>
        <v>23.3309</v>
      </c>
      <c r="Y122" s="73">
        <f t="shared" si="29"/>
        <v>23.288</v>
      </c>
      <c r="Z122" s="74" t="e">
        <f>VLOOKUP(A122,Enforcements!$C$15:$J$75,8,0)</f>
        <v>#N/A</v>
      </c>
      <c r="AA122" s="74" t="e">
        <f>VLOOKUP(A122,Enforcements!$C$15:$J$75,3,0)</f>
        <v>#N/A</v>
      </c>
    </row>
    <row r="123" spans="1:27" s="2" customFormat="1" x14ac:dyDescent="0.25">
      <c r="A123" s="60" t="s">
        <v>340</v>
      </c>
      <c r="B123" s="60">
        <v>4023</v>
      </c>
      <c r="C123" s="60" t="s">
        <v>62</v>
      </c>
      <c r="D123" s="60" t="s">
        <v>66</v>
      </c>
      <c r="E123" s="30">
        <v>42539.865694444445</v>
      </c>
      <c r="F123" s="30">
        <v>42539.866689814815</v>
      </c>
      <c r="G123" s="38">
        <v>1</v>
      </c>
      <c r="H123" s="30" t="s">
        <v>432</v>
      </c>
      <c r="I123" s="30">
        <v>42539.867604166669</v>
      </c>
      <c r="J123" s="60">
        <v>0</v>
      </c>
      <c r="K123" s="60" t="str">
        <f t="shared" si="36"/>
        <v>4023/4024</v>
      </c>
      <c r="L123" s="60" t="str">
        <f>VLOOKUP(A123,'Trips&amp;Operators'!$C$1:$E$10000,3,FALSE)</f>
        <v>DE LA ROSA</v>
      </c>
      <c r="M123" s="12">
        <f t="shared" si="37"/>
        <v>9.1435185458976775E-4</v>
      </c>
      <c r="N123" s="13"/>
      <c r="O123" s="13"/>
      <c r="P123" s="13">
        <f>24*60*SUM($M123:$M123)</f>
        <v>1.3166666706092656</v>
      </c>
      <c r="Q123" s="61"/>
      <c r="R123" s="61" t="s">
        <v>517</v>
      </c>
      <c r="T123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20:45:36-0600',mode:absolute,to:'2016-06-18 20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3" s="73" t="str">
        <f t="shared" si="26"/>
        <v>Y</v>
      </c>
      <c r="V123" s="73">
        <f t="shared" si="33"/>
        <v>1</v>
      </c>
      <c r="W123" s="73">
        <f t="shared" si="27"/>
        <v>23.299399999999999</v>
      </c>
      <c r="X123" s="73">
        <f t="shared" si="28"/>
        <v>23.2988</v>
      </c>
      <c r="Y123" s="73">
        <f t="shared" si="29"/>
        <v>5.9999999999860165E-4</v>
      </c>
      <c r="Z123" s="74" t="e">
        <f>VLOOKUP(A123,Enforcements!$C$15:$J$75,8,0)</f>
        <v>#N/A</v>
      </c>
      <c r="AA123" s="74" t="e">
        <f>VLOOKUP(A123,Enforcements!$C$15:$J$75,3,0)</f>
        <v>#N/A</v>
      </c>
    </row>
    <row r="124" spans="1:27" s="2" customFormat="1" x14ac:dyDescent="0.25">
      <c r="A124" s="60" t="s">
        <v>334</v>
      </c>
      <c r="B124" s="60">
        <v>4044</v>
      </c>
      <c r="C124" s="60" t="s">
        <v>62</v>
      </c>
      <c r="D124" s="60" t="s">
        <v>82</v>
      </c>
      <c r="E124" s="30">
        <v>42539.847615740742</v>
      </c>
      <c r="F124" s="30">
        <v>42539.848680555559</v>
      </c>
      <c r="G124" s="38">
        <v>1</v>
      </c>
      <c r="H124" s="30" t="s">
        <v>458</v>
      </c>
      <c r="I124" s="30">
        <v>42539.879710648151</v>
      </c>
      <c r="J124" s="60">
        <v>0</v>
      </c>
      <c r="K124" s="60" t="str">
        <f t="shared" si="36"/>
        <v>4043/4044</v>
      </c>
      <c r="L124" s="60" t="str">
        <f>VLOOKUP(A124,'Trips&amp;Operators'!$C$1:$E$10000,3,FALSE)</f>
        <v>GRASTON</v>
      </c>
      <c r="M124" s="12">
        <f t="shared" si="37"/>
        <v>3.1030092592118308E-2</v>
      </c>
      <c r="N124" s="13">
        <f t="shared" ref="N124:N143" si="39">24*60*SUM($M124:$M124)</f>
        <v>44.683333332650363</v>
      </c>
      <c r="O124" s="13"/>
      <c r="P124" s="13"/>
      <c r="Q124" s="61"/>
      <c r="R124" s="61"/>
      <c r="T124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20:19:34-0600',mode:absolute,to:'2016-06-18 21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4" s="73" t="str">
        <f t="shared" si="26"/>
        <v>N</v>
      </c>
      <c r="V124" s="73">
        <f t="shared" si="33"/>
        <v>1</v>
      </c>
      <c r="W124" s="73">
        <f t="shared" si="27"/>
        <v>4.5699999999999998E-2</v>
      </c>
      <c r="X124" s="73">
        <f t="shared" si="28"/>
        <v>23.331</v>
      </c>
      <c r="Y124" s="73">
        <f t="shared" si="29"/>
        <v>23.285299999999999</v>
      </c>
      <c r="Z124" s="74" t="e">
        <f>VLOOKUP(A124,Enforcements!$C$15:$J$75,8,0)</f>
        <v>#N/A</v>
      </c>
      <c r="AA124" s="74" t="e">
        <f>VLOOKUP(A124,Enforcements!$C$15:$J$75,3,0)</f>
        <v>#N/A</v>
      </c>
    </row>
    <row r="125" spans="1:27" s="2" customFormat="1" x14ac:dyDescent="0.25">
      <c r="A125" s="60" t="s">
        <v>290</v>
      </c>
      <c r="B125" s="60">
        <v>4043</v>
      </c>
      <c r="C125" s="60" t="s">
        <v>62</v>
      </c>
      <c r="D125" s="60" t="s">
        <v>66</v>
      </c>
      <c r="E125" s="30">
        <v>42539.890520833331</v>
      </c>
      <c r="F125" s="30">
        <v>42539.891585648147</v>
      </c>
      <c r="G125" s="38">
        <v>1</v>
      </c>
      <c r="H125" s="30" t="s">
        <v>74</v>
      </c>
      <c r="I125" s="30">
        <v>42539.91883101852</v>
      </c>
      <c r="J125" s="60">
        <v>0</v>
      </c>
      <c r="K125" s="60" t="str">
        <f t="shared" si="36"/>
        <v>4043/4044</v>
      </c>
      <c r="L125" s="60" t="str">
        <f>VLOOKUP(A125,'Trips&amp;Operators'!$C$1:$E$10000,3,FALSE)</f>
        <v>GRASTON</v>
      </c>
      <c r="M125" s="12">
        <f t="shared" si="37"/>
        <v>2.7245370372838806E-2</v>
      </c>
      <c r="N125" s="13">
        <f t="shared" si="39"/>
        <v>39.233333336887881</v>
      </c>
      <c r="O125" s="13"/>
      <c r="P125" s="13"/>
      <c r="Q125" s="61"/>
      <c r="R125" s="61"/>
      <c r="T125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21:21:21-0600',mode:absolute,to:'2016-06-18 22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5" s="73" t="str">
        <f t="shared" si="26"/>
        <v>N</v>
      </c>
      <c r="V125" s="73">
        <f t="shared" si="33"/>
        <v>1</v>
      </c>
      <c r="W125" s="73">
        <f t="shared" si="27"/>
        <v>23.299399999999999</v>
      </c>
      <c r="X125" s="73">
        <f t="shared" si="28"/>
        <v>1.6E-2</v>
      </c>
      <c r="Y125" s="73">
        <f t="shared" si="29"/>
        <v>23.2834</v>
      </c>
      <c r="Z125" s="74" t="e">
        <f>VLOOKUP(A125,Enforcements!$C$15:$J$75,8,0)</f>
        <v>#N/A</v>
      </c>
      <c r="AA125" s="74" t="e">
        <f>VLOOKUP(A125,Enforcements!$C$15:$J$75,3,0)</f>
        <v>#N/A</v>
      </c>
    </row>
    <row r="126" spans="1:27" s="2" customFormat="1" x14ac:dyDescent="0.25">
      <c r="A126" s="60" t="s">
        <v>300</v>
      </c>
      <c r="B126" s="60">
        <v>4040</v>
      </c>
      <c r="C126" s="60" t="s">
        <v>62</v>
      </c>
      <c r="D126" s="60" t="s">
        <v>262</v>
      </c>
      <c r="E126" s="30">
        <v>42539.870613425926</v>
      </c>
      <c r="F126" s="30">
        <v>42539.872083333335</v>
      </c>
      <c r="G126" s="38">
        <v>2</v>
      </c>
      <c r="H126" s="30" t="s">
        <v>504</v>
      </c>
      <c r="I126" s="30">
        <v>42539.900648148148</v>
      </c>
      <c r="J126" s="60">
        <v>0</v>
      </c>
      <c r="K126" s="60" t="str">
        <f t="shared" si="36"/>
        <v>4039/4040</v>
      </c>
      <c r="L126" s="60" t="str">
        <f>VLOOKUP(A126,'Trips&amp;Operators'!$C$1:$E$10000,3,FALSE)</f>
        <v>ADANE</v>
      </c>
      <c r="M126" s="12">
        <f t="shared" si="37"/>
        <v>2.8564814812853001E-2</v>
      </c>
      <c r="N126" s="13">
        <f t="shared" si="39"/>
        <v>41.133333330508322</v>
      </c>
      <c r="O126" s="13"/>
      <c r="P126" s="13"/>
      <c r="Q126" s="61"/>
      <c r="R126" s="61"/>
      <c r="T126" s="73" t="str">
        <f t="shared" ref="T126:T143" si="40"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https://search-rtdc-monitor-bjffxe2xuh6vdkpspy63sjmuny.us-east-1.es.amazonaws.com/_plugin/kibana/#/discover/Steve-Slow-Train-Analysis-(2080s-and-2083s)?_g=(refreshInterval:(display:Off,section:0,value:0),time:(from:'2016-06-18 20:52:41-0600',mode:absolute,to:'2016-06-18 21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6" s="73" t="str">
        <f t="shared" ref="U126:U143" si="41">IF(Y126&lt;23,"Y","N")</f>
        <v>N</v>
      </c>
      <c r="V126" s="73">
        <f t="shared" ref="V126:V142" si="42">VALUE(LEFT(A126,3))-VALUE(LEFT(A125,3))</f>
        <v>1</v>
      </c>
      <c r="W126" s="73">
        <f t="shared" ref="W126:W143" si="43">RIGHT(D126,LEN(D126)-4)/10000</f>
        <v>4.8399999999999999E-2</v>
      </c>
      <c r="X126" s="73">
        <f t="shared" ref="X126:X143" si="44">RIGHT(H126,LEN(H126)-4)/10000</f>
        <v>23.3278</v>
      </c>
      <c r="Y126" s="73">
        <f t="shared" ref="Y126:Y143" si="45">ABS(X126-W126)</f>
        <v>23.279399999999999</v>
      </c>
      <c r="Z126" s="74" t="e">
        <f>VLOOKUP(A126,Enforcements!$C$15:$J$75,8,0)</f>
        <v>#N/A</v>
      </c>
      <c r="AA126" s="74" t="e">
        <f>VLOOKUP(A126,Enforcements!$C$15:$J$75,3,0)</f>
        <v>#N/A</v>
      </c>
    </row>
    <row r="127" spans="1:27" s="2" customFormat="1" x14ac:dyDescent="0.25">
      <c r="A127" s="60" t="s">
        <v>405</v>
      </c>
      <c r="B127" s="60">
        <v>4039</v>
      </c>
      <c r="C127" s="60" t="s">
        <v>62</v>
      </c>
      <c r="D127" s="60" t="s">
        <v>442</v>
      </c>
      <c r="E127" s="30">
        <v>42539.909780092596</v>
      </c>
      <c r="F127" s="30">
        <v>42539.910821759258</v>
      </c>
      <c r="G127" s="38">
        <v>1</v>
      </c>
      <c r="H127" s="30" t="s">
        <v>248</v>
      </c>
      <c r="I127" s="30">
        <v>42539.947002314817</v>
      </c>
      <c r="J127" s="60">
        <v>3</v>
      </c>
      <c r="K127" s="60" t="str">
        <f t="shared" si="36"/>
        <v>4039/4040</v>
      </c>
      <c r="L127" s="60" t="str">
        <f>VLOOKUP(A127,'Trips&amp;Operators'!$C$1:$E$10000,3,FALSE)</f>
        <v>ADANE</v>
      </c>
      <c r="M127" s="12">
        <f t="shared" si="37"/>
        <v>3.6180555558530614E-2</v>
      </c>
      <c r="N127" s="13">
        <f t="shared" si="39"/>
        <v>52.100000004284084</v>
      </c>
      <c r="O127" s="13"/>
      <c r="P127" s="13"/>
      <c r="Q127" s="61"/>
      <c r="R127" s="61"/>
      <c r="T12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7" s="73" t="str">
        <f t="shared" si="41"/>
        <v>N</v>
      </c>
      <c r="V127" s="73">
        <f t="shared" si="42"/>
        <v>1</v>
      </c>
      <c r="W127" s="73">
        <f t="shared" si="43"/>
        <v>23.296700000000001</v>
      </c>
      <c r="X127" s="73">
        <f t="shared" si="44"/>
        <v>1.3899999999999999E-2</v>
      </c>
      <c r="Y127" s="73">
        <f t="shared" si="45"/>
        <v>23.282800000000002</v>
      </c>
      <c r="Z127" s="74">
        <f>VLOOKUP(A127,Enforcements!$C$15:$J$75,8,0)</f>
        <v>133166</v>
      </c>
      <c r="AA127" s="74" t="str">
        <f>VLOOKUP(A127,Enforcements!$C$15:$J$75,3,0)</f>
        <v>SIGNAL</v>
      </c>
    </row>
    <row r="128" spans="1:27" s="2" customFormat="1" x14ac:dyDescent="0.25">
      <c r="A128" s="60" t="s">
        <v>338</v>
      </c>
      <c r="B128" s="60">
        <v>4025</v>
      </c>
      <c r="C128" s="60" t="s">
        <v>62</v>
      </c>
      <c r="D128" s="60" t="s">
        <v>80</v>
      </c>
      <c r="E128" s="30">
        <v>42539.884988425925</v>
      </c>
      <c r="F128" s="30">
        <v>42539.885752314818</v>
      </c>
      <c r="G128" s="38">
        <v>1</v>
      </c>
      <c r="H128" s="30" t="s">
        <v>505</v>
      </c>
      <c r="I128" s="30">
        <v>42539.922326388885</v>
      </c>
      <c r="J128" s="60">
        <v>0</v>
      </c>
      <c r="K128" s="60" t="str">
        <f t="shared" si="36"/>
        <v>4025/4026</v>
      </c>
      <c r="L128" s="60" t="str">
        <f>VLOOKUP(A128,'Trips&amp;Operators'!$C$1:$E$10000,3,FALSE)</f>
        <v>LEVERE</v>
      </c>
      <c r="M128" s="12">
        <f t="shared" si="37"/>
        <v>3.6574074067175388E-2</v>
      </c>
      <c r="N128" s="13">
        <f t="shared" si="39"/>
        <v>52.666666656732559</v>
      </c>
      <c r="O128" s="13"/>
      <c r="P128" s="13"/>
      <c r="Q128" s="61"/>
      <c r="R128" s="61"/>
      <c r="T12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21:13:23-0600',mode:absolute,to:'2016-06-18 22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8" s="73" t="str">
        <f t="shared" si="41"/>
        <v>N</v>
      </c>
      <c r="V128" s="73">
        <f t="shared" si="42"/>
        <v>1</v>
      </c>
      <c r="W128" s="73">
        <f t="shared" si="43"/>
        <v>4.6199999999999998E-2</v>
      </c>
      <c r="X128" s="73">
        <f t="shared" si="44"/>
        <v>23.326599999999999</v>
      </c>
      <c r="Y128" s="73">
        <f t="shared" si="45"/>
        <v>23.2804</v>
      </c>
      <c r="Z128" s="74" t="e">
        <f>VLOOKUP(A128,Enforcements!$C$15:$J$75,8,0)</f>
        <v>#N/A</v>
      </c>
      <c r="AA128" s="74" t="e">
        <f>VLOOKUP(A128,Enforcements!$C$15:$J$75,3,0)</f>
        <v>#N/A</v>
      </c>
    </row>
    <row r="129" spans="1:27" s="2" customFormat="1" x14ac:dyDescent="0.25">
      <c r="A129" s="60" t="s">
        <v>322</v>
      </c>
      <c r="B129" s="60">
        <v>4026</v>
      </c>
      <c r="C129" s="60" t="s">
        <v>62</v>
      </c>
      <c r="D129" s="60" t="s">
        <v>506</v>
      </c>
      <c r="E129" s="30">
        <v>42539.929085648146</v>
      </c>
      <c r="F129" s="30">
        <v>42539.930104166669</v>
      </c>
      <c r="G129" s="38">
        <v>1</v>
      </c>
      <c r="H129" s="30" t="s">
        <v>85</v>
      </c>
      <c r="I129" s="30">
        <v>42539.963391203702</v>
      </c>
      <c r="J129" s="60">
        <v>0</v>
      </c>
      <c r="K129" s="60" t="str">
        <f t="shared" si="36"/>
        <v>4025/4026</v>
      </c>
      <c r="L129" s="60" t="str">
        <f>VLOOKUP(A129,'Trips&amp;Operators'!$C$1:$E$10000,3,FALSE)</f>
        <v>LEVERE</v>
      </c>
      <c r="M129" s="12">
        <f t="shared" si="37"/>
        <v>3.3287037033005618E-2</v>
      </c>
      <c r="N129" s="13">
        <f t="shared" si="39"/>
        <v>47.933333327528089</v>
      </c>
      <c r="O129" s="13"/>
      <c r="P129" s="13"/>
      <c r="Q129" s="61"/>
      <c r="R129" s="61"/>
      <c r="T12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22:16:53-0600',mode:absolute,to:'2016-06-18 23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9" s="73" t="str">
        <f t="shared" si="41"/>
        <v>N</v>
      </c>
      <c r="V129" s="73">
        <f t="shared" si="42"/>
        <v>1</v>
      </c>
      <c r="W129" s="73">
        <f t="shared" si="43"/>
        <v>23.294699999999999</v>
      </c>
      <c r="X129" s="73">
        <f t="shared" si="44"/>
        <v>1.5599999999999999E-2</v>
      </c>
      <c r="Y129" s="73">
        <f t="shared" si="45"/>
        <v>23.2791</v>
      </c>
      <c r="Z129" s="74" t="e">
        <f>VLOOKUP(A129,Enforcements!$C$15:$J$75,8,0)</f>
        <v>#N/A</v>
      </c>
      <c r="AA129" s="74" t="e">
        <f>VLOOKUP(A129,Enforcements!$C$15:$J$75,3,0)</f>
        <v>#N/A</v>
      </c>
    </row>
    <row r="130" spans="1:27" s="2" customFormat="1" x14ac:dyDescent="0.25">
      <c r="A130" s="60" t="s">
        <v>399</v>
      </c>
      <c r="B130" s="60">
        <v>4024</v>
      </c>
      <c r="C130" s="60" t="s">
        <v>62</v>
      </c>
      <c r="D130" s="60" t="s">
        <v>242</v>
      </c>
      <c r="E130" s="30">
        <v>42539.912685185183</v>
      </c>
      <c r="F130" s="30">
        <v>42539.913668981484</v>
      </c>
      <c r="G130" s="38">
        <v>1</v>
      </c>
      <c r="H130" s="30" t="s">
        <v>507</v>
      </c>
      <c r="I130" s="30">
        <v>42539.943483796298</v>
      </c>
      <c r="J130" s="60">
        <v>0</v>
      </c>
      <c r="K130" s="60" t="str">
        <f t="shared" si="36"/>
        <v>4023/4024</v>
      </c>
      <c r="L130" s="60" t="str">
        <f>VLOOKUP(A130,'Trips&amp;Operators'!$C$1:$E$10000,3,FALSE)</f>
        <v>DE LA ROSA</v>
      </c>
      <c r="M130" s="12">
        <f t="shared" si="37"/>
        <v>2.9814814814017154E-2</v>
      </c>
      <c r="N130" s="13">
        <f t="shared" si="39"/>
        <v>42.933333332184702</v>
      </c>
      <c r="O130" s="13"/>
      <c r="P130" s="13"/>
      <c r="Q130" s="61"/>
      <c r="R130" s="61"/>
      <c r="T13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21:53:16-0600',mode:absolute,to:'2016-06-18 22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0" s="73" t="str">
        <f t="shared" si="41"/>
        <v>N</v>
      </c>
      <c r="V130" s="73">
        <f t="shared" si="42"/>
        <v>1</v>
      </c>
      <c r="W130" s="73">
        <f t="shared" si="43"/>
        <v>4.4200000000000003E-2</v>
      </c>
      <c r="X130" s="73">
        <f t="shared" si="44"/>
        <v>23.331399999999999</v>
      </c>
      <c r="Y130" s="73">
        <f t="shared" si="45"/>
        <v>23.287199999999999</v>
      </c>
      <c r="Z130" s="74" t="e">
        <f>VLOOKUP(A130,Enforcements!$C$15:$J$75,8,0)</f>
        <v>#N/A</v>
      </c>
      <c r="AA130" s="74" t="e">
        <f>VLOOKUP(A130,Enforcements!$C$15:$J$75,3,0)</f>
        <v>#N/A</v>
      </c>
    </row>
    <row r="131" spans="1:27" s="2" customFormat="1" x14ac:dyDescent="0.25">
      <c r="A131" s="60" t="s">
        <v>406</v>
      </c>
      <c r="B131" s="60">
        <v>4023</v>
      </c>
      <c r="C131" s="60" t="s">
        <v>62</v>
      </c>
      <c r="D131" s="60" t="s">
        <v>66</v>
      </c>
      <c r="E131" s="30">
        <v>42539.950578703705</v>
      </c>
      <c r="F131" s="30">
        <v>42539.951365740744</v>
      </c>
      <c r="G131" s="38">
        <v>1</v>
      </c>
      <c r="H131" s="30" t="s">
        <v>65</v>
      </c>
      <c r="I131" s="30">
        <v>42539.983101851853</v>
      </c>
      <c r="J131" s="60">
        <v>0</v>
      </c>
      <c r="K131" s="60" t="str">
        <f t="shared" ref="K131:K143" si="46">IF(ISEVEN(B131),(B131-1)&amp;"/"&amp;B131,B131&amp;"/"&amp;(B131+1))</f>
        <v>4023/4024</v>
      </c>
      <c r="L131" s="60" t="str">
        <f>VLOOKUP(A131,'Trips&amp;Operators'!$C$1:$E$10000,3,FALSE)</f>
        <v>DE LA ROSA</v>
      </c>
      <c r="M131" s="12">
        <f t="shared" ref="M131:M143" si="47">I131-F131</f>
        <v>3.1736111108330078E-2</v>
      </c>
      <c r="N131" s="13">
        <f t="shared" si="39"/>
        <v>45.699999995995313</v>
      </c>
      <c r="O131" s="13"/>
      <c r="P131" s="13"/>
      <c r="Q131" s="61"/>
      <c r="R131" s="61"/>
      <c r="T13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22:47:50-0600',mode:absolute,to:'2016-06-18 23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1" s="73" t="str">
        <f t="shared" si="41"/>
        <v>N</v>
      </c>
      <c r="V131" s="73">
        <f t="shared" si="42"/>
        <v>1</v>
      </c>
      <c r="W131" s="73">
        <f t="shared" si="43"/>
        <v>23.299399999999999</v>
      </c>
      <c r="X131" s="73">
        <f t="shared" si="44"/>
        <v>1.52E-2</v>
      </c>
      <c r="Y131" s="73">
        <f t="shared" si="45"/>
        <v>23.284199999999998</v>
      </c>
      <c r="Z131" s="74" t="e">
        <f>VLOOKUP(A131,Enforcements!$C$15:$J$75,8,0)</f>
        <v>#N/A</v>
      </c>
      <c r="AA131" s="74" t="e">
        <f>VLOOKUP(A131,Enforcements!$C$15:$J$75,3,0)</f>
        <v>#N/A</v>
      </c>
    </row>
    <row r="132" spans="1:27" s="2" customFormat="1" x14ac:dyDescent="0.25">
      <c r="A132" s="60" t="s">
        <v>378</v>
      </c>
      <c r="B132" s="60">
        <v>4044</v>
      </c>
      <c r="C132" s="60" t="s">
        <v>62</v>
      </c>
      <c r="D132" s="60" t="s">
        <v>90</v>
      </c>
      <c r="E132" s="30">
        <v>42539.932824074072</v>
      </c>
      <c r="F132" s="30">
        <v>42539.933680555558</v>
      </c>
      <c r="G132" s="38">
        <v>1</v>
      </c>
      <c r="H132" s="30" t="s">
        <v>192</v>
      </c>
      <c r="I132" s="30">
        <v>42539.963333333333</v>
      </c>
      <c r="J132" s="60">
        <v>0</v>
      </c>
      <c r="K132" s="60" t="str">
        <f t="shared" si="46"/>
        <v>4043/4044</v>
      </c>
      <c r="L132" s="60" t="str">
        <f>VLOOKUP(A132,'Trips&amp;Operators'!$C$1:$E$10000,3,FALSE)</f>
        <v>GRASTON</v>
      </c>
      <c r="M132" s="12">
        <f t="shared" si="47"/>
        <v>2.9652777775481809E-2</v>
      </c>
      <c r="N132" s="13">
        <f t="shared" si="39"/>
        <v>42.699999996693805</v>
      </c>
      <c r="O132" s="13"/>
      <c r="P132" s="13"/>
      <c r="Q132" s="61"/>
      <c r="R132" s="61"/>
      <c r="T13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22:22:16-0600',mode:absolute,to:'2016-06-18 23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2" s="73" t="str">
        <f t="shared" si="41"/>
        <v>N</v>
      </c>
      <c r="V132" s="73">
        <f t="shared" si="42"/>
        <v>1</v>
      </c>
      <c r="W132" s="73">
        <f t="shared" si="43"/>
        <v>4.53E-2</v>
      </c>
      <c r="X132" s="73">
        <f t="shared" si="44"/>
        <v>23.3293</v>
      </c>
      <c r="Y132" s="73">
        <f t="shared" si="45"/>
        <v>23.283999999999999</v>
      </c>
      <c r="Z132" s="74" t="e">
        <f>VLOOKUP(A132,Enforcements!$C$15:$J$75,8,0)</f>
        <v>#N/A</v>
      </c>
      <c r="AA132" s="74" t="e">
        <f>VLOOKUP(A132,Enforcements!$C$15:$J$75,3,0)</f>
        <v>#N/A</v>
      </c>
    </row>
    <row r="133" spans="1:27" s="2" customFormat="1" x14ac:dyDescent="0.25">
      <c r="A133" s="60" t="s">
        <v>407</v>
      </c>
      <c r="B133" s="60">
        <v>4043</v>
      </c>
      <c r="C133" s="60" t="s">
        <v>62</v>
      </c>
      <c r="D133" s="60" t="s">
        <v>66</v>
      </c>
      <c r="E133" s="30">
        <v>42539.973680555559</v>
      </c>
      <c r="F133" s="30">
        <v>42539.974629629629</v>
      </c>
      <c r="G133" s="38">
        <v>1</v>
      </c>
      <c r="H133" s="30" t="s">
        <v>65</v>
      </c>
      <c r="I133" s="30">
        <v>42540.002442129633</v>
      </c>
      <c r="J133" s="60">
        <v>0</v>
      </c>
      <c r="K133" s="60" t="str">
        <f t="shared" si="46"/>
        <v>4043/4044</v>
      </c>
      <c r="L133" s="60" t="str">
        <f>VLOOKUP(A133,'Trips&amp;Operators'!$C$1:$E$10000,3,FALSE)</f>
        <v>GRASTON</v>
      </c>
      <c r="M133" s="12">
        <f t="shared" si="47"/>
        <v>2.7812500004074536E-2</v>
      </c>
      <c r="N133" s="13">
        <f t="shared" si="39"/>
        <v>40.050000005867332</v>
      </c>
      <c r="O133" s="13"/>
      <c r="P133" s="13"/>
      <c r="Q133" s="61"/>
      <c r="R133" s="61"/>
      <c r="T13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23:21:06-0600',mode:absolute,to:'2016-06-19 00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3" s="73" t="str">
        <f t="shared" si="41"/>
        <v>N</v>
      </c>
      <c r="V133" s="73">
        <f t="shared" si="42"/>
        <v>1</v>
      </c>
      <c r="W133" s="73">
        <f t="shared" si="43"/>
        <v>23.299399999999999</v>
      </c>
      <c r="X133" s="73">
        <f t="shared" si="44"/>
        <v>1.52E-2</v>
      </c>
      <c r="Y133" s="73">
        <f t="shared" si="45"/>
        <v>23.284199999999998</v>
      </c>
      <c r="Z133" s="74" t="e">
        <f>VLOOKUP(A133,Enforcements!$C$15:$J$75,8,0)</f>
        <v>#N/A</v>
      </c>
      <c r="AA133" s="74" t="e">
        <f>VLOOKUP(A133,Enforcements!$C$15:$J$75,3,0)</f>
        <v>#N/A</v>
      </c>
    </row>
    <row r="134" spans="1:27" s="2" customFormat="1" x14ac:dyDescent="0.25">
      <c r="A134" s="60" t="s">
        <v>390</v>
      </c>
      <c r="B134" s="60">
        <v>4040</v>
      </c>
      <c r="C134" s="60" t="s">
        <v>62</v>
      </c>
      <c r="D134" s="60" t="s">
        <v>488</v>
      </c>
      <c r="E134" s="30">
        <v>42539.95585648148</v>
      </c>
      <c r="F134" s="30">
        <v>42539.957002314812</v>
      </c>
      <c r="G134" s="38">
        <v>1</v>
      </c>
      <c r="H134" s="30" t="s">
        <v>508</v>
      </c>
      <c r="I134" s="30">
        <v>42539.985034722224</v>
      </c>
      <c r="J134" s="60">
        <v>0</v>
      </c>
      <c r="K134" s="60" t="str">
        <f t="shared" si="46"/>
        <v>4039/4040</v>
      </c>
      <c r="L134" s="60" t="str">
        <f>VLOOKUP(A134,'Trips&amp;Operators'!$C$1:$E$10000,3,FALSE)</f>
        <v>ADANE</v>
      </c>
      <c r="M134" s="12">
        <f t="shared" si="47"/>
        <v>2.8032407411956228E-2</v>
      </c>
      <c r="N134" s="13">
        <f t="shared" si="39"/>
        <v>40.366666673216969</v>
      </c>
      <c r="O134" s="13"/>
      <c r="P134" s="13"/>
      <c r="Q134" s="61"/>
      <c r="R134" s="61"/>
      <c r="T13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22:55:26-0600',mode:absolute,to:'2016-06-18 23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3" t="str">
        <f t="shared" si="41"/>
        <v>N</v>
      </c>
      <c r="V134" s="73">
        <f t="shared" si="42"/>
        <v>1</v>
      </c>
      <c r="W134" s="73">
        <f t="shared" si="43"/>
        <v>4.8000000000000001E-2</v>
      </c>
      <c r="X134" s="73">
        <f t="shared" si="44"/>
        <v>23.332899999999999</v>
      </c>
      <c r="Y134" s="73">
        <f t="shared" si="45"/>
        <v>23.2849</v>
      </c>
      <c r="Z134" s="74" t="e">
        <f>VLOOKUP(A134,Enforcements!$C$15:$J$75,8,0)</f>
        <v>#N/A</v>
      </c>
      <c r="AA134" s="74" t="e">
        <f>VLOOKUP(A134,Enforcements!$C$15:$J$75,3,0)</f>
        <v>#N/A</v>
      </c>
    </row>
    <row r="135" spans="1:27" s="2" customFormat="1" x14ac:dyDescent="0.25">
      <c r="A135" s="60" t="s">
        <v>388</v>
      </c>
      <c r="B135" s="60">
        <v>4039</v>
      </c>
      <c r="C135" s="60" t="s">
        <v>62</v>
      </c>
      <c r="D135" s="60" t="s">
        <v>243</v>
      </c>
      <c r="E135" s="30">
        <v>42539.994942129626</v>
      </c>
      <c r="F135" s="30">
        <v>42539.996111111112</v>
      </c>
      <c r="G135" s="38">
        <v>1</v>
      </c>
      <c r="H135" s="30" t="s">
        <v>193</v>
      </c>
      <c r="I135" s="30">
        <v>42540.025995370372</v>
      </c>
      <c r="J135" s="60">
        <v>3</v>
      </c>
      <c r="K135" s="60" t="str">
        <f t="shared" si="46"/>
        <v>4039/4040</v>
      </c>
      <c r="L135" s="60" t="str">
        <f>VLOOKUP(A135,'Trips&amp;Operators'!$C$1:$E$10000,3,FALSE)</f>
        <v>ADANE</v>
      </c>
      <c r="M135" s="12">
        <f t="shared" si="47"/>
        <v>2.9884259260143153E-2</v>
      </c>
      <c r="N135" s="13">
        <f t="shared" si="39"/>
        <v>43.033333334606141</v>
      </c>
      <c r="O135" s="13"/>
      <c r="P135" s="13"/>
      <c r="Q135" s="61"/>
      <c r="R135" s="61"/>
      <c r="T13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3" t="str">
        <f t="shared" si="41"/>
        <v>N</v>
      </c>
      <c r="V135" s="73">
        <f t="shared" si="42"/>
        <v>1</v>
      </c>
      <c r="W135" s="73">
        <f t="shared" si="43"/>
        <v>23.299800000000001</v>
      </c>
      <c r="X135" s="73">
        <f t="shared" si="44"/>
        <v>1.5800000000000002E-2</v>
      </c>
      <c r="Y135" s="73">
        <f t="shared" si="45"/>
        <v>23.284000000000002</v>
      </c>
      <c r="Z135" s="74">
        <f>VLOOKUP(A135,Enforcements!$C$15:$J$75,8,0)</f>
        <v>133166</v>
      </c>
      <c r="AA135" s="74" t="str">
        <f>VLOOKUP(A135,Enforcements!$C$15:$J$75,3,0)</f>
        <v>SIGNAL</v>
      </c>
    </row>
    <row r="136" spans="1:27" s="2" customFormat="1" x14ac:dyDescent="0.25">
      <c r="A136" s="60" t="s">
        <v>374</v>
      </c>
      <c r="B136" s="60">
        <v>4025</v>
      </c>
      <c r="C136" s="60" t="s">
        <v>62</v>
      </c>
      <c r="D136" s="60" t="s">
        <v>186</v>
      </c>
      <c r="E136" s="30">
        <v>42539.971956018519</v>
      </c>
      <c r="F136" s="30">
        <v>42539.972812499997</v>
      </c>
      <c r="G136" s="38">
        <v>1</v>
      </c>
      <c r="H136" s="30" t="s">
        <v>266</v>
      </c>
      <c r="I136" s="30">
        <v>42540.005277777775</v>
      </c>
      <c r="J136" s="60">
        <v>1</v>
      </c>
      <c r="K136" s="60" t="str">
        <f t="shared" si="46"/>
        <v>4025/4026</v>
      </c>
      <c r="L136" s="60" t="str">
        <f>VLOOKUP(A136,'Trips&amp;Operators'!$C$1:$E$10000,3,FALSE)</f>
        <v>LEVERE</v>
      </c>
      <c r="M136" s="12">
        <f t="shared" si="47"/>
        <v>3.2465277778101154E-2</v>
      </c>
      <c r="N136" s="13">
        <f t="shared" si="39"/>
        <v>46.750000000465661</v>
      </c>
      <c r="O136" s="13"/>
      <c r="P136" s="13"/>
      <c r="Q136" s="61"/>
      <c r="R136" s="61"/>
      <c r="T13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23:18:37-0600',mode:absolute,to:'2016-06-19 00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6" s="73" t="str">
        <f t="shared" si="41"/>
        <v>N</v>
      </c>
      <c r="V136" s="73">
        <f t="shared" si="42"/>
        <v>1</v>
      </c>
      <c r="W136" s="73">
        <f t="shared" si="43"/>
        <v>4.7800000000000002E-2</v>
      </c>
      <c r="X136" s="73">
        <f t="shared" si="44"/>
        <v>23.327000000000002</v>
      </c>
      <c r="Y136" s="73">
        <f t="shared" si="45"/>
        <v>23.279200000000003</v>
      </c>
      <c r="Z136" s="74">
        <f>VLOOKUP(A136,Enforcements!$C$15:$J$75,8,0)</f>
        <v>233491</v>
      </c>
      <c r="AA136" s="74" t="str">
        <f>VLOOKUP(A136,Enforcements!$C$15:$J$75,3,0)</f>
        <v>TRACK WARRANT AUTHORITY</v>
      </c>
    </row>
    <row r="137" spans="1:27" s="2" customFormat="1" x14ac:dyDescent="0.25">
      <c r="A137" s="60" t="s">
        <v>288</v>
      </c>
      <c r="B137" s="60">
        <v>4026</v>
      </c>
      <c r="C137" s="60" t="s">
        <v>62</v>
      </c>
      <c r="D137" s="60" t="s">
        <v>427</v>
      </c>
      <c r="E137" s="30">
        <v>42540.010081018518</v>
      </c>
      <c r="F137" s="30">
        <v>42540.011099537034</v>
      </c>
      <c r="G137" s="38">
        <v>1</v>
      </c>
      <c r="H137" s="30" t="s">
        <v>249</v>
      </c>
      <c r="I137" s="30">
        <v>42540.044710648152</v>
      </c>
      <c r="J137" s="60">
        <v>1</v>
      </c>
      <c r="K137" s="60" t="str">
        <f t="shared" si="46"/>
        <v>4025/4026</v>
      </c>
      <c r="L137" s="60" t="str">
        <f>VLOOKUP(A137,'Trips&amp;Operators'!$C$1:$E$10000,3,FALSE)</f>
        <v>LEVERE</v>
      </c>
      <c r="M137" s="12">
        <f t="shared" si="47"/>
        <v>3.3611111117352266E-2</v>
      </c>
      <c r="N137" s="13">
        <f t="shared" si="39"/>
        <v>48.400000008987263</v>
      </c>
      <c r="O137" s="13"/>
      <c r="P137" s="13"/>
      <c r="Q137" s="61"/>
      <c r="R137" s="61"/>
      <c r="T13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00:13:31-0600',mode:absolute,to:'2016-06-19 01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7" s="73" t="str">
        <f t="shared" si="41"/>
        <v>N</v>
      </c>
      <c r="V137" s="73">
        <f t="shared" si="42"/>
        <v>1</v>
      </c>
      <c r="W137" s="73">
        <f t="shared" si="43"/>
        <v>23.295500000000001</v>
      </c>
      <c r="X137" s="73">
        <f t="shared" si="44"/>
        <v>2.1600000000000001E-2</v>
      </c>
      <c r="Y137" s="73">
        <f t="shared" si="45"/>
        <v>23.273900000000001</v>
      </c>
      <c r="Z137" s="74">
        <f>VLOOKUP(A137,Enforcements!$C$15:$J$75,8,0)</f>
        <v>1</v>
      </c>
      <c r="AA137" s="74" t="str">
        <f>VLOOKUP(A137,Enforcements!$C$15:$J$75,3,0)</f>
        <v>TRACK WARRANT AUTHORITY</v>
      </c>
    </row>
    <row r="138" spans="1:27" s="2" customFormat="1" x14ac:dyDescent="0.25">
      <c r="A138" s="60" t="s">
        <v>312</v>
      </c>
      <c r="B138" s="60">
        <v>4024</v>
      </c>
      <c r="C138" s="60" t="s">
        <v>62</v>
      </c>
      <c r="D138" s="60" t="s">
        <v>80</v>
      </c>
      <c r="E138" s="30">
        <v>42539.996944444443</v>
      </c>
      <c r="F138" s="30">
        <v>42539.998101851852</v>
      </c>
      <c r="G138" s="38">
        <v>1</v>
      </c>
      <c r="H138" s="30" t="s">
        <v>458</v>
      </c>
      <c r="I138" s="30">
        <v>42540.02621527778</v>
      </c>
      <c r="J138" s="60">
        <v>1</v>
      </c>
      <c r="K138" s="60" t="str">
        <f t="shared" si="46"/>
        <v>4023/4024</v>
      </c>
      <c r="L138" s="60" t="str">
        <f>VLOOKUP(A138,'Trips&amp;Operators'!$C$1:$E$10000,3,FALSE)</f>
        <v>DE LA ROSA</v>
      </c>
      <c r="M138" s="12">
        <f t="shared" si="47"/>
        <v>2.8113425927585922E-2</v>
      </c>
      <c r="N138" s="13">
        <f t="shared" si="39"/>
        <v>40.483333335723728</v>
      </c>
      <c r="O138" s="13"/>
      <c r="P138" s="13"/>
      <c r="Q138" s="61"/>
      <c r="R138" s="61"/>
      <c r="T13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https://search-rtdc-monitor-bjffxe2xuh6vdkpspy63sjmuny.us-east-1.es.amazonaws.com/_plugin/kibana/#/discover/Steve-Slow-Train-Analysis-(2080s-and-2083s)?_g=(refreshInterval:(display:Off,section:0,value:0),time:(from:'2016-06-18 23:54:36-0600',mode:absolute,to:'2016-06-19 00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8" s="73" t="str">
        <f t="shared" si="41"/>
        <v>N</v>
      </c>
      <c r="V138" s="73">
        <f t="shared" si="42"/>
        <v>1</v>
      </c>
      <c r="W138" s="73">
        <f t="shared" si="43"/>
        <v>4.6199999999999998E-2</v>
      </c>
      <c r="X138" s="73">
        <f t="shared" si="44"/>
        <v>23.331</v>
      </c>
      <c r="Y138" s="73">
        <f t="shared" si="45"/>
        <v>23.284800000000001</v>
      </c>
      <c r="Z138" s="74">
        <f>VLOOKUP(A138,Enforcements!$C$15:$J$75,8,0)</f>
        <v>233491</v>
      </c>
      <c r="AA138" s="74" t="str">
        <f>VLOOKUP(A138,Enforcements!$C$15:$J$75,3,0)</f>
        <v>TRACK WARRANT AUTHORITY</v>
      </c>
    </row>
    <row r="139" spans="1:27" s="2" customFormat="1" x14ac:dyDescent="0.25">
      <c r="A139" s="60" t="s">
        <v>291</v>
      </c>
      <c r="B139" s="60">
        <v>4023</v>
      </c>
      <c r="C139" s="60" t="s">
        <v>62</v>
      </c>
      <c r="D139" s="60" t="s">
        <v>255</v>
      </c>
      <c r="E139" s="30">
        <v>42540.034560185188</v>
      </c>
      <c r="F139" s="30">
        <v>42540.03534722222</v>
      </c>
      <c r="G139" s="38">
        <v>1</v>
      </c>
      <c r="H139" s="30" t="s">
        <v>86</v>
      </c>
      <c r="I139" s="30">
        <v>42540.065937500003</v>
      </c>
      <c r="J139" s="60">
        <v>0</v>
      </c>
      <c r="K139" s="60" t="str">
        <f t="shared" si="46"/>
        <v>4023/4024</v>
      </c>
      <c r="L139" s="60" t="str">
        <f>VLOOKUP(A139,'Trips&amp;Operators'!$C$1:$E$10000,3,FALSE)</f>
        <v>DE LA ROSA</v>
      </c>
      <c r="M139" s="12">
        <f t="shared" si="47"/>
        <v>3.0590277783630881E-2</v>
      </c>
      <c r="N139" s="13">
        <f t="shared" si="39"/>
        <v>44.050000008428469</v>
      </c>
      <c r="O139" s="13"/>
      <c r="P139" s="13"/>
      <c r="Q139" s="61"/>
      <c r="R139" s="61"/>
      <c r="T13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00:48:46-0600',mode:absolute,to:'2016-06-19 01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9" s="73" t="str">
        <f t="shared" si="41"/>
        <v>N</v>
      </c>
      <c r="V139" s="73">
        <f t="shared" si="42"/>
        <v>1</v>
      </c>
      <c r="W139" s="73">
        <f t="shared" si="43"/>
        <v>23.301100000000002</v>
      </c>
      <c r="X139" s="73">
        <f t="shared" si="44"/>
        <v>1.49E-2</v>
      </c>
      <c r="Y139" s="73">
        <f t="shared" si="45"/>
        <v>23.286200000000001</v>
      </c>
      <c r="Z139" s="74" t="e">
        <f>VLOOKUP(A139,Enforcements!$C$15:$J$75,8,0)</f>
        <v>#N/A</v>
      </c>
      <c r="AA139" s="74" t="e">
        <f>VLOOKUP(A139,Enforcements!$C$15:$J$75,3,0)</f>
        <v>#N/A</v>
      </c>
    </row>
    <row r="140" spans="1:27" s="2" customFormat="1" x14ac:dyDescent="0.25">
      <c r="A140" s="60" t="s">
        <v>386</v>
      </c>
      <c r="B140" s="60">
        <v>4044</v>
      </c>
      <c r="C140" s="60" t="s">
        <v>62</v>
      </c>
      <c r="D140" s="60" t="s">
        <v>79</v>
      </c>
      <c r="E140" s="30">
        <v>42540.016863425924</v>
      </c>
      <c r="F140" s="30">
        <v>42540.01771990741</v>
      </c>
      <c r="G140" s="38">
        <v>1</v>
      </c>
      <c r="H140" s="30" t="s">
        <v>430</v>
      </c>
      <c r="I140" s="30">
        <v>42540.045428240737</v>
      </c>
      <c r="J140" s="60">
        <v>0</v>
      </c>
      <c r="K140" s="60" t="str">
        <f t="shared" si="46"/>
        <v>4043/4044</v>
      </c>
      <c r="L140" s="60" t="str">
        <f>VLOOKUP(A140,'Trips&amp;Operators'!$C$1:$E$10000,3,FALSE)</f>
        <v>GRASTON</v>
      </c>
      <c r="M140" s="12">
        <f t="shared" si="47"/>
        <v>2.770833332760958E-2</v>
      </c>
      <c r="N140" s="13">
        <f t="shared" si="39"/>
        <v>39.899999991757795</v>
      </c>
      <c r="O140" s="13"/>
      <c r="P140" s="13"/>
      <c r="Q140" s="61"/>
      <c r="R140" s="61"/>
      <c r="T14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00:23:17-0600',mode:absolute,to:'2016-06-19 01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0" s="73" t="str">
        <f t="shared" si="41"/>
        <v>N</v>
      </c>
      <c r="V140" s="73">
        <f t="shared" si="42"/>
        <v>1</v>
      </c>
      <c r="W140" s="73">
        <f t="shared" si="43"/>
        <v>4.6600000000000003E-2</v>
      </c>
      <c r="X140" s="73">
        <f t="shared" si="44"/>
        <v>23.331900000000001</v>
      </c>
      <c r="Y140" s="73">
        <f t="shared" si="45"/>
        <v>23.285299999999999</v>
      </c>
      <c r="Z140" s="74" t="e">
        <f>VLOOKUP(A140,Enforcements!$C$15:$J$75,8,0)</f>
        <v>#N/A</v>
      </c>
      <c r="AA140" s="74" t="e">
        <f>VLOOKUP(A140,Enforcements!$C$15:$J$75,3,0)</f>
        <v>#N/A</v>
      </c>
    </row>
    <row r="141" spans="1:27" s="2" customFormat="1" x14ac:dyDescent="0.25">
      <c r="A141" s="60" t="s">
        <v>380</v>
      </c>
      <c r="B141" s="60">
        <v>4043</v>
      </c>
      <c r="C141" s="60" t="s">
        <v>62</v>
      </c>
      <c r="D141" s="60" t="s">
        <v>243</v>
      </c>
      <c r="E141" s="30">
        <v>42540.057534722226</v>
      </c>
      <c r="F141" s="30">
        <v>42540.058437500003</v>
      </c>
      <c r="G141" s="38">
        <v>1</v>
      </c>
      <c r="H141" s="30" t="s">
        <v>166</v>
      </c>
      <c r="I141" s="30">
        <v>42540.085300925923</v>
      </c>
      <c r="J141" s="60">
        <v>0</v>
      </c>
      <c r="K141" s="60" t="str">
        <f t="shared" si="46"/>
        <v>4043/4044</v>
      </c>
      <c r="L141" s="60" t="str">
        <f>VLOOKUP(A141,'Trips&amp;Operators'!$C$1:$E$10000,3,FALSE)</f>
        <v>GRASTON</v>
      </c>
      <c r="M141" s="12">
        <f t="shared" si="47"/>
        <v>2.6863425919145811E-2</v>
      </c>
      <c r="N141" s="13">
        <f t="shared" si="39"/>
        <v>38.683333323569968</v>
      </c>
      <c r="O141" s="13"/>
      <c r="P141" s="13"/>
      <c r="Q141" s="61"/>
      <c r="R141" s="61"/>
      <c r="T14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01:21:51-0600',mode:absolute,to:'2016-06-19 02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1" s="73" t="str">
        <f t="shared" si="41"/>
        <v>N</v>
      </c>
      <c r="V141" s="73">
        <f t="shared" si="42"/>
        <v>1</v>
      </c>
      <c r="W141" s="73">
        <f t="shared" si="43"/>
        <v>23.299800000000001</v>
      </c>
      <c r="X141" s="73">
        <f t="shared" si="44"/>
        <v>1.61E-2</v>
      </c>
      <c r="Y141" s="73">
        <f t="shared" si="45"/>
        <v>23.2837</v>
      </c>
      <c r="Z141" s="74" t="e">
        <f>VLOOKUP(A141,Enforcements!$C$15:$J$75,8,0)</f>
        <v>#N/A</v>
      </c>
      <c r="AA141" s="74" t="e">
        <f>VLOOKUP(A141,Enforcements!$C$15:$J$75,3,0)</f>
        <v>#N/A</v>
      </c>
    </row>
    <row r="142" spans="1:27" s="2" customFormat="1" x14ac:dyDescent="0.25">
      <c r="A142" s="60" t="s">
        <v>376</v>
      </c>
      <c r="B142" s="60">
        <v>4040</v>
      </c>
      <c r="C142" s="60" t="s">
        <v>62</v>
      </c>
      <c r="D142" s="60" t="s">
        <v>90</v>
      </c>
      <c r="E142" s="30">
        <v>42540.036585648151</v>
      </c>
      <c r="F142" s="30">
        <v>42540.037615740737</v>
      </c>
      <c r="G142" s="38">
        <v>1</v>
      </c>
      <c r="H142" s="30" t="s">
        <v>250</v>
      </c>
      <c r="I142" s="30">
        <v>42540.068715277775</v>
      </c>
      <c r="J142" s="60">
        <v>0</v>
      </c>
      <c r="K142" s="60" t="str">
        <f t="shared" si="46"/>
        <v>4039/4040</v>
      </c>
      <c r="L142" s="60" t="str">
        <f>VLOOKUP(A142,'Trips&amp;Operators'!$C$1:$E$10000,3,FALSE)</f>
        <v>ADANE</v>
      </c>
      <c r="M142" s="12">
        <f t="shared" si="47"/>
        <v>3.1099537038244307E-2</v>
      </c>
      <c r="N142" s="13">
        <f t="shared" si="39"/>
        <v>44.783333335071802</v>
      </c>
      <c r="O142" s="13"/>
      <c r="P142" s="13"/>
      <c r="Q142" s="61"/>
      <c r="R142" s="61"/>
      <c r="T14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00:51:41-0600',mode:absolute,to:'2016-06-19 01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2" s="73" t="str">
        <f t="shared" si="41"/>
        <v>N</v>
      </c>
      <c r="V142" s="73">
        <f t="shared" si="42"/>
        <v>1</v>
      </c>
      <c r="W142" s="73">
        <f t="shared" si="43"/>
        <v>4.53E-2</v>
      </c>
      <c r="X142" s="73">
        <f t="shared" si="44"/>
        <v>23.327999999999999</v>
      </c>
      <c r="Y142" s="73">
        <f t="shared" si="45"/>
        <v>23.282699999999998</v>
      </c>
      <c r="Z142" s="74" t="e">
        <f>VLOOKUP(A142,Enforcements!$C$15:$J$75,8,0)</f>
        <v>#N/A</v>
      </c>
      <c r="AA142" s="74" t="e">
        <f>VLOOKUP(A142,Enforcements!$C$15:$J$75,3,0)</f>
        <v>#N/A</v>
      </c>
    </row>
    <row r="143" spans="1:27" s="2" customFormat="1" x14ac:dyDescent="0.25">
      <c r="A143" s="60" t="s">
        <v>509</v>
      </c>
      <c r="B143" s="60">
        <v>4039</v>
      </c>
      <c r="C143" s="60" t="s">
        <v>62</v>
      </c>
      <c r="D143" s="60" t="s">
        <v>263</v>
      </c>
      <c r="E143" s="30">
        <v>42540.0781712963</v>
      </c>
      <c r="F143" s="30">
        <v>42540.079097222224</v>
      </c>
      <c r="G143" s="38">
        <v>1</v>
      </c>
      <c r="H143" s="30" t="s">
        <v>510</v>
      </c>
      <c r="I143" s="30">
        <v>42540.106527777774</v>
      </c>
      <c r="J143" s="60">
        <v>1</v>
      </c>
      <c r="K143" s="60" t="str">
        <f t="shared" si="46"/>
        <v>4039/4040</v>
      </c>
      <c r="L143" s="60" t="e">
        <f>VLOOKUP(A143,'Trips&amp;Operators'!$C$1:$E$10000,3,FALSE)</f>
        <v>#N/A</v>
      </c>
      <c r="M143" s="12">
        <f t="shared" si="47"/>
        <v>2.7430555550381541E-2</v>
      </c>
      <c r="N143" s="13">
        <f t="shared" si="39"/>
        <v>39.499999992549419</v>
      </c>
      <c r="O143" s="13"/>
      <c r="P143" s="13"/>
      <c r="Q143" s="61"/>
      <c r="R143" s="61"/>
      <c r="T14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https://search-rtdc-monitor-bjffxe2xuh6vdkpspy63sjmuny.us-east-1.es.amazonaws.com/_plugin/kibana/#/discover/Steve-Slow-Train-Analysis-(2080s-and-2083s)?_g=(refreshInterval:(display:Off,section:0,value:0),time:(from:'2016-06-19 01:51:34-0600',mode:absolute,to:'2016-06-19 02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3" s="73" t="str">
        <f t="shared" si="41"/>
        <v>N</v>
      </c>
      <c r="V143" s="73" t="e">
        <f>VALUE(LEFT(A143,3))-VALUE(LEFT(#REF!,3))</f>
        <v>#REF!</v>
      </c>
      <c r="W143" s="73">
        <f t="shared" si="43"/>
        <v>23.296900000000001</v>
      </c>
      <c r="X143" s="73">
        <f t="shared" si="44"/>
        <v>2.12E-2</v>
      </c>
      <c r="Y143" s="73">
        <f t="shared" si="45"/>
        <v>23.275700000000001</v>
      </c>
      <c r="Z143" s="74" t="e">
        <f>VLOOKUP(A143,Enforcements!$C$15:$J$75,8,0)</f>
        <v>#N/A</v>
      </c>
      <c r="AA143" s="74" t="e">
        <f>VLOOKUP(A143,Enforcements!$C$15:$J$75,3,0)</f>
        <v>#N/A</v>
      </c>
    </row>
    <row r="144" spans="1:27" s="2" customFormat="1" x14ac:dyDescent="0.25">
      <c r="B144" s="62"/>
      <c r="C144" s="62"/>
      <c r="D144" s="62"/>
      <c r="E144" s="63"/>
      <c r="F144" s="63"/>
      <c r="G144" s="64"/>
      <c r="H144" s="63"/>
      <c r="I144" s="63"/>
      <c r="J144" s="62"/>
      <c r="K144" s="62"/>
      <c r="L144" s="62"/>
      <c r="M144" s="65"/>
      <c r="N144" s="66"/>
      <c r="O144" s="66"/>
      <c r="P144" s="66"/>
      <c r="Q144" s="67"/>
      <c r="R144" s="67"/>
      <c r="T144" s="73"/>
      <c r="U144" s="73"/>
      <c r="V144" s="73"/>
      <c r="W144" s="73"/>
      <c r="X144" s="73"/>
      <c r="Y144" s="73"/>
      <c r="Z144" s="74"/>
      <c r="AA144" s="74"/>
    </row>
    <row r="145" spans="2:27" s="2" customFormat="1" ht="15.75" thickBot="1" x14ac:dyDescent="0.3">
      <c r="B145" s="62"/>
      <c r="C145" s="62"/>
      <c r="D145" s="62"/>
      <c r="E145" s="63"/>
      <c r="F145" s="63"/>
      <c r="G145" s="64"/>
      <c r="H145" s="63"/>
      <c r="I145" s="63"/>
      <c r="J145" s="62"/>
      <c r="K145" s="62"/>
      <c r="L145" s="62"/>
      <c r="M145" s="65"/>
      <c r="N145" s="66"/>
      <c r="O145" s="66"/>
      <c r="P145" s="66"/>
      <c r="Q145" s="67"/>
      <c r="R145" s="67"/>
      <c r="T145" s="68"/>
      <c r="U145" s="68"/>
      <c r="V145" s="68"/>
      <c r="W145" s="68"/>
      <c r="X145" s="68"/>
      <c r="Y145" s="68"/>
      <c r="Z145" s="69"/>
      <c r="AA145" s="69"/>
    </row>
    <row r="146" spans="2:27" s="2" customFormat="1" ht="15.75" thickBot="1" x14ac:dyDescent="0.3">
      <c r="E146" s="31"/>
      <c r="F146" s="31"/>
      <c r="G146" s="39"/>
      <c r="H146" s="31"/>
      <c r="I146" s="96">
        <f>Variables!A2</f>
        <v>42539</v>
      </c>
      <c r="J146" s="97"/>
      <c r="K146" s="75"/>
      <c r="L146" s="75"/>
      <c r="M146" s="98" t="s">
        <v>8</v>
      </c>
      <c r="N146" s="99"/>
      <c r="O146" s="100"/>
      <c r="P146" s="5"/>
      <c r="T146" s="56"/>
      <c r="U146" s="56"/>
      <c r="V146" s="56"/>
      <c r="W146" s="56"/>
      <c r="X146" s="56"/>
      <c r="Y146" s="56"/>
      <c r="Z146" s="57"/>
      <c r="AA146" s="57"/>
    </row>
    <row r="147" spans="2:27" s="2" customFormat="1" ht="15.75" thickBot="1" x14ac:dyDescent="0.3">
      <c r="E147" s="31"/>
      <c r="F147" s="31"/>
      <c r="G147" s="39"/>
      <c r="H147" s="31"/>
      <c r="I147" s="101" t="s">
        <v>10</v>
      </c>
      <c r="J147" s="102"/>
      <c r="K147" s="35"/>
      <c r="L147" s="58"/>
      <c r="M147" s="9" t="s">
        <v>11</v>
      </c>
      <c r="N147" s="6" t="s">
        <v>12</v>
      </c>
      <c r="O147" s="7" t="s">
        <v>13</v>
      </c>
      <c r="P147" s="5"/>
      <c r="T147" s="56"/>
      <c r="U147" s="56"/>
      <c r="V147" s="56"/>
      <c r="W147" s="56"/>
      <c r="X147" s="56"/>
      <c r="Y147" s="56"/>
      <c r="Z147" s="57"/>
      <c r="AA147" s="57"/>
    </row>
    <row r="148" spans="2:27" s="2" customFormat="1" ht="15.75" thickBot="1" x14ac:dyDescent="0.3">
      <c r="E148" s="31"/>
      <c r="F148" s="31"/>
      <c r="G148" s="39"/>
      <c r="H148" s="31"/>
      <c r="I148" s="32" t="s">
        <v>14</v>
      </c>
      <c r="J148" s="3">
        <f>COUNT(N3:P143)</f>
        <v>141</v>
      </c>
      <c r="K148" s="3"/>
      <c r="L148" s="3"/>
      <c r="M148" s="70" t="s">
        <v>15</v>
      </c>
      <c r="N148" s="6" t="s">
        <v>15</v>
      </c>
      <c r="O148" s="7" t="s">
        <v>15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2:27" s="2" customFormat="1" ht="15.75" thickBot="1" x14ac:dyDescent="0.3">
      <c r="E149" s="31"/>
      <c r="F149" s="31"/>
      <c r="G149" s="39"/>
      <c r="H149" s="31"/>
      <c r="I149" s="32" t="s">
        <v>17</v>
      </c>
      <c r="J149" s="3">
        <f>COUNT(N3:N143)</f>
        <v>127</v>
      </c>
      <c r="K149" s="3"/>
      <c r="L149" s="3"/>
      <c r="M149" s="70">
        <f>AVERAGE(N3:N143)</f>
        <v>43.260367454211121</v>
      </c>
      <c r="N149" s="6">
        <f>MIN(N3:N143)</f>
        <v>35.766666666604578</v>
      </c>
      <c r="O149" s="7">
        <f>MAX(N3:N143)</f>
        <v>62.866666673216969</v>
      </c>
      <c r="P149" s="5"/>
      <c r="T149" s="56"/>
      <c r="U149" s="56"/>
      <c r="V149" s="56"/>
      <c r="W149" s="56"/>
      <c r="X149" s="56"/>
      <c r="Y149" s="56"/>
      <c r="Z149" s="57"/>
      <c r="AA149" s="57"/>
    </row>
    <row r="150" spans="2:27" s="2" customFormat="1" ht="15.75" thickBot="1" x14ac:dyDescent="0.3">
      <c r="B150" s="59"/>
      <c r="C150" s="59"/>
      <c r="D150" s="59"/>
      <c r="E150" s="14"/>
      <c r="F150" s="14"/>
      <c r="G150" s="40"/>
      <c r="H150" s="14"/>
      <c r="I150" s="33" t="s">
        <v>45</v>
      </c>
      <c r="J150" s="3">
        <f>COUNT(O3:O143)</f>
        <v>0</v>
      </c>
      <c r="K150" s="3"/>
      <c r="L150" s="3"/>
      <c r="M150" s="70">
        <f>IFERROR(AVERAGE(O3:O143),0)</f>
        <v>0</v>
      </c>
      <c r="N150" s="6">
        <f>MIN(O3:O143)</f>
        <v>0</v>
      </c>
      <c r="O150" s="7">
        <f>MAX(O3:O143)</f>
        <v>0</v>
      </c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1" spans="2:27" s="2" customFormat="1" ht="15.75" thickBot="1" x14ac:dyDescent="0.3">
      <c r="B151" s="59"/>
      <c r="C151" s="59"/>
      <c r="D151" s="59"/>
      <c r="E151" s="14"/>
      <c r="F151" s="14"/>
      <c r="G151" s="40"/>
      <c r="H151" s="14"/>
      <c r="I151" s="34" t="s">
        <v>9</v>
      </c>
      <c r="J151" s="3">
        <f>COUNT(P3:P143)</f>
        <v>14</v>
      </c>
      <c r="K151" s="3"/>
      <c r="L151" s="3"/>
      <c r="M151" s="70" t="s">
        <v>15</v>
      </c>
      <c r="N151" s="6" t="s">
        <v>15</v>
      </c>
      <c r="O151" s="7" t="s">
        <v>15</v>
      </c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2:27" s="2" customFormat="1" ht="30.75" thickBot="1" x14ac:dyDescent="0.3">
      <c r="E152" s="31"/>
      <c r="F152" s="31"/>
      <c r="G152" s="39"/>
      <c r="H152" s="31"/>
      <c r="I152" s="32" t="s">
        <v>16</v>
      </c>
      <c r="J152" s="3">
        <f>COUNT(N3:O143)</f>
        <v>127</v>
      </c>
      <c r="K152" s="3"/>
      <c r="L152" s="3"/>
      <c r="M152" s="70">
        <f>AVERAGE(N3:P143)</f>
        <v>39.951891253081463</v>
      </c>
      <c r="N152" s="6">
        <f>MIN(N3:O143)</f>
        <v>35.766666666604578</v>
      </c>
      <c r="O152" s="7">
        <f>MAX(N3:O143)</f>
        <v>62.866666673216969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2:27" s="2" customFormat="1" ht="30.75" thickBot="1" x14ac:dyDescent="0.3">
      <c r="B153" s="59"/>
      <c r="C153" s="59"/>
      <c r="D153" s="59"/>
      <c r="E153" s="14"/>
      <c r="F153" s="14"/>
      <c r="G153" s="40"/>
      <c r="H153" s="14"/>
      <c r="I153" s="32" t="s">
        <v>19</v>
      </c>
      <c r="J153" s="8">
        <f>J152/J148</f>
        <v>0.900709219858156</v>
      </c>
      <c r="K153" s="8"/>
      <c r="L153" s="8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2:27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2:27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2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2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</sheetData>
  <autoFilter ref="A2:AA143">
    <sortState ref="A3:AA147">
      <sortCondition ref="A2:A147"/>
    </sortState>
  </autoFilter>
  <sortState ref="A3:R152">
    <sortCondition ref="A3:A152"/>
    <sortCondition ref="F3:F152"/>
  </sortState>
  <mergeCells count="4">
    <mergeCell ref="I146:J146"/>
    <mergeCell ref="M146:O146"/>
    <mergeCell ref="I147:J147"/>
    <mergeCell ref="A1:P1"/>
  </mergeCells>
  <conditionalFormatting sqref="U1:U2 U3:V1048576">
    <cfRule type="cellIs" dxfId="13" priority="63" operator="equal">
      <formula>"Y"</formula>
    </cfRule>
  </conditionalFormatting>
  <conditionalFormatting sqref="V3:V1048576">
    <cfRule type="cellIs" dxfId="12" priority="46" operator="greaterThan">
      <formula>1</formula>
    </cfRule>
  </conditionalFormatting>
  <conditionalFormatting sqref="V2:V1048576">
    <cfRule type="cellIs" dxfId="11" priority="43" operator="equal">
      <formula>0</formula>
    </cfRule>
  </conditionalFormatting>
  <conditionalFormatting sqref="B144:R144 A3:R143">
    <cfRule type="expression" dxfId="10" priority="38">
      <formula>$P3&gt;0</formula>
    </cfRule>
    <cfRule type="expression" dxfId="9" priority="39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B144:R144 A3:R143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showGridLines="0" zoomScale="85" zoomScaleNormal="85" workbookViewId="0">
      <selection activeCell="E19" sqref="E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4" t="str">
        <f>"Eagle P3 Braking Events - "&amp;TEXT(Variables!$A$2,"YYYY-mm-dd")</f>
        <v>Eagle P3 Braking Events - 2016-06-18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81</v>
      </c>
    </row>
    <row r="3" spans="1:17" s="2" customFormat="1" x14ac:dyDescent="0.25">
      <c r="A3" s="23">
        <v>42539.290219907409</v>
      </c>
      <c r="B3" s="22" t="s">
        <v>180</v>
      </c>
      <c r="C3" s="22" t="s">
        <v>327</v>
      </c>
      <c r="D3" s="22" t="s">
        <v>52</v>
      </c>
      <c r="E3" s="22" t="s">
        <v>87</v>
      </c>
      <c r="F3" s="22">
        <v>150</v>
      </c>
      <c r="G3" s="22">
        <v>419</v>
      </c>
      <c r="H3" s="22">
        <v>60919</v>
      </c>
      <c r="I3" s="22" t="s">
        <v>88</v>
      </c>
      <c r="J3" s="22">
        <v>63068</v>
      </c>
      <c r="K3" s="21" t="s">
        <v>55</v>
      </c>
      <c r="L3" s="21" t="str">
        <f>VLOOKUP(C3,'Trips&amp;Operators'!$C$2:$E$10000,3,FALSE)</f>
        <v>BRABO</v>
      </c>
      <c r="M3" s="20" t="s">
        <v>67</v>
      </c>
      <c r="N3" s="21" t="s">
        <v>521</v>
      </c>
      <c r="P3" s="79" t="str">
        <f>VLOOKUP(C3,'Train Runs'!$A$3:$T$253,20,0)</f>
        <v>https://search-rtdc-monitor-bjffxe2xuh6vdkpspy63sjmuny.us-east-1.es.amazonaws.com/_plugin/kibana/#/discover/Steve-Slow-Train-Analysis-(2080s-and-2083s)?_g=(refreshInterval:(display:Off,section:0,value:0),time:(from:'2016-06-18 06:42:29-0600',mode:absolute,to:'2016-06-18 07:27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" s="19" t="str">
        <f t="shared" ref="Q3:Q14" si="0">MID(B3,13,4)</f>
        <v>4040</v>
      </c>
    </row>
    <row r="4" spans="1:17" s="2" customFormat="1" x14ac:dyDescent="0.25">
      <c r="A4" s="23">
        <v>42539.375462962962</v>
      </c>
      <c r="B4" s="22" t="s">
        <v>116</v>
      </c>
      <c r="C4" s="22" t="s">
        <v>348</v>
      </c>
      <c r="D4" s="22" t="s">
        <v>52</v>
      </c>
      <c r="E4" s="22" t="s">
        <v>87</v>
      </c>
      <c r="F4" s="22">
        <v>0</v>
      </c>
      <c r="G4" s="22">
        <v>83</v>
      </c>
      <c r="H4" s="22">
        <v>62308</v>
      </c>
      <c r="I4" s="22" t="s">
        <v>88</v>
      </c>
      <c r="J4" s="22">
        <v>63068</v>
      </c>
      <c r="K4" s="21" t="s">
        <v>55</v>
      </c>
      <c r="L4" s="21" t="str">
        <f>VLOOKUP(C4,'Trips&amp;Operators'!$C$2:$E$10000,3,FALSE)</f>
        <v>STRICKLAND</v>
      </c>
      <c r="M4" s="20" t="s">
        <v>67</v>
      </c>
      <c r="N4" s="21" t="s">
        <v>521</v>
      </c>
      <c r="P4" s="79" t="str">
        <f>VLOOKUP(C4,'Train Runs'!$A$3:$T$253,20,0)</f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" s="19" t="str">
        <f t="shared" si="0"/>
        <v>4030</v>
      </c>
    </row>
    <row r="5" spans="1:17" s="2" customFormat="1" x14ac:dyDescent="0.25">
      <c r="A5" s="23">
        <v>42539.376111111109</v>
      </c>
      <c r="B5" s="22" t="s">
        <v>116</v>
      </c>
      <c r="C5" s="22" t="s">
        <v>348</v>
      </c>
      <c r="D5" s="22" t="s">
        <v>57</v>
      </c>
      <c r="E5" s="22" t="s">
        <v>87</v>
      </c>
      <c r="F5" s="22">
        <v>0</v>
      </c>
      <c r="G5" s="22">
        <v>4</v>
      </c>
      <c r="H5" s="22">
        <v>63087</v>
      </c>
      <c r="I5" s="22" t="s">
        <v>88</v>
      </c>
      <c r="J5" s="22">
        <v>63068</v>
      </c>
      <c r="K5" s="21" t="s">
        <v>55</v>
      </c>
      <c r="L5" s="21" t="str">
        <f>VLOOKUP(C5,'Trips&amp;Operators'!$C$2:$E$10000,3,FALSE)</f>
        <v>STRICKLAND</v>
      </c>
      <c r="M5" s="20" t="s">
        <v>67</v>
      </c>
      <c r="N5" s="21" t="s">
        <v>521</v>
      </c>
      <c r="P5" s="79" t="str">
        <f>VLOOKUP(C5,'Train Runs'!$A$3:$T$253,20,0)</f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" s="19" t="str">
        <f t="shared" si="0"/>
        <v>4030</v>
      </c>
    </row>
    <row r="6" spans="1:17" s="2" customFormat="1" x14ac:dyDescent="0.25">
      <c r="A6" s="23">
        <v>42539.488356481481</v>
      </c>
      <c r="B6" s="22" t="s">
        <v>118</v>
      </c>
      <c r="C6" s="22" t="s">
        <v>274</v>
      </c>
      <c r="D6" s="22" t="s">
        <v>52</v>
      </c>
      <c r="E6" s="22" t="s">
        <v>87</v>
      </c>
      <c r="F6" s="22">
        <v>0</v>
      </c>
      <c r="G6" s="22">
        <v>370</v>
      </c>
      <c r="H6" s="22">
        <v>60921</v>
      </c>
      <c r="I6" s="22" t="s">
        <v>88</v>
      </c>
      <c r="J6" s="22">
        <v>63068</v>
      </c>
      <c r="K6" s="21" t="s">
        <v>55</v>
      </c>
      <c r="L6" s="21" t="str">
        <f>VLOOKUP(C6,'Trips&amp;Operators'!$C$2:$E$10000,3,FALSE)</f>
        <v>BONDS</v>
      </c>
      <c r="M6" s="20" t="s">
        <v>67</v>
      </c>
      <c r="N6" s="21" t="s">
        <v>521</v>
      </c>
      <c r="P6" s="79" t="str">
        <f>VLOOKUP(C6,'Train Runs'!$A$3:$T$253,20,0)</f>
        <v>https://search-rtdc-monitor-bjffxe2xuh6vdkpspy63sjmuny.us-east-1.es.amazonaws.com/_plugin/kibana/#/discover/Steve-Slow-Train-Analysis-(2080s-and-2083s)?_g=(refreshInterval:(display:Off,section:0,value:0),time:(from:'2016-06-18 11:24:33-0600',mode:absolute,to:'2016-06-18 12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" s="19" t="str">
        <f t="shared" si="0"/>
        <v>4044</v>
      </c>
    </row>
    <row r="7" spans="1:17" s="2" customFormat="1" x14ac:dyDescent="0.25">
      <c r="A7" s="23">
        <v>42539.541608796295</v>
      </c>
      <c r="B7" s="22" t="s">
        <v>98</v>
      </c>
      <c r="C7" s="22" t="s">
        <v>282</v>
      </c>
      <c r="D7" s="22" t="s">
        <v>52</v>
      </c>
      <c r="E7" s="22" t="s">
        <v>87</v>
      </c>
      <c r="F7" s="22">
        <v>0</v>
      </c>
      <c r="G7" s="22">
        <v>149</v>
      </c>
      <c r="H7" s="22">
        <v>62369</v>
      </c>
      <c r="I7" s="22" t="s">
        <v>88</v>
      </c>
      <c r="J7" s="22">
        <v>63068</v>
      </c>
      <c r="K7" s="21" t="s">
        <v>55</v>
      </c>
      <c r="L7" s="21" t="str">
        <f>VLOOKUP(C7,'Trips&amp;Operators'!$C$2:$E$10000,3,FALSE)</f>
        <v>WEBSTER</v>
      </c>
      <c r="M7" s="20" t="s">
        <v>67</v>
      </c>
      <c r="N7" s="21" t="s">
        <v>521</v>
      </c>
      <c r="P7" s="79" t="str">
        <f>VLOOKUP(C7,'Train Runs'!$A$3:$T$253,20,0)</f>
        <v>https://search-rtdc-monitor-bjffxe2xuh6vdkpspy63sjmuny.us-east-1.es.amazonaws.com/_plugin/kibana/#/discover/Steve-Slow-Train-Analysis-(2080s-and-2083s)?_g=(refreshInterval:(display:Off,section:0,value:0),time:(from:'2016-06-18 12:43:21-0600',mode:absolute,to:'2016-06-18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" s="19" t="str">
        <f t="shared" si="0"/>
        <v>4020</v>
      </c>
    </row>
    <row r="8" spans="1:17" s="2" customFormat="1" x14ac:dyDescent="0.25">
      <c r="A8" s="23">
        <v>42539.634456018517</v>
      </c>
      <c r="B8" s="22" t="s">
        <v>118</v>
      </c>
      <c r="C8" s="22" t="s">
        <v>295</v>
      </c>
      <c r="D8" s="22" t="s">
        <v>52</v>
      </c>
      <c r="E8" s="22" t="s">
        <v>87</v>
      </c>
      <c r="F8" s="22">
        <v>0</v>
      </c>
      <c r="G8" s="22">
        <v>52</v>
      </c>
      <c r="H8" s="22">
        <v>62946</v>
      </c>
      <c r="I8" s="22" t="s">
        <v>88</v>
      </c>
      <c r="J8" s="22">
        <v>63068</v>
      </c>
      <c r="K8" s="21" t="s">
        <v>55</v>
      </c>
      <c r="L8" s="21" t="str">
        <f>VLOOKUP(C8,'Trips&amp;Operators'!$C$2:$E$10000,3,FALSE)</f>
        <v>BONDS</v>
      </c>
      <c r="M8" s="20" t="s">
        <v>67</v>
      </c>
      <c r="N8" s="21" t="s">
        <v>521</v>
      </c>
      <c r="P8" s="79" t="str">
        <f>VLOOKUP(C8,'Train Runs'!$A$3:$T$253,20,0)</f>
        <v>https://search-rtdc-monitor-bjffxe2xuh6vdkpspy63sjmuny.us-east-1.es.amazonaws.com/_plugin/kibana/#/discover/Steve-Slow-Train-Analysis-(2080s-and-2083s)?_g=(refreshInterval:(display:Off,section:0,value:0),time:(from:'2016-06-18 14:56:29-0600',mode:absolute,to:'2016-06-18 15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9" t="str">
        <f t="shared" si="0"/>
        <v>4044</v>
      </c>
    </row>
    <row r="9" spans="1:17" s="2" customFormat="1" x14ac:dyDescent="0.25">
      <c r="A9" s="23">
        <v>42539.712731481479</v>
      </c>
      <c r="B9" s="22" t="s">
        <v>101</v>
      </c>
      <c r="C9" s="22" t="s">
        <v>293</v>
      </c>
      <c r="D9" s="22" t="s">
        <v>52</v>
      </c>
      <c r="E9" s="22" t="s">
        <v>87</v>
      </c>
      <c r="F9" s="22">
        <v>0</v>
      </c>
      <c r="G9" s="22">
        <v>53</v>
      </c>
      <c r="H9" s="22">
        <v>63468</v>
      </c>
      <c r="I9" s="22" t="s">
        <v>88</v>
      </c>
      <c r="J9" s="22">
        <v>63309</v>
      </c>
      <c r="K9" s="21" t="s">
        <v>56</v>
      </c>
      <c r="L9" s="21" t="str">
        <f>VLOOKUP(C9,'Trips&amp;Operators'!$C$2:$E$10000,3,FALSE)</f>
        <v>STEWART</v>
      </c>
      <c r="M9" s="20" t="s">
        <v>67</v>
      </c>
      <c r="N9" s="21" t="s">
        <v>521</v>
      </c>
      <c r="P9" s="79" t="str">
        <f>VLOOKUP(C9,'Train Runs'!$A$3:$T$253,20,0)</f>
        <v>https://search-rtdc-monitor-bjffxe2xuh6vdkpspy63sjmuny.us-east-1.es.amazonaws.com/_plugin/kibana/#/discover/Steve-Slow-Train-Analysis-(2080s-and-2083s)?_g=(refreshInterval:(display:Off,section:0,value:0),time:(from:'2016-06-18 16:36:16-0600',mode:absolute,to:'2016-06-18 17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9" s="19" t="str">
        <f t="shared" si="0"/>
        <v>4017</v>
      </c>
    </row>
    <row r="10" spans="1:17" s="2" customFormat="1" x14ac:dyDescent="0.25">
      <c r="A10" s="23">
        <v>42539.707615740743</v>
      </c>
      <c r="B10" s="22" t="s">
        <v>118</v>
      </c>
      <c r="C10" s="22" t="s">
        <v>301</v>
      </c>
      <c r="D10" s="22" t="s">
        <v>52</v>
      </c>
      <c r="E10" s="22" t="s">
        <v>87</v>
      </c>
      <c r="F10" s="22">
        <v>0</v>
      </c>
      <c r="G10" s="22">
        <v>44</v>
      </c>
      <c r="H10" s="22">
        <v>62946</v>
      </c>
      <c r="I10" s="22" t="s">
        <v>88</v>
      </c>
      <c r="J10" s="22">
        <v>63068</v>
      </c>
      <c r="K10" s="21" t="s">
        <v>55</v>
      </c>
      <c r="L10" s="21" t="str">
        <f>VLOOKUP(C10,'Trips&amp;Operators'!$C$2:$E$10000,3,FALSE)</f>
        <v>BONDS</v>
      </c>
      <c r="M10" s="20" t="s">
        <v>67</v>
      </c>
      <c r="N10" s="21" t="s">
        <v>521</v>
      </c>
      <c r="P10" s="79" t="str">
        <f>VLOOKUP(C10,'Train Runs'!$A$3:$T$253,20,0)</f>
        <v>https://search-rtdc-monitor-bjffxe2xuh6vdkpspy63sjmuny.us-east-1.es.amazonaws.com/_plugin/kibana/#/discover/Steve-Slow-Train-Analysis-(2080s-and-2083s)?_g=(refreshInterval:(display:Off,section:0,value:0),time:(from:'2016-06-18 16:37:47-0600',mode:absolute,to:'2016-06-18 17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19" t="str">
        <f t="shared" si="0"/>
        <v>4044</v>
      </c>
    </row>
    <row r="11" spans="1:17" s="2" customFormat="1" x14ac:dyDescent="0.25">
      <c r="A11" s="23">
        <v>42539.716874999998</v>
      </c>
      <c r="B11" s="22" t="s">
        <v>217</v>
      </c>
      <c r="C11" s="22" t="s">
        <v>325</v>
      </c>
      <c r="D11" s="22" t="s">
        <v>52</v>
      </c>
      <c r="E11" s="22" t="s">
        <v>87</v>
      </c>
      <c r="F11" s="22">
        <v>0</v>
      </c>
      <c r="G11" s="22">
        <v>389</v>
      </c>
      <c r="H11" s="22">
        <v>60334</v>
      </c>
      <c r="I11" s="22" t="s">
        <v>88</v>
      </c>
      <c r="J11" s="22">
        <v>63068</v>
      </c>
      <c r="K11" s="21" t="s">
        <v>55</v>
      </c>
      <c r="L11" s="21" t="str">
        <f>VLOOKUP(C11,'Trips&amp;Operators'!$C$2:$E$10000,3,FALSE)</f>
        <v>LOCKLEAR</v>
      </c>
      <c r="M11" s="20" t="s">
        <v>67</v>
      </c>
      <c r="N11" s="21" t="s">
        <v>521</v>
      </c>
      <c r="P11" s="79" t="str">
        <f>VLOOKUP(C11,'Train Runs'!$A$3:$T$253,20,0)</f>
        <v>https://search-rtdc-monitor-bjffxe2xuh6vdkpspy63sjmuny.us-east-1.es.amazonaws.com/_plugin/kibana/#/discover/Steve-Slow-Train-Analysis-(2080s-and-2083s)?_g=(refreshInterval:(display:Off,section:0,value:0),time:(from:'2016-06-18 16:50:41-0600',mode:absolute,to:'2016-06-18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1" s="19" t="str">
        <f t="shared" si="0"/>
        <v>4042</v>
      </c>
    </row>
    <row r="12" spans="1:17" s="2" customFormat="1" x14ac:dyDescent="0.25">
      <c r="A12" s="23">
        <v>42539.334178240744</v>
      </c>
      <c r="B12" s="22" t="s">
        <v>101</v>
      </c>
      <c r="C12" s="22" t="s">
        <v>315</v>
      </c>
      <c r="D12" s="22" t="s">
        <v>52</v>
      </c>
      <c r="E12" s="22" t="s">
        <v>60</v>
      </c>
      <c r="F12" s="22">
        <v>300</v>
      </c>
      <c r="G12" s="22">
        <v>537</v>
      </c>
      <c r="H12" s="22">
        <v>24781</v>
      </c>
      <c r="I12" s="22" t="s">
        <v>61</v>
      </c>
      <c r="J12" s="22">
        <v>21848</v>
      </c>
      <c r="K12" s="21" t="s">
        <v>56</v>
      </c>
      <c r="L12" s="21" t="str">
        <f>VLOOKUP(C12,'Trips&amp;Operators'!$C$2:$E$10000,3,FALSE)</f>
        <v>MALAVE</v>
      </c>
      <c r="M12" s="20" t="s">
        <v>67</v>
      </c>
      <c r="N12" s="21"/>
      <c r="P12" s="79" t="str">
        <f>VLOOKUP(C12,'Train Runs'!$A$3:$T$253,20,0)</f>
        <v>https://search-rtdc-monitor-bjffxe2xuh6vdkpspy63sjmuny.us-east-1.es.amazonaws.com/_plugin/kibana/#/discover/Steve-Slow-Train-Analysis-(2080s-and-2083s)?_g=(refreshInterval:(display:Off,section:0,value:0),time:(from:'2016-06-18 07:21:40-0600',mode:absolute,to:'2016-06-18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9" t="str">
        <f t="shared" si="0"/>
        <v>4017</v>
      </c>
    </row>
    <row r="13" spans="1:17" s="2" customFormat="1" x14ac:dyDescent="0.25">
      <c r="A13" s="23">
        <v>42539.32199074074</v>
      </c>
      <c r="B13" s="22" t="s">
        <v>183</v>
      </c>
      <c r="C13" s="22" t="s">
        <v>411</v>
      </c>
      <c r="D13" s="22" t="s">
        <v>52</v>
      </c>
      <c r="E13" s="22" t="s">
        <v>60</v>
      </c>
      <c r="F13" s="22">
        <v>150</v>
      </c>
      <c r="G13" s="22">
        <v>187</v>
      </c>
      <c r="H13" s="22">
        <v>229410</v>
      </c>
      <c r="I13" s="22" t="s">
        <v>61</v>
      </c>
      <c r="J13" s="22">
        <v>229055</v>
      </c>
      <c r="K13" s="21" t="s">
        <v>56</v>
      </c>
      <c r="L13" s="21" t="str">
        <f>VLOOKUP(C13,'Trips&amp;Operators'!$C$2:$E$10000,3,FALSE)</f>
        <v>BRABO</v>
      </c>
      <c r="M13" s="20" t="s">
        <v>67</v>
      </c>
      <c r="N13" s="21"/>
      <c r="P13" s="79" t="str">
        <f>VLOOKUP(C13,'Train Runs'!$A$3:$T$253,20,0)</f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3" s="19" t="str">
        <f t="shared" si="0"/>
        <v>4039</v>
      </c>
    </row>
    <row r="14" spans="1:17" s="2" customFormat="1" x14ac:dyDescent="0.25">
      <c r="A14" s="23">
        <v>42539.327569444446</v>
      </c>
      <c r="B14" s="22" t="s">
        <v>183</v>
      </c>
      <c r="C14" s="22" t="s">
        <v>411</v>
      </c>
      <c r="D14" s="22" t="s">
        <v>57</v>
      </c>
      <c r="E14" s="22" t="s">
        <v>60</v>
      </c>
      <c r="F14" s="22">
        <v>600</v>
      </c>
      <c r="G14" s="22">
        <v>671</v>
      </c>
      <c r="H14" s="22">
        <v>184461</v>
      </c>
      <c r="I14" s="22" t="s">
        <v>61</v>
      </c>
      <c r="J14" s="22">
        <v>190834</v>
      </c>
      <c r="K14" s="21" t="s">
        <v>56</v>
      </c>
      <c r="L14" s="21" t="str">
        <f>VLOOKUP(C14,'Trips&amp;Operators'!$C$2:$E$10000,3,FALSE)</f>
        <v>BRABO</v>
      </c>
      <c r="M14" s="20" t="s">
        <v>67</v>
      </c>
      <c r="N14" s="21"/>
      <c r="P14" s="79" t="str">
        <f>VLOOKUP(C14,'Train Runs'!$A$3:$T$253,20,0)</f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4" s="19" t="str">
        <f t="shared" si="0"/>
        <v>4039</v>
      </c>
    </row>
    <row r="15" spans="1:17" s="19" customFormat="1" x14ac:dyDescent="0.25">
      <c r="A15" s="23">
        <v>42539.308645833335</v>
      </c>
      <c r="B15" s="22" t="s">
        <v>136</v>
      </c>
      <c r="C15" s="22" t="s">
        <v>409</v>
      </c>
      <c r="D15" s="22" t="s">
        <v>52</v>
      </c>
      <c r="E15" s="22" t="s">
        <v>60</v>
      </c>
      <c r="F15" s="22">
        <v>400</v>
      </c>
      <c r="G15" s="22">
        <v>455</v>
      </c>
      <c r="H15" s="22">
        <v>116114</v>
      </c>
      <c r="I15" s="22" t="s">
        <v>61</v>
      </c>
      <c r="J15" s="22">
        <v>116838</v>
      </c>
      <c r="K15" s="21" t="s">
        <v>55</v>
      </c>
      <c r="L15" s="21" t="str">
        <f>VLOOKUP(C15,'Trips&amp;Operators'!$C$2:$E$10000,3,FALSE)</f>
        <v>STRICKLAND</v>
      </c>
      <c r="M15" s="20" t="s">
        <v>67</v>
      </c>
      <c r="N15" s="21"/>
      <c r="P15" s="79" t="str">
        <f>VLOOKUP(C15,'Train Runs'!$A$3:$T$253,20,0)</f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5" s="19" t="str">
        <f t="shared" ref="Q15" si="1">MID(B15,13,4)</f>
        <v>4029</v>
      </c>
    </row>
    <row r="16" spans="1:17" s="19" customFormat="1" x14ac:dyDescent="0.25">
      <c r="A16" s="23">
        <v>42539.319166666668</v>
      </c>
      <c r="B16" s="22" t="s">
        <v>136</v>
      </c>
      <c r="C16" s="22" t="s">
        <v>409</v>
      </c>
      <c r="D16" s="22" t="s">
        <v>52</v>
      </c>
      <c r="E16" s="22" t="s">
        <v>60</v>
      </c>
      <c r="F16" s="22">
        <v>150</v>
      </c>
      <c r="G16" s="22">
        <v>151</v>
      </c>
      <c r="H16" s="22">
        <v>229878</v>
      </c>
      <c r="I16" s="22" t="s">
        <v>61</v>
      </c>
      <c r="J16" s="22">
        <v>230436</v>
      </c>
      <c r="K16" s="21" t="s">
        <v>55</v>
      </c>
      <c r="L16" s="21" t="str">
        <f>VLOOKUP(C16,'Trips&amp;Operators'!$C$2:$E$10000,3,FALSE)</f>
        <v>STRICKLAND</v>
      </c>
      <c r="M16" s="20" t="s">
        <v>67</v>
      </c>
      <c r="N16" s="21"/>
      <c r="P16" s="79" t="str">
        <f>VLOOKUP(C16,'Train Runs'!$A$3:$T$253,20,0)</f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6" s="19" t="str">
        <f t="shared" ref="Q16:Q20" si="2">MID(B16,13,4)</f>
        <v>4029</v>
      </c>
    </row>
    <row r="17" spans="1:17" s="19" customFormat="1" x14ac:dyDescent="0.25">
      <c r="A17" s="23">
        <v>42539.357048611113</v>
      </c>
      <c r="B17" s="22" t="s">
        <v>116</v>
      </c>
      <c r="C17" s="22" t="s">
        <v>348</v>
      </c>
      <c r="D17" s="22" t="s">
        <v>52</v>
      </c>
      <c r="E17" s="22" t="s">
        <v>60</v>
      </c>
      <c r="F17" s="22">
        <v>150</v>
      </c>
      <c r="G17" s="22">
        <v>194</v>
      </c>
      <c r="H17" s="22">
        <v>5247</v>
      </c>
      <c r="I17" s="22" t="s">
        <v>61</v>
      </c>
      <c r="J17" s="22">
        <v>4677</v>
      </c>
      <c r="K17" s="21" t="s">
        <v>56</v>
      </c>
      <c r="L17" s="21" t="str">
        <f>VLOOKUP(C17,'Trips&amp;Operators'!$C$2:$E$10000,3,FALSE)</f>
        <v>STRICKLAND</v>
      </c>
      <c r="M17" s="20" t="s">
        <v>67</v>
      </c>
      <c r="N17" s="21"/>
      <c r="P17" s="79" t="str">
        <f>VLOOKUP(C17,'Train Runs'!$A$3:$T$253,20,0)</f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7" s="19" t="str">
        <f t="shared" si="2"/>
        <v>4030</v>
      </c>
    </row>
    <row r="18" spans="1:17" s="19" customFormat="1" x14ac:dyDescent="0.25">
      <c r="A18" s="23">
        <v>42539.408530092594</v>
      </c>
      <c r="B18" s="22" t="s">
        <v>207</v>
      </c>
      <c r="C18" s="22" t="s">
        <v>329</v>
      </c>
      <c r="D18" s="22" t="s">
        <v>52</v>
      </c>
      <c r="E18" s="22" t="s">
        <v>60</v>
      </c>
      <c r="F18" s="22">
        <v>300</v>
      </c>
      <c r="G18" s="22">
        <v>527</v>
      </c>
      <c r="H18" s="22">
        <v>24683</v>
      </c>
      <c r="I18" s="22" t="s">
        <v>61</v>
      </c>
      <c r="J18" s="22">
        <v>21848</v>
      </c>
      <c r="K18" s="21" t="s">
        <v>56</v>
      </c>
      <c r="L18" s="21" t="str">
        <f>VLOOKUP(C18,'Trips&amp;Operators'!$C$2:$E$10000,3,FALSE)</f>
        <v>MALAVE</v>
      </c>
      <c r="M18" s="20" t="s">
        <v>67</v>
      </c>
      <c r="N18" s="21"/>
      <c r="P18" s="79" t="str">
        <f>VLOOKUP(C18,'Train Runs'!$A$3:$T$253,20,0)</f>
        <v>https://search-rtdc-monitor-bjffxe2xuh6vdkpspy63sjmuny.us-east-1.es.amazonaws.com/_plugin/kibana/#/discover/Steve-Slow-Train-Analysis-(2080s-and-2083s)?_g=(refreshInterval:(display:Off,section:0,value:0),time:(from:'2016-06-18 09:05:33-0600',mode:absolute,to:'2016-06-18 09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8" s="19" t="str">
        <f t="shared" si="2"/>
        <v>4041</v>
      </c>
    </row>
    <row r="19" spans="1:17" s="19" customFormat="1" x14ac:dyDescent="0.25">
      <c r="A19" s="23">
        <v>42539.468969907408</v>
      </c>
      <c r="B19" s="22" t="s">
        <v>100</v>
      </c>
      <c r="C19" s="22" t="s">
        <v>308</v>
      </c>
      <c r="D19" s="22" t="s">
        <v>57</v>
      </c>
      <c r="E19" s="22" t="s">
        <v>60</v>
      </c>
      <c r="F19" s="22">
        <v>600</v>
      </c>
      <c r="G19" s="22">
        <v>651</v>
      </c>
      <c r="H19" s="22">
        <v>188251</v>
      </c>
      <c r="I19" s="22" t="s">
        <v>61</v>
      </c>
      <c r="J19" s="22">
        <v>183829</v>
      </c>
      <c r="K19" s="21" t="s">
        <v>55</v>
      </c>
      <c r="L19" s="21" t="str">
        <f>VLOOKUP(C19,'Trips&amp;Operators'!$C$2:$E$10000,3,FALSE)</f>
        <v>BRANNON</v>
      </c>
      <c r="M19" s="20" t="s">
        <v>67</v>
      </c>
      <c r="N19" s="21"/>
      <c r="P19" s="79" t="str">
        <f>VLOOKUP(C19,'Train Runs'!$A$3:$T$253,20,0)</f>
        <v>https://search-rtdc-monitor-bjffxe2xuh6vdkpspy63sjmuny.us-east-1.es.amazonaws.com/_plugin/kibana/#/discover/Steve-Slow-Train-Analysis-(2080s-and-2083s)?_g=(refreshInterval:(display:Off,section:0,value:0),time:(from:'2016-06-18 10:34:44-0600',mode:absolute,to:'2016-06-18 11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19" t="str">
        <f t="shared" si="2"/>
        <v>4018</v>
      </c>
    </row>
    <row r="20" spans="1:17" s="19" customFormat="1" x14ac:dyDescent="0.25">
      <c r="A20" s="23">
        <v>42539.925509259258</v>
      </c>
      <c r="B20" s="22" t="s">
        <v>183</v>
      </c>
      <c r="C20" s="22" t="s">
        <v>405</v>
      </c>
      <c r="D20" s="22" t="s">
        <v>52</v>
      </c>
      <c r="E20" s="22" t="s">
        <v>58</v>
      </c>
      <c r="F20" s="22">
        <v>0</v>
      </c>
      <c r="G20" s="22">
        <v>768</v>
      </c>
      <c r="H20" s="22">
        <v>134047</v>
      </c>
      <c r="I20" s="22" t="s">
        <v>59</v>
      </c>
      <c r="J20" s="22">
        <v>133166</v>
      </c>
      <c r="K20" s="21" t="s">
        <v>56</v>
      </c>
      <c r="L20" s="21" t="str">
        <f>VLOOKUP(C20,'Trips&amp;Operators'!$C$2:$E$10000,3,FALSE)</f>
        <v>ADANE</v>
      </c>
      <c r="M20" s="20" t="s">
        <v>77</v>
      </c>
      <c r="N20" s="21" t="s">
        <v>520</v>
      </c>
      <c r="P20" s="79" t="str">
        <f>VLOOKUP(C20,'Train Runs'!$A$3:$T$253,20,0)</f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0" s="19" t="str">
        <f t="shared" si="2"/>
        <v>4039</v>
      </c>
    </row>
    <row r="21" spans="1:17" s="19" customFormat="1" x14ac:dyDescent="0.25">
      <c r="A21" s="23">
        <v>42539.926192129627</v>
      </c>
      <c r="B21" s="22" t="s">
        <v>183</v>
      </c>
      <c r="C21" s="22" t="s">
        <v>405</v>
      </c>
      <c r="D21" s="22" t="s">
        <v>52</v>
      </c>
      <c r="E21" s="22" t="s">
        <v>58</v>
      </c>
      <c r="F21" s="22">
        <v>0</v>
      </c>
      <c r="G21" s="22">
        <v>768</v>
      </c>
      <c r="H21" s="22">
        <v>134047</v>
      </c>
      <c r="I21" s="22" t="s">
        <v>59</v>
      </c>
      <c r="J21" s="22">
        <v>133166</v>
      </c>
      <c r="K21" s="21" t="s">
        <v>56</v>
      </c>
      <c r="L21" s="21" t="str">
        <f>VLOOKUP(C21,'Trips&amp;Operators'!$C$2:$E$10000,3,FALSE)</f>
        <v>ADANE</v>
      </c>
      <c r="M21" s="20" t="s">
        <v>77</v>
      </c>
      <c r="N21" s="21" t="s">
        <v>520</v>
      </c>
      <c r="P21" s="79" t="str">
        <f>VLOOKUP(C21,'Train Runs'!$A$3:$T$253,20,0)</f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1" s="19" t="str">
        <f t="shared" ref="Q21:Q75" si="3">MID(B21,13,4)</f>
        <v>4039</v>
      </c>
    </row>
    <row r="22" spans="1:17" s="19" customFormat="1" x14ac:dyDescent="0.25">
      <c r="A22" s="23">
        <v>42540.007523148146</v>
      </c>
      <c r="B22" s="22" t="s">
        <v>183</v>
      </c>
      <c r="C22" s="22" t="s">
        <v>388</v>
      </c>
      <c r="D22" s="22" t="s">
        <v>52</v>
      </c>
      <c r="E22" s="22" t="s">
        <v>58</v>
      </c>
      <c r="F22" s="22">
        <v>0</v>
      </c>
      <c r="G22" s="22">
        <v>744</v>
      </c>
      <c r="H22" s="22">
        <v>134636</v>
      </c>
      <c r="I22" s="22" t="s">
        <v>59</v>
      </c>
      <c r="J22" s="22">
        <v>133166</v>
      </c>
      <c r="K22" s="21" t="s">
        <v>56</v>
      </c>
      <c r="L22" s="21" t="str">
        <f>VLOOKUP(C22,'Trips&amp;Operators'!$C$2:$E$10000,3,FALSE)</f>
        <v>ADANE</v>
      </c>
      <c r="M22" s="20" t="s">
        <v>77</v>
      </c>
      <c r="N22" s="21" t="s">
        <v>520</v>
      </c>
      <c r="P22" s="79" t="str">
        <f>VLOOKUP(C22,'Train Runs'!$A$3:$T$253,20,0)</f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2" s="19" t="str">
        <f t="shared" si="3"/>
        <v>4039</v>
      </c>
    </row>
    <row r="23" spans="1:17" s="19" customFormat="1" x14ac:dyDescent="0.25">
      <c r="A23" s="23">
        <v>42539.331770833334</v>
      </c>
      <c r="B23" s="22" t="s">
        <v>183</v>
      </c>
      <c r="C23" s="22" t="s">
        <v>411</v>
      </c>
      <c r="D23" s="22" t="s">
        <v>52</v>
      </c>
      <c r="E23" s="22" t="s">
        <v>58</v>
      </c>
      <c r="F23" s="22">
        <v>0</v>
      </c>
      <c r="G23" s="22">
        <v>772</v>
      </c>
      <c r="H23" s="22">
        <v>140677</v>
      </c>
      <c r="I23" s="22" t="s">
        <v>59</v>
      </c>
      <c r="J23" s="22">
        <v>138851</v>
      </c>
      <c r="K23" s="21" t="s">
        <v>56</v>
      </c>
      <c r="L23" s="21" t="str">
        <f>VLOOKUP(C23,'Trips&amp;Operators'!$C$2:$E$10000,3,FALSE)</f>
        <v>BRABO</v>
      </c>
      <c r="M23" s="20" t="s">
        <v>77</v>
      </c>
      <c r="N23" s="21" t="s">
        <v>520</v>
      </c>
      <c r="P23" s="79" t="str">
        <f>VLOOKUP(C23,'Train Runs'!$A$3:$T$253,20,0)</f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3" s="19" t="str">
        <f t="shared" si="3"/>
        <v>4039</v>
      </c>
    </row>
    <row r="24" spans="1:17" s="19" customFormat="1" x14ac:dyDescent="0.25">
      <c r="A24" s="23">
        <v>42539.283472222225</v>
      </c>
      <c r="B24" s="22" t="s">
        <v>217</v>
      </c>
      <c r="C24" s="22" t="s">
        <v>311</v>
      </c>
      <c r="D24" s="22" t="s">
        <v>52</v>
      </c>
      <c r="E24" s="22" t="s">
        <v>58</v>
      </c>
      <c r="F24" s="22">
        <v>0</v>
      </c>
      <c r="G24" s="22">
        <v>688</v>
      </c>
      <c r="H24" s="22">
        <v>138942</v>
      </c>
      <c r="I24" s="22" t="s">
        <v>59</v>
      </c>
      <c r="J24" s="22">
        <v>144300</v>
      </c>
      <c r="K24" s="21" t="s">
        <v>55</v>
      </c>
      <c r="L24" s="21" t="str">
        <f>VLOOKUP(C24,'Trips&amp;Operators'!$C$2:$E$10000,3,FALSE)</f>
        <v>SANTIZO</v>
      </c>
      <c r="M24" s="20" t="s">
        <v>77</v>
      </c>
      <c r="N24" s="21" t="s">
        <v>520</v>
      </c>
      <c r="P24" s="79" t="str">
        <f>VLOOKUP(C24,'Train Runs'!$A$3:$T$253,20,0)</f>
        <v>https://search-rtdc-monitor-bjffxe2xuh6vdkpspy63sjmuny.us-east-1.es.amazonaws.com/_plugin/kibana/#/discover/Steve-Slow-Train-Analysis-(2080s-and-2083s)?_g=(refreshInterval:(display:Off,section:0,value:0),time:(from:'2016-06-18 06:17:32-0600',mode:absolute,to:'2016-06-18 07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9" t="str">
        <f t="shared" si="3"/>
        <v>4042</v>
      </c>
    </row>
    <row r="25" spans="1:17" s="19" customFormat="1" x14ac:dyDescent="0.25">
      <c r="A25" s="23">
        <v>42539.300266203703</v>
      </c>
      <c r="B25" s="22" t="s">
        <v>180</v>
      </c>
      <c r="C25" s="22" t="s">
        <v>327</v>
      </c>
      <c r="D25" s="22" t="s">
        <v>52</v>
      </c>
      <c r="E25" s="22" t="s">
        <v>58</v>
      </c>
      <c r="F25" s="22">
        <v>0</v>
      </c>
      <c r="G25" s="22">
        <v>799</v>
      </c>
      <c r="H25" s="22">
        <v>139541</v>
      </c>
      <c r="I25" s="22" t="s">
        <v>59</v>
      </c>
      <c r="J25" s="22">
        <v>144300</v>
      </c>
      <c r="K25" s="21" t="s">
        <v>55</v>
      </c>
      <c r="L25" s="21" t="str">
        <f>VLOOKUP(C25,'Trips&amp;Operators'!$C$2:$E$10000,3,FALSE)</f>
        <v>BRABO</v>
      </c>
      <c r="M25" s="20" t="s">
        <v>77</v>
      </c>
      <c r="N25" s="21" t="s">
        <v>520</v>
      </c>
      <c r="P25" s="79"/>
    </row>
    <row r="26" spans="1:17" s="19" customFormat="1" x14ac:dyDescent="0.25">
      <c r="A26" s="23">
        <v>42539.61209490741</v>
      </c>
      <c r="B26" s="22" t="s">
        <v>179</v>
      </c>
      <c r="C26" s="22" t="s">
        <v>387</v>
      </c>
      <c r="D26" s="22" t="s">
        <v>52</v>
      </c>
      <c r="E26" s="22" t="s">
        <v>58</v>
      </c>
      <c r="F26" s="22">
        <v>0</v>
      </c>
      <c r="G26" s="22">
        <v>791</v>
      </c>
      <c r="H26" s="22">
        <v>139514</v>
      </c>
      <c r="I26" s="22" t="s">
        <v>59</v>
      </c>
      <c r="J26" s="22">
        <v>144300</v>
      </c>
      <c r="K26" s="21" t="s">
        <v>55</v>
      </c>
      <c r="L26" s="21" t="str">
        <f>VLOOKUP(C26,'Trips&amp;Operators'!$C$2:$E$10000,3,FALSE)</f>
        <v>BRANNON</v>
      </c>
      <c r="M26" s="20" t="s">
        <v>77</v>
      </c>
      <c r="N26" s="21" t="s">
        <v>520</v>
      </c>
      <c r="P26" s="79"/>
    </row>
    <row r="27" spans="1:17" s="19" customFormat="1" x14ac:dyDescent="0.25">
      <c r="A27" s="23">
        <v>42539.663483796299</v>
      </c>
      <c r="B27" s="22" t="s">
        <v>180</v>
      </c>
      <c r="C27" s="22" t="s">
        <v>284</v>
      </c>
      <c r="D27" s="22" t="s">
        <v>52</v>
      </c>
      <c r="E27" s="22" t="s">
        <v>58</v>
      </c>
      <c r="F27" s="22">
        <v>0</v>
      </c>
      <c r="G27" s="22">
        <v>785</v>
      </c>
      <c r="H27" s="22">
        <v>139638</v>
      </c>
      <c r="I27" s="22" t="s">
        <v>59</v>
      </c>
      <c r="J27" s="22">
        <v>144300</v>
      </c>
      <c r="K27" s="21" t="s">
        <v>55</v>
      </c>
      <c r="L27" s="21" t="str">
        <f>VLOOKUP(C27,'Trips&amp;Operators'!$C$2:$E$10000,3,FALSE)</f>
        <v>ACKERMAN</v>
      </c>
      <c r="M27" s="20" t="s">
        <v>77</v>
      </c>
      <c r="N27" s="21" t="s">
        <v>520</v>
      </c>
      <c r="P27" s="79"/>
    </row>
    <row r="28" spans="1:17" s="19" customFormat="1" x14ac:dyDescent="0.25">
      <c r="A28" s="23">
        <v>42539.664166666669</v>
      </c>
      <c r="B28" s="22" t="s">
        <v>180</v>
      </c>
      <c r="C28" s="22" t="s">
        <v>284</v>
      </c>
      <c r="D28" s="22" t="s">
        <v>52</v>
      </c>
      <c r="E28" s="22" t="s">
        <v>58</v>
      </c>
      <c r="F28" s="22">
        <v>0</v>
      </c>
      <c r="G28" s="22">
        <v>785</v>
      </c>
      <c r="H28" s="22">
        <v>139638</v>
      </c>
      <c r="I28" s="22" t="s">
        <v>59</v>
      </c>
      <c r="J28" s="22">
        <v>144300</v>
      </c>
      <c r="K28" s="21" t="s">
        <v>55</v>
      </c>
      <c r="L28" s="21" t="str">
        <f>VLOOKUP(C28,'Trips&amp;Operators'!$C$2:$E$10000,3,FALSE)</f>
        <v>ACKERMAN</v>
      </c>
      <c r="M28" s="20" t="s">
        <v>77</v>
      </c>
      <c r="N28" s="21" t="s">
        <v>520</v>
      </c>
      <c r="P28" s="79"/>
    </row>
    <row r="29" spans="1:17" s="19" customFormat="1" x14ac:dyDescent="0.25">
      <c r="A29" s="23">
        <v>42539.809884259259</v>
      </c>
      <c r="B29" s="22" t="s">
        <v>180</v>
      </c>
      <c r="C29" s="22" t="s">
        <v>324</v>
      </c>
      <c r="D29" s="22" t="s">
        <v>52</v>
      </c>
      <c r="E29" s="22" t="s">
        <v>58</v>
      </c>
      <c r="F29" s="22">
        <v>0</v>
      </c>
      <c r="G29" s="22">
        <v>804</v>
      </c>
      <c r="H29" s="22">
        <v>141980</v>
      </c>
      <c r="I29" s="22" t="s">
        <v>59</v>
      </c>
      <c r="J29" s="22">
        <v>144300</v>
      </c>
      <c r="K29" s="21" t="s">
        <v>55</v>
      </c>
      <c r="L29" s="21" t="str">
        <f>VLOOKUP(C29,'Trips&amp;Operators'!$C$2:$E$10000,3,FALSE)</f>
        <v>ADANE</v>
      </c>
      <c r="M29" s="20" t="s">
        <v>77</v>
      </c>
      <c r="N29" s="21" t="s">
        <v>520</v>
      </c>
      <c r="P29" s="79"/>
    </row>
    <row r="30" spans="1:17" s="19" customFormat="1" x14ac:dyDescent="0.25">
      <c r="A30" s="23">
        <v>42539.444733796299</v>
      </c>
      <c r="B30" s="22" t="s">
        <v>180</v>
      </c>
      <c r="C30" s="22" t="s">
        <v>317</v>
      </c>
      <c r="D30" s="22" t="s">
        <v>52</v>
      </c>
      <c r="E30" s="22" t="s">
        <v>58</v>
      </c>
      <c r="F30" s="22">
        <v>0</v>
      </c>
      <c r="G30" s="22">
        <v>808</v>
      </c>
      <c r="H30" s="22">
        <v>143613</v>
      </c>
      <c r="I30" s="22" t="s">
        <v>59</v>
      </c>
      <c r="J30" s="22">
        <v>149694</v>
      </c>
      <c r="K30" s="21" t="s">
        <v>55</v>
      </c>
      <c r="L30" s="21" t="str">
        <f>VLOOKUP(C30,'Trips&amp;Operators'!$C$2:$E$10000,3,FALSE)</f>
        <v>ACKERMAN</v>
      </c>
      <c r="M30" s="20" t="s">
        <v>77</v>
      </c>
      <c r="N30" s="21" t="s">
        <v>520</v>
      </c>
      <c r="P30" s="79"/>
    </row>
    <row r="31" spans="1:17" s="19" customFormat="1" x14ac:dyDescent="0.25">
      <c r="A31" s="23">
        <v>42539.517777777779</v>
      </c>
      <c r="B31" s="22" t="s">
        <v>180</v>
      </c>
      <c r="C31" s="22" t="s">
        <v>366</v>
      </c>
      <c r="D31" s="22" t="s">
        <v>52</v>
      </c>
      <c r="E31" s="22" t="s">
        <v>58</v>
      </c>
      <c r="F31" s="22">
        <v>0</v>
      </c>
      <c r="G31" s="22">
        <v>769</v>
      </c>
      <c r="H31" s="22">
        <v>147856</v>
      </c>
      <c r="I31" s="22" t="s">
        <v>59</v>
      </c>
      <c r="J31" s="22">
        <v>149694</v>
      </c>
      <c r="K31" s="21" t="s">
        <v>55</v>
      </c>
      <c r="L31" s="21" t="str">
        <f>VLOOKUP(C31,'Trips&amp;Operators'!$C$2:$E$10000,3,FALSE)</f>
        <v>ACKERMAN</v>
      </c>
      <c r="M31" s="20" t="s">
        <v>77</v>
      </c>
      <c r="N31" s="21" t="s">
        <v>520</v>
      </c>
      <c r="P31" s="79"/>
    </row>
    <row r="32" spans="1:17" s="19" customFormat="1" x14ac:dyDescent="0.25">
      <c r="A32" s="23">
        <v>42539.592118055552</v>
      </c>
      <c r="B32" s="22" t="s">
        <v>180</v>
      </c>
      <c r="C32" s="22" t="s">
        <v>319</v>
      </c>
      <c r="D32" s="22" t="s">
        <v>52</v>
      </c>
      <c r="E32" s="22" t="s">
        <v>58</v>
      </c>
      <c r="F32" s="22">
        <v>0</v>
      </c>
      <c r="G32" s="22">
        <v>717</v>
      </c>
      <c r="H32" s="22">
        <v>146976</v>
      </c>
      <c r="I32" s="22" t="s">
        <v>59</v>
      </c>
      <c r="J32" s="22">
        <v>149694</v>
      </c>
      <c r="K32" s="21" t="s">
        <v>55</v>
      </c>
      <c r="L32" s="21" t="str">
        <f>VLOOKUP(C32,'Trips&amp;Operators'!$C$2:$E$10000,3,FALSE)</f>
        <v>ACKERMAN</v>
      </c>
      <c r="M32" s="20" t="s">
        <v>77</v>
      </c>
      <c r="N32" s="21" t="s">
        <v>520</v>
      </c>
      <c r="P32" s="79"/>
    </row>
    <row r="33" spans="1:16" s="19" customFormat="1" x14ac:dyDescent="0.25">
      <c r="A33" s="23">
        <v>42539.397766203707</v>
      </c>
      <c r="B33" s="22" t="s">
        <v>183</v>
      </c>
      <c r="C33" s="22" t="s">
        <v>383</v>
      </c>
      <c r="D33" s="22" t="s">
        <v>52</v>
      </c>
      <c r="E33" s="22" t="s">
        <v>58</v>
      </c>
      <c r="F33" s="22">
        <v>0</v>
      </c>
      <c r="G33" s="22">
        <v>564</v>
      </c>
      <c r="H33" s="22">
        <v>185265</v>
      </c>
      <c r="I33" s="22" t="s">
        <v>59</v>
      </c>
      <c r="J33" s="22">
        <v>182920</v>
      </c>
      <c r="K33" s="21" t="s">
        <v>56</v>
      </c>
      <c r="L33" s="21" t="str">
        <f>VLOOKUP(C33,'Trips&amp;Operators'!$C$2:$E$10000,3,FALSE)</f>
        <v>GEBRETEKLE</v>
      </c>
      <c r="M33" s="20" t="s">
        <v>77</v>
      </c>
      <c r="N33" s="21" t="s">
        <v>520</v>
      </c>
      <c r="P33" s="79"/>
    </row>
    <row r="34" spans="1:16" s="19" customFormat="1" x14ac:dyDescent="0.25">
      <c r="A34" s="23">
        <v>42539.418726851851</v>
      </c>
      <c r="B34" s="22" t="s">
        <v>225</v>
      </c>
      <c r="C34" s="22" t="s">
        <v>395</v>
      </c>
      <c r="D34" s="22" t="s">
        <v>52</v>
      </c>
      <c r="E34" s="22" t="s">
        <v>58</v>
      </c>
      <c r="F34" s="22">
        <v>0</v>
      </c>
      <c r="G34" s="22">
        <v>572</v>
      </c>
      <c r="H34" s="22">
        <v>185645</v>
      </c>
      <c r="I34" s="22" t="s">
        <v>59</v>
      </c>
      <c r="J34" s="22">
        <v>182920</v>
      </c>
      <c r="K34" s="21" t="s">
        <v>56</v>
      </c>
      <c r="L34" s="21" t="str">
        <f>VLOOKUP(C34,'Trips&amp;Operators'!$C$2:$E$10000,3,FALSE)</f>
        <v>CANFIELD</v>
      </c>
      <c r="M34" s="20" t="s">
        <v>77</v>
      </c>
      <c r="N34" s="21" t="s">
        <v>520</v>
      </c>
      <c r="P34" s="79"/>
    </row>
    <row r="35" spans="1:16" s="19" customFormat="1" x14ac:dyDescent="0.25">
      <c r="A35" s="23">
        <v>42539.618032407408</v>
      </c>
      <c r="B35" s="22" t="s">
        <v>183</v>
      </c>
      <c r="C35" s="22" t="s">
        <v>361</v>
      </c>
      <c r="D35" s="22" t="s">
        <v>52</v>
      </c>
      <c r="E35" s="22" t="s">
        <v>58</v>
      </c>
      <c r="F35" s="22">
        <v>0</v>
      </c>
      <c r="G35" s="22">
        <v>586</v>
      </c>
      <c r="H35" s="22">
        <v>184977</v>
      </c>
      <c r="I35" s="22" t="s">
        <v>59</v>
      </c>
      <c r="J35" s="22">
        <v>182920</v>
      </c>
      <c r="K35" s="21" t="s">
        <v>56</v>
      </c>
      <c r="L35" s="21" t="str">
        <f>VLOOKUP(C35,'Trips&amp;Operators'!$C$2:$E$10000,3,FALSE)</f>
        <v>ACKERMAN</v>
      </c>
      <c r="M35" s="20" t="s">
        <v>77</v>
      </c>
      <c r="N35" s="21" t="s">
        <v>520</v>
      </c>
      <c r="P35" s="79"/>
    </row>
    <row r="36" spans="1:16" s="19" customFormat="1" x14ac:dyDescent="0.25">
      <c r="A36" s="23">
        <v>42539.835995370369</v>
      </c>
      <c r="B36" s="22" t="s">
        <v>183</v>
      </c>
      <c r="C36" s="22" t="s">
        <v>404</v>
      </c>
      <c r="D36" s="22" t="s">
        <v>52</v>
      </c>
      <c r="E36" s="22" t="s">
        <v>58</v>
      </c>
      <c r="F36" s="22">
        <v>0</v>
      </c>
      <c r="G36" s="22">
        <v>568</v>
      </c>
      <c r="H36" s="22">
        <v>185344</v>
      </c>
      <c r="I36" s="22" t="s">
        <v>59</v>
      </c>
      <c r="J36" s="22">
        <v>182920</v>
      </c>
      <c r="K36" s="21" t="s">
        <v>56</v>
      </c>
      <c r="L36" s="21" t="str">
        <f>VLOOKUP(C36,'Trips&amp;Operators'!$C$2:$E$10000,3,FALSE)</f>
        <v>ADANE</v>
      </c>
      <c r="M36" s="20" t="s">
        <v>77</v>
      </c>
      <c r="N36" s="21" t="s">
        <v>520</v>
      </c>
      <c r="P36" s="79"/>
    </row>
    <row r="37" spans="1:16" s="19" customFormat="1" x14ac:dyDescent="0.25">
      <c r="A37" s="23">
        <v>42539.920405092591</v>
      </c>
      <c r="B37" s="22" t="s">
        <v>183</v>
      </c>
      <c r="C37" s="22" t="s">
        <v>405</v>
      </c>
      <c r="D37" s="22" t="s">
        <v>52</v>
      </c>
      <c r="E37" s="22" t="s">
        <v>58</v>
      </c>
      <c r="F37" s="22">
        <v>0</v>
      </c>
      <c r="G37" s="22">
        <v>575</v>
      </c>
      <c r="H37" s="22">
        <v>185493</v>
      </c>
      <c r="I37" s="22" t="s">
        <v>59</v>
      </c>
      <c r="J37" s="22">
        <v>182920</v>
      </c>
      <c r="K37" s="21" t="s">
        <v>56</v>
      </c>
      <c r="L37" s="21" t="str">
        <f>VLOOKUP(C37,'Trips&amp;Operators'!$C$2:$E$10000,3,FALSE)</f>
        <v>ADANE</v>
      </c>
      <c r="M37" s="20" t="s">
        <v>77</v>
      </c>
      <c r="N37" s="21" t="s">
        <v>520</v>
      </c>
      <c r="P37" s="79"/>
    </row>
    <row r="38" spans="1:16" s="19" customFormat="1" x14ac:dyDescent="0.25">
      <c r="A38" s="23">
        <v>42540.002962962964</v>
      </c>
      <c r="B38" s="22" t="s">
        <v>183</v>
      </c>
      <c r="C38" s="22" t="s">
        <v>388</v>
      </c>
      <c r="D38" s="22" t="s">
        <v>52</v>
      </c>
      <c r="E38" s="22" t="s">
        <v>58</v>
      </c>
      <c r="F38" s="22">
        <v>0</v>
      </c>
      <c r="G38" s="22">
        <v>562</v>
      </c>
      <c r="H38" s="22">
        <v>185328</v>
      </c>
      <c r="I38" s="22" t="s">
        <v>59</v>
      </c>
      <c r="J38" s="22">
        <v>182920</v>
      </c>
      <c r="K38" s="21" t="s">
        <v>56</v>
      </c>
      <c r="L38" s="21" t="str">
        <f>VLOOKUP(C38,'Trips&amp;Operators'!$C$2:$E$10000,3,FALSE)</f>
        <v>ADANE</v>
      </c>
      <c r="M38" s="20" t="s">
        <v>77</v>
      </c>
      <c r="N38" s="21" t="s">
        <v>520</v>
      </c>
      <c r="P38" s="79"/>
    </row>
    <row r="39" spans="1:16" s="19" customFormat="1" x14ac:dyDescent="0.25">
      <c r="A39" s="23">
        <v>42539.595405092594</v>
      </c>
      <c r="B39" s="22" t="s">
        <v>91</v>
      </c>
      <c r="C39" s="22" t="s">
        <v>394</v>
      </c>
      <c r="D39" s="22" t="s">
        <v>52</v>
      </c>
      <c r="E39" s="22" t="s">
        <v>58</v>
      </c>
      <c r="F39" s="22">
        <v>0</v>
      </c>
      <c r="G39" s="22">
        <v>417</v>
      </c>
      <c r="H39" s="22">
        <v>194389</v>
      </c>
      <c r="I39" s="22" t="s">
        <v>59</v>
      </c>
      <c r="J39" s="22">
        <v>191723</v>
      </c>
      <c r="K39" s="21" t="s">
        <v>56</v>
      </c>
      <c r="L39" s="21" t="str">
        <f>VLOOKUP(C39,'Trips&amp;Operators'!$C$2:$E$10000,3,FALSE)</f>
        <v>BONDS</v>
      </c>
      <c r="M39" s="20" t="s">
        <v>67</v>
      </c>
      <c r="N39" s="21" t="s">
        <v>523</v>
      </c>
      <c r="P39" s="79"/>
    </row>
    <row r="40" spans="1:16" s="19" customFormat="1" x14ac:dyDescent="0.25">
      <c r="A40" s="23">
        <v>42539.667615740742</v>
      </c>
      <c r="B40" s="22" t="s">
        <v>91</v>
      </c>
      <c r="C40" s="22" t="s">
        <v>401</v>
      </c>
      <c r="D40" s="22" t="s">
        <v>52</v>
      </c>
      <c r="E40" s="22" t="s">
        <v>58</v>
      </c>
      <c r="F40" s="22">
        <v>0</v>
      </c>
      <c r="G40" s="22">
        <v>357</v>
      </c>
      <c r="H40" s="22">
        <v>193550</v>
      </c>
      <c r="I40" s="22" t="s">
        <v>59</v>
      </c>
      <c r="J40" s="22">
        <v>191723</v>
      </c>
      <c r="K40" s="21" t="s">
        <v>56</v>
      </c>
      <c r="L40" s="21" t="str">
        <f>VLOOKUP(C40,'Trips&amp;Operators'!$C$2:$E$10000,3,FALSE)</f>
        <v>BONDS</v>
      </c>
      <c r="M40" s="20" t="s">
        <v>67</v>
      </c>
      <c r="N40" s="21" t="s">
        <v>523</v>
      </c>
      <c r="P40" s="79"/>
    </row>
    <row r="41" spans="1:16" s="19" customFormat="1" x14ac:dyDescent="0.25">
      <c r="A41" s="23">
        <v>42539.267546296294</v>
      </c>
      <c r="B41" s="22" t="s">
        <v>98</v>
      </c>
      <c r="C41" s="22" t="s">
        <v>351</v>
      </c>
      <c r="D41" s="22" t="s">
        <v>52</v>
      </c>
      <c r="E41" s="22" t="s">
        <v>58</v>
      </c>
      <c r="F41" s="22">
        <v>0</v>
      </c>
      <c r="G41" s="22">
        <v>24</v>
      </c>
      <c r="H41" s="22">
        <v>228229</v>
      </c>
      <c r="I41" s="22" t="s">
        <v>59</v>
      </c>
      <c r="J41" s="22">
        <v>228572</v>
      </c>
      <c r="K41" s="21" t="s">
        <v>55</v>
      </c>
      <c r="L41" s="21" t="str">
        <f>VLOOKUP(C41,'Trips&amp;Operators'!$C$2:$E$10000,3,FALSE)</f>
        <v>STARKS</v>
      </c>
      <c r="M41" s="20" t="s">
        <v>67</v>
      </c>
      <c r="N41" s="21" t="s">
        <v>523</v>
      </c>
      <c r="P41" s="79"/>
    </row>
    <row r="42" spans="1:16" s="19" customFormat="1" x14ac:dyDescent="0.25">
      <c r="A42" s="23">
        <v>42539.675486111111</v>
      </c>
      <c r="B42" s="22" t="s">
        <v>207</v>
      </c>
      <c r="C42" s="22" t="s">
        <v>353</v>
      </c>
      <c r="D42" s="22" t="s">
        <v>57</v>
      </c>
      <c r="E42" s="22" t="s">
        <v>58</v>
      </c>
      <c r="F42" s="22">
        <v>200</v>
      </c>
      <c r="G42" s="22">
        <v>253</v>
      </c>
      <c r="H42" s="22">
        <v>231203</v>
      </c>
      <c r="I42" s="22" t="s">
        <v>59</v>
      </c>
      <c r="J42" s="22">
        <v>233492</v>
      </c>
      <c r="K42" s="21" t="s">
        <v>56</v>
      </c>
      <c r="L42" s="21" t="str">
        <f>VLOOKUP(C42,'Trips&amp;Operators'!$C$2:$E$10000,3,FALSE)</f>
        <v>LOCKLEAR</v>
      </c>
      <c r="M42" s="20" t="s">
        <v>67</v>
      </c>
      <c r="N42" s="21" t="s">
        <v>522</v>
      </c>
      <c r="P42" s="79"/>
    </row>
    <row r="43" spans="1:16" s="19" customFormat="1" x14ac:dyDescent="0.25">
      <c r="A43" s="23">
        <v>42539.223645833335</v>
      </c>
      <c r="B43" s="22" t="s">
        <v>102</v>
      </c>
      <c r="C43" s="22" t="s">
        <v>412</v>
      </c>
      <c r="D43" s="22" t="s">
        <v>52</v>
      </c>
      <c r="E43" s="22" t="s">
        <v>53</v>
      </c>
      <c r="F43" s="22">
        <v>0</v>
      </c>
      <c r="G43" s="22">
        <v>9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VLOOKUP(C43,'Trips&amp;Operators'!$C$2:$E$10000,3,FALSE)</f>
        <v>STURGEON</v>
      </c>
      <c r="M43" s="20" t="s">
        <v>67</v>
      </c>
      <c r="N43" s="21"/>
      <c r="P43" s="79"/>
    </row>
    <row r="44" spans="1:16" s="19" customFormat="1" x14ac:dyDescent="0.25">
      <c r="A44" s="23">
        <v>42539.261041666665</v>
      </c>
      <c r="B44" s="22" t="s">
        <v>207</v>
      </c>
      <c r="C44" s="22" t="s">
        <v>358</v>
      </c>
      <c r="D44" s="22" t="s">
        <v>52</v>
      </c>
      <c r="E44" s="22" t="s">
        <v>53</v>
      </c>
      <c r="F44" s="22">
        <v>0</v>
      </c>
      <c r="G44" s="22">
        <v>50</v>
      </c>
      <c r="H44" s="22">
        <v>174</v>
      </c>
      <c r="I44" s="22" t="s">
        <v>54</v>
      </c>
      <c r="J44" s="22">
        <v>1</v>
      </c>
      <c r="K44" s="21" t="s">
        <v>56</v>
      </c>
      <c r="L44" s="21" t="str">
        <f>VLOOKUP(C44,'Trips&amp;Operators'!$C$2:$E$10000,3,FALSE)</f>
        <v>SANTIZO</v>
      </c>
      <c r="M44" s="20" t="s">
        <v>67</v>
      </c>
      <c r="N44" s="21"/>
      <c r="P44" s="79"/>
    </row>
    <row r="45" spans="1:16" s="19" customFormat="1" x14ac:dyDescent="0.25">
      <c r="A45" s="23">
        <v>42539.307824074072</v>
      </c>
      <c r="B45" s="22" t="s">
        <v>97</v>
      </c>
      <c r="C45" s="22" t="s">
        <v>313</v>
      </c>
      <c r="D45" s="22" t="s">
        <v>52</v>
      </c>
      <c r="E45" s="22" t="s">
        <v>53</v>
      </c>
      <c r="F45" s="22">
        <v>0</v>
      </c>
      <c r="G45" s="22">
        <v>32</v>
      </c>
      <c r="H45" s="22">
        <v>103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STARKS</v>
      </c>
      <c r="M45" s="20" t="s">
        <v>67</v>
      </c>
      <c r="N45" s="21"/>
      <c r="P45" s="79"/>
    </row>
    <row r="46" spans="1:16" s="19" customFormat="1" x14ac:dyDescent="0.25">
      <c r="A46" s="23">
        <v>42539.328263888892</v>
      </c>
      <c r="B46" s="22" t="s">
        <v>207</v>
      </c>
      <c r="C46" s="22" t="s">
        <v>356</v>
      </c>
      <c r="D46" s="22" t="s">
        <v>52</v>
      </c>
      <c r="E46" s="22" t="s">
        <v>53</v>
      </c>
      <c r="F46" s="22">
        <v>0</v>
      </c>
      <c r="G46" s="22">
        <v>6</v>
      </c>
      <c r="H46" s="22">
        <v>109</v>
      </c>
      <c r="I46" s="22" t="s">
        <v>54</v>
      </c>
      <c r="J46" s="22">
        <v>1</v>
      </c>
      <c r="K46" s="21" t="s">
        <v>56</v>
      </c>
      <c r="L46" s="21" t="str">
        <f>VLOOKUP(C46,'Trips&amp;Operators'!$C$2:$E$10000,3,FALSE)</f>
        <v>SANTIZO</v>
      </c>
      <c r="M46" s="20" t="s">
        <v>67</v>
      </c>
      <c r="N46" s="21"/>
      <c r="P46" s="79"/>
    </row>
    <row r="47" spans="1:16" s="19" customFormat="1" x14ac:dyDescent="0.25">
      <c r="A47" s="23">
        <v>42539.298333333332</v>
      </c>
      <c r="B47" s="22" t="s">
        <v>100</v>
      </c>
      <c r="C47" s="22" t="s">
        <v>297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233329</v>
      </c>
      <c r="I47" s="22" t="s">
        <v>54</v>
      </c>
      <c r="J47" s="22">
        <v>233491</v>
      </c>
      <c r="K47" s="21" t="s">
        <v>55</v>
      </c>
      <c r="L47" s="21" t="str">
        <f>VLOOKUP(C47,'Trips&amp;Operators'!$C$2:$E$10000,3,FALSE)</f>
        <v>MALAVE</v>
      </c>
      <c r="M47" s="20" t="s">
        <v>67</v>
      </c>
      <c r="N47" s="21"/>
      <c r="P47" s="79"/>
    </row>
    <row r="48" spans="1:16" s="19" customFormat="1" x14ac:dyDescent="0.25">
      <c r="A48" s="23">
        <v>42539.338773148149</v>
      </c>
      <c r="B48" s="22" t="s">
        <v>101</v>
      </c>
      <c r="C48" s="22" t="s">
        <v>315</v>
      </c>
      <c r="D48" s="22" t="s">
        <v>52</v>
      </c>
      <c r="E48" s="22" t="s">
        <v>53</v>
      </c>
      <c r="F48" s="22">
        <v>0</v>
      </c>
      <c r="G48" s="22">
        <v>89</v>
      </c>
      <c r="H48" s="22">
        <v>1205</v>
      </c>
      <c r="I48" s="22" t="s">
        <v>54</v>
      </c>
      <c r="J48" s="22">
        <v>839</v>
      </c>
      <c r="K48" s="21" t="s">
        <v>56</v>
      </c>
      <c r="L48" s="21" t="str">
        <f>VLOOKUP(C48,'Trips&amp;Operators'!$C$2:$E$10000,3,FALSE)</f>
        <v>MALAVE</v>
      </c>
      <c r="M48" s="20" t="s">
        <v>67</v>
      </c>
      <c r="N48" s="21"/>
      <c r="P48" s="79"/>
    </row>
    <row r="49" spans="1:16" s="19" customFormat="1" x14ac:dyDescent="0.25">
      <c r="A49" s="23">
        <v>42539.320520833331</v>
      </c>
      <c r="B49" s="22" t="s">
        <v>136</v>
      </c>
      <c r="C49" s="22" t="s">
        <v>409</v>
      </c>
      <c r="D49" s="22" t="s">
        <v>52</v>
      </c>
      <c r="E49" s="22" t="s">
        <v>53</v>
      </c>
      <c r="F49" s="22">
        <v>0</v>
      </c>
      <c r="G49" s="22">
        <v>4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VLOOKUP(C49,'Trips&amp;Operators'!$C$2:$E$10000,3,FALSE)</f>
        <v>STRICKLAND</v>
      </c>
      <c r="M49" s="20" t="s">
        <v>67</v>
      </c>
      <c r="N49" s="21"/>
      <c r="P49" s="79"/>
    </row>
    <row r="50" spans="1:16" s="19" customFormat="1" x14ac:dyDescent="0.25">
      <c r="A50" s="23">
        <v>42539.338530092595</v>
      </c>
      <c r="B50" s="22" t="s">
        <v>98</v>
      </c>
      <c r="C50" s="22" t="s">
        <v>278</v>
      </c>
      <c r="D50" s="22" t="s">
        <v>52</v>
      </c>
      <c r="E50" s="22" t="s">
        <v>53</v>
      </c>
      <c r="F50" s="22">
        <v>0</v>
      </c>
      <c r="G50" s="22">
        <v>4</v>
      </c>
      <c r="H50" s="22">
        <v>231263</v>
      </c>
      <c r="I50" s="22" t="s">
        <v>54</v>
      </c>
      <c r="J50" s="22">
        <v>233491</v>
      </c>
      <c r="K50" s="21" t="s">
        <v>55</v>
      </c>
      <c r="L50" s="21" t="str">
        <f>VLOOKUP(C50,'Trips&amp;Operators'!$C$2:$E$10000,3,FALSE)</f>
        <v>STARKS</v>
      </c>
      <c r="M50" s="20" t="s">
        <v>67</v>
      </c>
      <c r="N50" s="21"/>
      <c r="P50" s="79"/>
    </row>
    <row r="51" spans="1:16" s="19" customFormat="1" x14ac:dyDescent="0.25">
      <c r="A51" s="23">
        <v>42539.389930555553</v>
      </c>
      <c r="B51" s="22" t="s">
        <v>102</v>
      </c>
      <c r="C51" s="22" t="s">
        <v>286</v>
      </c>
      <c r="D51" s="22" t="s">
        <v>52</v>
      </c>
      <c r="E51" s="22" t="s">
        <v>53</v>
      </c>
      <c r="F51" s="22">
        <v>0</v>
      </c>
      <c r="G51" s="22">
        <v>6</v>
      </c>
      <c r="H51" s="22">
        <v>119</v>
      </c>
      <c r="I51" s="22" t="s">
        <v>54</v>
      </c>
      <c r="J51" s="22">
        <v>1</v>
      </c>
      <c r="K51" s="21" t="s">
        <v>56</v>
      </c>
      <c r="L51" s="21" t="str">
        <f>VLOOKUP(C51,'Trips&amp;Operators'!$C$2:$E$10000,3,FALSE)</f>
        <v>STURGEON</v>
      </c>
      <c r="M51" s="20" t="s">
        <v>67</v>
      </c>
      <c r="N51" s="21"/>
      <c r="P51" s="79"/>
    </row>
    <row r="52" spans="1:16" s="19" customFormat="1" x14ac:dyDescent="0.25">
      <c r="A52" s="23">
        <v>42539.413460648146</v>
      </c>
      <c r="B52" s="22" t="s">
        <v>207</v>
      </c>
      <c r="C52" s="22" t="s">
        <v>329</v>
      </c>
      <c r="D52" s="22" t="s">
        <v>52</v>
      </c>
      <c r="E52" s="22" t="s">
        <v>53</v>
      </c>
      <c r="F52" s="22">
        <v>0</v>
      </c>
      <c r="G52" s="22">
        <v>54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VLOOKUP(C52,'Trips&amp;Operators'!$C$2:$E$10000,3,FALSE)</f>
        <v>MALAVE</v>
      </c>
      <c r="M52" s="20" t="s">
        <v>67</v>
      </c>
      <c r="N52" s="21"/>
      <c r="P52" s="79"/>
    </row>
    <row r="53" spans="1:16" s="19" customFormat="1" x14ac:dyDescent="0.25">
      <c r="A53" s="23">
        <v>42539.411898148152</v>
      </c>
      <c r="B53" s="22" t="s">
        <v>98</v>
      </c>
      <c r="C53" s="22" t="s">
        <v>393</v>
      </c>
      <c r="D53" s="22" t="s">
        <v>52</v>
      </c>
      <c r="E53" s="22" t="s">
        <v>53</v>
      </c>
      <c r="F53" s="22">
        <v>0</v>
      </c>
      <c r="G53" s="22">
        <v>27</v>
      </c>
      <c r="H53" s="22">
        <v>233401</v>
      </c>
      <c r="I53" s="22" t="s">
        <v>54</v>
      </c>
      <c r="J53" s="22">
        <v>233491</v>
      </c>
      <c r="K53" s="21" t="s">
        <v>55</v>
      </c>
      <c r="L53" s="21" t="str">
        <f>VLOOKUP(C53,'Trips&amp;Operators'!$C$2:$E$10000,3,FALSE)</f>
        <v>STARKS</v>
      </c>
      <c r="M53" s="20" t="s">
        <v>67</v>
      </c>
      <c r="N53" s="21"/>
      <c r="P53" s="79"/>
    </row>
    <row r="54" spans="1:16" s="19" customFormat="1" x14ac:dyDescent="0.25">
      <c r="A54" s="23">
        <v>42539.465787037036</v>
      </c>
      <c r="B54" s="22" t="s">
        <v>102</v>
      </c>
      <c r="C54" s="22" t="s">
        <v>362</v>
      </c>
      <c r="D54" s="22" t="s">
        <v>52</v>
      </c>
      <c r="E54" s="22" t="s">
        <v>53</v>
      </c>
      <c r="F54" s="22">
        <v>0</v>
      </c>
      <c r="G54" s="22">
        <v>39</v>
      </c>
      <c r="H54" s="22">
        <v>136</v>
      </c>
      <c r="I54" s="22" t="s">
        <v>54</v>
      </c>
      <c r="J54" s="22">
        <v>1</v>
      </c>
      <c r="K54" s="21" t="s">
        <v>56</v>
      </c>
      <c r="L54" s="21" t="str">
        <f>VLOOKUP(C54,'Trips&amp;Operators'!$C$2:$E$10000,3,FALSE)</f>
        <v>SANTIZO</v>
      </c>
      <c r="M54" s="20" t="s">
        <v>67</v>
      </c>
      <c r="N54" s="21"/>
      <c r="P54" s="79"/>
    </row>
    <row r="55" spans="1:16" s="19" customFormat="1" x14ac:dyDescent="0.25">
      <c r="A55" s="23">
        <v>42539.482106481482</v>
      </c>
      <c r="B55" s="22" t="s">
        <v>207</v>
      </c>
      <c r="C55" s="22" t="s">
        <v>415</v>
      </c>
      <c r="D55" s="22" t="s">
        <v>52</v>
      </c>
      <c r="E55" s="22" t="s">
        <v>53</v>
      </c>
      <c r="F55" s="22">
        <v>0</v>
      </c>
      <c r="G55" s="22">
        <v>4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VLOOKUP(C55,'Trips&amp;Operators'!$C$2:$E$10000,3,FALSE)</f>
        <v>MALAVE</v>
      </c>
      <c r="M55" s="20" t="s">
        <v>67</v>
      </c>
      <c r="N55" s="21"/>
      <c r="P55" s="79"/>
    </row>
    <row r="56" spans="1:16" s="19" customFormat="1" x14ac:dyDescent="0.25">
      <c r="A56" s="23">
        <v>42539.473414351851</v>
      </c>
      <c r="B56" s="22" t="s">
        <v>100</v>
      </c>
      <c r="C56" s="22" t="s">
        <v>308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233330</v>
      </c>
      <c r="I56" s="22" t="s">
        <v>54</v>
      </c>
      <c r="J56" s="22">
        <v>233491</v>
      </c>
      <c r="K56" s="21" t="s">
        <v>55</v>
      </c>
      <c r="L56" s="21" t="str">
        <f>VLOOKUP(C56,'Trips&amp;Operators'!$C$2:$E$10000,3,FALSE)</f>
        <v>BRANNON</v>
      </c>
      <c r="M56" s="20" t="s">
        <v>67</v>
      </c>
      <c r="N56" s="21"/>
      <c r="P56" s="79"/>
    </row>
    <row r="57" spans="1:16" s="19" customFormat="1" x14ac:dyDescent="0.25">
      <c r="A57" s="23">
        <v>42539.515243055554</v>
      </c>
      <c r="B57" s="22" t="s">
        <v>217</v>
      </c>
      <c r="C57" s="22" t="s">
        <v>275</v>
      </c>
      <c r="D57" s="22" t="s">
        <v>52</v>
      </c>
      <c r="E57" s="22" t="s">
        <v>53</v>
      </c>
      <c r="F57" s="22">
        <v>0</v>
      </c>
      <c r="G57" s="22">
        <v>31</v>
      </c>
      <c r="H57" s="22">
        <v>233422</v>
      </c>
      <c r="I57" s="22" t="s">
        <v>54</v>
      </c>
      <c r="J57" s="22">
        <v>233491</v>
      </c>
      <c r="K57" s="21" t="s">
        <v>55</v>
      </c>
      <c r="L57" s="21" t="str">
        <f>VLOOKUP(C57,'Trips&amp;Operators'!$C$2:$E$10000,3,FALSE)</f>
        <v>LOCKLEAR</v>
      </c>
      <c r="M57" s="20" t="s">
        <v>67</v>
      </c>
      <c r="N57" s="21"/>
      <c r="P57" s="79"/>
    </row>
    <row r="58" spans="1:16" s="19" customFormat="1" x14ac:dyDescent="0.25">
      <c r="A58" s="23">
        <v>42539.545937499999</v>
      </c>
      <c r="B58" s="22" t="s">
        <v>100</v>
      </c>
      <c r="C58" s="22" t="s">
        <v>349</v>
      </c>
      <c r="D58" s="22" t="s">
        <v>52</v>
      </c>
      <c r="E58" s="22" t="s">
        <v>53</v>
      </c>
      <c r="F58" s="22">
        <v>0</v>
      </c>
      <c r="G58" s="22">
        <v>4</v>
      </c>
      <c r="H58" s="22">
        <v>233338</v>
      </c>
      <c r="I58" s="22" t="s">
        <v>54</v>
      </c>
      <c r="J58" s="22">
        <v>233491</v>
      </c>
      <c r="K58" s="21" t="s">
        <v>55</v>
      </c>
      <c r="L58" s="21" t="str">
        <f>VLOOKUP(C58,'Trips&amp;Operators'!$C$2:$E$10000,3,FALSE)</f>
        <v>BRANNON</v>
      </c>
      <c r="M58" s="20" t="s">
        <v>67</v>
      </c>
      <c r="N58" s="21"/>
      <c r="P58" s="79"/>
    </row>
    <row r="59" spans="1:16" s="19" customFormat="1" x14ac:dyDescent="0.25">
      <c r="A59" s="23">
        <v>42539.557800925926</v>
      </c>
      <c r="B59" s="22" t="s">
        <v>98</v>
      </c>
      <c r="C59" s="22" t="s">
        <v>282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233328</v>
      </c>
      <c r="I59" s="22" t="s">
        <v>54</v>
      </c>
      <c r="J59" s="22">
        <v>233491</v>
      </c>
      <c r="K59" s="21" t="s">
        <v>55</v>
      </c>
      <c r="L59" s="21" t="str">
        <f>VLOOKUP(C59,'Trips&amp;Operators'!$C$2:$E$10000,3,FALSE)</f>
        <v>WEBSTER</v>
      </c>
      <c r="M59" s="20" t="s">
        <v>67</v>
      </c>
      <c r="N59" s="21"/>
      <c r="P59" s="79"/>
    </row>
    <row r="60" spans="1:16" s="19" customFormat="1" x14ac:dyDescent="0.25">
      <c r="A60" s="23">
        <v>42539.59716435185</v>
      </c>
      <c r="B60" s="22" t="s">
        <v>97</v>
      </c>
      <c r="C60" s="22" t="s">
        <v>302</v>
      </c>
      <c r="D60" s="22" t="s">
        <v>52</v>
      </c>
      <c r="E60" s="22" t="s">
        <v>53</v>
      </c>
      <c r="F60" s="22">
        <v>0</v>
      </c>
      <c r="G60" s="22">
        <v>5</v>
      </c>
      <c r="H60" s="22">
        <v>121</v>
      </c>
      <c r="I60" s="22" t="s">
        <v>54</v>
      </c>
      <c r="J60" s="22">
        <v>1</v>
      </c>
      <c r="K60" s="21" t="s">
        <v>56</v>
      </c>
      <c r="L60" s="21" t="str">
        <f>VLOOKUP(C60,'Trips&amp;Operators'!$C$2:$E$10000,3,FALSE)</f>
        <v>WEBSTER</v>
      </c>
      <c r="M60" s="20" t="s">
        <v>67</v>
      </c>
      <c r="N60" s="21"/>
      <c r="P60" s="79"/>
    </row>
    <row r="61" spans="1:16" s="19" customFormat="1" x14ac:dyDescent="0.25">
      <c r="A61" s="23">
        <v>42539.606365740743</v>
      </c>
      <c r="B61" s="22" t="s">
        <v>102</v>
      </c>
      <c r="C61" s="22" t="s">
        <v>363</v>
      </c>
      <c r="D61" s="22" t="s">
        <v>52</v>
      </c>
      <c r="E61" s="22" t="s">
        <v>53</v>
      </c>
      <c r="F61" s="22">
        <v>0</v>
      </c>
      <c r="G61" s="22">
        <v>9</v>
      </c>
      <c r="H61" s="22">
        <v>110</v>
      </c>
      <c r="I61" s="22" t="s">
        <v>54</v>
      </c>
      <c r="J61" s="22">
        <v>1</v>
      </c>
      <c r="K61" s="21" t="s">
        <v>56</v>
      </c>
      <c r="L61" s="21" t="str">
        <f>VLOOKUP(C61,'Trips&amp;Operators'!$C$2:$E$10000,3,FALSE)</f>
        <v>RIVERA</v>
      </c>
      <c r="M61" s="20" t="s">
        <v>67</v>
      </c>
      <c r="N61" s="21"/>
      <c r="P61" s="79"/>
    </row>
    <row r="62" spans="1:16" s="19" customFormat="1" x14ac:dyDescent="0.25">
      <c r="A62" s="23">
        <v>42539.600208333337</v>
      </c>
      <c r="B62" s="22" t="s">
        <v>180</v>
      </c>
      <c r="C62" s="22" t="s">
        <v>319</v>
      </c>
      <c r="D62" s="22" t="s">
        <v>52</v>
      </c>
      <c r="E62" s="22" t="s">
        <v>53</v>
      </c>
      <c r="F62" s="22">
        <v>0</v>
      </c>
      <c r="G62" s="22">
        <v>5</v>
      </c>
      <c r="H62" s="22">
        <v>233334</v>
      </c>
      <c r="I62" s="22" t="s">
        <v>54</v>
      </c>
      <c r="J62" s="22">
        <v>233491</v>
      </c>
      <c r="K62" s="21" t="s">
        <v>55</v>
      </c>
      <c r="L62" s="21" t="str">
        <f>VLOOKUP(C62,'Trips&amp;Operators'!$C$2:$E$10000,3,FALSE)</f>
        <v>ACKERMAN</v>
      </c>
      <c r="M62" s="20" t="s">
        <v>67</v>
      </c>
      <c r="N62" s="21"/>
      <c r="P62" s="79"/>
    </row>
    <row r="63" spans="1:16" s="19" customFormat="1" x14ac:dyDescent="0.25">
      <c r="A63" s="23">
        <v>42539.640451388892</v>
      </c>
      <c r="B63" s="22" t="s">
        <v>183</v>
      </c>
      <c r="C63" s="22" t="s">
        <v>361</v>
      </c>
      <c r="D63" s="22" t="s">
        <v>52</v>
      </c>
      <c r="E63" s="22" t="s">
        <v>53</v>
      </c>
      <c r="F63" s="22">
        <v>0</v>
      </c>
      <c r="G63" s="22">
        <v>7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VLOOKUP(C63,'Trips&amp;Operators'!$C$2:$E$10000,3,FALSE)</f>
        <v>ACKERMAN</v>
      </c>
      <c r="M63" s="20" t="s">
        <v>67</v>
      </c>
      <c r="N63" s="21"/>
      <c r="P63" s="79"/>
    </row>
    <row r="64" spans="1:16" s="19" customFormat="1" x14ac:dyDescent="0.25">
      <c r="A64" s="23">
        <v>42539.620034722226</v>
      </c>
      <c r="B64" s="22" t="s">
        <v>179</v>
      </c>
      <c r="C64" s="22" t="s">
        <v>387</v>
      </c>
      <c r="D64" s="22" t="s">
        <v>52</v>
      </c>
      <c r="E64" s="22" t="s">
        <v>53</v>
      </c>
      <c r="F64" s="22">
        <v>0</v>
      </c>
      <c r="G64" s="22">
        <v>9</v>
      </c>
      <c r="H64" s="22">
        <v>233328</v>
      </c>
      <c r="I64" s="22" t="s">
        <v>54</v>
      </c>
      <c r="J64" s="22">
        <v>233491</v>
      </c>
      <c r="K64" s="21" t="s">
        <v>55</v>
      </c>
      <c r="L64" s="21" t="str">
        <f>VLOOKUP(C64,'Trips&amp;Operators'!$C$2:$E$10000,3,FALSE)</f>
        <v>BRANNON</v>
      </c>
      <c r="M64" s="20" t="s">
        <v>67</v>
      </c>
      <c r="N64" s="21"/>
      <c r="P64" s="79"/>
    </row>
    <row r="65" spans="1:17" s="19" customFormat="1" x14ac:dyDescent="0.25">
      <c r="A65" s="23">
        <v>42539.731157407405</v>
      </c>
      <c r="B65" s="22" t="s">
        <v>181</v>
      </c>
      <c r="C65" s="22" t="s">
        <v>370</v>
      </c>
      <c r="D65" s="22" t="s">
        <v>52</v>
      </c>
      <c r="E65" s="22" t="s">
        <v>53</v>
      </c>
      <c r="F65" s="22">
        <v>0</v>
      </c>
      <c r="G65" s="22">
        <v>48</v>
      </c>
      <c r="H65" s="22">
        <v>170</v>
      </c>
      <c r="I65" s="22" t="s">
        <v>54</v>
      </c>
      <c r="J65" s="22">
        <v>1</v>
      </c>
      <c r="K65" s="21" t="s">
        <v>56</v>
      </c>
      <c r="L65" s="21" t="str">
        <f>VLOOKUP(C65,'Trips&amp;Operators'!$C$2:$E$10000,3,FALSE)</f>
        <v>BRANNON</v>
      </c>
      <c r="M65" s="20" t="s">
        <v>67</v>
      </c>
      <c r="N65" s="21"/>
      <c r="P65" s="79"/>
    </row>
    <row r="66" spans="1:17" s="19" customFormat="1" x14ac:dyDescent="0.25">
      <c r="A66" s="23">
        <v>42539.752013888887</v>
      </c>
      <c r="B66" s="22" t="s">
        <v>102</v>
      </c>
      <c r="C66" s="22" t="s">
        <v>289</v>
      </c>
      <c r="D66" s="22" t="s">
        <v>52</v>
      </c>
      <c r="E66" s="22" t="s">
        <v>53</v>
      </c>
      <c r="F66" s="22">
        <v>0</v>
      </c>
      <c r="G66" s="22">
        <v>5</v>
      </c>
      <c r="H66" s="22">
        <v>119</v>
      </c>
      <c r="I66" s="22" t="s">
        <v>54</v>
      </c>
      <c r="J66" s="22">
        <v>1</v>
      </c>
      <c r="K66" s="21" t="s">
        <v>56</v>
      </c>
      <c r="L66" s="21" t="str">
        <f>VLOOKUP(C66,'Trips&amp;Operators'!$C$2:$E$10000,3,FALSE)</f>
        <v>RIVERA</v>
      </c>
      <c r="M66" s="20" t="s">
        <v>67</v>
      </c>
      <c r="N66" s="21"/>
      <c r="P66" s="79"/>
    </row>
    <row r="67" spans="1:17" s="19" customFormat="1" x14ac:dyDescent="0.25">
      <c r="A67" s="23">
        <v>42539.734351851854</v>
      </c>
      <c r="B67" s="22" t="s">
        <v>217</v>
      </c>
      <c r="C67" s="22" t="s">
        <v>325</v>
      </c>
      <c r="D67" s="22" t="s">
        <v>52</v>
      </c>
      <c r="E67" s="22" t="s">
        <v>53</v>
      </c>
      <c r="F67" s="22">
        <v>0</v>
      </c>
      <c r="G67" s="22">
        <v>21</v>
      </c>
      <c r="H67" s="22">
        <v>233457</v>
      </c>
      <c r="I67" s="22" t="s">
        <v>54</v>
      </c>
      <c r="J67" s="22">
        <v>233491</v>
      </c>
      <c r="K67" s="21" t="s">
        <v>55</v>
      </c>
      <c r="L67" s="21" t="str">
        <f>VLOOKUP(C67,'Trips&amp;Operators'!$C$2:$E$10000,3,FALSE)</f>
        <v>LOCKLEAR</v>
      </c>
      <c r="M67" s="20" t="s">
        <v>67</v>
      </c>
      <c r="N67" s="21"/>
      <c r="P67" s="79"/>
    </row>
    <row r="68" spans="1:17" s="19" customFormat="1" x14ac:dyDescent="0.25">
      <c r="A68" s="23">
        <v>42539.795787037037</v>
      </c>
      <c r="B68" s="22" t="s">
        <v>101</v>
      </c>
      <c r="C68" s="22" t="s">
        <v>337</v>
      </c>
      <c r="D68" s="22" t="s">
        <v>52</v>
      </c>
      <c r="E68" s="22" t="s">
        <v>53</v>
      </c>
      <c r="F68" s="22">
        <v>0</v>
      </c>
      <c r="G68" s="22">
        <v>60</v>
      </c>
      <c r="H68" s="22">
        <v>220</v>
      </c>
      <c r="I68" s="22" t="s">
        <v>54</v>
      </c>
      <c r="J68" s="22">
        <v>1</v>
      </c>
      <c r="K68" s="21" t="s">
        <v>56</v>
      </c>
      <c r="L68" s="21" t="str">
        <f>VLOOKUP(C68,'Trips&amp;Operators'!$C$2:$E$10000,3,FALSE)</f>
        <v>STEWART</v>
      </c>
      <c r="M68" s="20" t="s">
        <v>67</v>
      </c>
      <c r="N68" s="21"/>
      <c r="P68" s="79"/>
    </row>
    <row r="69" spans="1:17" s="19" customFormat="1" x14ac:dyDescent="0.25">
      <c r="A69" s="23">
        <v>42539.805949074071</v>
      </c>
      <c r="B69" s="22" t="s">
        <v>181</v>
      </c>
      <c r="C69" s="22" t="s">
        <v>392</v>
      </c>
      <c r="D69" s="22" t="s">
        <v>52</v>
      </c>
      <c r="E69" s="22" t="s">
        <v>53</v>
      </c>
      <c r="F69" s="22">
        <v>0</v>
      </c>
      <c r="G69" s="22">
        <v>4</v>
      </c>
      <c r="H69" s="22">
        <v>123</v>
      </c>
      <c r="I69" s="22" t="s">
        <v>54</v>
      </c>
      <c r="J69" s="22">
        <v>1</v>
      </c>
      <c r="K69" s="21" t="s">
        <v>56</v>
      </c>
      <c r="L69" s="21" t="str">
        <f>VLOOKUP(C69,'Trips&amp;Operators'!$C$2:$E$10000,3,FALSE)</f>
        <v>LEVERE</v>
      </c>
      <c r="M69" s="20" t="s">
        <v>67</v>
      </c>
      <c r="N69" s="21"/>
      <c r="P69" s="79"/>
    </row>
    <row r="70" spans="1:17" s="19" customFormat="1" x14ac:dyDescent="0.25">
      <c r="A70" s="23">
        <v>42539.775578703702</v>
      </c>
      <c r="B70" s="22" t="s">
        <v>98</v>
      </c>
      <c r="C70" s="22" t="s">
        <v>336</v>
      </c>
      <c r="D70" s="22" t="s">
        <v>52</v>
      </c>
      <c r="E70" s="22" t="s">
        <v>53</v>
      </c>
      <c r="F70" s="22">
        <v>0</v>
      </c>
      <c r="G70" s="22">
        <v>6</v>
      </c>
      <c r="H70" s="22">
        <v>233332</v>
      </c>
      <c r="I70" s="22" t="s">
        <v>54</v>
      </c>
      <c r="J70" s="22">
        <v>233491</v>
      </c>
      <c r="K70" s="21" t="s">
        <v>55</v>
      </c>
      <c r="L70" s="21" t="str">
        <f>VLOOKUP(C70,'Trips&amp;Operators'!$C$2:$E$10000,3,FALSE)</f>
        <v>WEBSTER</v>
      </c>
      <c r="M70" s="20" t="s">
        <v>67</v>
      </c>
      <c r="N70" s="21"/>
      <c r="P70" s="79"/>
    </row>
    <row r="71" spans="1:17" s="19" customFormat="1" x14ac:dyDescent="0.25">
      <c r="A71" s="23">
        <v>42539.81653935185</v>
      </c>
      <c r="B71" s="22" t="s">
        <v>97</v>
      </c>
      <c r="C71" s="22" t="s">
        <v>314</v>
      </c>
      <c r="D71" s="22" t="s">
        <v>52</v>
      </c>
      <c r="E71" s="22" t="s">
        <v>53</v>
      </c>
      <c r="F71" s="22">
        <v>0</v>
      </c>
      <c r="G71" s="22">
        <v>7</v>
      </c>
      <c r="H71" s="22">
        <v>103</v>
      </c>
      <c r="I71" s="22" t="s">
        <v>54</v>
      </c>
      <c r="J71" s="22">
        <v>1</v>
      </c>
      <c r="K71" s="21" t="s">
        <v>56</v>
      </c>
      <c r="L71" s="21" t="str">
        <f>VLOOKUP(C71,'Trips&amp;Operators'!$C$2:$E$10000,3,FALSE)</f>
        <v>WEBSTER</v>
      </c>
      <c r="M71" s="20" t="s">
        <v>67</v>
      </c>
      <c r="N71" s="21"/>
      <c r="P71" s="79"/>
    </row>
    <row r="72" spans="1:17" s="19" customFormat="1" x14ac:dyDescent="0.25">
      <c r="A72" s="23">
        <v>42540.025914351849</v>
      </c>
      <c r="B72" s="22" t="s">
        <v>183</v>
      </c>
      <c r="C72" s="22" t="s">
        <v>388</v>
      </c>
      <c r="D72" s="22" t="s">
        <v>52</v>
      </c>
      <c r="E72" s="22" t="s">
        <v>53</v>
      </c>
      <c r="F72" s="22">
        <v>0</v>
      </c>
      <c r="G72" s="22">
        <v>9</v>
      </c>
      <c r="H72" s="22">
        <v>130</v>
      </c>
      <c r="I72" s="22" t="s">
        <v>54</v>
      </c>
      <c r="J72" s="22">
        <v>1</v>
      </c>
      <c r="K72" s="21" t="s">
        <v>56</v>
      </c>
      <c r="L72" s="21" t="str">
        <f>VLOOKUP(C72,'Trips&amp;Operators'!$C$2:$E$10000,3,FALSE)</f>
        <v>ADANE</v>
      </c>
      <c r="M72" s="20" t="s">
        <v>67</v>
      </c>
      <c r="N72" s="21"/>
      <c r="P72" s="79" t="str">
        <f>VLOOKUP(C72,'Train Runs'!$A$3:$T$253,20,0)</f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2" s="19" t="str">
        <f t="shared" si="3"/>
        <v>4039</v>
      </c>
    </row>
    <row r="73" spans="1:17" s="19" customFormat="1" x14ac:dyDescent="0.25">
      <c r="A73" s="23">
        <v>42540.005069444444</v>
      </c>
      <c r="B73" s="22" t="s">
        <v>179</v>
      </c>
      <c r="C73" s="22" t="s">
        <v>374</v>
      </c>
      <c r="D73" s="22" t="s">
        <v>52</v>
      </c>
      <c r="E73" s="22" t="s">
        <v>53</v>
      </c>
      <c r="F73" s="22">
        <v>0</v>
      </c>
      <c r="G73" s="22">
        <v>7</v>
      </c>
      <c r="H73" s="22">
        <v>233298</v>
      </c>
      <c r="I73" s="22" t="s">
        <v>54</v>
      </c>
      <c r="J73" s="22">
        <v>233491</v>
      </c>
      <c r="K73" s="21" t="s">
        <v>55</v>
      </c>
      <c r="L73" s="21" t="str">
        <f>VLOOKUP(C73,'Trips&amp;Operators'!$C$2:$E$10000,3,FALSE)</f>
        <v>LEVERE</v>
      </c>
      <c r="M73" s="20" t="s">
        <v>67</v>
      </c>
      <c r="N73" s="21"/>
      <c r="P73" s="79" t="str">
        <f>VLOOKUP(C73,'Train Runs'!$A$3:$T$253,20,0)</f>
        <v>https://search-rtdc-monitor-bjffxe2xuh6vdkpspy63sjmuny.us-east-1.es.amazonaws.com/_plugin/kibana/#/discover/Steve-Slow-Train-Analysis-(2080s-and-2083s)?_g=(refreshInterval:(display:Off,section:0,value:0),time:(from:'2016-06-18 23:18:37-0600',mode:absolute,to:'2016-06-19 00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3" s="19" t="str">
        <f t="shared" si="3"/>
        <v>4025</v>
      </c>
    </row>
    <row r="74" spans="1:17" s="19" customFormat="1" x14ac:dyDescent="0.25">
      <c r="A74" s="23">
        <v>42540.044606481482</v>
      </c>
      <c r="B74" s="22" t="s">
        <v>181</v>
      </c>
      <c r="C74" s="22" t="s">
        <v>288</v>
      </c>
      <c r="D74" s="22" t="s">
        <v>52</v>
      </c>
      <c r="E74" s="22" t="s">
        <v>53</v>
      </c>
      <c r="F74" s="22">
        <v>0</v>
      </c>
      <c r="G74" s="22">
        <v>52</v>
      </c>
      <c r="H74" s="22">
        <v>220</v>
      </c>
      <c r="I74" s="22" t="s">
        <v>54</v>
      </c>
      <c r="J74" s="22">
        <v>1</v>
      </c>
      <c r="K74" s="21" t="s">
        <v>56</v>
      </c>
      <c r="L74" s="21" t="str">
        <f>VLOOKUP(C74,'Trips&amp;Operators'!$C$2:$E$10000,3,FALSE)</f>
        <v>LEVERE</v>
      </c>
      <c r="M74" s="20" t="s">
        <v>67</v>
      </c>
      <c r="N74" s="21"/>
      <c r="P74" s="79" t="str">
        <f>VLOOKUP(C74,'Train Runs'!$A$3:$T$253,20,0)</f>
        <v>https://search-rtdc-monitor-bjffxe2xuh6vdkpspy63sjmuny.us-east-1.es.amazonaws.com/_plugin/kibana/#/discover/Steve-Slow-Train-Analysis-(2080s-and-2083s)?_g=(refreshInterval:(display:Off,section:0,value:0),time:(from:'2016-06-19 00:13:31-0600',mode:absolute,to:'2016-06-19 01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74" s="19" t="str">
        <f t="shared" si="3"/>
        <v>4026</v>
      </c>
    </row>
    <row r="75" spans="1:17" s="19" customFormat="1" x14ac:dyDescent="0.25">
      <c r="A75" s="23">
        <v>42540.026087962964</v>
      </c>
      <c r="B75" s="22" t="s">
        <v>113</v>
      </c>
      <c r="C75" s="22" t="s">
        <v>312</v>
      </c>
      <c r="D75" s="22" t="s">
        <v>52</v>
      </c>
      <c r="E75" s="22" t="s">
        <v>53</v>
      </c>
      <c r="F75" s="22">
        <v>0</v>
      </c>
      <c r="G75" s="22">
        <v>9</v>
      </c>
      <c r="H75" s="22">
        <v>233353</v>
      </c>
      <c r="I75" s="22" t="s">
        <v>54</v>
      </c>
      <c r="J75" s="22">
        <v>233491</v>
      </c>
      <c r="K75" s="21" t="s">
        <v>55</v>
      </c>
      <c r="L75" s="21" t="str">
        <f>VLOOKUP(C75,'Trips&amp;Operators'!$C$2:$E$10000,3,FALSE)</f>
        <v>DE LA ROSA</v>
      </c>
      <c r="M75" s="20" t="s">
        <v>67</v>
      </c>
      <c r="N75" s="21"/>
      <c r="P75" s="79" t="str">
        <f>VLOOKUP(C75,'Train Runs'!$A$3:$T$253,20,0)</f>
        <v>https://search-rtdc-monitor-bjffxe2xuh6vdkpspy63sjmuny.us-east-1.es.amazonaws.com/_plugin/kibana/#/discover/Steve-Slow-Train-Analysis-(2080s-and-2083s)?_g=(refreshInterval:(display:Off,section:0,value:0),time:(from:'2016-06-18 23:54:36-0600',mode:absolute,to:'2016-06-19 00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5" s="19" t="str">
        <f t="shared" si="3"/>
        <v>4024</v>
      </c>
    </row>
    <row r="76" spans="1:17" s="19" customFormat="1" ht="15.75" thickBot="1" x14ac:dyDescent="0.3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3"/>
      <c r="L76" s="43"/>
      <c r="M76" s="44"/>
      <c r="N76" s="43"/>
      <c r="P76" s="79"/>
    </row>
    <row r="77" spans="1:17" ht="30" x14ac:dyDescent="0.25">
      <c r="B77" s="59"/>
      <c r="C77" s="59"/>
      <c r="D77" s="59"/>
      <c r="E77" s="59"/>
      <c r="F77" s="59"/>
      <c r="G77" s="59"/>
      <c r="H77" s="59"/>
      <c r="I77" s="59"/>
      <c r="J77" s="59"/>
      <c r="K77" s="18" t="s">
        <v>28</v>
      </c>
      <c r="L77" s="52"/>
      <c r="M77" s="17">
        <f>COUNTIF(M15:M75,"=Y")</f>
        <v>19</v>
      </c>
      <c r="N77" s="77"/>
    </row>
    <row r="78" spans="1:17" ht="15.75" thickBot="1" x14ac:dyDescent="0.3">
      <c r="B78" s="59"/>
      <c r="C78" s="59"/>
      <c r="D78" s="59"/>
      <c r="E78" s="59"/>
      <c r="F78" s="59"/>
      <c r="G78" s="59"/>
      <c r="H78" s="59"/>
      <c r="I78" s="59"/>
      <c r="J78" s="59"/>
      <c r="K78" s="16" t="s">
        <v>27</v>
      </c>
      <c r="L78" s="53"/>
      <c r="M78" s="15">
        <f>COUNTA(M15:M75)-M77</f>
        <v>42</v>
      </c>
    </row>
  </sheetData>
  <autoFilter ref="A2:N75">
    <sortState ref="A3:N78">
      <sortCondition ref="E2:E78"/>
    </sortState>
  </autoFilter>
  <sortState ref="A23:N45">
    <sortCondition ref="J23:J45"/>
  </sortState>
  <mergeCells count="1">
    <mergeCell ref="A1:M1"/>
  </mergeCells>
  <conditionalFormatting sqref="P2 M2:N2 M3:M1048576">
    <cfRule type="cellIs" dxfId="7" priority="8" operator="equal">
      <formula>"Y"</formula>
    </cfRule>
  </conditionalFormatting>
  <conditionalFormatting sqref="A3:N75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8" sqref="E18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9.140625" style="59" customWidth="1"/>
    <col min="7" max="7" width="17" bestFit="1" customWidth="1"/>
    <col min="8" max="8" width="14.140625" bestFit="1" customWidth="1"/>
    <col min="9" max="9" width="23.85546875" bestFit="1" customWidth="1"/>
  </cols>
  <sheetData>
    <row r="1" spans="1:9" s="59" customFormat="1" x14ac:dyDescent="0.25">
      <c r="A1" s="105" t="str">
        <f>"Trips that did not appear in PTC Data "&amp;TEXT(Variables!$A$2,"YYYY-mm-dd")</f>
        <v>Trips that did not appear in PTC Data 2016-06-18</v>
      </c>
      <c r="B1" s="105"/>
      <c r="C1" s="105"/>
      <c r="D1" s="105"/>
      <c r="E1" s="105"/>
      <c r="F1" s="92"/>
    </row>
    <row r="2" spans="1:9" s="77" customFormat="1" ht="45" x14ac:dyDescent="0.25">
      <c r="A2" s="76" t="s">
        <v>170</v>
      </c>
      <c r="B2" s="88" t="s">
        <v>171</v>
      </c>
      <c r="C2" s="86" t="s">
        <v>172</v>
      </c>
      <c r="D2" s="77" t="s">
        <v>168</v>
      </c>
      <c r="E2" s="59" t="s">
        <v>169</v>
      </c>
      <c r="F2" s="76" t="s">
        <v>170</v>
      </c>
      <c r="G2" s="77" t="s">
        <v>267</v>
      </c>
      <c r="H2" s="90" t="s">
        <v>268</v>
      </c>
      <c r="I2" s="90" t="s">
        <v>516</v>
      </c>
    </row>
    <row r="3" spans="1:9" x14ac:dyDescent="0.25">
      <c r="A3" s="60" t="s">
        <v>511</v>
      </c>
      <c r="B3" s="89"/>
      <c r="C3" s="60"/>
      <c r="D3" s="61"/>
      <c r="E3" s="60" t="e">
        <f>VLOOKUP(A3,'Trips&amp;Operators'!$C$2:$E$10000,3,FALSE)</f>
        <v>#N/A</v>
      </c>
      <c r="F3" s="60" t="s">
        <v>511</v>
      </c>
      <c r="G3" s="60" t="e">
        <f>VLOOKUP(A3,'Trips&amp;Operators'!$C$1:$F$10000,4,FALSE)</f>
        <v>#N/A</v>
      </c>
      <c r="H3" s="91" t="e">
        <f>VLOOKUP(A3,'Trips&amp;Operators'!$C$1:$H$10000,5,FALSE)</f>
        <v>#N/A</v>
      </c>
      <c r="I3" s="91" t="e">
        <f>VLOOKUP(A3,'Train Runs'!$A$1:$H$9993,1,FALSE)</f>
        <v>#N/A</v>
      </c>
    </row>
    <row r="4" spans="1:9" x14ac:dyDescent="0.25">
      <c r="A4" s="60" t="s">
        <v>512</v>
      </c>
      <c r="B4" s="89"/>
      <c r="C4" s="60"/>
      <c r="D4" s="61"/>
      <c r="E4" s="60" t="e">
        <f>VLOOKUP(A4,'Trips&amp;Operators'!$C$2:$E$10000,3,FALSE)</f>
        <v>#N/A</v>
      </c>
      <c r="F4" s="60" t="s">
        <v>512</v>
      </c>
      <c r="G4" s="60" t="e">
        <f>VLOOKUP(A4,'Trips&amp;Operators'!$C$1:$F$10000,4,FALSE)</f>
        <v>#N/A</v>
      </c>
      <c r="H4" s="91" t="e">
        <f>VLOOKUP(A4,'Trips&amp;Operators'!$C$1:$H$10000,5,FALSE)</f>
        <v>#N/A</v>
      </c>
      <c r="I4" s="91" t="e">
        <f>VLOOKUP(A4,'Train Runs'!$A$1:$H$9993,1,FALSE)</f>
        <v>#N/A</v>
      </c>
    </row>
    <row r="5" spans="1:9" x14ac:dyDescent="0.25">
      <c r="A5" s="60" t="s">
        <v>513</v>
      </c>
      <c r="B5" s="89"/>
      <c r="C5" s="60"/>
      <c r="D5" s="61"/>
      <c r="E5" s="60" t="e">
        <f>VLOOKUP(A5,'Trips&amp;Operators'!$C$2:$E$10000,3,FALSE)</f>
        <v>#N/A</v>
      </c>
      <c r="F5" s="60" t="s">
        <v>513</v>
      </c>
      <c r="G5" s="60" t="e">
        <f>VLOOKUP(A5,'Trips&amp;Operators'!$C$1:$F$10000,4,FALSE)</f>
        <v>#N/A</v>
      </c>
      <c r="H5" s="91" t="e">
        <f>VLOOKUP(A5,'Trips&amp;Operators'!$C$1:$H$10000,5,FALSE)</f>
        <v>#N/A</v>
      </c>
      <c r="I5" s="91" t="e">
        <f>VLOOKUP(A5,'Train Runs'!$A$1:$H$9993,1,FALSE)</f>
        <v>#N/A</v>
      </c>
    </row>
    <row r="6" spans="1:9" x14ac:dyDescent="0.25">
      <c r="A6" s="60" t="s">
        <v>514</v>
      </c>
      <c r="B6" s="93"/>
      <c r="C6" s="94"/>
      <c r="D6" s="95"/>
      <c r="E6" s="60" t="e">
        <f>VLOOKUP(A6,'Trips&amp;Operators'!$C$2:$E$10000,3,FALSE)</f>
        <v>#N/A</v>
      </c>
      <c r="F6" s="60" t="s">
        <v>514</v>
      </c>
      <c r="G6" s="60" t="e">
        <f>VLOOKUP(A6,'Trips&amp;Operators'!$C$1:$F$10000,4,FALSE)</f>
        <v>#N/A</v>
      </c>
      <c r="H6" s="91" t="e">
        <f>VLOOKUP(A6,'Trips&amp;Operators'!$C$1:$H$10000,5,FALSE)</f>
        <v>#N/A</v>
      </c>
      <c r="I6" s="91" t="e">
        <f>VLOOKUP(A6,'Train Runs'!$A$1:$H$9993,1,FALSE)</f>
        <v>#N/A</v>
      </c>
    </row>
    <row r="7" spans="1:9" x14ac:dyDescent="0.25">
      <c r="A7" s="60" t="s">
        <v>515</v>
      </c>
      <c r="B7" s="93"/>
      <c r="C7" s="94"/>
      <c r="D7" s="95"/>
      <c r="E7" s="60" t="e">
        <f>VLOOKUP(A7,'Trips&amp;Operators'!$C$2:$E$10000,3,FALSE)</f>
        <v>#N/A</v>
      </c>
      <c r="F7" s="60" t="s">
        <v>515</v>
      </c>
      <c r="G7" s="60" t="e">
        <f>VLOOKUP(A7,'Trips&amp;Operators'!$C$1:$F$10000,4,FALSE)</f>
        <v>#N/A</v>
      </c>
      <c r="H7" s="91" t="e">
        <f>VLOOKUP(A7,'Trips&amp;Operators'!$C$1:$H$10000,5,FALSE)</f>
        <v>#N/A</v>
      </c>
      <c r="I7" s="91" t="e">
        <f>VLOOKUP(A7,'Train Runs'!$A$1:$H$9993,1,FALSE)</f>
        <v>#N/A</v>
      </c>
    </row>
  </sheetData>
  <sortState ref="A4:I15">
    <sortCondition ref="H4:H15"/>
  </sortState>
  <mergeCells count="1">
    <mergeCell ref="A1:E1"/>
  </mergeCells>
  <conditionalFormatting sqref="I3:I7">
    <cfRule type="expression" dxfId="5" priority="79">
      <formula>$S130&gt;0</formula>
    </cfRule>
    <cfRule type="expression" dxfId="4" priority="80">
      <formula>$R130&gt;0</formula>
    </cfRule>
  </conditionalFormatting>
  <conditionalFormatting sqref="A3:A7 F3:F7">
    <cfRule type="expression" dxfId="3" priority="81">
      <formula>$Q130&gt;0</formula>
    </cfRule>
    <cfRule type="expression" dxfId="2" priority="82">
      <formula>$P130&gt;0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3" id="{EB016D9B-668F-4EEA-859B-63F0F621CEF6}">
            <xm:f>$Q130&gt;Variables!$C$2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I3:I7</xm:sqref>
        </x14:conditionalFormatting>
        <x14:conditionalFormatting xmlns:xm="http://schemas.microsoft.com/office/excel/2006/main">
          <x14:cfRule type="expression" priority="84" id="{7BEE79D8-A35C-466F-9288-52F47D361E87}">
            <xm:f>$O130&gt;Variables!$C$2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A3:A7 F3:F7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59" bestFit="1" customWidth="1"/>
    <col min="7" max="7" width="18.28515625" style="14" bestFit="1" customWidth="1"/>
  </cols>
  <sheetData>
    <row r="1" spans="1:7" s="59" customFormat="1" x14ac:dyDescent="0.25">
      <c r="A1" s="14">
        <v>42539.23165509259</v>
      </c>
      <c r="B1" s="59" t="s">
        <v>113</v>
      </c>
      <c r="C1" s="59" t="s">
        <v>269</v>
      </c>
      <c r="D1" s="59">
        <v>1480000</v>
      </c>
      <c r="E1" s="59" t="s">
        <v>270</v>
      </c>
      <c r="F1" s="59" t="s">
        <v>113</v>
      </c>
      <c r="G1" s="14">
        <v>42539.23165509259</v>
      </c>
    </row>
    <row r="2" spans="1:7" x14ac:dyDescent="0.25">
      <c r="A2" s="14">
        <v>42539.391388888886</v>
      </c>
      <c r="B2" t="s">
        <v>251</v>
      </c>
      <c r="C2" t="s">
        <v>271</v>
      </c>
      <c r="D2">
        <v>1460000</v>
      </c>
      <c r="E2" t="s">
        <v>272</v>
      </c>
      <c r="F2" s="59" t="s">
        <v>251</v>
      </c>
      <c r="G2" s="14">
        <v>42539.391388888886</v>
      </c>
    </row>
    <row r="3" spans="1:7" x14ac:dyDescent="0.25">
      <c r="A3" s="14">
        <v>42539.401076388887</v>
      </c>
      <c r="B3" t="s">
        <v>118</v>
      </c>
      <c r="C3" t="s">
        <v>273</v>
      </c>
      <c r="D3">
        <v>1830000</v>
      </c>
      <c r="E3" t="s">
        <v>199</v>
      </c>
      <c r="F3" s="59" t="s">
        <v>118</v>
      </c>
      <c r="G3" s="14">
        <v>42539.401076388887</v>
      </c>
    </row>
    <row r="4" spans="1:7" x14ac:dyDescent="0.25">
      <c r="A4" s="14">
        <v>42539.475185185183</v>
      </c>
      <c r="B4" t="s">
        <v>118</v>
      </c>
      <c r="C4" t="s">
        <v>274</v>
      </c>
      <c r="D4">
        <v>940000</v>
      </c>
      <c r="E4" t="s">
        <v>213</v>
      </c>
      <c r="F4" s="59" t="s">
        <v>118</v>
      </c>
      <c r="G4" s="14">
        <v>42539.475185185183</v>
      </c>
    </row>
    <row r="5" spans="1:7" x14ac:dyDescent="0.25">
      <c r="A5" s="14">
        <v>42539.48578703704</v>
      </c>
      <c r="B5" t="s">
        <v>217</v>
      </c>
      <c r="C5" t="s">
        <v>275</v>
      </c>
      <c r="D5">
        <v>1120000</v>
      </c>
      <c r="E5" t="s">
        <v>276</v>
      </c>
      <c r="F5" s="59" t="s">
        <v>217</v>
      </c>
      <c r="G5" s="14">
        <v>42539.48578703704</v>
      </c>
    </row>
    <row r="6" spans="1:7" x14ac:dyDescent="0.25">
      <c r="A6" s="14">
        <v>42539.370752314811</v>
      </c>
      <c r="B6" t="s">
        <v>205</v>
      </c>
      <c r="C6" t="s">
        <v>277</v>
      </c>
      <c r="D6">
        <v>1840000</v>
      </c>
      <c r="E6" t="s">
        <v>253</v>
      </c>
      <c r="F6" s="59" t="s">
        <v>205</v>
      </c>
      <c r="G6" s="14">
        <v>42539.370752314811</v>
      </c>
    </row>
    <row r="7" spans="1:7" x14ac:dyDescent="0.25">
      <c r="A7" s="14">
        <v>42539.311064814814</v>
      </c>
      <c r="B7" t="s">
        <v>98</v>
      </c>
      <c r="C7" t="s">
        <v>278</v>
      </c>
      <c r="D7">
        <v>1110000</v>
      </c>
      <c r="E7" t="s">
        <v>108</v>
      </c>
      <c r="F7" s="59" t="s">
        <v>98</v>
      </c>
      <c r="G7" s="14">
        <v>42539.311064814814</v>
      </c>
    </row>
    <row r="8" spans="1:7" x14ac:dyDescent="0.25">
      <c r="A8" s="14">
        <v>42539.353206018517</v>
      </c>
      <c r="B8" t="s">
        <v>180</v>
      </c>
      <c r="C8" t="s">
        <v>279</v>
      </c>
      <c r="D8">
        <v>1100000</v>
      </c>
      <c r="E8" t="s">
        <v>280</v>
      </c>
      <c r="F8" s="59" t="s">
        <v>180</v>
      </c>
      <c r="G8" s="14">
        <v>42539.353206018517</v>
      </c>
    </row>
    <row r="9" spans="1:7" ht="15.75" thickBot="1" x14ac:dyDescent="0.3">
      <c r="A9" s="82">
        <v>42539.40216435185</v>
      </c>
      <c r="B9" t="s">
        <v>116</v>
      </c>
      <c r="C9" t="s">
        <v>281</v>
      </c>
      <c r="D9">
        <v>1760000</v>
      </c>
      <c r="E9" t="s">
        <v>223</v>
      </c>
      <c r="F9" s="59" t="s">
        <v>116</v>
      </c>
      <c r="G9" s="82">
        <v>42539.40216435185</v>
      </c>
    </row>
    <row r="10" spans="1:7" x14ac:dyDescent="0.25">
      <c r="A10" s="14">
        <v>42539.531122685185</v>
      </c>
      <c r="B10" t="s">
        <v>98</v>
      </c>
      <c r="C10" t="s">
        <v>282</v>
      </c>
      <c r="D10">
        <v>950000</v>
      </c>
      <c r="E10" t="s">
        <v>283</v>
      </c>
      <c r="F10" s="59" t="s">
        <v>98</v>
      </c>
      <c r="G10" s="14">
        <v>42539.531122685185</v>
      </c>
    </row>
    <row r="11" spans="1:7" x14ac:dyDescent="0.25">
      <c r="A11" s="14">
        <v>42539.643888888888</v>
      </c>
      <c r="B11" t="s">
        <v>180</v>
      </c>
      <c r="C11" t="s">
        <v>284</v>
      </c>
      <c r="D11">
        <v>1260000</v>
      </c>
      <c r="E11" t="s">
        <v>285</v>
      </c>
      <c r="F11" s="59" t="s">
        <v>180</v>
      </c>
      <c r="G11" s="14">
        <v>42539.643888888888</v>
      </c>
    </row>
    <row r="12" spans="1:7" x14ac:dyDescent="0.25">
      <c r="A12" s="14">
        <v>42539.361875000002</v>
      </c>
      <c r="B12" t="s">
        <v>102</v>
      </c>
      <c r="C12" t="s">
        <v>286</v>
      </c>
      <c r="D12">
        <v>1480000</v>
      </c>
      <c r="E12" t="s">
        <v>270</v>
      </c>
      <c r="F12" s="59" t="s">
        <v>102</v>
      </c>
      <c r="G12" s="14">
        <v>42539.361875000002</v>
      </c>
    </row>
    <row r="13" spans="1:7" x14ac:dyDescent="0.25">
      <c r="A13" s="14">
        <v>42539.650393518517</v>
      </c>
      <c r="B13" t="s">
        <v>102</v>
      </c>
      <c r="C13" t="s">
        <v>287</v>
      </c>
      <c r="D13">
        <v>1470000</v>
      </c>
      <c r="E13" t="s">
        <v>198</v>
      </c>
      <c r="F13" s="59" t="s">
        <v>102</v>
      </c>
      <c r="G13" s="14">
        <v>42539.650393518517</v>
      </c>
    </row>
    <row r="14" spans="1:7" x14ac:dyDescent="0.25">
      <c r="A14" s="14">
        <v>42540.01053240741</v>
      </c>
      <c r="B14" t="s">
        <v>181</v>
      </c>
      <c r="C14" t="s">
        <v>288</v>
      </c>
      <c r="D14">
        <v>1180000</v>
      </c>
      <c r="E14" t="s">
        <v>114</v>
      </c>
      <c r="F14" s="59" t="s">
        <v>181</v>
      </c>
      <c r="G14" s="14">
        <v>42540.01053240741</v>
      </c>
    </row>
    <row r="15" spans="1:7" x14ac:dyDescent="0.25">
      <c r="A15" s="14">
        <v>42539.720613425925</v>
      </c>
      <c r="B15" t="s">
        <v>102</v>
      </c>
      <c r="C15" t="s">
        <v>289</v>
      </c>
      <c r="D15">
        <v>1470000</v>
      </c>
      <c r="E15" t="s">
        <v>198</v>
      </c>
      <c r="F15" s="59" t="s">
        <v>102</v>
      </c>
      <c r="G15" s="14">
        <v>42539.720613425925</v>
      </c>
    </row>
    <row r="16" spans="1:7" x14ac:dyDescent="0.25">
      <c r="A16" s="14">
        <v>42539.891006944446</v>
      </c>
      <c r="B16" t="s">
        <v>91</v>
      </c>
      <c r="C16" t="s">
        <v>290</v>
      </c>
      <c r="D16">
        <v>1240000</v>
      </c>
      <c r="E16" t="s">
        <v>89</v>
      </c>
      <c r="F16" s="59" t="s">
        <v>91</v>
      </c>
      <c r="G16" s="14">
        <v>42539.891006944446</v>
      </c>
    </row>
    <row r="17" spans="1:7" x14ac:dyDescent="0.25">
      <c r="A17" s="14">
        <v>42540.034988425927</v>
      </c>
      <c r="B17" s="59" t="s">
        <v>102</v>
      </c>
      <c r="C17" t="s">
        <v>291</v>
      </c>
      <c r="D17">
        <v>1780000</v>
      </c>
      <c r="E17" t="s">
        <v>292</v>
      </c>
      <c r="F17" s="59" t="s">
        <v>102</v>
      </c>
      <c r="G17" s="14">
        <v>42540.034988425927</v>
      </c>
    </row>
    <row r="18" spans="1:7" x14ac:dyDescent="0.25">
      <c r="A18" s="14">
        <v>42539.693344907406</v>
      </c>
      <c r="B18" t="s">
        <v>101</v>
      </c>
      <c r="C18" t="s">
        <v>293</v>
      </c>
      <c r="D18">
        <v>880000</v>
      </c>
      <c r="E18" t="s">
        <v>111</v>
      </c>
      <c r="F18" s="59" t="s">
        <v>101</v>
      </c>
      <c r="G18" s="14">
        <v>42539.693344907406</v>
      </c>
    </row>
    <row r="19" spans="1:7" x14ac:dyDescent="0.25">
      <c r="A19" s="14">
        <v>42539.180462962962</v>
      </c>
      <c r="B19" t="s">
        <v>217</v>
      </c>
      <c r="C19" t="s">
        <v>294</v>
      </c>
      <c r="D19">
        <v>1360000</v>
      </c>
      <c r="E19" t="s">
        <v>95</v>
      </c>
      <c r="F19" s="59" t="s">
        <v>217</v>
      </c>
      <c r="G19" s="14">
        <v>42539.180462962962</v>
      </c>
    </row>
    <row r="20" spans="1:7" x14ac:dyDescent="0.25">
      <c r="A20" s="14">
        <v>42539.623599537037</v>
      </c>
      <c r="B20" t="s">
        <v>118</v>
      </c>
      <c r="C20" t="s">
        <v>295</v>
      </c>
      <c r="D20">
        <v>940000</v>
      </c>
      <c r="E20" t="s">
        <v>213</v>
      </c>
      <c r="F20" s="59" t="s">
        <v>118</v>
      </c>
      <c r="G20" s="14">
        <v>42539.623599537037</v>
      </c>
    </row>
    <row r="21" spans="1:7" x14ac:dyDescent="0.25">
      <c r="A21" s="14">
        <v>42539.279756944445</v>
      </c>
      <c r="B21" t="s">
        <v>91</v>
      </c>
      <c r="C21" t="s">
        <v>296</v>
      </c>
      <c r="D21">
        <v>1830000</v>
      </c>
      <c r="E21" t="s">
        <v>199</v>
      </c>
      <c r="F21" s="59" t="s">
        <v>91</v>
      </c>
      <c r="G21" s="14">
        <v>42539.279756944445</v>
      </c>
    </row>
    <row r="22" spans="1:7" x14ac:dyDescent="0.25">
      <c r="A22" s="14">
        <v>42539.271249999998</v>
      </c>
      <c r="B22" t="s">
        <v>100</v>
      </c>
      <c r="C22" t="s">
        <v>297</v>
      </c>
      <c r="D22">
        <v>1310000</v>
      </c>
      <c r="E22" t="s">
        <v>133</v>
      </c>
      <c r="F22" s="59" t="s">
        <v>100</v>
      </c>
      <c r="G22" s="14">
        <v>42539.271249999998</v>
      </c>
    </row>
    <row r="23" spans="1:7" x14ac:dyDescent="0.25">
      <c r="A23" s="14">
        <v>42539.393622685187</v>
      </c>
      <c r="B23" t="s">
        <v>113</v>
      </c>
      <c r="C23" t="s">
        <v>298</v>
      </c>
      <c r="D23">
        <v>1360000</v>
      </c>
      <c r="E23" t="s">
        <v>95</v>
      </c>
      <c r="F23" s="59" t="s">
        <v>113</v>
      </c>
      <c r="G23" s="14">
        <v>42539.393622685187</v>
      </c>
    </row>
    <row r="24" spans="1:7" x14ac:dyDescent="0.25">
      <c r="A24" s="14">
        <v>42539.12773148148</v>
      </c>
      <c r="B24" t="s">
        <v>205</v>
      </c>
      <c r="C24" t="s">
        <v>299</v>
      </c>
      <c r="D24">
        <v>1840000</v>
      </c>
      <c r="E24" t="s">
        <v>253</v>
      </c>
      <c r="F24" s="59" t="s">
        <v>205</v>
      </c>
      <c r="G24" s="14">
        <v>42539.12773148148</v>
      </c>
    </row>
    <row r="25" spans="1:7" x14ac:dyDescent="0.25">
      <c r="A25" s="14">
        <v>42539.403425925928</v>
      </c>
      <c r="B25" t="s">
        <v>118</v>
      </c>
      <c r="C25" t="s">
        <v>273</v>
      </c>
      <c r="D25">
        <v>1830000</v>
      </c>
      <c r="E25" t="s">
        <v>199</v>
      </c>
      <c r="F25" s="59" t="s">
        <v>118</v>
      </c>
      <c r="G25" s="14">
        <v>42539.403425925928</v>
      </c>
    </row>
    <row r="26" spans="1:7" x14ac:dyDescent="0.25">
      <c r="A26" s="14">
        <v>42539.871087962965</v>
      </c>
      <c r="B26" t="s">
        <v>180</v>
      </c>
      <c r="C26" t="s">
        <v>300</v>
      </c>
      <c r="D26">
        <v>1820000</v>
      </c>
      <c r="E26" t="s">
        <v>112</v>
      </c>
      <c r="F26" s="59" t="s">
        <v>180</v>
      </c>
      <c r="G26" s="14">
        <v>42539.871087962965</v>
      </c>
    </row>
    <row r="27" spans="1:7" x14ac:dyDescent="0.25">
      <c r="A27" s="14">
        <v>42539.530416666668</v>
      </c>
      <c r="B27" t="s">
        <v>98</v>
      </c>
      <c r="C27" t="s">
        <v>282</v>
      </c>
      <c r="D27">
        <v>950000</v>
      </c>
      <c r="E27" t="s">
        <v>283</v>
      </c>
      <c r="F27" s="59" t="s">
        <v>98</v>
      </c>
      <c r="G27" s="14">
        <v>42539.530416666668</v>
      </c>
    </row>
    <row r="28" spans="1:7" x14ac:dyDescent="0.25">
      <c r="A28" s="14">
        <v>42539.69394675926</v>
      </c>
      <c r="B28" s="59" t="s">
        <v>118</v>
      </c>
      <c r="C28" t="s">
        <v>301</v>
      </c>
      <c r="D28">
        <v>940000</v>
      </c>
      <c r="E28" t="s">
        <v>213</v>
      </c>
      <c r="F28" s="59" t="s">
        <v>118</v>
      </c>
      <c r="G28" s="14">
        <v>42539.69394675926</v>
      </c>
    </row>
    <row r="29" spans="1:7" x14ac:dyDescent="0.25">
      <c r="A29" s="14">
        <v>42539.565601851849</v>
      </c>
      <c r="B29" t="s">
        <v>97</v>
      </c>
      <c r="C29" t="s">
        <v>302</v>
      </c>
      <c r="D29">
        <v>950000</v>
      </c>
      <c r="E29" t="s">
        <v>283</v>
      </c>
      <c r="F29" s="59" t="s">
        <v>97</v>
      </c>
      <c r="G29" s="14">
        <v>42539.565601851849</v>
      </c>
    </row>
    <row r="30" spans="1:7" x14ac:dyDescent="0.25">
      <c r="A30" s="14">
        <v>42539.660266203704</v>
      </c>
      <c r="B30" t="s">
        <v>179</v>
      </c>
      <c r="C30" t="s">
        <v>303</v>
      </c>
      <c r="D30">
        <v>1190000</v>
      </c>
      <c r="E30" t="s">
        <v>304</v>
      </c>
      <c r="F30" s="59" t="s">
        <v>179</v>
      </c>
      <c r="G30" s="14">
        <v>42539.660266203704</v>
      </c>
    </row>
    <row r="31" spans="1:7" x14ac:dyDescent="0.25">
      <c r="A31" s="14">
        <v>42539.632071759261</v>
      </c>
      <c r="B31" t="s">
        <v>181</v>
      </c>
      <c r="C31" t="s">
        <v>305</v>
      </c>
      <c r="D31">
        <v>1190000</v>
      </c>
      <c r="E31" t="s">
        <v>304</v>
      </c>
      <c r="F31" s="59" t="s">
        <v>181</v>
      </c>
      <c r="G31" s="14">
        <v>42539.632071759261</v>
      </c>
    </row>
    <row r="32" spans="1:7" x14ac:dyDescent="0.25">
      <c r="A32" s="14">
        <v>42539.642361111109</v>
      </c>
      <c r="B32" t="s">
        <v>180</v>
      </c>
      <c r="C32" t="s">
        <v>284</v>
      </c>
      <c r="D32">
        <v>1260000</v>
      </c>
      <c r="E32" t="s">
        <v>285</v>
      </c>
      <c r="F32" s="59" t="s">
        <v>180</v>
      </c>
      <c r="G32" s="14">
        <v>42539.642361111109</v>
      </c>
    </row>
    <row r="33" spans="1:7" x14ac:dyDescent="0.25">
      <c r="A33" s="14">
        <v>42539.7112037037</v>
      </c>
      <c r="B33" t="s">
        <v>97</v>
      </c>
      <c r="C33" t="s">
        <v>306</v>
      </c>
      <c r="D33">
        <v>950000</v>
      </c>
      <c r="E33" t="s">
        <v>283</v>
      </c>
      <c r="F33" s="59" t="s">
        <v>97</v>
      </c>
      <c r="G33" s="14">
        <v>42539.7112037037</v>
      </c>
    </row>
    <row r="34" spans="1:7" x14ac:dyDescent="0.25">
      <c r="A34" s="14">
        <v>42539.48814814815</v>
      </c>
      <c r="B34" t="s">
        <v>217</v>
      </c>
      <c r="C34" t="s">
        <v>275</v>
      </c>
      <c r="D34">
        <v>1120000</v>
      </c>
      <c r="E34" t="s">
        <v>276</v>
      </c>
      <c r="F34" s="59" t="s">
        <v>217</v>
      </c>
      <c r="G34" s="14">
        <v>42539.48814814815</v>
      </c>
    </row>
    <row r="35" spans="1:7" x14ac:dyDescent="0.25">
      <c r="A35" s="14">
        <v>42539.727118055554</v>
      </c>
      <c r="B35" t="s">
        <v>100</v>
      </c>
      <c r="C35" t="s">
        <v>307</v>
      </c>
      <c r="D35">
        <v>880000</v>
      </c>
      <c r="E35" t="s">
        <v>111</v>
      </c>
      <c r="F35" s="59" t="s">
        <v>100</v>
      </c>
      <c r="G35" s="14">
        <v>42539.727118055554</v>
      </c>
    </row>
    <row r="36" spans="1:7" x14ac:dyDescent="0.25">
      <c r="A36" s="14">
        <v>42539.44091435185</v>
      </c>
      <c r="B36" t="s">
        <v>100</v>
      </c>
      <c r="C36" t="s">
        <v>308</v>
      </c>
      <c r="D36">
        <v>1190000</v>
      </c>
      <c r="E36" t="s">
        <v>304</v>
      </c>
      <c r="F36" s="59" t="s">
        <v>100</v>
      </c>
      <c r="G36" s="14">
        <v>42539.44091435185</v>
      </c>
    </row>
    <row r="37" spans="1:7" x14ac:dyDescent="0.25">
      <c r="A37" s="14">
        <v>42539.198194444441</v>
      </c>
      <c r="B37" t="s">
        <v>100</v>
      </c>
      <c r="C37" t="s">
        <v>309</v>
      </c>
      <c r="D37">
        <v>1310000</v>
      </c>
      <c r="E37" t="s">
        <v>133</v>
      </c>
      <c r="F37" s="59" t="s">
        <v>100</v>
      </c>
      <c r="G37" s="14">
        <v>42539.198194444441</v>
      </c>
    </row>
    <row r="38" spans="1:7" x14ac:dyDescent="0.25">
      <c r="A38" s="14">
        <v>42539.184178240743</v>
      </c>
      <c r="B38" t="s">
        <v>116</v>
      </c>
      <c r="C38" t="s">
        <v>310</v>
      </c>
      <c r="D38">
        <v>1840000</v>
      </c>
      <c r="E38" t="s">
        <v>253</v>
      </c>
      <c r="F38" s="59" t="s">
        <v>116</v>
      </c>
      <c r="G38" s="14">
        <v>42539.184178240743</v>
      </c>
    </row>
    <row r="39" spans="1:7" x14ac:dyDescent="0.25">
      <c r="A39" s="14">
        <v>42539.263506944444</v>
      </c>
      <c r="B39" t="s">
        <v>217</v>
      </c>
      <c r="C39" t="s">
        <v>311</v>
      </c>
      <c r="D39">
        <v>1360000</v>
      </c>
      <c r="E39" t="s">
        <v>95</v>
      </c>
      <c r="F39" s="59" t="s">
        <v>217</v>
      </c>
      <c r="G39" s="14">
        <v>42539.263506944444</v>
      </c>
    </row>
    <row r="40" spans="1:7" x14ac:dyDescent="0.25">
      <c r="A40" s="14">
        <v>42539.997534722221</v>
      </c>
      <c r="B40" t="s">
        <v>113</v>
      </c>
      <c r="C40" t="s">
        <v>312</v>
      </c>
      <c r="D40">
        <v>1780000</v>
      </c>
      <c r="E40" t="s">
        <v>292</v>
      </c>
      <c r="F40" s="59" t="s">
        <v>113</v>
      </c>
      <c r="G40" s="14">
        <v>42539.997534722221</v>
      </c>
    </row>
    <row r="41" spans="1:7" x14ac:dyDescent="0.25">
      <c r="A41" s="14">
        <v>42539.273518518516</v>
      </c>
      <c r="B41" t="s">
        <v>97</v>
      </c>
      <c r="C41" t="s">
        <v>313</v>
      </c>
      <c r="D41">
        <v>1110000</v>
      </c>
      <c r="E41" t="s">
        <v>108</v>
      </c>
      <c r="F41" s="59" t="s">
        <v>97</v>
      </c>
      <c r="G41" s="14">
        <v>42539.273518518516</v>
      </c>
    </row>
    <row r="42" spans="1:7" x14ac:dyDescent="0.25">
      <c r="A42" s="14">
        <v>42539.783750000002</v>
      </c>
      <c r="B42" t="s">
        <v>97</v>
      </c>
      <c r="C42" t="s">
        <v>314</v>
      </c>
      <c r="D42">
        <v>950000</v>
      </c>
      <c r="E42" t="s">
        <v>283</v>
      </c>
      <c r="F42" s="59" t="s">
        <v>97</v>
      </c>
      <c r="G42" s="14">
        <v>42539.783750000002</v>
      </c>
    </row>
    <row r="43" spans="1:7" x14ac:dyDescent="0.25">
      <c r="A43" s="14">
        <v>42539.307685185187</v>
      </c>
      <c r="B43" s="59" t="s">
        <v>101</v>
      </c>
      <c r="C43" t="s">
        <v>315</v>
      </c>
      <c r="D43">
        <v>1310000</v>
      </c>
      <c r="E43" t="s">
        <v>133</v>
      </c>
      <c r="F43" s="59" t="s">
        <v>101</v>
      </c>
      <c r="G43" s="14">
        <v>42539.307685185187</v>
      </c>
    </row>
    <row r="44" spans="1:7" x14ac:dyDescent="0.25">
      <c r="A44" s="14">
        <v>42539.641689814816</v>
      </c>
      <c r="B44" t="s">
        <v>97</v>
      </c>
      <c r="C44" t="s">
        <v>316</v>
      </c>
      <c r="D44">
        <v>950000</v>
      </c>
      <c r="E44" t="s">
        <v>283</v>
      </c>
      <c r="F44" s="59" t="s">
        <v>97</v>
      </c>
      <c r="G44" s="14">
        <v>42539.641689814816</v>
      </c>
    </row>
    <row r="45" spans="1:7" x14ac:dyDescent="0.25">
      <c r="A45" s="14">
        <v>42539.423541666663</v>
      </c>
      <c r="B45" t="s">
        <v>180</v>
      </c>
      <c r="C45" t="s">
        <v>317</v>
      </c>
      <c r="D45">
        <v>1260000</v>
      </c>
      <c r="E45" t="s">
        <v>285</v>
      </c>
      <c r="F45" s="59" t="s">
        <v>180</v>
      </c>
      <c r="G45" s="14">
        <v>42539.423541666663</v>
      </c>
    </row>
    <row r="46" spans="1:7" x14ac:dyDescent="0.25">
      <c r="A46" s="14">
        <v>42539.608761574076</v>
      </c>
      <c r="B46" t="s">
        <v>113</v>
      </c>
      <c r="C46" t="s">
        <v>318</v>
      </c>
      <c r="D46">
        <v>1470000</v>
      </c>
      <c r="E46" t="s">
        <v>198</v>
      </c>
      <c r="F46" s="59" t="s">
        <v>113</v>
      </c>
      <c r="G46" s="14">
        <v>42539.608761574076</v>
      </c>
    </row>
    <row r="47" spans="1:7" x14ac:dyDescent="0.25">
      <c r="A47" s="14">
        <v>42539.56958333333</v>
      </c>
      <c r="B47" s="83" t="s">
        <v>180</v>
      </c>
      <c r="C47" t="s">
        <v>319</v>
      </c>
      <c r="D47">
        <v>1260000</v>
      </c>
      <c r="E47" t="s">
        <v>285</v>
      </c>
      <c r="F47" s="83" t="s">
        <v>180</v>
      </c>
      <c r="G47" s="14">
        <v>42539.56958333333</v>
      </c>
    </row>
    <row r="48" spans="1:7" x14ac:dyDescent="0.25">
      <c r="A48" s="14">
        <v>42539.429456018515</v>
      </c>
      <c r="B48" t="s">
        <v>97</v>
      </c>
      <c r="C48" t="s">
        <v>320</v>
      </c>
      <c r="D48">
        <v>1110000</v>
      </c>
      <c r="E48" t="s">
        <v>108</v>
      </c>
      <c r="F48" s="59" t="s">
        <v>97</v>
      </c>
      <c r="G48" s="14">
        <v>42539.429456018515</v>
      </c>
    </row>
    <row r="49" spans="1:7" x14ac:dyDescent="0.25">
      <c r="A49" s="84">
        <v>42539.635254629633</v>
      </c>
      <c r="B49" t="s">
        <v>217</v>
      </c>
      <c r="C49" t="s">
        <v>321</v>
      </c>
      <c r="D49">
        <v>1120000</v>
      </c>
      <c r="E49" t="s">
        <v>276</v>
      </c>
      <c r="F49" s="59" t="s">
        <v>217</v>
      </c>
      <c r="G49" s="84">
        <v>42539.635254629633</v>
      </c>
    </row>
    <row r="50" spans="1:7" x14ac:dyDescent="0.25">
      <c r="A50" s="14">
        <v>42539.929513888892</v>
      </c>
      <c r="B50" t="s">
        <v>181</v>
      </c>
      <c r="C50" t="s">
        <v>322</v>
      </c>
      <c r="D50">
        <v>1180000</v>
      </c>
      <c r="E50" t="s">
        <v>114</v>
      </c>
      <c r="F50" s="59" t="s">
        <v>181</v>
      </c>
      <c r="G50" s="14">
        <v>42539.929513888892</v>
      </c>
    </row>
    <row r="51" spans="1:7" x14ac:dyDescent="0.25">
      <c r="A51" s="14">
        <v>42539.681655092594</v>
      </c>
      <c r="B51" t="s">
        <v>113</v>
      </c>
      <c r="C51" t="s">
        <v>323</v>
      </c>
      <c r="D51">
        <v>1470000</v>
      </c>
      <c r="E51" t="s">
        <v>198</v>
      </c>
      <c r="F51" s="59" t="s">
        <v>113</v>
      </c>
      <c r="G51" s="14">
        <v>42539.681655092594</v>
      </c>
    </row>
    <row r="52" spans="1:7" x14ac:dyDescent="0.25">
      <c r="A52" s="14">
        <v>42539.789317129631</v>
      </c>
      <c r="B52" t="s">
        <v>180</v>
      </c>
      <c r="C52" t="s">
        <v>324</v>
      </c>
      <c r="D52">
        <v>1820000</v>
      </c>
      <c r="E52" t="s">
        <v>112</v>
      </c>
      <c r="F52" s="59" t="s">
        <v>180</v>
      </c>
      <c r="G52" s="14">
        <v>42539.789317129631</v>
      </c>
    </row>
    <row r="53" spans="1:7" x14ac:dyDescent="0.25">
      <c r="A53" s="14">
        <v>42539.703009259261</v>
      </c>
      <c r="B53" t="s">
        <v>217</v>
      </c>
      <c r="C53" t="s">
        <v>325</v>
      </c>
      <c r="D53">
        <v>1120000</v>
      </c>
      <c r="E53" t="s">
        <v>276</v>
      </c>
      <c r="F53" s="59" t="s">
        <v>217</v>
      </c>
      <c r="G53" s="14">
        <v>42539.703009259261</v>
      </c>
    </row>
    <row r="54" spans="1:7" x14ac:dyDescent="0.25">
      <c r="A54" s="14">
        <v>42539.435324074075</v>
      </c>
      <c r="B54" t="s">
        <v>136</v>
      </c>
      <c r="C54" t="s">
        <v>326</v>
      </c>
      <c r="D54">
        <v>1100000</v>
      </c>
      <c r="E54" t="s">
        <v>280</v>
      </c>
      <c r="F54" s="59" t="s">
        <v>136</v>
      </c>
      <c r="G54" s="14">
        <v>42539.435324074075</v>
      </c>
    </row>
    <row r="55" spans="1:7" x14ac:dyDescent="0.25">
      <c r="A55" s="14">
        <v>42539.280787037038</v>
      </c>
      <c r="B55" t="s">
        <v>180</v>
      </c>
      <c r="C55" t="s">
        <v>327</v>
      </c>
      <c r="D55">
        <v>1450000</v>
      </c>
      <c r="E55" t="s">
        <v>182</v>
      </c>
      <c r="F55" s="59" t="s">
        <v>180</v>
      </c>
      <c r="G55" s="14">
        <v>42539.280787037038</v>
      </c>
    </row>
    <row r="56" spans="1:7" x14ac:dyDescent="0.25">
      <c r="A56" s="14">
        <v>42539.416747685187</v>
      </c>
      <c r="B56" t="s">
        <v>217</v>
      </c>
      <c r="C56" t="s">
        <v>328</v>
      </c>
      <c r="D56">
        <v>1310000</v>
      </c>
      <c r="E56" t="s">
        <v>133</v>
      </c>
      <c r="F56" s="59" t="s">
        <v>217</v>
      </c>
      <c r="G56" s="14">
        <v>42539.416747685187</v>
      </c>
    </row>
    <row r="57" spans="1:7" x14ac:dyDescent="0.25">
      <c r="A57" s="14">
        <v>42539.380312499998</v>
      </c>
      <c r="B57" t="s">
        <v>207</v>
      </c>
      <c r="C57" t="s">
        <v>329</v>
      </c>
      <c r="D57">
        <v>1310000</v>
      </c>
      <c r="E57" t="s">
        <v>133</v>
      </c>
      <c r="F57" s="59" t="s">
        <v>207</v>
      </c>
      <c r="G57" s="14">
        <v>42539.380312499998</v>
      </c>
    </row>
    <row r="58" spans="1:7" x14ac:dyDescent="0.25">
      <c r="A58" s="14">
        <v>42539.277465277781</v>
      </c>
      <c r="B58" t="s">
        <v>102</v>
      </c>
      <c r="C58" t="s">
        <v>330</v>
      </c>
      <c r="D58">
        <v>1480000</v>
      </c>
      <c r="E58" t="s">
        <v>270</v>
      </c>
      <c r="F58" s="59" t="s">
        <v>102</v>
      </c>
      <c r="G58" s="14">
        <v>42539.277465277781</v>
      </c>
    </row>
    <row r="59" spans="1:7" x14ac:dyDescent="0.25">
      <c r="A59" s="14">
        <v>42539.597268518519</v>
      </c>
      <c r="B59" t="s">
        <v>207</v>
      </c>
      <c r="C59" t="s">
        <v>331</v>
      </c>
      <c r="D59">
        <v>1120000</v>
      </c>
      <c r="E59" t="s">
        <v>276</v>
      </c>
      <c r="F59" s="59" t="s">
        <v>207</v>
      </c>
      <c r="G59" s="14">
        <v>42539.597268518519</v>
      </c>
    </row>
    <row r="60" spans="1:7" x14ac:dyDescent="0.25">
      <c r="A60" s="14">
        <v>42539.794907407406</v>
      </c>
      <c r="B60" t="s">
        <v>102</v>
      </c>
      <c r="C60" t="s">
        <v>332</v>
      </c>
      <c r="D60">
        <v>1780000</v>
      </c>
      <c r="E60" t="s">
        <v>292</v>
      </c>
      <c r="F60" s="59" t="s">
        <v>102</v>
      </c>
      <c r="G60" s="14">
        <v>42539.794907407406</v>
      </c>
    </row>
    <row r="61" spans="1:7" x14ac:dyDescent="0.25">
      <c r="A61" s="14">
        <v>42539.680335648147</v>
      </c>
      <c r="B61" t="s">
        <v>183</v>
      </c>
      <c r="C61" t="s">
        <v>333</v>
      </c>
      <c r="D61">
        <v>1260000</v>
      </c>
      <c r="E61" t="s">
        <v>285</v>
      </c>
      <c r="F61" s="59" t="s">
        <v>183</v>
      </c>
      <c r="G61" s="14">
        <v>42539.680335648147</v>
      </c>
    </row>
    <row r="62" spans="1:7" x14ac:dyDescent="0.25">
      <c r="A62" s="14">
        <v>42539.848090277781</v>
      </c>
      <c r="B62" t="s">
        <v>118</v>
      </c>
      <c r="C62" t="s">
        <v>334</v>
      </c>
      <c r="D62">
        <v>1240000</v>
      </c>
      <c r="E62" t="s">
        <v>89</v>
      </c>
      <c r="F62" s="59" t="s">
        <v>118</v>
      </c>
      <c r="G62" s="14">
        <v>42539.848090277781</v>
      </c>
    </row>
    <row r="63" spans="1:7" x14ac:dyDescent="0.25">
      <c r="A63" s="14">
        <v>42539.735567129632</v>
      </c>
      <c r="B63" t="s">
        <v>179</v>
      </c>
      <c r="C63" t="s">
        <v>335</v>
      </c>
      <c r="D63">
        <v>1180000</v>
      </c>
      <c r="E63" t="s">
        <v>114</v>
      </c>
      <c r="F63" s="59" t="s">
        <v>179</v>
      </c>
      <c r="G63" s="14">
        <v>42539.735567129632</v>
      </c>
    </row>
    <row r="64" spans="1:7" x14ac:dyDescent="0.25">
      <c r="A64" s="14">
        <v>42539.747384259259</v>
      </c>
      <c r="B64" t="s">
        <v>98</v>
      </c>
      <c r="C64" t="s">
        <v>336</v>
      </c>
      <c r="D64">
        <v>950000</v>
      </c>
      <c r="E64" t="s">
        <v>283</v>
      </c>
      <c r="F64" s="59" t="s">
        <v>98</v>
      </c>
      <c r="G64" s="14">
        <v>42539.747384259259</v>
      </c>
    </row>
    <row r="65" spans="1:7" x14ac:dyDescent="0.25">
      <c r="A65" s="14">
        <v>42539.765601851854</v>
      </c>
      <c r="B65" t="s">
        <v>101</v>
      </c>
      <c r="C65" t="s">
        <v>337</v>
      </c>
      <c r="D65">
        <v>880000</v>
      </c>
      <c r="E65" t="s">
        <v>111</v>
      </c>
      <c r="F65" s="59" t="s">
        <v>101</v>
      </c>
      <c r="G65" s="14">
        <v>42539.765601851854</v>
      </c>
    </row>
    <row r="66" spans="1:7" x14ac:dyDescent="0.25">
      <c r="A66" s="14">
        <v>42539.885370370372</v>
      </c>
      <c r="B66" t="s">
        <v>179</v>
      </c>
      <c r="C66" t="s">
        <v>338</v>
      </c>
      <c r="D66">
        <v>1180000</v>
      </c>
      <c r="E66" t="s">
        <v>114</v>
      </c>
      <c r="F66" s="59" t="s">
        <v>179</v>
      </c>
      <c r="G66" s="14">
        <v>42539.885370370372</v>
      </c>
    </row>
    <row r="67" spans="1:7" x14ac:dyDescent="0.25">
      <c r="A67" s="14">
        <v>42539.150925925926</v>
      </c>
      <c r="B67" t="s">
        <v>98</v>
      </c>
      <c r="C67" t="s">
        <v>339</v>
      </c>
      <c r="D67">
        <v>1480000</v>
      </c>
      <c r="E67" t="s">
        <v>270</v>
      </c>
      <c r="F67" s="59" t="s">
        <v>98</v>
      </c>
      <c r="G67" s="14">
        <v>42539.150925925926</v>
      </c>
    </row>
    <row r="68" spans="1:7" x14ac:dyDescent="0.25">
      <c r="A68" s="14">
        <v>42539.873032407406</v>
      </c>
      <c r="B68" t="s">
        <v>102</v>
      </c>
      <c r="C68" t="s">
        <v>340</v>
      </c>
      <c r="D68">
        <v>1780000</v>
      </c>
      <c r="E68" t="s">
        <v>292</v>
      </c>
      <c r="F68" s="59" t="s">
        <v>102</v>
      </c>
      <c r="G68" s="14">
        <v>42539.873032407406</v>
      </c>
    </row>
    <row r="69" spans="1:7" x14ac:dyDescent="0.25">
      <c r="A69" s="14">
        <v>42539.175983796296</v>
      </c>
      <c r="B69" t="s">
        <v>118</v>
      </c>
      <c r="C69" t="s">
        <v>341</v>
      </c>
      <c r="D69">
        <v>1830000</v>
      </c>
      <c r="E69" t="s">
        <v>199</v>
      </c>
      <c r="F69" s="59" t="s">
        <v>118</v>
      </c>
      <c r="G69" s="14">
        <v>42539.175983796296</v>
      </c>
    </row>
    <row r="70" spans="1:7" x14ac:dyDescent="0.25">
      <c r="A70" s="14">
        <v>42539.842685185184</v>
      </c>
      <c r="B70" t="s">
        <v>181</v>
      </c>
      <c r="C70" t="s">
        <v>342</v>
      </c>
      <c r="D70">
        <v>1180000</v>
      </c>
      <c r="E70" t="s">
        <v>114</v>
      </c>
      <c r="F70" s="59" t="s">
        <v>181</v>
      </c>
      <c r="G70" s="14">
        <v>42539.842685185184</v>
      </c>
    </row>
    <row r="71" spans="1:7" x14ac:dyDescent="0.25">
      <c r="A71" s="14">
        <v>42539.251666666663</v>
      </c>
      <c r="B71" t="s">
        <v>118</v>
      </c>
      <c r="C71" t="s">
        <v>343</v>
      </c>
      <c r="D71">
        <v>1830000</v>
      </c>
      <c r="E71" t="s">
        <v>199</v>
      </c>
      <c r="F71" s="59" t="s">
        <v>118</v>
      </c>
      <c r="G71" s="14">
        <v>42539.251666666663</v>
      </c>
    </row>
    <row r="72" spans="1:7" x14ac:dyDescent="0.25">
      <c r="A72" s="14">
        <v>42539.745266203703</v>
      </c>
      <c r="B72" t="s">
        <v>207</v>
      </c>
      <c r="C72" t="s">
        <v>344</v>
      </c>
      <c r="D72">
        <v>1120000</v>
      </c>
      <c r="E72" t="s">
        <v>276</v>
      </c>
      <c r="F72" s="59" t="s">
        <v>207</v>
      </c>
      <c r="G72" s="14">
        <v>42539.745266203703</v>
      </c>
    </row>
    <row r="73" spans="1:7" x14ac:dyDescent="0.25">
      <c r="A73" s="14">
        <v>42539.370636574073</v>
      </c>
      <c r="B73" t="s">
        <v>91</v>
      </c>
      <c r="C73" t="s">
        <v>345</v>
      </c>
      <c r="D73">
        <v>1830000</v>
      </c>
      <c r="E73" t="s">
        <v>199</v>
      </c>
      <c r="F73" s="59" t="s">
        <v>91</v>
      </c>
      <c r="G73" s="14">
        <v>42539.370636574073</v>
      </c>
    </row>
    <row r="74" spans="1:7" x14ac:dyDescent="0.25">
      <c r="A74" s="14">
        <v>42539.674444444441</v>
      </c>
      <c r="B74" t="s">
        <v>98</v>
      </c>
      <c r="C74" t="s">
        <v>346</v>
      </c>
      <c r="D74">
        <v>950000</v>
      </c>
      <c r="E74" t="s">
        <v>283</v>
      </c>
      <c r="F74" s="59" t="s">
        <v>98</v>
      </c>
      <c r="G74" s="14">
        <v>42539.674444444441</v>
      </c>
    </row>
    <row r="75" spans="1:7" x14ac:dyDescent="0.25">
      <c r="A75" s="14">
        <v>42539.376909722225</v>
      </c>
      <c r="B75" t="s">
        <v>252</v>
      </c>
      <c r="C75" t="s">
        <v>271</v>
      </c>
      <c r="D75">
        <v>1460000</v>
      </c>
      <c r="E75" t="s">
        <v>272</v>
      </c>
      <c r="F75" s="59" t="s">
        <v>252</v>
      </c>
      <c r="G75" s="14">
        <v>42539.376909722225</v>
      </c>
    </row>
    <row r="76" spans="1:7" x14ac:dyDescent="0.25">
      <c r="A76" s="14">
        <v>42539.568333333336</v>
      </c>
      <c r="B76" t="s">
        <v>180</v>
      </c>
      <c r="C76" t="s">
        <v>319</v>
      </c>
      <c r="D76">
        <v>1260000</v>
      </c>
      <c r="E76" t="s">
        <v>285</v>
      </c>
      <c r="F76" s="59" t="s">
        <v>180</v>
      </c>
      <c r="G76" s="14">
        <v>42539.568333333336</v>
      </c>
    </row>
    <row r="77" spans="1:7" x14ac:dyDescent="0.25">
      <c r="A77" s="14">
        <v>42539.501875000002</v>
      </c>
      <c r="B77" t="s">
        <v>102</v>
      </c>
      <c r="C77" t="s">
        <v>347</v>
      </c>
      <c r="D77">
        <v>1470000</v>
      </c>
      <c r="E77" t="s">
        <v>198</v>
      </c>
      <c r="F77" s="59" t="s">
        <v>102</v>
      </c>
      <c r="G77" s="14">
        <v>42539.501875000002</v>
      </c>
    </row>
    <row r="78" spans="1:7" x14ac:dyDescent="0.25">
      <c r="A78" s="14">
        <v>42539.326979166668</v>
      </c>
      <c r="B78" t="s">
        <v>116</v>
      </c>
      <c r="C78" t="s">
        <v>348</v>
      </c>
      <c r="D78">
        <v>1760000</v>
      </c>
      <c r="E78" t="s">
        <v>223</v>
      </c>
      <c r="F78" s="59" t="s">
        <v>116</v>
      </c>
      <c r="G78" s="14">
        <v>42539.326979166668</v>
      </c>
    </row>
    <row r="79" spans="1:7" x14ac:dyDescent="0.25">
      <c r="A79" s="14">
        <v>42539.514444444445</v>
      </c>
      <c r="B79" t="s">
        <v>100</v>
      </c>
      <c r="C79" t="s">
        <v>349</v>
      </c>
      <c r="D79">
        <v>1190000</v>
      </c>
      <c r="E79" t="s">
        <v>304</v>
      </c>
      <c r="F79" s="59" t="s">
        <v>100</v>
      </c>
      <c r="G79" s="14">
        <v>42539.514444444445</v>
      </c>
    </row>
    <row r="80" spans="1:7" x14ac:dyDescent="0.25">
      <c r="A80" s="84">
        <v>42539.312418981484</v>
      </c>
      <c r="B80" t="s">
        <v>98</v>
      </c>
      <c r="C80" t="s">
        <v>278</v>
      </c>
      <c r="D80">
        <v>1110000</v>
      </c>
      <c r="E80" t="s">
        <v>108</v>
      </c>
      <c r="F80" s="59" t="s">
        <v>98</v>
      </c>
      <c r="G80" s="84">
        <v>42539.312418981484</v>
      </c>
    </row>
    <row r="81" spans="1:7" x14ac:dyDescent="0.25">
      <c r="A81" s="14">
        <v>42539.599895833337</v>
      </c>
      <c r="B81" t="s">
        <v>98</v>
      </c>
      <c r="C81" t="s">
        <v>350</v>
      </c>
      <c r="D81">
        <v>950000</v>
      </c>
      <c r="E81" t="s">
        <v>283</v>
      </c>
      <c r="F81" s="59" t="s">
        <v>98</v>
      </c>
      <c r="G81" s="14">
        <v>42539.599895833337</v>
      </c>
    </row>
    <row r="82" spans="1:7" x14ac:dyDescent="0.25">
      <c r="A82" s="14">
        <v>42539.228171296294</v>
      </c>
      <c r="B82" t="s">
        <v>98</v>
      </c>
      <c r="C82" t="s">
        <v>351</v>
      </c>
      <c r="D82">
        <v>1110000</v>
      </c>
      <c r="E82" t="s">
        <v>108</v>
      </c>
      <c r="F82" s="59" t="s">
        <v>98</v>
      </c>
      <c r="G82" s="14">
        <v>42539.228171296294</v>
      </c>
    </row>
    <row r="83" spans="1:7" x14ac:dyDescent="0.25">
      <c r="A83" s="14">
        <v>42539.661886574075</v>
      </c>
      <c r="B83" t="s">
        <v>100</v>
      </c>
      <c r="C83" t="s">
        <v>352</v>
      </c>
      <c r="D83">
        <v>880000</v>
      </c>
      <c r="E83" t="s">
        <v>111</v>
      </c>
      <c r="F83" s="59" t="s">
        <v>100</v>
      </c>
      <c r="G83" s="14">
        <v>42539.661886574075</v>
      </c>
    </row>
    <row r="84" spans="1:7" x14ac:dyDescent="0.25">
      <c r="A84" s="14">
        <v>42539.415949074071</v>
      </c>
      <c r="B84" t="s">
        <v>217</v>
      </c>
      <c r="C84" t="s">
        <v>328</v>
      </c>
      <c r="D84">
        <v>1310000</v>
      </c>
      <c r="E84" t="s">
        <v>133</v>
      </c>
      <c r="F84" s="59" t="s">
        <v>217</v>
      </c>
      <c r="G84" s="14">
        <v>42539.415949074071</v>
      </c>
    </row>
    <row r="85" spans="1:7" x14ac:dyDescent="0.25">
      <c r="A85" s="14">
        <v>42539.67</v>
      </c>
      <c r="B85" t="s">
        <v>207</v>
      </c>
      <c r="C85" t="s">
        <v>353</v>
      </c>
      <c r="D85">
        <v>1120000</v>
      </c>
      <c r="E85" t="s">
        <v>276</v>
      </c>
      <c r="F85" s="59" t="s">
        <v>207</v>
      </c>
      <c r="G85" s="14">
        <v>42539.67</v>
      </c>
    </row>
    <row r="86" spans="1:7" x14ac:dyDescent="0.25">
      <c r="A86" s="14">
        <v>42539.310219907406</v>
      </c>
      <c r="B86" t="s">
        <v>98</v>
      </c>
      <c r="C86" t="s">
        <v>278</v>
      </c>
      <c r="D86">
        <v>1110000</v>
      </c>
      <c r="E86" t="s">
        <v>108</v>
      </c>
      <c r="F86" s="59" t="s">
        <v>98</v>
      </c>
      <c r="G86" s="14">
        <v>42539.310219907406</v>
      </c>
    </row>
    <row r="87" spans="1:7" x14ac:dyDescent="0.25">
      <c r="A87" s="14">
        <v>42539.769814814812</v>
      </c>
      <c r="B87" t="s">
        <v>118</v>
      </c>
      <c r="C87" t="s">
        <v>354</v>
      </c>
      <c r="D87">
        <v>1540000</v>
      </c>
      <c r="E87" t="s">
        <v>355</v>
      </c>
      <c r="F87" s="59" t="s">
        <v>118</v>
      </c>
      <c r="G87" s="14">
        <v>42539.769814814812</v>
      </c>
    </row>
    <row r="88" spans="1:7" x14ac:dyDescent="0.25">
      <c r="A88" s="14">
        <v>42539.298229166663</v>
      </c>
      <c r="B88" t="s">
        <v>207</v>
      </c>
      <c r="C88" t="s">
        <v>356</v>
      </c>
      <c r="D88">
        <v>1360000</v>
      </c>
      <c r="E88" t="s">
        <v>95</v>
      </c>
      <c r="F88" s="59" t="s">
        <v>207</v>
      </c>
      <c r="G88" s="14">
        <v>42539.298229166663</v>
      </c>
    </row>
    <row r="89" spans="1:7" x14ac:dyDescent="0.25">
      <c r="A89" s="14">
        <v>42539.174166666664</v>
      </c>
      <c r="B89" t="s">
        <v>116</v>
      </c>
      <c r="C89" t="s">
        <v>310</v>
      </c>
      <c r="D89">
        <v>1840000</v>
      </c>
      <c r="E89" t="s">
        <v>253</v>
      </c>
      <c r="F89" s="59" t="s">
        <v>116</v>
      </c>
      <c r="G89" s="14">
        <v>42539.174166666664</v>
      </c>
    </row>
    <row r="90" spans="1:7" x14ac:dyDescent="0.25">
      <c r="A90" s="14">
        <v>42539.269548611112</v>
      </c>
      <c r="B90" t="s">
        <v>100</v>
      </c>
      <c r="C90" t="s">
        <v>297</v>
      </c>
      <c r="D90">
        <v>1310000</v>
      </c>
      <c r="E90" t="s">
        <v>133</v>
      </c>
      <c r="F90" s="59" t="s">
        <v>100</v>
      </c>
      <c r="G90" s="14">
        <v>42539.269548611112</v>
      </c>
    </row>
    <row r="91" spans="1:7" x14ac:dyDescent="0.25">
      <c r="A91" s="14">
        <v>42539.265706018516</v>
      </c>
      <c r="B91" t="s">
        <v>225</v>
      </c>
      <c r="C91" t="s">
        <v>357</v>
      </c>
      <c r="D91">
        <v>1840000</v>
      </c>
      <c r="E91" t="s">
        <v>253</v>
      </c>
      <c r="F91" s="59" t="s">
        <v>225</v>
      </c>
      <c r="G91" s="14">
        <v>42539.265706018516</v>
      </c>
    </row>
    <row r="92" spans="1:7" x14ac:dyDescent="0.25">
      <c r="A92" s="14">
        <v>42539.222824074073</v>
      </c>
      <c r="B92" t="s">
        <v>207</v>
      </c>
      <c r="C92" t="s">
        <v>358</v>
      </c>
      <c r="D92">
        <v>1360000</v>
      </c>
      <c r="E92" t="s">
        <v>95</v>
      </c>
      <c r="F92" s="59" t="s">
        <v>207</v>
      </c>
      <c r="G92" s="14">
        <v>42539.222824074073</v>
      </c>
    </row>
    <row r="93" spans="1:7" x14ac:dyDescent="0.25">
      <c r="A93" s="14">
        <v>42539.302164351851</v>
      </c>
      <c r="B93" t="s">
        <v>205</v>
      </c>
      <c r="C93" t="s">
        <v>359</v>
      </c>
      <c r="D93">
        <v>1840000</v>
      </c>
      <c r="E93" t="s">
        <v>253</v>
      </c>
      <c r="F93" s="59" t="s">
        <v>205</v>
      </c>
      <c r="G93" s="14">
        <v>42539.302164351851</v>
      </c>
    </row>
    <row r="94" spans="1:7" x14ac:dyDescent="0.25">
      <c r="A94" s="14">
        <v>42539.620763888888</v>
      </c>
      <c r="B94" t="s">
        <v>116</v>
      </c>
      <c r="C94" t="s">
        <v>360</v>
      </c>
      <c r="D94">
        <v>880000</v>
      </c>
      <c r="E94" t="s">
        <v>111</v>
      </c>
      <c r="F94" s="59" t="s">
        <v>116</v>
      </c>
      <c r="G94" s="14">
        <v>42539.620763888888</v>
      </c>
    </row>
    <row r="95" spans="1:7" x14ac:dyDescent="0.25">
      <c r="A95" s="14">
        <v>42539.422025462962</v>
      </c>
      <c r="B95" t="s">
        <v>97</v>
      </c>
      <c r="C95" t="s">
        <v>320</v>
      </c>
      <c r="D95">
        <v>1110000</v>
      </c>
      <c r="E95" t="s">
        <v>108</v>
      </c>
      <c r="F95" s="59" t="s">
        <v>97</v>
      </c>
      <c r="G95" s="14">
        <v>42539.422025462962</v>
      </c>
    </row>
    <row r="96" spans="1:7" x14ac:dyDescent="0.25">
      <c r="A96" s="14">
        <v>42539.607245370367</v>
      </c>
      <c r="B96" t="s">
        <v>183</v>
      </c>
      <c r="C96" t="s">
        <v>361</v>
      </c>
      <c r="D96">
        <v>1260000</v>
      </c>
      <c r="E96" t="s">
        <v>285</v>
      </c>
      <c r="F96" s="59" t="s">
        <v>183</v>
      </c>
      <c r="G96" s="14">
        <v>42539.607245370367</v>
      </c>
    </row>
    <row r="97" spans="1:7" x14ac:dyDescent="0.25">
      <c r="A97" s="14">
        <v>42539.43476851852</v>
      </c>
      <c r="B97" t="s">
        <v>102</v>
      </c>
      <c r="C97" t="s">
        <v>362</v>
      </c>
      <c r="D97">
        <v>1360000</v>
      </c>
      <c r="E97" t="s">
        <v>95</v>
      </c>
      <c r="F97" s="59" t="s">
        <v>102</v>
      </c>
      <c r="G97" s="14">
        <v>42539.43476851852</v>
      </c>
    </row>
    <row r="98" spans="1:7" x14ac:dyDescent="0.25">
      <c r="A98" s="14">
        <v>42539.575879629629</v>
      </c>
      <c r="B98" t="s">
        <v>102</v>
      </c>
      <c r="C98" t="s">
        <v>363</v>
      </c>
      <c r="D98">
        <v>1470000</v>
      </c>
      <c r="E98" t="s">
        <v>198</v>
      </c>
      <c r="F98" s="59" t="s">
        <v>102</v>
      </c>
      <c r="G98" s="14">
        <v>42539.575879629629</v>
      </c>
    </row>
    <row r="99" spans="1:7" x14ac:dyDescent="0.25">
      <c r="A99" s="14">
        <v>42539.442465277774</v>
      </c>
      <c r="B99" t="s">
        <v>91</v>
      </c>
      <c r="C99" t="s">
        <v>364</v>
      </c>
      <c r="D99">
        <v>1830000</v>
      </c>
      <c r="E99" t="s">
        <v>199</v>
      </c>
      <c r="F99" s="59" t="s">
        <v>91</v>
      </c>
      <c r="G99" s="14">
        <v>42539.442465277774</v>
      </c>
    </row>
    <row r="100" spans="1:7" x14ac:dyDescent="0.25">
      <c r="A100" s="14">
        <v>42539.558634259258</v>
      </c>
      <c r="B100" t="s">
        <v>217</v>
      </c>
      <c r="C100" t="s">
        <v>365</v>
      </c>
      <c r="D100">
        <v>1120000</v>
      </c>
      <c r="E100" t="s">
        <v>276</v>
      </c>
      <c r="F100" s="59" t="s">
        <v>217</v>
      </c>
      <c r="G100" s="14">
        <v>42539.558634259258</v>
      </c>
    </row>
    <row r="101" spans="1:7" x14ac:dyDescent="0.25">
      <c r="A101" s="14">
        <v>42539.496354166666</v>
      </c>
      <c r="B101" t="s">
        <v>180</v>
      </c>
      <c r="C101" t="s">
        <v>366</v>
      </c>
      <c r="D101">
        <v>1260000</v>
      </c>
      <c r="E101" t="s">
        <v>285</v>
      </c>
      <c r="F101" s="59" t="s">
        <v>180</v>
      </c>
      <c r="G101" s="14">
        <v>42539.496354166666</v>
      </c>
    </row>
    <row r="102" spans="1:7" x14ac:dyDescent="0.25">
      <c r="A102" s="14">
        <v>42539.548310185186</v>
      </c>
      <c r="B102" t="s">
        <v>101</v>
      </c>
      <c r="C102" t="s">
        <v>367</v>
      </c>
      <c r="D102">
        <v>1190000</v>
      </c>
      <c r="E102" t="s">
        <v>304</v>
      </c>
      <c r="F102" s="59" t="s">
        <v>101</v>
      </c>
      <c r="G102" s="14">
        <v>42539.548310185186</v>
      </c>
    </row>
    <row r="103" spans="1:7" x14ac:dyDescent="0.25">
      <c r="A103" s="14">
        <v>42539.547280092593</v>
      </c>
      <c r="B103" t="s">
        <v>101</v>
      </c>
      <c r="C103" t="s">
        <v>367</v>
      </c>
      <c r="D103">
        <v>1190000</v>
      </c>
      <c r="E103" t="s">
        <v>304</v>
      </c>
      <c r="F103" s="59" t="s">
        <v>101</v>
      </c>
      <c r="G103" s="14">
        <v>42539.547280092593</v>
      </c>
    </row>
    <row r="104" spans="1:7" x14ac:dyDescent="0.25">
      <c r="A104" s="14">
        <v>42539.484722222223</v>
      </c>
      <c r="B104" t="s">
        <v>101</v>
      </c>
      <c r="C104" t="s">
        <v>368</v>
      </c>
      <c r="D104">
        <v>1190000</v>
      </c>
      <c r="E104" t="s">
        <v>304</v>
      </c>
      <c r="F104" s="59" t="s">
        <v>101</v>
      </c>
      <c r="G104" s="14">
        <v>42539.484722222223</v>
      </c>
    </row>
    <row r="105" spans="1:7" x14ac:dyDescent="0.25">
      <c r="A105" s="14">
        <v>42539.633831018517</v>
      </c>
      <c r="B105" t="s">
        <v>217</v>
      </c>
      <c r="C105" t="s">
        <v>321</v>
      </c>
      <c r="D105">
        <v>1120000</v>
      </c>
      <c r="E105" t="s">
        <v>276</v>
      </c>
      <c r="F105" s="59" t="s">
        <v>217</v>
      </c>
      <c r="G105" s="14">
        <v>42539.633831018517</v>
      </c>
    </row>
    <row r="106" spans="1:7" x14ac:dyDescent="0.25">
      <c r="A106" s="14">
        <v>42539.346412037034</v>
      </c>
      <c r="B106" t="s">
        <v>217</v>
      </c>
      <c r="C106" t="s">
        <v>369</v>
      </c>
      <c r="D106">
        <v>1310000</v>
      </c>
      <c r="E106" t="s">
        <v>133</v>
      </c>
      <c r="F106" s="59" t="s">
        <v>217</v>
      </c>
      <c r="G106" s="14">
        <v>42539.346412037034</v>
      </c>
    </row>
    <row r="107" spans="1:7" x14ac:dyDescent="0.25">
      <c r="A107" s="14">
        <v>42539.69425925926</v>
      </c>
      <c r="B107" t="s">
        <v>181</v>
      </c>
      <c r="C107" t="s">
        <v>370</v>
      </c>
      <c r="D107">
        <v>1190000</v>
      </c>
      <c r="E107" t="s">
        <v>304</v>
      </c>
      <c r="F107" s="59" t="s">
        <v>181</v>
      </c>
      <c r="G107" s="14">
        <v>42539.69425925926</v>
      </c>
    </row>
    <row r="108" spans="1:7" x14ac:dyDescent="0.25">
      <c r="A108" s="14">
        <v>42539.197233796294</v>
      </c>
      <c r="B108" t="s">
        <v>100</v>
      </c>
      <c r="C108" t="s">
        <v>309</v>
      </c>
      <c r="D108">
        <v>1310000</v>
      </c>
      <c r="E108" t="s">
        <v>133</v>
      </c>
      <c r="F108" s="59" t="s">
        <v>100</v>
      </c>
      <c r="G108" s="14">
        <v>42539.197233796294</v>
      </c>
    </row>
    <row r="109" spans="1:7" x14ac:dyDescent="0.25">
      <c r="A109" s="14">
        <v>42539.713854166665</v>
      </c>
      <c r="B109" t="s">
        <v>180</v>
      </c>
      <c r="C109" t="s">
        <v>371</v>
      </c>
      <c r="D109">
        <v>1260000</v>
      </c>
      <c r="E109" t="s">
        <v>285</v>
      </c>
      <c r="F109" s="59" t="s">
        <v>180</v>
      </c>
      <c r="G109" s="14">
        <v>42539.713854166665</v>
      </c>
    </row>
    <row r="110" spans="1:7" x14ac:dyDescent="0.25">
      <c r="A110" s="14">
        <v>42539.619270833333</v>
      </c>
      <c r="B110" t="s">
        <v>116</v>
      </c>
      <c r="C110" t="s">
        <v>360</v>
      </c>
      <c r="D110">
        <v>880000</v>
      </c>
      <c r="E110" t="s">
        <v>111</v>
      </c>
      <c r="F110" s="59" t="s">
        <v>116</v>
      </c>
      <c r="G110" s="14">
        <v>42539.619270833333</v>
      </c>
    </row>
    <row r="111" spans="1:7" x14ac:dyDescent="0.25">
      <c r="A111" s="14">
        <v>42539.830462962964</v>
      </c>
      <c r="B111" t="s">
        <v>113</v>
      </c>
      <c r="C111" t="s">
        <v>372</v>
      </c>
      <c r="D111">
        <v>1780000</v>
      </c>
      <c r="E111" t="s">
        <v>292</v>
      </c>
      <c r="F111" s="59" t="s">
        <v>113</v>
      </c>
      <c r="G111" s="14">
        <v>42539.830462962964</v>
      </c>
    </row>
    <row r="112" spans="1:7" x14ac:dyDescent="0.25">
      <c r="A112" s="14">
        <v>42539.55159722222</v>
      </c>
      <c r="B112" t="s">
        <v>113</v>
      </c>
      <c r="C112" t="s">
        <v>373</v>
      </c>
      <c r="D112">
        <v>1470000</v>
      </c>
      <c r="E112" t="s">
        <v>198</v>
      </c>
      <c r="F112" s="59" t="s">
        <v>113</v>
      </c>
      <c r="G112" s="14">
        <v>42539.55159722222</v>
      </c>
    </row>
    <row r="113" spans="1:7" x14ac:dyDescent="0.25">
      <c r="A113" s="14">
        <v>42539.972326388888</v>
      </c>
      <c r="B113" t="s">
        <v>179</v>
      </c>
      <c r="C113" t="s">
        <v>374</v>
      </c>
      <c r="D113">
        <v>1180000</v>
      </c>
      <c r="E113" t="s">
        <v>114</v>
      </c>
      <c r="F113" s="59" t="s">
        <v>179</v>
      </c>
      <c r="G113" s="14">
        <v>42539.972326388888</v>
      </c>
    </row>
    <row r="114" spans="1:7" x14ac:dyDescent="0.25">
      <c r="A114" s="14">
        <v>42539.532222222224</v>
      </c>
      <c r="B114" t="s">
        <v>183</v>
      </c>
      <c r="C114" t="s">
        <v>375</v>
      </c>
      <c r="D114">
        <v>1260000</v>
      </c>
      <c r="E114" t="s">
        <v>285</v>
      </c>
      <c r="F114" s="59" t="s">
        <v>183</v>
      </c>
      <c r="G114" s="14">
        <v>42539.532222222224</v>
      </c>
    </row>
    <row r="115" spans="1:7" x14ac:dyDescent="0.25">
      <c r="A115" s="14">
        <v>42540.037210648145</v>
      </c>
      <c r="B115" t="s">
        <v>180</v>
      </c>
      <c r="C115" t="s">
        <v>376</v>
      </c>
      <c r="D115">
        <v>1820000</v>
      </c>
      <c r="E115" t="s">
        <v>112</v>
      </c>
      <c r="F115" s="59" t="s">
        <v>180</v>
      </c>
      <c r="G115" s="14">
        <v>42540.037210648145</v>
      </c>
    </row>
    <row r="116" spans="1:7" x14ac:dyDescent="0.25">
      <c r="A116" s="14">
        <v>42539.506863425922</v>
      </c>
      <c r="B116" t="s">
        <v>136</v>
      </c>
      <c r="C116" t="s">
        <v>377</v>
      </c>
      <c r="D116">
        <v>880000</v>
      </c>
      <c r="E116" t="s">
        <v>111</v>
      </c>
      <c r="F116" s="59" t="s">
        <v>136</v>
      </c>
      <c r="G116" s="14">
        <v>42539.506863425922</v>
      </c>
    </row>
    <row r="117" spans="1:7" x14ac:dyDescent="0.25">
      <c r="A117" s="14">
        <v>42539.933171296296</v>
      </c>
      <c r="B117" t="s">
        <v>118</v>
      </c>
      <c r="C117" t="s">
        <v>378</v>
      </c>
      <c r="D117">
        <v>1240000</v>
      </c>
      <c r="E117" t="s">
        <v>89</v>
      </c>
      <c r="F117" s="59" t="s">
        <v>118</v>
      </c>
      <c r="G117" s="14">
        <v>42539.933171296296</v>
      </c>
    </row>
    <row r="118" spans="1:7" x14ac:dyDescent="0.25">
      <c r="A118" s="14">
        <v>42539.461122685185</v>
      </c>
      <c r="B118" t="s">
        <v>183</v>
      </c>
      <c r="C118" t="s">
        <v>379</v>
      </c>
      <c r="D118">
        <v>1260000</v>
      </c>
      <c r="E118" t="s">
        <v>285</v>
      </c>
      <c r="F118" s="59" t="s">
        <v>183</v>
      </c>
      <c r="G118" s="14">
        <v>42539.461122685185</v>
      </c>
    </row>
    <row r="119" spans="1:7" x14ac:dyDescent="0.25">
      <c r="A119" s="14">
        <v>42540.057847222219</v>
      </c>
      <c r="B119" t="s">
        <v>91</v>
      </c>
      <c r="C119" t="s">
        <v>380</v>
      </c>
      <c r="D119">
        <v>1240000</v>
      </c>
      <c r="E119" t="s">
        <v>89</v>
      </c>
      <c r="F119" s="59" t="s">
        <v>91</v>
      </c>
      <c r="G119" s="14">
        <v>42540.057847222219</v>
      </c>
    </row>
    <row r="120" spans="1:7" x14ac:dyDescent="0.25">
      <c r="A120" s="14">
        <v>42539.433541666665</v>
      </c>
      <c r="B120" t="s">
        <v>102</v>
      </c>
      <c r="C120" t="s">
        <v>362</v>
      </c>
      <c r="D120">
        <v>1360000</v>
      </c>
      <c r="E120" t="s">
        <v>95</v>
      </c>
      <c r="F120" s="59" t="s">
        <v>102</v>
      </c>
      <c r="G120" s="14">
        <v>42539.433541666665</v>
      </c>
    </row>
    <row r="121" spans="1:7" x14ac:dyDescent="0.25">
      <c r="A121" s="14">
        <v>42539.354814814818</v>
      </c>
      <c r="B121" t="s">
        <v>180</v>
      </c>
      <c r="C121" t="s">
        <v>279</v>
      </c>
      <c r="D121">
        <v>1100000</v>
      </c>
      <c r="E121" t="s">
        <v>280</v>
      </c>
      <c r="F121" s="59" t="s">
        <v>180</v>
      </c>
      <c r="G121" s="14">
        <v>42539.354814814818</v>
      </c>
    </row>
    <row r="122" spans="1:7" x14ac:dyDescent="0.25">
      <c r="A122" s="14">
        <v>42539.205046296294</v>
      </c>
      <c r="B122" t="s">
        <v>183</v>
      </c>
      <c r="C122" t="s">
        <v>381</v>
      </c>
      <c r="D122">
        <v>1830000</v>
      </c>
      <c r="E122" t="s">
        <v>199</v>
      </c>
      <c r="F122" s="59" t="s">
        <v>183</v>
      </c>
      <c r="G122" s="14">
        <v>42539.205046296294</v>
      </c>
    </row>
    <row r="123" spans="1:7" x14ac:dyDescent="0.25">
      <c r="A123" s="14">
        <v>42539.360983796294</v>
      </c>
      <c r="B123" t="s">
        <v>102</v>
      </c>
      <c r="C123" t="s">
        <v>286</v>
      </c>
      <c r="D123">
        <v>1480000</v>
      </c>
      <c r="E123" t="s">
        <v>270</v>
      </c>
      <c r="F123" s="59" t="s">
        <v>102</v>
      </c>
      <c r="G123" s="14">
        <v>42539.360983796294</v>
      </c>
    </row>
    <row r="124" spans="1:7" x14ac:dyDescent="0.25">
      <c r="A124" s="14">
        <v>42539.546782407408</v>
      </c>
      <c r="B124" t="s">
        <v>116</v>
      </c>
      <c r="C124" t="s">
        <v>382</v>
      </c>
      <c r="D124">
        <v>880000</v>
      </c>
      <c r="E124" t="s">
        <v>111</v>
      </c>
      <c r="F124" s="59" t="s">
        <v>116</v>
      </c>
      <c r="G124" s="14">
        <v>42539.546782407408</v>
      </c>
    </row>
    <row r="125" spans="1:7" x14ac:dyDescent="0.25">
      <c r="A125" s="14">
        <v>42539.389988425923</v>
      </c>
      <c r="B125" t="s">
        <v>183</v>
      </c>
      <c r="C125" t="s">
        <v>383</v>
      </c>
      <c r="D125">
        <v>1100000</v>
      </c>
      <c r="E125" t="s">
        <v>280</v>
      </c>
      <c r="F125" s="59" t="s">
        <v>183</v>
      </c>
      <c r="G125" s="14">
        <v>42539.389988425923</v>
      </c>
    </row>
    <row r="126" spans="1:7" x14ac:dyDescent="0.25">
      <c r="A126" s="14">
        <v>42539.462083333332</v>
      </c>
      <c r="B126" t="s">
        <v>98</v>
      </c>
      <c r="C126" t="s">
        <v>320</v>
      </c>
      <c r="D126">
        <v>1110000</v>
      </c>
      <c r="E126" t="s">
        <v>108</v>
      </c>
      <c r="F126" s="59" t="s">
        <v>98</v>
      </c>
      <c r="G126" s="14">
        <v>42539.462083333332</v>
      </c>
    </row>
    <row r="127" spans="1:7" x14ac:dyDescent="0.25">
      <c r="A127" s="14">
        <v>42539.547719907408</v>
      </c>
      <c r="B127" t="s">
        <v>118</v>
      </c>
      <c r="C127" t="s">
        <v>384</v>
      </c>
      <c r="D127">
        <v>940000</v>
      </c>
      <c r="E127" t="s">
        <v>213</v>
      </c>
      <c r="F127" s="59" t="s">
        <v>118</v>
      </c>
      <c r="G127" s="14">
        <v>42539.547719907408</v>
      </c>
    </row>
    <row r="128" spans="1:7" x14ac:dyDescent="0.25">
      <c r="A128" s="14">
        <v>42539.378263888888</v>
      </c>
      <c r="B128" t="s">
        <v>252</v>
      </c>
      <c r="C128" t="s">
        <v>271</v>
      </c>
      <c r="D128">
        <v>1460000</v>
      </c>
      <c r="E128" t="s">
        <v>272</v>
      </c>
      <c r="F128" s="59" t="s">
        <v>252</v>
      </c>
      <c r="G128" s="14">
        <v>42539.378263888888</v>
      </c>
    </row>
    <row r="129" spans="1:7" x14ac:dyDescent="0.25">
      <c r="A129" s="14">
        <v>42539.559571759259</v>
      </c>
      <c r="B129" t="s">
        <v>217</v>
      </c>
      <c r="C129" t="s">
        <v>365</v>
      </c>
      <c r="D129">
        <v>1120000</v>
      </c>
      <c r="E129" t="s">
        <v>276</v>
      </c>
      <c r="F129" s="59" t="s">
        <v>217</v>
      </c>
      <c r="G129" s="14">
        <v>42539.559571759259</v>
      </c>
    </row>
    <row r="130" spans="1:7" x14ac:dyDescent="0.25">
      <c r="A130" s="14">
        <v>42539.224479166667</v>
      </c>
      <c r="B130" t="s">
        <v>207</v>
      </c>
      <c r="C130" t="s">
        <v>358</v>
      </c>
      <c r="D130">
        <v>1360000</v>
      </c>
      <c r="E130" t="s">
        <v>95</v>
      </c>
      <c r="F130" s="59" t="s">
        <v>207</v>
      </c>
      <c r="G130" s="14">
        <v>42539.224479166667</v>
      </c>
    </row>
    <row r="131" spans="1:7" x14ac:dyDescent="0.25">
      <c r="A131" s="14">
        <v>42539.583194444444</v>
      </c>
      <c r="B131" t="s">
        <v>136</v>
      </c>
      <c r="C131" t="s">
        <v>385</v>
      </c>
      <c r="D131">
        <v>880000</v>
      </c>
      <c r="E131" t="s">
        <v>111</v>
      </c>
      <c r="F131" s="59" t="s">
        <v>136</v>
      </c>
      <c r="G131" s="14">
        <v>42539.583194444444</v>
      </c>
    </row>
    <row r="132" spans="1:7" x14ac:dyDescent="0.25">
      <c r="A132" s="14">
        <v>42540.017268518517</v>
      </c>
      <c r="B132" t="s">
        <v>118</v>
      </c>
      <c r="C132" t="s">
        <v>386</v>
      </c>
      <c r="D132">
        <v>1240000</v>
      </c>
      <c r="E132" t="s">
        <v>89</v>
      </c>
      <c r="F132" s="59" t="s">
        <v>118</v>
      </c>
      <c r="G132" s="14">
        <v>42540.017268518517</v>
      </c>
    </row>
    <row r="133" spans="1:7" x14ac:dyDescent="0.25">
      <c r="A133" s="14">
        <v>42539.593356481484</v>
      </c>
      <c r="B133" t="s">
        <v>179</v>
      </c>
      <c r="C133" t="s">
        <v>387</v>
      </c>
      <c r="D133">
        <v>1190000</v>
      </c>
      <c r="E133" t="s">
        <v>304</v>
      </c>
      <c r="F133" s="59" t="s">
        <v>179</v>
      </c>
      <c r="G133" s="14">
        <v>42539.593356481484</v>
      </c>
    </row>
    <row r="134" spans="1:7" x14ac:dyDescent="0.25">
      <c r="A134" s="14">
        <v>42539.995520833334</v>
      </c>
      <c r="B134" t="s">
        <v>183</v>
      </c>
      <c r="C134" t="s">
        <v>388</v>
      </c>
      <c r="D134">
        <v>1820000</v>
      </c>
      <c r="E134" t="s">
        <v>112</v>
      </c>
      <c r="F134" s="59" t="s">
        <v>183</v>
      </c>
      <c r="G134" s="14">
        <v>42539.995520833334</v>
      </c>
    </row>
    <row r="135" spans="1:7" x14ac:dyDescent="0.25">
      <c r="A135" s="14">
        <v>42539.73097222222</v>
      </c>
      <c r="B135" t="s">
        <v>91</v>
      </c>
      <c r="C135" t="s">
        <v>389</v>
      </c>
      <c r="D135">
        <v>940000</v>
      </c>
      <c r="E135" t="s">
        <v>213</v>
      </c>
      <c r="F135" s="59" t="s">
        <v>91</v>
      </c>
      <c r="G135" s="14">
        <v>42539.73097222222</v>
      </c>
    </row>
    <row r="136" spans="1:7" x14ac:dyDescent="0.25">
      <c r="A136" s="14">
        <v>42539.956550925926</v>
      </c>
      <c r="B136" t="s">
        <v>180</v>
      </c>
      <c r="C136" t="s">
        <v>390</v>
      </c>
      <c r="D136">
        <v>1820000</v>
      </c>
      <c r="E136" t="s">
        <v>112</v>
      </c>
      <c r="F136" s="59" t="s">
        <v>180</v>
      </c>
      <c r="G136" s="14">
        <v>42539.956550925926</v>
      </c>
    </row>
    <row r="137" spans="1:7" x14ac:dyDescent="0.25">
      <c r="A137" s="14">
        <v>42539.804293981484</v>
      </c>
      <c r="B137" t="s">
        <v>91</v>
      </c>
      <c r="C137" t="s">
        <v>391</v>
      </c>
      <c r="D137">
        <v>1540000</v>
      </c>
      <c r="E137" t="s">
        <v>355</v>
      </c>
      <c r="F137" s="59" t="s">
        <v>91</v>
      </c>
      <c r="G137" s="14">
        <v>42539.804293981484</v>
      </c>
    </row>
    <row r="138" spans="1:7" x14ac:dyDescent="0.25">
      <c r="A138" s="14">
        <v>42539.772962962961</v>
      </c>
      <c r="B138" t="s">
        <v>181</v>
      </c>
      <c r="C138" t="s">
        <v>392</v>
      </c>
      <c r="D138">
        <v>1180000</v>
      </c>
      <c r="E138" t="s">
        <v>114</v>
      </c>
      <c r="F138" s="59" t="s">
        <v>181</v>
      </c>
      <c r="G138" s="14">
        <v>42539.772962962961</v>
      </c>
    </row>
    <row r="139" spans="1:7" x14ac:dyDescent="0.25">
      <c r="A139" s="14">
        <v>42539.371967592589</v>
      </c>
      <c r="B139" t="s">
        <v>205</v>
      </c>
      <c r="C139" t="s">
        <v>277</v>
      </c>
      <c r="D139">
        <v>1840000</v>
      </c>
      <c r="E139" t="s">
        <v>253</v>
      </c>
      <c r="F139" s="59" t="s">
        <v>205</v>
      </c>
      <c r="G139" s="14">
        <v>42539.371967592589</v>
      </c>
    </row>
    <row r="140" spans="1:7" x14ac:dyDescent="0.25">
      <c r="A140" s="14">
        <v>42539.648622685185</v>
      </c>
      <c r="B140" t="s">
        <v>102</v>
      </c>
      <c r="C140" t="s">
        <v>287</v>
      </c>
      <c r="D140">
        <v>1470000</v>
      </c>
      <c r="E140" t="s">
        <v>198</v>
      </c>
      <c r="F140" s="59" t="s">
        <v>102</v>
      </c>
      <c r="G140" s="14">
        <v>42539.648622685185</v>
      </c>
    </row>
    <row r="141" spans="1:7" x14ac:dyDescent="0.25">
      <c r="A141" s="14">
        <v>42539.381643518522</v>
      </c>
      <c r="B141" s="83" t="s">
        <v>98</v>
      </c>
      <c r="C141" t="s">
        <v>393</v>
      </c>
      <c r="D141">
        <v>1110000</v>
      </c>
      <c r="E141" t="s">
        <v>108</v>
      </c>
      <c r="F141" s="83" t="s">
        <v>98</v>
      </c>
      <c r="G141" s="14">
        <v>42539.381643518522</v>
      </c>
    </row>
    <row r="142" spans="1:7" x14ac:dyDescent="0.25">
      <c r="A142" s="14">
        <v>42539.582870370374</v>
      </c>
      <c r="B142" s="59" t="s">
        <v>91</v>
      </c>
      <c r="C142" t="s">
        <v>394</v>
      </c>
      <c r="D142">
        <v>940000</v>
      </c>
      <c r="E142" t="s">
        <v>213</v>
      </c>
      <c r="F142" s="59" t="s">
        <v>91</v>
      </c>
      <c r="G142" s="14">
        <v>42539.582870370374</v>
      </c>
    </row>
    <row r="143" spans="1:7" x14ac:dyDescent="0.25">
      <c r="A143" s="14">
        <v>42539.383969907409</v>
      </c>
      <c r="B143" t="s">
        <v>98</v>
      </c>
      <c r="C143" t="s">
        <v>393</v>
      </c>
      <c r="D143">
        <v>1110000</v>
      </c>
      <c r="E143" t="s">
        <v>108</v>
      </c>
      <c r="F143" s="59" t="s">
        <v>98</v>
      </c>
      <c r="G143" s="14">
        <v>42539.383969907409</v>
      </c>
    </row>
    <row r="144" spans="1:7" x14ac:dyDescent="0.25">
      <c r="A144" s="14">
        <v>42539.410914351851</v>
      </c>
      <c r="B144" t="s">
        <v>225</v>
      </c>
      <c r="C144" t="s">
        <v>395</v>
      </c>
      <c r="D144">
        <v>1840000</v>
      </c>
      <c r="E144" t="s">
        <v>253</v>
      </c>
      <c r="F144" s="59" t="s">
        <v>225</v>
      </c>
      <c r="G144" s="14">
        <v>42539.410914351851</v>
      </c>
    </row>
    <row r="145" spans="1:7" x14ac:dyDescent="0.25">
      <c r="A145" s="14">
        <v>42539.400821759256</v>
      </c>
      <c r="B145" t="s">
        <v>116</v>
      </c>
      <c r="C145" t="s">
        <v>281</v>
      </c>
      <c r="D145">
        <v>1760000</v>
      </c>
      <c r="E145" t="s">
        <v>223</v>
      </c>
      <c r="F145" s="59" t="s">
        <v>116</v>
      </c>
      <c r="G145" s="14">
        <v>42539.400821759256</v>
      </c>
    </row>
    <row r="146" spans="1:7" x14ac:dyDescent="0.25">
      <c r="A146" s="14">
        <v>42539.363981481481</v>
      </c>
      <c r="B146" t="s">
        <v>136</v>
      </c>
      <c r="C146" t="s">
        <v>396</v>
      </c>
      <c r="D146">
        <v>1760000</v>
      </c>
      <c r="E146" t="s">
        <v>223</v>
      </c>
      <c r="F146" s="59" t="s">
        <v>136</v>
      </c>
      <c r="G146" s="14">
        <v>42539.363981481481</v>
      </c>
    </row>
    <row r="147" spans="1:7" x14ac:dyDescent="0.25">
      <c r="A147" s="14">
        <v>42539.473229166666</v>
      </c>
      <c r="B147" t="s">
        <v>116</v>
      </c>
      <c r="C147" t="s">
        <v>397</v>
      </c>
      <c r="D147">
        <v>1100000</v>
      </c>
      <c r="E147" t="s">
        <v>280</v>
      </c>
      <c r="F147" s="59" t="s">
        <v>116</v>
      </c>
      <c r="G147" s="14">
        <v>42539.473229166666</v>
      </c>
    </row>
    <row r="148" spans="1:7" x14ac:dyDescent="0.25">
      <c r="A148" s="14">
        <v>42539.330069444448</v>
      </c>
      <c r="B148" t="s">
        <v>118</v>
      </c>
      <c r="C148" t="s">
        <v>398</v>
      </c>
      <c r="D148">
        <v>1830000</v>
      </c>
      <c r="E148" t="s">
        <v>199</v>
      </c>
      <c r="F148" s="59" t="s">
        <v>118</v>
      </c>
      <c r="G148" s="14">
        <v>42539.330069444448</v>
      </c>
    </row>
    <row r="149" spans="1:7" x14ac:dyDescent="0.25">
      <c r="A149" s="14">
        <v>42539.494699074072</v>
      </c>
      <c r="B149" t="s">
        <v>180</v>
      </c>
      <c r="C149" t="s">
        <v>366</v>
      </c>
      <c r="D149">
        <v>1260000</v>
      </c>
      <c r="E149" t="s">
        <v>285</v>
      </c>
      <c r="F149" s="59" t="s">
        <v>180</v>
      </c>
      <c r="G149" s="14">
        <v>42539.494699074072</v>
      </c>
    </row>
    <row r="150" spans="1:7" x14ac:dyDescent="0.25">
      <c r="A150" s="14">
        <v>42539.913090277776</v>
      </c>
      <c r="B150" t="s">
        <v>113</v>
      </c>
      <c r="C150" t="s">
        <v>399</v>
      </c>
      <c r="D150">
        <v>1780000</v>
      </c>
      <c r="E150" t="s">
        <v>292</v>
      </c>
      <c r="F150" s="59" t="s">
        <v>113</v>
      </c>
      <c r="G150" s="14">
        <v>42539.913090277776</v>
      </c>
    </row>
    <row r="151" spans="1:7" x14ac:dyDescent="0.25">
      <c r="A151" s="14">
        <v>42539.503333333334</v>
      </c>
      <c r="B151" t="s">
        <v>102</v>
      </c>
      <c r="C151" t="s">
        <v>347</v>
      </c>
      <c r="D151">
        <v>1470000</v>
      </c>
      <c r="E151" t="s">
        <v>198</v>
      </c>
      <c r="F151" s="59" t="s">
        <v>102</v>
      </c>
      <c r="G151" s="14">
        <v>42539.503333333334</v>
      </c>
    </row>
    <row r="152" spans="1:7" x14ac:dyDescent="0.25">
      <c r="A152" s="14">
        <v>42539.866273148145</v>
      </c>
      <c r="B152" t="s">
        <v>102</v>
      </c>
      <c r="C152" t="s">
        <v>340</v>
      </c>
      <c r="D152">
        <v>1780000</v>
      </c>
      <c r="E152" t="s">
        <v>292</v>
      </c>
      <c r="F152" s="59" t="s">
        <v>102</v>
      </c>
      <c r="G152" s="14">
        <v>42539.866273148145</v>
      </c>
    </row>
    <row r="153" spans="1:7" x14ac:dyDescent="0.25">
      <c r="A153" s="14">
        <v>42539.512407407405</v>
      </c>
      <c r="B153" t="s">
        <v>91</v>
      </c>
      <c r="C153" t="s">
        <v>400</v>
      </c>
      <c r="D153">
        <v>940000</v>
      </c>
      <c r="E153" t="s">
        <v>213</v>
      </c>
      <c r="F153" s="59" t="s">
        <v>91</v>
      </c>
      <c r="G153" s="14">
        <v>42539.512407407405</v>
      </c>
    </row>
    <row r="154" spans="1:7" x14ac:dyDescent="0.25">
      <c r="A154" s="14">
        <v>42539.656435185185</v>
      </c>
      <c r="B154" t="s">
        <v>91</v>
      </c>
      <c r="C154" t="s">
        <v>401</v>
      </c>
      <c r="D154">
        <v>940000</v>
      </c>
      <c r="E154" t="s">
        <v>213</v>
      </c>
      <c r="F154" s="59" t="s">
        <v>91</v>
      </c>
      <c r="G154" s="14">
        <v>42539.656435185185</v>
      </c>
    </row>
    <row r="155" spans="1:7" x14ac:dyDescent="0.25">
      <c r="A155" s="14">
        <v>42539.560740740744</v>
      </c>
      <c r="B155" t="s">
        <v>217</v>
      </c>
      <c r="C155" t="s">
        <v>365</v>
      </c>
      <c r="D155">
        <v>1120000</v>
      </c>
      <c r="E155" t="s">
        <v>276</v>
      </c>
      <c r="F155" s="59" t="s">
        <v>217</v>
      </c>
      <c r="G155" s="14">
        <v>42539.560740740744</v>
      </c>
    </row>
    <row r="156" spans="1:7" x14ac:dyDescent="0.25">
      <c r="A156" s="14">
        <v>42539.545520833337</v>
      </c>
      <c r="B156" t="s">
        <v>116</v>
      </c>
      <c r="C156" t="s">
        <v>382</v>
      </c>
      <c r="D156">
        <v>880000</v>
      </c>
      <c r="E156" t="s">
        <v>111</v>
      </c>
      <c r="F156" s="59" t="s">
        <v>116</v>
      </c>
      <c r="G156" s="14">
        <v>42539.545520833337</v>
      </c>
    </row>
    <row r="157" spans="1:7" x14ac:dyDescent="0.25">
      <c r="A157" s="14">
        <v>42539.62159722222</v>
      </c>
      <c r="B157" t="s">
        <v>118</v>
      </c>
      <c r="C157" t="s">
        <v>295</v>
      </c>
      <c r="D157">
        <v>940000</v>
      </c>
      <c r="E157" t="s">
        <v>213</v>
      </c>
      <c r="F157" s="59" t="s">
        <v>118</v>
      </c>
      <c r="G157" s="14">
        <v>42539.62159722222</v>
      </c>
    </row>
    <row r="158" spans="1:7" x14ac:dyDescent="0.25">
      <c r="A158" s="14">
        <v>42539.536990740744</v>
      </c>
      <c r="B158" t="s">
        <v>113</v>
      </c>
      <c r="C158" t="s">
        <v>373</v>
      </c>
      <c r="D158">
        <v>1470000</v>
      </c>
      <c r="E158" t="s">
        <v>198</v>
      </c>
      <c r="F158" s="59" t="s">
        <v>113</v>
      </c>
      <c r="G158" s="14">
        <v>42539.536990740744</v>
      </c>
    </row>
    <row r="159" spans="1:7" x14ac:dyDescent="0.25">
      <c r="A159" s="14">
        <v>42539.632777777777</v>
      </c>
      <c r="B159" t="s">
        <v>181</v>
      </c>
      <c r="C159" t="s">
        <v>305</v>
      </c>
      <c r="D159">
        <v>1190000</v>
      </c>
      <c r="E159" t="s">
        <v>304</v>
      </c>
      <c r="F159" s="59" t="s">
        <v>181</v>
      </c>
      <c r="G159" s="14">
        <v>42539.632777777777</v>
      </c>
    </row>
    <row r="160" spans="1:7" x14ac:dyDescent="0.25">
      <c r="A160" s="14">
        <v>42539.484409722223</v>
      </c>
      <c r="B160" t="s">
        <v>217</v>
      </c>
      <c r="C160" t="s">
        <v>275</v>
      </c>
      <c r="D160">
        <v>1120000</v>
      </c>
      <c r="E160" t="s">
        <v>276</v>
      </c>
      <c r="F160" s="59" t="s">
        <v>217</v>
      </c>
      <c r="G160" s="14">
        <v>42539.484409722223</v>
      </c>
    </row>
    <row r="161" spans="1:7" x14ac:dyDescent="0.25">
      <c r="A161" s="14">
        <v>42539.752118055556</v>
      </c>
      <c r="B161" t="s">
        <v>183</v>
      </c>
      <c r="C161" t="s">
        <v>402</v>
      </c>
      <c r="D161">
        <v>1260000</v>
      </c>
      <c r="E161" t="s">
        <v>285</v>
      </c>
      <c r="F161" s="59" t="s">
        <v>183</v>
      </c>
      <c r="G161" s="14">
        <v>42539.752118055556</v>
      </c>
    </row>
    <row r="162" spans="1:7" x14ac:dyDescent="0.25">
      <c r="A162" s="14">
        <v>42539.476504629631</v>
      </c>
      <c r="B162" t="s">
        <v>118</v>
      </c>
      <c r="C162" t="s">
        <v>274</v>
      </c>
      <c r="D162">
        <v>940000</v>
      </c>
      <c r="E162" t="s">
        <v>213</v>
      </c>
      <c r="F162" s="59" t="s">
        <v>118</v>
      </c>
      <c r="G162" s="14">
        <v>42539.476504629631</v>
      </c>
    </row>
    <row r="163" spans="1:7" x14ac:dyDescent="0.25">
      <c r="A163" s="14">
        <v>42539.756655092591</v>
      </c>
      <c r="B163" t="s">
        <v>113</v>
      </c>
      <c r="C163" t="s">
        <v>403</v>
      </c>
      <c r="D163">
        <v>1780000</v>
      </c>
      <c r="E163" t="s">
        <v>292</v>
      </c>
      <c r="F163" s="59" t="s">
        <v>113</v>
      </c>
      <c r="G163" s="14">
        <v>42539.756655092591</v>
      </c>
    </row>
    <row r="164" spans="1:7" x14ac:dyDescent="0.25">
      <c r="A164" s="14">
        <v>42539.474537037036</v>
      </c>
      <c r="B164" t="s">
        <v>118</v>
      </c>
      <c r="C164" t="s">
        <v>274</v>
      </c>
      <c r="D164">
        <v>940000</v>
      </c>
      <c r="E164" t="s">
        <v>213</v>
      </c>
      <c r="F164" s="59" t="s">
        <v>118</v>
      </c>
      <c r="G164" s="14">
        <v>42539.474537037036</v>
      </c>
    </row>
    <row r="165" spans="1:7" x14ac:dyDescent="0.25">
      <c r="A165" s="14">
        <v>42539.828680555554</v>
      </c>
      <c r="B165" t="s">
        <v>183</v>
      </c>
      <c r="C165" t="s">
        <v>404</v>
      </c>
      <c r="D165">
        <v>1820000</v>
      </c>
      <c r="E165" t="s">
        <v>112</v>
      </c>
      <c r="F165" s="59" t="s">
        <v>183</v>
      </c>
      <c r="G165" s="14">
        <v>42539.828680555554</v>
      </c>
    </row>
    <row r="166" spans="1:7" x14ac:dyDescent="0.25">
      <c r="A166" s="14">
        <v>42539.441782407404</v>
      </c>
      <c r="B166" t="s">
        <v>100</v>
      </c>
      <c r="C166" t="s">
        <v>308</v>
      </c>
      <c r="D166">
        <v>1190000</v>
      </c>
      <c r="E166" t="s">
        <v>304</v>
      </c>
      <c r="F166" s="59" t="s">
        <v>100</v>
      </c>
      <c r="G166" s="14">
        <v>42539.441782407404</v>
      </c>
    </row>
    <row r="167" spans="1:7" x14ac:dyDescent="0.25">
      <c r="A167" s="14">
        <v>42539.910219907404</v>
      </c>
      <c r="B167" t="s">
        <v>183</v>
      </c>
      <c r="C167" t="s">
        <v>405</v>
      </c>
      <c r="D167">
        <v>1820000</v>
      </c>
      <c r="E167" t="s">
        <v>112</v>
      </c>
      <c r="F167" s="59" t="s">
        <v>183</v>
      </c>
      <c r="G167" s="14">
        <v>42539.910219907404</v>
      </c>
    </row>
    <row r="168" spans="1:7" x14ac:dyDescent="0.25">
      <c r="A168" s="14">
        <v>42539.392546296294</v>
      </c>
      <c r="B168" t="s">
        <v>251</v>
      </c>
      <c r="C168" t="s">
        <v>271</v>
      </c>
      <c r="D168">
        <v>1460000</v>
      </c>
      <c r="E168" t="s">
        <v>272</v>
      </c>
      <c r="F168" s="59" t="s">
        <v>251</v>
      </c>
      <c r="G168" s="14">
        <v>42539.392546296294</v>
      </c>
    </row>
    <row r="169" spans="1:7" x14ac:dyDescent="0.25">
      <c r="A169" s="14">
        <v>42539.95103009259</v>
      </c>
      <c r="B169" t="s">
        <v>102</v>
      </c>
      <c r="C169" t="s">
        <v>406</v>
      </c>
      <c r="D169">
        <v>1780000</v>
      </c>
      <c r="E169" t="s">
        <v>292</v>
      </c>
      <c r="F169" s="59" t="s">
        <v>102</v>
      </c>
      <c r="G169" s="14">
        <v>42539.95103009259</v>
      </c>
    </row>
    <row r="170" spans="1:7" x14ac:dyDescent="0.25">
      <c r="A170" s="14">
        <v>42539.362997685188</v>
      </c>
      <c r="B170" t="s">
        <v>136</v>
      </c>
      <c r="C170" t="s">
        <v>396</v>
      </c>
      <c r="D170">
        <v>1760000</v>
      </c>
      <c r="E170" t="s">
        <v>223</v>
      </c>
      <c r="F170" s="59" t="s">
        <v>136</v>
      </c>
      <c r="G170" s="14">
        <v>42539.362997685188</v>
      </c>
    </row>
    <row r="171" spans="1:7" x14ac:dyDescent="0.25">
      <c r="A171" s="14">
        <v>42539.974050925928</v>
      </c>
      <c r="B171" t="s">
        <v>91</v>
      </c>
      <c r="C171" t="s">
        <v>407</v>
      </c>
      <c r="D171">
        <v>1240000</v>
      </c>
      <c r="E171" t="s">
        <v>89</v>
      </c>
      <c r="F171" s="59" t="s">
        <v>91</v>
      </c>
      <c r="G171" s="14">
        <v>42539.974050925928</v>
      </c>
    </row>
    <row r="172" spans="1:7" x14ac:dyDescent="0.25">
      <c r="A172" s="14">
        <v>42539.350277777776</v>
      </c>
      <c r="B172" t="s">
        <v>97</v>
      </c>
      <c r="C172" t="s">
        <v>408</v>
      </c>
      <c r="D172">
        <v>1110000</v>
      </c>
      <c r="E172" t="s">
        <v>108</v>
      </c>
      <c r="F172" s="59" t="s">
        <v>97</v>
      </c>
      <c r="G172" s="14">
        <v>42539.350277777776</v>
      </c>
    </row>
    <row r="173" spans="1:7" x14ac:dyDescent="0.25">
      <c r="A173" s="14">
        <v>42539.289166666669</v>
      </c>
      <c r="B173" t="s">
        <v>136</v>
      </c>
      <c r="C173" t="s">
        <v>409</v>
      </c>
      <c r="D173">
        <v>1760000</v>
      </c>
      <c r="E173" t="s">
        <v>223</v>
      </c>
      <c r="F173" s="59" t="s">
        <v>136</v>
      </c>
      <c r="G173" s="14">
        <v>42539.289166666669</v>
      </c>
    </row>
    <row r="174" spans="1:7" x14ac:dyDescent="0.25">
      <c r="A174" s="14">
        <v>42539.3200462963</v>
      </c>
      <c r="B174" t="s">
        <v>113</v>
      </c>
      <c r="C174" t="s">
        <v>410</v>
      </c>
      <c r="D174">
        <v>1480000</v>
      </c>
      <c r="E174" t="s">
        <v>270</v>
      </c>
      <c r="F174" s="59" t="s">
        <v>113</v>
      </c>
      <c r="G174" s="14">
        <v>42539.3200462963</v>
      </c>
    </row>
    <row r="175" spans="1:7" x14ac:dyDescent="0.25">
      <c r="A175" s="14">
        <v>42539.317280092589</v>
      </c>
      <c r="B175" t="s">
        <v>113</v>
      </c>
      <c r="C175" t="s">
        <v>410</v>
      </c>
      <c r="D175">
        <v>1480000</v>
      </c>
      <c r="E175" t="s">
        <v>270</v>
      </c>
      <c r="F175" s="59" t="s">
        <v>113</v>
      </c>
      <c r="G175" s="14">
        <v>42539.317280092589</v>
      </c>
    </row>
    <row r="176" spans="1:7" x14ac:dyDescent="0.25">
      <c r="A176" s="14">
        <v>42539.577118055553</v>
      </c>
      <c r="B176" t="s">
        <v>102</v>
      </c>
      <c r="C176" t="s">
        <v>363</v>
      </c>
      <c r="D176">
        <v>1470000</v>
      </c>
      <c r="E176" t="s">
        <v>198</v>
      </c>
      <c r="F176" s="59" t="s">
        <v>102</v>
      </c>
      <c r="G176" s="14">
        <v>42539.577118055553</v>
      </c>
    </row>
    <row r="177" spans="1:7" x14ac:dyDescent="0.25">
      <c r="A177" s="14">
        <v>42539.319756944446</v>
      </c>
      <c r="B177" t="s">
        <v>183</v>
      </c>
      <c r="C177" t="s">
        <v>411</v>
      </c>
      <c r="D177">
        <v>1450000</v>
      </c>
      <c r="E177" t="s">
        <v>182</v>
      </c>
      <c r="F177" s="59" t="s">
        <v>183</v>
      </c>
      <c r="G177" s="14">
        <v>42539.319756944446</v>
      </c>
    </row>
    <row r="178" spans="1:7" x14ac:dyDescent="0.25">
      <c r="A178" s="14">
        <v>42539.549131944441</v>
      </c>
      <c r="B178" t="s">
        <v>118</v>
      </c>
      <c r="C178" t="s">
        <v>384</v>
      </c>
      <c r="D178">
        <v>940000</v>
      </c>
      <c r="E178" t="s">
        <v>213</v>
      </c>
      <c r="F178" s="59" t="s">
        <v>118</v>
      </c>
      <c r="G178" s="14">
        <v>42539.549131944441</v>
      </c>
    </row>
    <row r="179" spans="1:7" x14ac:dyDescent="0.25">
      <c r="A179" s="14">
        <v>42539.194282407407</v>
      </c>
      <c r="B179" t="s">
        <v>102</v>
      </c>
      <c r="C179" t="s">
        <v>412</v>
      </c>
      <c r="D179">
        <v>1480000</v>
      </c>
      <c r="E179" t="s">
        <v>270</v>
      </c>
      <c r="F179" s="59" t="s">
        <v>102</v>
      </c>
      <c r="G179" s="14">
        <v>42539.194282407407</v>
      </c>
    </row>
    <row r="180" spans="1:7" x14ac:dyDescent="0.25">
      <c r="A180" s="14">
        <v>42539.526504629626</v>
      </c>
      <c r="B180" t="s">
        <v>207</v>
      </c>
      <c r="C180" t="s">
        <v>413</v>
      </c>
      <c r="D180">
        <v>1120000</v>
      </c>
      <c r="E180" t="s">
        <v>276</v>
      </c>
      <c r="F180" s="59" t="s">
        <v>207</v>
      </c>
      <c r="G180" s="14">
        <v>42539.526504629626</v>
      </c>
    </row>
    <row r="181" spans="1:7" x14ac:dyDescent="0.25">
      <c r="A181" s="14">
        <v>42539.288043981483</v>
      </c>
      <c r="B181" t="s">
        <v>136</v>
      </c>
      <c r="C181" t="s">
        <v>409</v>
      </c>
      <c r="D181">
        <v>1760000</v>
      </c>
      <c r="E181" t="s">
        <v>223</v>
      </c>
      <c r="F181" s="59" t="s">
        <v>136</v>
      </c>
      <c r="G181" s="14">
        <v>42539.288043981483</v>
      </c>
    </row>
    <row r="182" spans="1:7" x14ac:dyDescent="0.25">
      <c r="A182" s="14">
        <v>42539.486168981479</v>
      </c>
      <c r="B182" t="s">
        <v>101</v>
      </c>
      <c r="C182" t="s">
        <v>368</v>
      </c>
      <c r="D182">
        <v>1190000</v>
      </c>
      <c r="E182" t="s">
        <v>304</v>
      </c>
      <c r="F182" s="59" t="s">
        <v>101</v>
      </c>
      <c r="G182" s="14">
        <v>42539.486168981479</v>
      </c>
    </row>
    <row r="183" spans="1:7" x14ac:dyDescent="0.25">
      <c r="A183" s="14">
        <v>42539.292060185187</v>
      </c>
      <c r="B183" t="s">
        <v>136</v>
      </c>
      <c r="C183" t="s">
        <v>409</v>
      </c>
      <c r="D183">
        <v>1760000</v>
      </c>
      <c r="E183" t="s">
        <v>223</v>
      </c>
      <c r="F183" s="59" t="s">
        <v>136</v>
      </c>
      <c r="G183" s="14">
        <v>42539.292060185187</v>
      </c>
    </row>
    <row r="184" spans="1:7" x14ac:dyDescent="0.25">
      <c r="A184" s="14">
        <v>42539.472037037034</v>
      </c>
      <c r="B184" t="s">
        <v>116</v>
      </c>
      <c r="C184" t="s">
        <v>397</v>
      </c>
      <c r="D184">
        <v>1100000</v>
      </c>
      <c r="E184" t="s">
        <v>280</v>
      </c>
      <c r="F184" s="59" t="s">
        <v>116</v>
      </c>
      <c r="G184" s="14">
        <v>42539.472037037034</v>
      </c>
    </row>
    <row r="185" spans="1:7" x14ac:dyDescent="0.25">
      <c r="A185" s="14">
        <v>42539.315960648149</v>
      </c>
      <c r="B185" t="s">
        <v>113</v>
      </c>
      <c r="C185" t="s">
        <v>410</v>
      </c>
      <c r="D185">
        <v>1480000</v>
      </c>
      <c r="E185" t="s">
        <v>270</v>
      </c>
      <c r="F185" s="59" t="s">
        <v>113</v>
      </c>
      <c r="G185" s="14">
        <v>42539.315960648149</v>
      </c>
    </row>
    <row r="186" spans="1:7" x14ac:dyDescent="0.25">
      <c r="A186" s="14">
        <v>42539.468159722222</v>
      </c>
      <c r="B186" t="s">
        <v>113</v>
      </c>
      <c r="C186" t="s">
        <v>414</v>
      </c>
      <c r="D186">
        <v>1470000</v>
      </c>
      <c r="E186" t="s">
        <v>198</v>
      </c>
      <c r="F186" s="59" t="s">
        <v>113</v>
      </c>
      <c r="G186" s="14">
        <v>42539.468159722222</v>
      </c>
    </row>
    <row r="187" spans="1:7" x14ac:dyDescent="0.25">
      <c r="A187" s="14">
        <v>42539.3283912037</v>
      </c>
      <c r="B187" t="s">
        <v>116</v>
      </c>
      <c r="C187" t="s">
        <v>348</v>
      </c>
      <c r="D187">
        <v>1760000</v>
      </c>
      <c r="E187" t="s">
        <v>223</v>
      </c>
      <c r="F187" s="59" t="s">
        <v>116</v>
      </c>
      <c r="G187" s="14">
        <v>42539.3283912037</v>
      </c>
    </row>
    <row r="188" spans="1:7" x14ac:dyDescent="0.25">
      <c r="A188" s="14">
        <v>42539.454548611109</v>
      </c>
      <c r="B188" t="s">
        <v>207</v>
      </c>
      <c r="C188" t="s">
        <v>415</v>
      </c>
      <c r="D188">
        <v>1310000</v>
      </c>
      <c r="E188" t="s">
        <v>133</v>
      </c>
      <c r="F188" s="59" t="s">
        <v>207</v>
      </c>
      <c r="G188" s="14">
        <v>42539.454548611109</v>
      </c>
    </row>
    <row r="189" spans="1:7" x14ac:dyDescent="0.25">
      <c r="A189" s="14">
        <v>42539.330775462964</v>
      </c>
      <c r="B189" t="s">
        <v>118</v>
      </c>
      <c r="C189" t="s">
        <v>398</v>
      </c>
      <c r="D189">
        <v>1830000</v>
      </c>
      <c r="E189" t="s">
        <v>199</v>
      </c>
      <c r="F189" s="59" t="s">
        <v>118</v>
      </c>
      <c r="G189" s="14">
        <v>42539.330775462964</v>
      </c>
    </row>
    <row r="190" spans="1:7" x14ac:dyDescent="0.25">
      <c r="A190" s="14">
        <v>42539.425150462965</v>
      </c>
      <c r="B190" t="s">
        <v>180</v>
      </c>
      <c r="C190" t="s">
        <v>317</v>
      </c>
      <c r="D190">
        <v>1260000</v>
      </c>
      <c r="E190" t="s">
        <v>285</v>
      </c>
      <c r="F190" s="59" t="s">
        <v>180</v>
      </c>
      <c r="G190" s="14">
        <v>42539.425150462965</v>
      </c>
    </row>
    <row r="191" spans="1:7" x14ac:dyDescent="0.25">
      <c r="A191" s="14">
        <v>42539.335104166668</v>
      </c>
      <c r="B191" t="s">
        <v>225</v>
      </c>
      <c r="C191" t="s">
        <v>416</v>
      </c>
      <c r="D191">
        <v>1840000</v>
      </c>
      <c r="E191" t="s">
        <v>253</v>
      </c>
      <c r="F191" s="59" t="s">
        <v>225</v>
      </c>
      <c r="G191" s="14">
        <v>42539.335104166668</v>
      </c>
    </row>
    <row r="192" spans="1:7" x14ac:dyDescent="0.25">
      <c r="A192" s="14">
        <v>42539.236574074072</v>
      </c>
      <c r="B192" t="s">
        <v>101</v>
      </c>
      <c r="C192" t="s">
        <v>417</v>
      </c>
      <c r="D192">
        <v>1310000</v>
      </c>
      <c r="E192" t="s">
        <v>133</v>
      </c>
      <c r="F192" s="59" t="s">
        <v>101</v>
      </c>
      <c r="G192" s="14">
        <v>42539.236574074072</v>
      </c>
    </row>
    <row r="193" spans="1:7" x14ac:dyDescent="0.25">
      <c r="A193" s="14">
        <v>42539.345694444448</v>
      </c>
      <c r="B193" t="s">
        <v>217</v>
      </c>
      <c r="C193" t="s">
        <v>369</v>
      </c>
      <c r="D193">
        <v>1310000</v>
      </c>
      <c r="E193" t="s">
        <v>133</v>
      </c>
      <c r="F193" s="59" t="s">
        <v>217</v>
      </c>
      <c r="G193" s="14">
        <v>42539.345694444448</v>
      </c>
    </row>
    <row r="194" spans="1:7" x14ac:dyDescent="0.25">
      <c r="A194" s="14">
        <v>42539.808217592596</v>
      </c>
      <c r="B194" t="s">
        <v>179</v>
      </c>
      <c r="C194" t="s">
        <v>418</v>
      </c>
      <c r="D194">
        <v>1180000</v>
      </c>
      <c r="E194" t="s">
        <v>114</v>
      </c>
      <c r="F194" s="59" t="s">
        <v>179</v>
      </c>
      <c r="G194" s="14">
        <v>42539.808217592596</v>
      </c>
    </row>
    <row r="195" spans="1:7" x14ac:dyDescent="0.25">
      <c r="A195" s="14">
        <v>42536.701435185183</v>
      </c>
      <c r="B195" t="s">
        <v>101</v>
      </c>
      <c r="C195" t="s">
        <v>219</v>
      </c>
      <c r="D195">
        <v>1470000</v>
      </c>
      <c r="E195" t="s">
        <v>198</v>
      </c>
      <c r="F195" s="59" t="s">
        <v>101</v>
      </c>
      <c r="G195" s="14">
        <v>42536.701435185183</v>
      </c>
    </row>
    <row r="196" spans="1:7" x14ac:dyDescent="0.25">
      <c r="A196" s="14">
        <v>42530.673090277778</v>
      </c>
      <c r="B196" t="s">
        <v>98</v>
      </c>
      <c r="C196" t="s">
        <v>156</v>
      </c>
      <c r="D196">
        <v>1280000</v>
      </c>
      <c r="E196" t="s">
        <v>132</v>
      </c>
      <c r="F196" s="59" t="s">
        <v>98</v>
      </c>
      <c r="G196" s="14">
        <v>42530.673090277778</v>
      </c>
    </row>
    <row r="197" spans="1:7" x14ac:dyDescent="0.25">
      <c r="A197" s="14">
        <v>42536.674398148149</v>
      </c>
      <c r="B197" t="s">
        <v>180</v>
      </c>
      <c r="C197" t="s">
        <v>236</v>
      </c>
      <c r="D197">
        <v>1340000</v>
      </c>
      <c r="E197" t="s">
        <v>110</v>
      </c>
      <c r="F197" s="59" t="s">
        <v>180</v>
      </c>
      <c r="G197" s="14">
        <v>42536.674398148149</v>
      </c>
    </row>
    <row r="198" spans="1:7" x14ac:dyDescent="0.25">
      <c r="A198" s="14">
        <v>42530.713194444441</v>
      </c>
      <c r="B198" t="s">
        <v>97</v>
      </c>
      <c r="C198" t="s">
        <v>120</v>
      </c>
      <c r="D198">
        <v>1280000</v>
      </c>
      <c r="E198" t="s">
        <v>132</v>
      </c>
      <c r="F198" s="59" t="s">
        <v>97</v>
      </c>
      <c r="G198" s="14">
        <v>42530.713194444441</v>
      </c>
    </row>
    <row r="199" spans="1:7" x14ac:dyDescent="0.25">
      <c r="A199" s="14">
        <v>42535.713541666664</v>
      </c>
      <c r="B199" t="s">
        <v>181</v>
      </c>
      <c r="C199" t="s">
        <v>187</v>
      </c>
      <c r="D199">
        <v>1740000</v>
      </c>
      <c r="E199" t="s">
        <v>109</v>
      </c>
      <c r="F199" s="59" t="s">
        <v>181</v>
      </c>
      <c r="G199" s="14">
        <v>42535.713541666664</v>
      </c>
    </row>
    <row r="200" spans="1:7" x14ac:dyDescent="0.25">
      <c r="A200" s="14">
        <v>42536.710428240738</v>
      </c>
      <c r="B200" t="s">
        <v>183</v>
      </c>
      <c r="C200" t="s">
        <v>209</v>
      </c>
      <c r="D200">
        <v>1340000</v>
      </c>
      <c r="E200" t="s">
        <v>110</v>
      </c>
      <c r="F200" s="59" t="s">
        <v>183</v>
      </c>
      <c r="G200" s="14">
        <v>42536.710428240738</v>
      </c>
    </row>
    <row r="201" spans="1:7" x14ac:dyDescent="0.25">
      <c r="A201" s="14">
        <v>42530.684884259259</v>
      </c>
      <c r="B201" t="s">
        <v>117</v>
      </c>
      <c r="C201" t="s">
        <v>153</v>
      </c>
      <c r="D201">
        <v>1110000</v>
      </c>
      <c r="E201" t="s">
        <v>108</v>
      </c>
      <c r="F201" s="59" t="s">
        <v>117</v>
      </c>
      <c r="G201" s="14">
        <v>42530.684884259259</v>
      </c>
    </row>
    <row r="202" spans="1:7" x14ac:dyDescent="0.25">
      <c r="A202" s="14">
        <v>42536.68954861111</v>
      </c>
      <c r="B202" t="s">
        <v>117</v>
      </c>
      <c r="C202" t="s">
        <v>216</v>
      </c>
      <c r="D202">
        <v>890000</v>
      </c>
      <c r="E202" t="s">
        <v>104</v>
      </c>
      <c r="F202" s="59" t="s">
        <v>117</v>
      </c>
      <c r="G202" s="14">
        <v>42536.68954861111</v>
      </c>
    </row>
    <row r="203" spans="1:7" x14ac:dyDescent="0.25">
      <c r="A203" s="14">
        <v>42536.690694444442</v>
      </c>
      <c r="B203" t="s">
        <v>117</v>
      </c>
      <c r="C203" t="s">
        <v>216</v>
      </c>
      <c r="D203">
        <v>890000</v>
      </c>
      <c r="E203" t="s">
        <v>104</v>
      </c>
      <c r="F203" s="59" t="s">
        <v>117</v>
      </c>
      <c r="G203" s="14">
        <v>42536.690694444442</v>
      </c>
    </row>
    <row r="204" spans="1:7" x14ac:dyDescent="0.25">
      <c r="A204" s="14">
        <v>42530.723935185182</v>
      </c>
      <c r="B204" t="s">
        <v>115</v>
      </c>
      <c r="C204" t="s">
        <v>164</v>
      </c>
      <c r="D204">
        <v>1110000</v>
      </c>
      <c r="E204" t="s">
        <v>108</v>
      </c>
      <c r="F204" s="59" t="s">
        <v>115</v>
      </c>
      <c r="G204" s="14">
        <v>42530.723935185182</v>
      </c>
    </row>
    <row r="205" spans="1:7" x14ac:dyDescent="0.25">
      <c r="A205" s="14">
        <v>42536.6953587963</v>
      </c>
      <c r="B205" t="s">
        <v>179</v>
      </c>
      <c r="C205" t="s">
        <v>212</v>
      </c>
      <c r="D205">
        <v>940000</v>
      </c>
      <c r="E205" t="s">
        <v>213</v>
      </c>
      <c r="F205" s="59" t="s">
        <v>179</v>
      </c>
      <c r="G205" s="14">
        <v>42536.6953587963</v>
      </c>
    </row>
    <row r="206" spans="1:7" x14ac:dyDescent="0.25">
      <c r="A206" s="14">
        <v>42530.734826388885</v>
      </c>
      <c r="B206" t="s">
        <v>102</v>
      </c>
      <c r="C206" t="s">
        <v>124</v>
      </c>
      <c r="D206">
        <v>890000</v>
      </c>
      <c r="E206" t="s">
        <v>104</v>
      </c>
      <c r="F206" s="59" t="s">
        <v>102</v>
      </c>
      <c r="G206" s="14">
        <v>42530.734826388885</v>
      </c>
    </row>
    <row r="207" spans="1:7" x14ac:dyDescent="0.25">
      <c r="A207" s="14">
        <v>42530.70349537037</v>
      </c>
      <c r="B207" t="s">
        <v>119</v>
      </c>
      <c r="C207" t="s">
        <v>121</v>
      </c>
      <c r="D207">
        <v>1740000</v>
      </c>
      <c r="E207" t="s">
        <v>109</v>
      </c>
      <c r="F207" s="59" t="s">
        <v>119</v>
      </c>
      <c r="G207" s="14">
        <v>42530.70349537037</v>
      </c>
    </row>
    <row r="208" spans="1:7" x14ac:dyDescent="0.25">
      <c r="A208" s="14">
        <v>42530.70484953704</v>
      </c>
      <c r="B208" t="s">
        <v>119</v>
      </c>
      <c r="C208" t="s">
        <v>121</v>
      </c>
      <c r="D208">
        <v>1740000</v>
      </c>
      <c r="E208" t="s">
        <v>109</v>
      </c>
      <c r="F208" s="59" t="s">
        <v>119</v>
      </c>
      <c r="G208" s="14">
        <v>42530.70484953704</v>
      </c>
    </row>
    <row r="209" spans="1:7" x14ac:dyDescent="0.25">
      <c r="A209" s="14">
        <v>42530.742951388886</v>
      </c>
      <c r="B209" t="s">
        <v>76</v>
      </c>
      <c r="C209" t="s">
        <v>158</v>
      </c>
      <c r="D209">
        <v>1740000</v>
      </c>
      <c r="E209" t="s">
        <v>109</v>
      </c>
      <c r="F209" s="59" t="s">
        <v>76</v>
      </c>
      <c r="G209" s="14">
        <v>42530.742951388886</v>
      </c>
    </row>
    <row r="210" spans="1:7" x14ac:dyDescent="0.25">
      <c r="A210" s="14">
        <v>42536.768611111111</v>
      </c>
      <c r="B210" t="s">
        <v>97</v>
      </c>
      <c r="C210" t="s">
        <v>221</v>
      </c>
      <c r="D210">
        <v>1520000</v>
      </c>
      <c r="E210" t="s">
        <v>131</v>
      </c>
      <c r="F210" s="59" t="s">
        <v>97</v>
      </c>
      <c r="G210" s="14">
        <v>42536.768611111111</v>
      </c>
    </row>
    <row r="211" spans="1:7" x14ac:dyDescent="0.25">
      <c r="A211" s="14">
        <v>42530.710578703707</v>
      </c>
      <c r="B211" t="s">
        <v>136</v>
      </c>
      <c r="C211" t="s">
        <v>147</v>
      </c>
      <c r="D211">
        <v>1440000</v>
      </c>
      <c r="E211" t="s">
        <v>137</v>
      </c>
      <c r="F211" s="59" t="s">
        <v>136</v>
      </c>
      <c r="G211" s="14">
        <v>42530.710578703707</v>
      </c>
    </row>
    <row r="212" spans="1:7" x14ac:dyDescent="0.25">
      <c r="A212" s="14">
        <v>42536.721921296295</v>
      </c>
      <c r="B212" t="s">
        <v>173</v>
      </c>
      <c r="C212" t="s">
        <v>234</v>
      </c>
      <c r="D212">
        <v>1740000</v>
      </c>
      <c r="E212" t="s">
        <v>109</v>
      </c>
      <c r="F212" s="59" t="s">
        <v>173</v>
      </c>
      <c r="G212" s="14">
        <v>42536.721921296295</v>
      </c>
    </row>
    <row r="213" spans="1:7" x14ac:dyDescent="0.25">
      <c r="A213" s="14">
        <v>42530.747256944444</v>
      </c>
      <c r="B213" t="s">
        <v>116</v>
      </c>
      <c r="C213" t="s">
        <v>125</v>
      </c>
      <c r="D213">
        <v>1440000</v>
      </c>
      <c r="E213" t="s">
        <v>137</v>
      </c>
      <c r="F213" s="59" t="s">
        <v>116</v>
      </c>
      <c r="G213" s="14">
        <v>42530.747256944444</v>
      </c>
    </row>
    <row r="214" spans="1:7" x14ac:dyDescent="0.25">
      <c r="A214" s="14">
        <v>42530.72797453704</v>
      </c>
      <c r="B214" t="s">
        <v>118</v>
      </c>
      <c r="C214" t="s">
        <v>144</v>
      </c>
      <c r="D214">
        <v>1140000</v>
      </c>
      <c r="E214" t="s">
        <v>103</v>
      </c>
      <c r="F214" s="59" t="s">
        <v>118</v>
      </c>
      <c r="G214" s="14">
        <v>42530.72797453704</v>
      </c>
    </row>
    <row r="215" spans="1:7" x14ac:dyDescent="0.25">
      <c r="A215" s="14">
        <v>42536.728113425925</v>
      </c>
      <c r="B215" t="s">
        <v>205</v>
      </c>
      <c r="C215" t="s">
        <v>206</v>
      </c>
      <c r="D215">
        <v>880000</v>
      </c>
      <c r="E215" t="s">
        <v>111</v>
      </c>
      <c r="F215" s="59" t="s">
        <v>205</v>
      </c>
      <c r="G215" s="14">
        <v>42536.728113425925</v>
      </c>
    </row>
    <row r="216" spans="1:7" x14ac:dyDescent="0.25">
      <c r="A216" s="14">
        <v>42536.73337962963</v>
      </c>
      <c r="B216" t="s">
        <v>205</v>
      </c>
      <c r="C216" t="s">
        <v>206</v>
      </c>
      <c r="D216">
        <v>880000</v>
      </c>
      <c r="E216" t="s">
        <v>111</v>
      </c>
      <c r="F216" s="59" t="s">
        <v>205</v>
      </c>
      <c r="G216" s="14">
        <v>42536.73337962963</v>
      </c>
    </row>
    <row r="217" spans="1:7" x14ac:dyDescent="0.25">
      <c r="A217" s="14">
        <v>42536.726898148147</v>
      </c>
      <c r="B217" t="s">
        <v>205</v>
      </c>
      <c r="C217" t="s">
        <v>206</v>
      </c>
      <c r="D217">
        <v>880000</v>
      </c>
      <c r="E217" t="s">
        <v>111</v>
      </c>
      <c r="F217" s="59" t="s">
        <v>205</v>
      </c>
      <c r="G217" s="14">
        <v>42536.726898148147</v>
      </c>
    </row>
    <row r="218" spans="1:7" x14ac:dyDescent="0.25">
      <c r="A218" s="14">
        <v>42536.766898148147</v>
      </c>
      <c r="B218" t="s">
        <v>205</v>
      </c>
      <c r="C218" t="s">
        <v>206</v>
      </c>
      <c r="D218">
        <v>880000</v>
      </c>
      <c r="E218" t="s">
        <v>111</v>
      </c>
      <c r="F218" s="59" t="s">
        <v>205</v>
      </c>
      <c r="G218" s="14">
        <v>42536.766898148147</v>
      </c>
    </row>
    <row r="219" spans="1:7" x14ac:dyDescent="0.25">
      <c r="A219" s="14">
        <v>42530.759872685187</v>
      </c>
      <c r="B219" t="s">
        <v>91</v>
      </c>
      <c r="C219" t="s">
        <v>126</v>
      </c>
      <c r="D219">
        <v>1140000</v>
      </c>
      <c r="E219" t="s">
        <v>103</v>
      </c>
      <c r="F219" s="59" t="s">
        <v>91</v>
      </c>
      <c r="G219" s="14">
        <v>42530.759872685187</v>
      </c>
    </row>
    <row r="220" spans="1:7" x14ac:dyDescent="0.25">
      <c r="A220" s="14">
        <v>42530.739201388889</v>
      </c>
      <c r="B220" t="s">
        <v>100</v>
      </c>
      <c r="C220" t="s">
        <v>145</v>
      </c>
      <c r="D220">
        <v>1180000</v>
      </c>
      <c r="E220" t="s">
        <v>114</v>
      </c>
      <c r="F220" s="59" t="s">
        <v>100</v>
      </c>
      <c r="G220" s="14">
        <v>42530.739201388889</v>
      </c>
    </row>
    <row r="221" spans="1:7" x14ac:dyDescent="0.25">
      <c r="A221" s="14">
        <v>42530.738206018519</v>
      </c>
      <c r="B221" t="s">
        <v>100</v>
      </c>
      <c r="C221" t="s">
        <v>145</v>
      </c>
      <c r="D221">
        <v>1180000</v>
      </c>
      <c r="E221" t="s">
        <v>114</v>
      </c>
      <c r="F221" s="59" t="s">
        <v>100</v>
      </c>
      <c r="G221" s="14">
        <v>42530.738206018519</v>
      </c>
    </row>
    <row r="222" spans="1:7" x14ac:dyDescent="0.25">
      <c r="A222" s="14">
        <v>42530.73541666667</v>
      </c>
      <c r="B222" t="s">
        <v>100</v>
      </c>
      <c r="C222" t="s">
        <v>145</v>
      </c>
      <c r="D222">
        <v>1180000</v>
      </c>
      <c r="E222" t="s">
        <v>114</v>
      </c>
      <c r="F222" s="59" t="s">
        <v>100</v>
      </c>
      <c r="G222" s="14">
        <v>42530.73541666667</v>
      </c>
    </row>
    <row r="223" spans="1:7" x14ac:dyDescent="0.25">
      <c r="A223" s="14">
        <v>42536.735243055555</v>
      </c>
      <c r="B223" t="s">
        <v>113</v>
      </c>
      <c r="C223" t="s">
        <v>201</v>
      </c>
      <c r="D223">
        <v>1180000</v>
      </c>
      <c r="E223" t="s">
        <v>114</v>
      </c>
      <c r="F223" s="59" t="s">
        <v>113</v>
      </c>
      <c r="G223" s="14">
        <v>42536.735243055555</v>
      </c>
    </row>
    <row r="224" spans="1:7" x14ac:dyDescent="0.25">
      <c r="A224" s="14">
        <v>42536.775034722225</v>
      </c>
      <c r="B224" t="s">
        <v>97</v>
      </c>
      <c r="C224" t="s">
        <v>202</v>
      </c>
      <c r="D224">
        <v>1520000</v>
      </c>
      <c r="E224" t="s">
        <v>131</v>
      </c>
      <c r="F224" s="59" t="s">
        <v>97</v>
      </c>
      <c r="G224" s="14">
        <v>42536.775034722225</v>
      </c>
    </row>
    <row r="225" spans="1:7" x14ac:dyDescent="0.25">
      <c r="A225" s="14">
        <v>42536.777650462966</v>
      </c>
      <c r="B225" t="s">
        <v>97</v>
      </c>
      <c r="C225" t="s">
        <v>202</v>
      </c>
      <c r="D225">
        <v>1520000</v>
      </c>
      <c r="E225" t="s">
        <v>131</v>
      </c>
      <c r="F225" s="59" t="s">
        <v>97</v>
      </c>
      <c r="G225" s="14">
        <v>42536.777650462966</v>
      </c>
    </row>
    <row r="226" spans="1:7" x14ac:dyDescent="0.25">
      <c r="A226" s="14">
        <v>42536.776145833333</v>
      </c>
      <c r="B226" t="s">
        <v>97</v>
      </c>
      <c r="C226" t="s">
        <v>202</v>
      </c>
      <c r="D226">
        <v>1520000</v>
      </c>
      <c r="E226" t="s">
        <v>131</v>
      </c>
      <c r="F226" s="59" t="s">
        <v>97</v>
      </c>
      <c r="G226" s="14">
        <v>42536.776145833333</v>
      </c>
    </row>
    <row r="227" spans="1:7" x14ac:dyDescent="0.25">
      <c r="A227" s="14">
        <v>42530.744710648149</v>
      </c>
      <c r="B227" t="s">
        <v>98</v>
      </c>
      <c r="C227" t="s">
        <v>165</v>
      </c>
      <c r="D227">
        <v>1280000</v>
      </c>
      <c r="E227" t="s">
        <v>132</v>
      </c>
      <c r="F227" s="59" t="s">
        <v>98</v>
      </c>
      <c r="G227" s="14">
        <v>42530.744710648149</v>
      </c>
    </row>
    <row r="228" spans="1:7" x14ac:dyDescent="0.25">
      <c r="A228" s="14">
        <v>42530.78528935185</v>
      </c>
      <c r="B228" t="s">
        <v>97</v>
      </c>
      <c r="C228" t="s">
        <v>138</v>
      </c>
      <c r="D228">
        <v>1280000</v>
      </c>
      <c r="E228" t="s">
        <v>132</v>
      </c>
      <c r="F228" s="59" t="s">
        <v>97</v>
      </c>
      <c r="G228" s="14">
        <v>42530.78528935185</v>
      </c>
    </row>
    <row r="229" spans="1:7" x14ac:dyDescent="0.25">
      <c r="A229" s="14">
        <v>42530.758935185186</v>
      </c>
      <c r="B229" t="s">
        <v>117</v>
      </c>
      <c r="C229" t="s">
        <v>162</v>
      </c>
      <c r="D229">
        <v>1820000</v>
      </c>
      <c r="E229" t="s">
        <v>112</v>
      </c>
      <c r="F229" s="59" t="s">
        <v>117</v>
      </c>
      <c r="G229" s="14">
        <v>42530.758935185186</v>
      </c>
    </row>
    <row r="230" spans="1:7" x14ac:dyDescent="0.25">
      <c r="A230" s="14">
        <v>42530.797986111109</v>
      </c>
      <c r="B230" t="s">
        <v>115</v>
      </c>
      <c r="C230" t="s">
        <v>127</v>
      </c>
      <c r="D230">
        <v>1820000</v>
      </c>
      <c r="E230" t="s">
        <v>112</v>
      </c>
      <c r="F230" s="59" t="s">
        <v>115</v>
      </c>
      <c r="G230" s="14">
        <v>42530.797986111109</v>
      </c>
    </row>
    <row r="231" spans="1:7" x14ac:dyDescent="0.25">
      <c r="A231" s="14">
        <v>42536.806030092594</v>
      </c>
      <c r="B231" t="s">
        <v>225</v>
      </c>
      <c r="C231" t="s">
        <v>229</v>
      </c>
      <c r="D231">
        <v>880000</v>
      </c>
      <c r="E231" t="s">
        <v>111</v>
      </c>
      <c r="F231" s="59" t="s">
        <v>225</v>
      </c>
      <c r="G231" s="14">
        <v>42536.806030092594</v>
      </c>
    </row>
    <row r="232" spans="1:7" x14ac:dyDescent="0.25">
      <c r="A232" s="14">
        <v>42536.786620370367</v>
      </c>
      <c r="B232" t="s">
        <v>100</v>
      </c>
      <c r="C232" t="s">
        <v>228</v>
      </c>
      <c r="D232">
        <v>1820000</v>
      </c>
      <c r="E232" t="s">
        <v>112</v>
      </c>
      <c r="F232" s="59" t="s">
        <v>100</v>
      </c>
      <c r="G232" s="14">
        <v>42536.786620370367</v>
      </c>
    </row>
    <row r="233" spans="1:7" x14ac:dyDescent="0.25">
      <c r="A233" s="14">
        <v>42530.820208333331</v>
      </c>
      <c r="B233" t="s">
        <v>116</v>
      </c>
      <c r="C233" t="s">
        <v>161</v>
      </c>
      <c r="D233">
        <v>1440000</v>
      </c>
      <c r="E233" t="s">
        <v>137</v>
      </c>
      <c r="F233" s="59" t="s">
        <v>116</v>
      </c>
      <c r="G233" s="14">
        <v>42530.820208333331</v>
      </c>
    </row>
    <row r="234" spans="1:7" x14ac:dyDescent="0.25">
      <c r="A234" s="14">
        <v>42536.825694444444</v>
      </c>
      <c r="B234" t="s">
        <v>102</v>
      </c>
      <c r="C234" t="s">
        <v>233</v>
      </c>
      <c r="D234">
        <v>1180000</v>
      </c>
      <c r="E234" t="s">
        <v>114</v>
      </c>
      <c r="F234" s="59" t="s">
        <v>102</v>
      </c>
      <c r="G234" s="14">
        <v>42536.825694444444</v>
      </c>
    </row>
    <row r="235" spans="1:7" x14ac:dyDescent="0.25">
      <c r="A235" s="14">
        <v>42536.808148148149</v>
      </c>
      <c r="B235" t="s">
        <v>179</v>
      </c>
      <c r="C235" t="s">
        <v>211</v>
      </c>
      <c r="D235">
        <v>1280000</v>
      </c>
      <c r="E235" t="s">
        <v>132</v>
      </c>
      <c r="F235" s="59" t="s">
        <v>179</v>
      </c>
      <c r="G235" s="14">
        <v>42536.808148148149</v>
      </c>
    </row>
    <row r="236" spans="1:7" x14ac:dyDescent="0.25">
      <c r="A236" s="14">
        <v>42530.841643518521</v>
      </c>
      <c r="B236" t="s">
        <v>101</v>
      </c>
      <c r="C236" t="s">
        <v>143</v>
      </c>
      <c r="D236">
        <v>1180000</v>
      </c>
      <c r="E236" t="s">
        <v>114</v>
      </c>
      <c r="F236" s="59" t="s">
        <v>101</v>
      </c>
      <c r="G236" s="14">
        <v>42530.841643518521</v>
      </c>
    </row>
    <row r="237" spans="1:7" x14ac:dyDescent="0.25">
      <c r="A237" s="14">
        <v>42536.847361111111</v>
      </c>
      <c r="B237" t="s">
        <v>101</v>
      </c>
      <c r="C237" t="s">
        <v>215</v>
      </c>
      <c r="D237">
        <v>1820000</v>
      </c>
      <c r="E237" t="s">
        <v>112</v>
      </c>
      <c r="F237" s="59" t="s">
        <v>101</v>
      </c>
      <c r="G237" s="14">
        <v>42536.847361111111</v>
      </c>
    </row>
    <row r="238" spans="1:7" x14ac:dyDescent="0.25">
      <c r="A238" s="14">
        <v>42530.830428240741</v>
      </c>
      <c r="B238" t="s">
        <v>117</v>
      </c>
      <c r="C238" t="s">
        <v>146</v>
      </c>
      <c r="D238">
        <v>1820000</v>
      </c>
      <c r="E238" t="s">
        <v>112</v>
      </c>
      <c r="F238" s="59" t="s">
        <v>117</v>
      </c>
      <c r="G238" s="14">
        <v>42530.830428240741</v>
      </c>
    </row>
    <row r="239" spans="1:7" x14ac:dyDescent="0.25">
      <c r="A239" s="14">
        <v>42530.86991898148</v>
      </c>
      <c r="B239" t="s">
        <v>115</v>
      </c>
      <c r="C239" t="s">
        <v>128</v>
      </c>
      <c r="D239">
        <v>1820000</v>
      </c>
      <c r="E239" t="s">
        <v>112</v>
      </c>
      <c r="F239" s="59" t="s">
        <v>115</v>
      </c>
      <c r="G239" s="14">
        <v>42530.86991898148</v>
      </c>
    </row>
    <row r="240" spans="1:7" x14ac:dyDescent="0.25">
      <c r="A240" s="14">
        <v>42536.865868055553</v>
      </c>
      <c r="B240" t="s">
        <v>181</v>
      </c>
      <c r="C240" t="s">
        <v>227</v>
      </c>
      <c r="D240">
        <v>1280000</v>
      </c>
      <c r="E240" t="s">
        <v>132</v>
      </c>
      <c r="F240" s="59" t="s">
        <v>181</v>
      </c>
      <c r="G240" s="14">
        <v>42536.865868055553</v>
      </c>
    </row>
    <row r="241" spans="1:7" x14ac:dyDescent="0.25">
      <c r="A241" s="14">
        <v>42530.849803240744</v>
      </c>
      <c r="B241" t="s">
        <v>113</v>
      </c>
      <c r="C241" t="s">
        <v>148</v>
      </c>
      <c r="D241">
        <v>1240000</v>
      </c>
      <c r="E241" t="s">
        <v>89</v>
      </c>
      <c r="F241" s="59" t="s">
        <v>113</v>
      </c>
      <c r="G241" s="14">
        <v>42530.849803240744</v>
      </c>
    </row>
    <row r="242" spans="1:7" x14ac:dyDescent="0.25">
      <c r="A242" s="14">
        <v>42536.859467592592</v>
      </c>
      <c r="B242" t="s">
        <v>205</v>
      </c>
      <c r="C242" t="s">
        <v>222</v>
      </c>
      <c r="D242">
        <v>1760000</v>
      </c>
      <c r="E242" t="s">
        <v>223</v>
      </c>
      <c r="F242" s="59" t="s">
        <v>205</v>
      </c>
      <c r="G242" s="14">
        <v>42536.859467592592</v>
      </c>
    </row>
    <row r="243" spans="1:7" x14ac:dyDescent="0.25">
      <c r="A243" s="14">
        <v>42536.860613425924</v>
      </c>
      <c r="B243" t="s">
        <v>205</v>
      </c>
      <c r="C243" t="s">
        <v>222</v>
      </c>
      <c r="D243">
        <v>1760000</v>
      </c>
      <c r="E243" t="s">
        <v>223</v>
      </c>
      <c r="F243" s="59" t="s">
        <v>205</v>
      </c>
      <c r="G243" s="14">
        <v>42536.860613425924</v>
      </c>
    </row>
    <row r="244" spans="1:7" x14ac:dyDescent="0.25">
      <c r="A244" s="14">
        <v>42536.901678240742</v>
      </c>
      <c r="B244" t="s">
        <v>225</v>
      </c>
      <c r="C244" t="s">
        <v>226</v>
      </c>
      <c r="D244">
        <v>1760000</v>
      </c>
      <c r="E244" t="s">
        <v>223</v>
      </c>
      <c r="F244" s="59" t="s">
        <v>225</v>
      </c>
      <c r="G244" s="14">
        <v>42536.901678240742</v>
      </c>
    </row>
    <row r="245" spans="1:7" x14ac:dyDescent="0.25">
      <c r="A245" s="14">
        <v>42530.859756944446</v>
      </c>
      <c r="B245" t="s">
        <v>136</v>
      </c>
      <c r="C245" t="s">
        <v>163</v>
      </c>
      <c r="D245">
        <v>1440000</v>
      </c>
      <c r="E245" t="s">
        <v>137</v>
      </c>
      <c r="F245" s="59" t="s">
        <v>136</v>
      </c>
      <c r="G245" s="14">
        <v>42530.859756944446</v>
      </c>
    </row>
    <row r="246" spans="1:7" x14ac:dyDescent="0.25">
      <c r="A246" s="14">
        <v>42530.860914351855</v>
      </c>
      <c r="B246" t="s">
        <v>136</v>
      </c>
      <c r="C246" t="s">
        <v>163</v>
      </c>
      <c r="D246">
        <v>1440000</v>
      </c>
      <c r="E246" t="s">
        <v>137</v>
      </c>
      <c r="F246" s="59" t="s">
        <v>136</v>
      </c>
      <c r="G246" s="14">
        <v>42530.860914351855</v>
      </c>
    </row>
    <row r="247" spans="1:7" x14ac:dyDescent="0.25">
      <c r="A247" s="14">
        <v>42536.870925925927</v>
      </c>
      <c r="B247" t="s">
        <v>113</v>
      </c>
      <c r="C247" t="s">
        <v>214</v>
      </c>
      <c r="D247">
        <v>1180000</v>
      </c>
      <c r="E247" t="s">
        <v>114</v>
      </c>
      <c r="F247" s="59" t="s">
        <v>113</v>
      </c>
      <c r="G247" s="14">
        <v>42536.870925925927</v>
      </c>
    </row>
    <row r="248" spans="1:7" x14ac:dyDescent="0.25">
      <c r="A248" s="14">
        <v>42536.869699074072</v>
      </c>
      <c r="B248" t="s">
        <v>113</v>
      </c>
      <c r="C248" t="s">
        <v>214</v>
      </c>
      <c r="D248">
        <v>1180000</v>
      </c>
      <c r="E248" t="s">
        <v>114</v>
      </c>
      <c r="F248" s="59" t="s">
        <v>113</v>
      </c>
      <c r="G248" s="14">
        <v>42536.869699074072</v>
      </c>
    </row>
    <row r="249" spans="1:7" x14ac:dyDescent="0.25">
      <c r="A249" s="14">
        <v>42530.902858796297</v>
      </c>
      <c r="B249" t="s">
        <v>116</v>
      </c>
      <c r="C249" t="s">
        <v>157</v>
      </c>
      <c r="D249">
        <v>1440000</v>
      </c>
      <c r="E249" t="s">
        <v>137</v>
      </c>
      <c r="F249" s="59" t="s">
        <v>116</v>
      </c>
      <c r="G249" s="14">
        <v>42530.902858796297</v>
      </c>
    </row>
    <row r="250" spans="1:7" x14ac:dyDescent="0.25">
      <c r="A250" s="14">
        <v>42530.904467592591</v>
      </c>
      <c r="B250" t="s">
        <v>116</v>
      </c>
      <c r="C250" t="s">
        <v>157</v>
      </c>
      <c r="D250">
        <v>1440000</v>
      </c>
      <c r="E250" t="s">
        <v>137</v>
      </c>
      <c r="F250" s="59" t="s">
        <v>116</v>
      </c>
      <c r="G250" s="14">
        <v>42530.904467592591</v>
      </c>
    </row>
    <row r="251" spans="1:7" x14ac:dyDescent="0.25">
      <c r="A251" s="14">
        <v>42536.917928240742</v>
      </c>
      <c r="B251" t="s">
        <v>102</v>
      </c>
      <c r="C251" t="s">
        <v>203</v>
      </c>
      <c r="D251">
        <v>1180000</v>
      </c>
      <c r="E251" t="s">
        <v>114</v>
      </c>
      <c r="F251" s="59" t="s">
        <v>102</v>
      </c>
      <c r="G251" s="14">
        <v>42536.917928240742</v>
      </c>
    </row>
    <row r="252" spans="1:7" x14ac:dyDescent="0.25">
      <c r="A252" s="14">
        <v>42533.904224537036</v>
      </c>
      <c r="B252" t="s">
        <v>173</v>
      </c>
      <c r="C252" t="s">
        <v>174</v>
      </c>
      <c r="D252">
        <v>1140000</v>
      </c>
      <c r="E252" t="s">
        <v>103</v>
      </c>
      <c r="F252" s="59" t="s">
        <v>173</v>
      </c>
      <c r="G252" s="14">
        <v>42533.904224537036</v>
      </c>
    </row>
    <row r="253" spans="1:7" x14ac:dyDescent="0.25">
      <c r="A253" s="14">
        <v>42536.891458333332</v>
      </c>
      <c r="B253" t="s">
        <v>100</v>
      </c>
      <c r="C253" t="s">
        <v>218</v>
      </c>
      <c r="D253">
        <v>1820000</v>
      </c>
      <c r="E253" t="s">
        <v>112</v>
      </c>
      <c r="F253" s="59" t="s">
        <v>100</v>
      </c>
      <c r="G253" s="14">
        <v>42536.891458333332</v>
      </c>
    </row>
    <row r="254" spans="1:7" x14ac:dyDescent="0.25">
      <c r="A254" s="14">
        <v>42530.928368055553</v>
      </c>
      <c r="B254" t="s">
        <v>101</v>
      </c>
      <c r="C254" t="s">
        <v>160</v>
      </c>
      <c r="D254">
        <v>1180000</v>
      </c>
      <c r="E254" t="s">
        <v>114</v>
      </c>
      <c r="F254" s="59" t="s">
        <v>101</v>
      </c>
      <c r="G254" s="14">
        <v>42530.928368055553</v>
      </c>
    </row>
    <row r="255" spans="1:7" x14ac:dyDescent="0.25">
      <c r="A255" s="14">
        <v>42535.931793981479</v>
      </c>
      <c r="B255" t="s">
        <v>91</v>
      </c>
      <c r="C255" t="s">
        <v>191</v>
      </c>
      <c r="D255">
        <v>1240000</v>
      </c>
      <c r="E255" t="s">
        <v>89</v>
      </c>
      <c r="F255" s="59" t="s">
        <v>91</v>
      </c>
      <c r="G255" s="14">
        <v>42535.931793981479</v>
      </c>
    </row>
    <row r="256" spans="1:7" x14ac:dyDescent="0.25">
      <c r="A256" s="14">
        <v>42536.931840277779</v>
      </c>
      <c r="B256" t="s">
        <v>101</v>
      </c>
      <c r="C256" t="s">
        <v>237</v>
      </c>
      <c r="D256">
        <v>1820000</v>
      </c>
      <c r="E256" t="s">
        <v>112</v>
      </c>
      <c r="F256" s="59" t="s">
        <v>101</v>
      </c>
      <c r="G256" s="14">
        <v>42536.931840277779</v>
      </c>
    </row>
    <row r="257" spans="1:7" x14ac:dyDescent="0.25">
      <c r="A257" s="14">
        <v>42530.913182870368</v>
      </c>
      <c r="B257" t="s">
        <v>117</v>
      </c>
      <c r="C257" t="s">
        <v>150</v>
      </c>
      <c r="D257">
        <v>1820000</v>
      </c>
      <c r="E257" t="s">
        <v>112</v>
      </c>
      <c r="F257" s="59" t="s">
        <v>117</v>
      </c>
      <c r="G257" s="14">
        <v>42530.913182870368</v>
      </c>
    </row>
    <row r="258" spans="1:7" x14ac:dyDescent="0.25">
      <c r="A258" s="14">
        <v>42536.90351851852</v>
      </c>
      <c r="B258" t="s">
        <v>179</v>
      </c>
      <c r="C258" t="s">
        <v>235</v>
      </c>
      <c r="D258">
        <v>1280000</v>
      </c>
      <c r="E258" t="s">
        <v>132</v>
      </c>
      <c r="F258" s="59" t="s">
        <v>179</v>
      </c>
      <c r="G258" s="14">
        <v>42536.90351851852</v>
      </c>
    </row>
    <row r="259" spans="1:7" x14ac:dyDescent="0.25">
      <c r="A259" s="14">
        <v>42530.953333333331</v>
      </c>
      <c r="B259" t="s">
        <v>115</v>
      </c>
      <c r="C259" t="s">
        <v>141</v>
      </c>
      <c r="D259">
        <v>1820000</v>
      </c>
      <c r="E259" t="s">
        <v>112</v>
      </c>
      <c r="F259" s="59" t="s">
        <v>115</v>
      </c>
      <c r="G259" s="14">
        <v>42530.953333333331</v>
      </c>
    </row>
    <row r="260" spans="1:7" x14ac:dyDescent="0.25">
      <c r="A260" s="14">
        <v>42530.932245370372</v>
      </c>
      <c r="B260" t="s">
        <v>113</v>
      </c>
      <c r="C260" t="s">
        <v>159</v>
      </c>
      <c r="D260">
        <v>1240000</v>
      </c>
      <c r="E260" t="s">
        <v>89</v>
      </c>
      <c r="F260" s="59" t="s">
        <v>113</v>
      </c>
      <c r="G260" s="14">
        <v>42530.932245370372</v>
      </c>
    </row>
    <row r="261" spans="1:7" x14ac:dyDescent="0.25">
      <c r="A261" s="14">
        <v>42535.930694444447</v>
      </c>
      <c r="B261" t="s">
        <v>173</v>
      </c>
      <c r="C261" t="s">
        <v>190</v>
      </c>
      <c r="D261">
        <v>1280000</v>
      </c>
      <c r="E261" t="s">
        <v>132</v>
      </c>
      <c r="F261" s="59" t="s">
        <v>173</v>
      </c>
      <c r="G261" s="14">
        <v>42535.930694444447</v>
      </c>
    </row>
    <row r="262" spans="1:7" x14ac:dyDescent="0.25">
      <c r="A262" s="14">
        <v>42536.937569444446</v>
      </c>
      <c r="B262" t="s">
        <v>205</v>
      </c>
      <c r="C262" t="s">
        <v>238</v>
      </c>
      <c r="D262">
        <v>1760000</v>
      </c>
      <c r="E262" t="s">
        <v>223</v>
      </c>
      <c r="F262" s="59" t="s">
        <v>205</v>
      </c>
      <c r="G262" s="14">
        <v>42536.937569444446</v>
      </c>
    </row>
    <row r="263" spans="1:7" x14ac:dyDescent="0.25">
      <c r="A263" s="14">
        <v>42530.97457175926</v>
      </c>
      <c r="B263" t="s">
        <v>102</v>
      </c>
      <c r="C263" t="s">
        <v>152</v>
      </c>
      <c r="D263">
        <v>1240000</v>
      </c>
      <c r="E263" t="s">
        <v>89</v>
      </c>
      <c r="F263" s="59" t="s">
        <v>102</v>
      </c>
      <c r="G263" s="14">
        <v>42530.97457175926</v>
      </c>
    </row>
    <row r="264" spans="1:7" x14ac:dyDescent="0.25">
      <c r="A264" s="14">
        <v>42536.975787037038</v>
      </c>
      <c r="B264" t="s">
        <v>225</v>
      </c>
      <c r="C264" t="s">
        <v>239</v>
      </c>
      <c r="D264">
        <v>1760000</v>
      </c>
      <c r="E264" t="s">
        <v>223</v>
      </c>
      <c r="F264" s="59" t="s">
        <v>225</v>
      </c>
      <c r="G264" s="14">
        <v>42536.975787037038</v>
      </c>
    </row>
    <row r="265" spans="1:7" x14ac:dyDescent="0.25">
      <c r="A265" s="14">
        <v>42530.941724537035</v>
      </c>
      <c r="B265" t="s">
        <v>136</v>
      </c>
      <c r="C265" t="s">
        <v>142</v>
      </c>
      <c r="D265">
        <v>1440000</v>
      </c>
      <c r="E265" t="s">
        <v>137</v>
      </c>
      <c r="F265" s="59" t="s">
        <v>136</v>
      </c>
      <c r="G265" s="14">
        <v>42530.941724537035</v>
      </c>
    </row>
    <row r="266" spans="1:7" x14ac:dyDescent="0.25">
      <c r="A266" s="14">
        <v>42536.956724537034</v>
      </c>
      <c r="B266" t="s">
        <v>113</v>
      </c>
      <c r="C266" t="s">
        <v>232</v>
      </c>
      <c r="D266">
        <v>1180000</v>
      </c>
      <c r="E266" t="s">
        <v>114</v>
      </c>
      <c r="F266" s="59" t="s">
        <v>113</v>
      </c>
      <c r="G266" s="14">
        <v>42536.956724537034</v>
      </c>
    </row>
    <row r="267" spans="1:7" x14ac:dyDescent="0.25">
      <c r="A267" s="14">
        <v>42530.989629629628</v>
      </c>
      <c r="B267" t="s">
        <v>116</v>
      </c>
      <c r="C267" t="s">
        <v>151</v>
      </c>
      <c r="D267">
        <v>1440000</v>
      </c>
      <c r="E267" t="s">
        <v>137</v>
      </c>
      <c r="F267" s="59" t="s">
        <v>116</v>
      </c>
      <c r="G267" s="14">
        <v>42530.989629629628</v>
      </c>
    </row>
    <row r="268" spans="1:7" x14ac:dyDescent="0.25">
      <c r="A268" s="14">
        <v>42530.988854166666</v>
      </c>
      <c r="B268" t="s">
        <v>116</v>
      </c>
      <c r="C268" t="s">
        <v>151</v>
      </c>
      <c r="D268">
        <v>1440000</v>
      </c>
      <c r="E268" t="s">
        <v>137</v>
      </c>
      <c r="F268" s="59" t="s">
        <v>116</v>
      </c>
      <c r="G268" s="14">
        <v>42530.988854166666</v>
      </c>
    </row>
    <row r="269" spans="1:7" x14ac:dyDescent="0.25">
      <c r="A269" s="14">
        <v>42536.987233796295</v>
      </c>
      <c r="B269" t="s">
        <v>102</v>
      </c>
      <c r="C269" t="s">
        <v>204</v>
      </c>
      <c r="D269">
        <v>1180000</v>
      </c>
      <c r="E269" t="s">
        <v>114</v>
      </c>
      <c r="F269" s="59" t="s">
        <v>102</v>
      </c>
      <c r="G269" s="14">
        <v>42536.987233796295</v>
      </c>
    </row>
    <row r="270" spans="1:7" x14ac:dyDescent="0.25">
      <c r="A270" s="14">
        <v>42536.996898148151</v>
      </c>
      <c r="B270" t="s">
        <v>102</v>
      </c>
      <c r="C270" t="s">
        <v>204</v>
      </c>
      <c r="D270">
        <v>1180000</v>
      </c>
      <c r="E270" t="s">
        <v>114</v>
      </c>
      <c r="F270" s="59" t="s">
        <v>102</v>
      </c>
      <c r="G270" s="14">
        <v>42536.996898148151</v>
      </c>
    </row>
    <row r="271" spans="1:7" x14ac:dyDescent="0.25">
      <c r="A271" s="14">
        <v>42530.96502314815</v>
      </c>
      <c r="B271" t="s">
        <v>100</v>
      </c>
      <c r="C271" t="s">
        <v>129</v>
      </c>
      <c r="D271">
        <v>1810000</v>
      </c>
      <c r="E271" t="s">
        <v>140</v>
      </c>
      <c r="F271" s="59" t="s">
        <v>100</v>
      </c>
      <c r="G271" s="14">
        <v>42530.96502314815</v>
      </c>
    </row>
    <row r="272" spans="1:7" x14ac:dyDescent="0.25">
      <c r="A272" s="14">
        <v>42536.976076388892</v>
      </c>
      <c r="B272" t="s">
        <v>100</v>
      </c>
      <c r="C272" t="s">
        <v>231</v>
      </c>
      <c r="D272">
        <v>1820000</v>
      </c>
      <c r="E272" t="s">
        <v>112</v>
      </c>
      <c r="F272" s="59" t="s">
        <v>100</v>
      </c>
      <c r="G272" s="14">
        <v>42536.976076388892</v>
      </c>
    </row>
    <row r="273" spans="1:7" x14ac:dyDescent="0.25">
      <c r="A273" s="14">
        <v>42536.974780092591</v>
      </c>
      <c r="B273" t="s">
        <v>100</v>
      </c>
      <c r="C273" t="s">
        <v>231</v>
      </c>
      <c r="D273">
        <v>1820000</v>
      </c>
      <c r="E273" t="s">
        <v>112</v>
      </c>
      <c r="F273" s="59" t="s">
        <v>100</v>
      </c>
      <c r="G273" s="14">
        <v>42536.974780092591</v>
      </c>
    </row>
    <row r="274" spans="1:7" x14ac:dyDescent="0.25">
      <c r="A274" s="14">
        <v>42531.013611111113</v>
      </c>
      <c r="B274" t="s">
        <v>101</v>
      </c>
      <c r="C274" t="s">
        <v>139</v>
      </c>
      <c r="D274">
        <v>1810000</v>
      </c>
      <c r="E274" t="s">
        <v>140</v>
      </c>
      <c r="F274" s="59" t="s">
        <v>101</v>
      </c>
      <c r="G274" s="14">
        <v>42531.013611111113</v>
      </c>
    </row>
    <row r="275" spans="1:7" x14ac:dyDescent="0.25">
      <c r="A275" s="14">
        <v>42536.016111111108</v>
      </c>
      <c r="B275" t="s">
        <v>91</v>
      </c>
      <c r="C275" t="s">
        <v>188</v>
      </c>
      <c r="D275">
        <v>1240000</v>
      </c>
      <c r="E275" t="s">
        <v>89</v>
      </c>
      <c r="F275" s="59" t="s">
        <v>91</v>
      </c>
      <c r="G275" s="14">
        <v>42536.016111111108</v>
      </c>
    </row>
    <row r="276" spans="1:7" x14ac:dyDescent="0.25">
      <c r="A276" s="14">
        <v>42537.018009259256</v>
      </c>
      <c r="B276" t="s">
        <v>101</v>
      </c>
      <c r="C276" t="s">
        <v>210</v>
      </c>
      <c r="D276">
        <v>1820000</v>
      </c>
      <c r="E276" t="s">
        <v>112</v>
      </c>
      <c r="F276" s="59" t="s">
        <v>101</v>
      </c>
      <c r="G276" s="14">
        <v>42537.018009259256</v>
      </c>
    </row>
    <row r="277" spans="1:7" x14ac:dyDescent="0.25">
      <c r="A277" s="14">
        <v>42530.998136574075</v>
      </c>
      <c r="B277" t="s">
        <v>117</v>
      </c>
      <c r="C277" t="s">
        <v>130</v>
      </c>
      <c r="D277">
        <v>1820000</v>
      </c>
      <c r="E277" t="s">
        <v>112</v>
      </c>
      <c r="F277" s="59" t="s">
        <v>117</v>
      </c>
      <c r="G277" s="14">
        <v>42530.998136574075</v>
      </c>
    </row>
    <row r="278" spans="1:7" x14ac:dyDescent="0.25">
      <c r="A278" s="14">
        <v>42536.996921296297</v>
      </c>
      <c r="B278" t="s">
        <v>179</v>
      </c>
      <c r="C278" t="s">
        <v>224</v>
      </c>
      <c r="D278">
        <v>1240000</v>
      </c>
      <c r="E278" t="s">
        <v>89</v>
      </c>
      <c r="F278" s="59" t="s">
        <v>179</v>
      </c>
      <c r="G278" s="14">
        <v>42536.996921296297</v>
      </c>
    </row>
    <row r="279" spans="1:7" x14ac:dyDescent="0.25">
      <c r="A279" s="14">
        <v>42537.037280092591</v>
      </c>
      <c r="B279" t="s">
        <v>181</v>
      </c>
      <c r="C279" t="s">
        <v>220</v>
      </c>
      <c r="D279">
        <v>1240000</v>
      </c>
      <c r="E279" t="s">
        <v>89</v>
      </c>
      <c r="F279" s="59" t="s">
        <v>181</v>
      </c>
      <c r="G279" s="14">
        <v>42537.037280092591</v>
      </c>
    </row>
    <row r="280" spans="1:7" x14ac:dyDescent="0.25">
      <c r="A280" s="14">
        <v>42531.015648148146</v>
      </c>
      <c r="B280" t="s">
        <v>113</v>
      </c>
      <c r="C280" t="s">
        <v>149</v>
      </c>
      <c r="D280">
        <v>1240000</v>
      </c>
      <c r="E280" t="s">
        <v>89</v>
      </c>
      <c r="F280" s="59" t="s">
        <v>113</v>
      </c>
      <c r="G280" s="14">
        <v>42531.015648148146</v>
      </c>
    </row>
    <row r="281" spans="1:7" x14ac:dyDescent="0.25">
      <c r="A281" s="14">
        <v>42536.013414351852</v>
      </c>
      <c r="B281" t="s">
        <v>173</v>
      </c>
      <c r="C281" t="s">
        <v>189</v>
      </c>
      <c r="D281">
        <v>1280000</v>
      </c>
      <c r="E281" t="s">
        <v>132</v>
      </c>
      <c r="F281" s="59" t="s">
        <v>173</v>
      </c>
      <c r="G281" s="14">
        <v>42536.013414351852</v>
      </c>
    </row>
    <row r="282" spans="1:7" x14ac:dyDescent="0.25">
      <c r="A282" s="14">
        <v>42537.012835648151</v>
      </c>
      <c r="B282" t="s">
        <v>205</v>
      </c>
      <c r="C282" t="s">
        <v>240</v>
      </c>
      <c r="D282">
        <v>1760000</v>
      </c>
      <c r="E282" t="s">
        <v>223</v>
      </c>
      <c r="F282" s="59" t="s">
        <v>205</v>
      </c>
      <c r="G282" s="14">
        <v>42537.012835648151</v>
      </c>
    </row>
    <row r="283" spans="1:7" x14ac:dyDescent="0.25">
      <c r="A283" s="14">
        <v>42531.057199074072</v>
      </c>
      <c r="B283" t="s">
        <v>102</v>
      </c>
      <c r="C283" t="s">
        <v>154</v>
      </c>
      <c r="D283">
        <v>1240000</v>
      </c>
      <c r="E283" t="s">
        <v>89</v>
      </c>
      <c r="F283" s="59" t="s">
        <v>102</v>
      </c>
      <c r="G283" s="14">
        <v>42531.057199074072</v>
      </c>
    </row>
    <row r="284" spans="1:7" x14ac:dyDescent="0.25">
      <c r="A284" s="14">
        <v>42537.055451388886</v>
      </c>
      <c r="B284" t="s">
        <v>225</v>
      </c>
      <c r="C284" t="s">
        <v>230</v>
      </c>
      <c r="D284">
        <v>1760000</v>
      </c>
      <c r="E284" t="s">
        <v>223</v>
      </c>
      <c r="F284" s="59" t="s">
        <v>225</v>
      </c>
      <c r="G284" s="14">
        <v>42537.055451388886</v>
      </c>
    </row>
    <row r="285" spans="1:7" x14ac:dyDescent="0.25">
      <c r="A285" s="14">
        <v>42530.713703703703</v>
      </c>
      <c r="B285" t="s">
        <v>134</v>
      </c>
      <c r="C285" t="s">
        <v>123</v>
      </c>
      <c r="D285">
        <v>1500000</v>
      </c>
      <c r="E285" t="s">
        <v>135</v>
      </c>
      <c r="F285" s="59" t="s">
        <v>134</v>
      </c>
      <c r="G285" s="14">
        <v>42530.713703703703</v>
      </c>
    </row>
    <row r="286" spans="1:7" x14ac:dyDescent="0.25">
      <c r="A286" s="14">
        <v>42530.746111111112</v>
      </c>
      <c r="B286" t="s">
        <v>122</v>
      </c>
      <c r="C286" t="s">
        <v>123</v>
      </c>
      <c r="D286">
        <v>1500000</v>
      </c>
      <c r="E286" t="s">
        <v>135</v>
      </c>
      <c r="F286" s="59" t="s">
        <v>122</v>
      </c>
      <c r="G286" s="14">
        <v>42530.746111111112</v>
      </c>
    </row>
    <row r="287" spans="1:7" x14ac:dyDescent="0.25">
      <c r="A287" s="14">
        <v>42530.731990740744</v>
      </c>
      <c r="B287" t="s">
        <v>122</v>
      </c>
      <c r="C287" t="s">
        <v>123</v>
      </c>
      <c r="D287">
        <v>1500000</v>
      </c>
      <c r="E287" t="s">
        <v>135</v>
      </c>
      <c r="F287" s="59" t="s">
        <v>122</v>
      </c>
      <c r="G287" s="14">
        <v>42530.731990740744</v>
      </c>
    </row>
    <row r="288" spans="1:7" x14ac:dyDescent="0.25">
      <c r="A288" s="14">
        <v>42530.730104166665</v>
      </c>
      <c r="B288" t="s">
        <v>122</v>
      </c>
      <c r="C288" t="s">
        <v>123</v>
      </c>
      <c r="D288">
        <v>1500000</v>
      </c>
      <c r="E288" t="s">
        <v>135</v>
      </c>
      <c r="F288" s="59" t="s">
        <v>122</v>
      </c>
      <c r="G288" s="14">
        <v>42530.730104166665</v>
      </c>
    </row>
    <row r="289" spans="1:7" x14ac:dyDescent="0.25">
      <c r="A289" s="14">
        <v>42536.613402777781</v>
      </c>
      <c r="B289" t="s">
        <v>207</v>
      </c>
      <c r="C289" t="s">
        <v>208</v>
      </c>
      <c r="D289">
        <v>0</v>
      </c>
      <c r="E289" t="s">
        <v>200</v>
      </c>
      <c r="F289" s="59" t="s">
        <v>207</v>
      </c>
      <c r="G289" s="14">
        <v>42536.613402777781</v>
      </c>
    </row>
    <row r="290" spans="1:7" x14ac:dyDescent="0.25">
      <c r="A290" s="14">
        <v>42536.629525462966</v>
      </c>
      <c r="B290" t="s">
        <v>217</v>
      </c>
      <c r="C290" t="s">
        <v>208</v>
      </c>
      <c r="D290">
        <v>0</v>
      </c>
      <c r="E290" t="s">
        <v>200</v>
      </c>
      <c r="F290" s="59" t="s">
        <v>217</v>
      </c>
      <c r="G290" s="14">
        <v>42536.629525462966</v>
      </c>
    </row>
    <row r="291" spans="1:7" x14ac:dyDescent="0.25">
      <c r="A291" s="14">
        <v>42536.637442129628</v>
      </c>
      <c r="B291" t="s">
        <v>217</v>
      </c>
      <c r="C291" t="s">
        <v>208</v>
      </c>
      <c r="D291">
        <v>0</v>
      </c>
      <c r="E291" t="s">
        <v>200</v>
      </c>
      <c r="F291" s="59" t="s">
        <v>217</v>
      </c>
      <c r="G291" s="14">
        <v>42536.637442129628</v>
      </c>
    </row>
    <row r="292" spans="1:7" x14ac:dyDescent="0.25">
      <c r="A292" s="14">
        <v>42530.726145833331</v>
      </c>
      <c r="B292" t="s">
        <v>118</v>
      </c>
      <c r="C292" t="s">
        <v>155</v>
      </c>
      <c r="D292">
        <v>1140000</v>
      </c>
      <c r="E292" t="s">
        <v>103</v>
      </c>
      <c r="F292" s="59" t="s">
        <v>118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42539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2016-06-20T18:30:04Z</dcterms:modified>
</cp:coreProperties>
</file>