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4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Runs'!$A$2:$AD$2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5" l="1"/>
  <c r="M13" i="5"/>
  <c r="M12" i="5"/>
  <c r="M11" i="5"/>
  <c r="M10" i="5"/>
  <c r="M9" i="5"/>
  <c r="M8" i="5"/>
  <c r="M7" i="5"/>
  <c r="M6" i="5"/>
  <c r="M5" i="5"/>
  <c r="M4" i="5"/>
  <c r="M3" i="5"/>
  <c r="U160" i="1" l="1"/>
  <c r="T160" i="1"/>
  <c r="S160" i="1"/>
  <c r="T145" i="1"/>
  <c r="U145" i="1"/>
  <c r="S145" i="1" s="1"/>
  <c r="T146" i="1"/>
  <c r="U146" i="1"/>
  <c r="S146" i="1" s="1"/>
  <c r="T147" i="1"/>
  <c r="U147" i="1" s="1"/>
  <c r="S147" i="1" s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T135" i="1"/>
  <c r="U135" i="1" s="1"/>
  <c r="S135" i="1" s="1"/>
  <c r="T134" i="1"/>
  <c r="U134" i="1" s="1"/>
  <c r="S134" i="1" s="1"/>
  <c r="U133" i="1"/>
  <c r="S133" i="1" s="1"/>
  <c r="T133" i="1"/>
  <c r="T132" i="1"/>
  <c r="U132" i="1" s="1"/>
  <c r="S132" i="1" s="1"/>
  <c r="T131" i="1"/>
  <c r="U131" i="1" s="1"/>
  <c r="S131" i="1" s="1"/>
  <c r="T130" i="1"/>
  <c r="U130" i="1" s="1"/>
  <c r="S130" i="1" s="1"/>
  <c r="U129" i="1"/>
  <c r="S129" i="1" s="1"/>
  <c r="T129" i="1"/>
  <c r="T128" i="1"/>
  <c r="U128" i="1" s="1"/>
  <c r="S128" i="1" s="1"/>
  <c r="T127" i="1"/>
  <c r="U127" i="1" s="1"/>
  <c r="S127" i="1" s="1"/>
  <c r="T126" i="1"/>
  <c r="U126" i="1" s="1"/>
  <c r="S126" i="1" s="1"/>
  <c r="U125" i="1"/>
  <c r="S125" i="1" s="1"/>
  <c r="T125" i="1"/>
  <c r="T124" i="1"/>
  <c r="U124" i="1" s="1"/>
  <c r="S124" i="1" s="1"/>
  <c r="T123" i="1"/>
  <c r="U123" i="1" s="1"/>
  <c r="S123" i="1" s="1"/>
  <c r="T122" i="1"/>
  <c r="U122" i="1" s="1"/>
  <c r="S122" i="1" s="1"/>
  <c r="U121" i="1"/>
  <c r="S121" i="1" s="1"/>
  <c r="T121" i="1"/>
  <c r="T120" i="1"/>
  <c r="U120" i="1" s="1"/>
  <c r="S120" i="1" s="1"/>
  <c r="T119" i="1"/>
  <c r="U119" i="1" s="1"/>
  <c r="S119" i="1" s="1"/>
  <c r="T118" i="1"/>
  <c r="U118" i="1" s="1"/>
  <c r="S118" i="1" s="1"/>
  <c r="U117" i="1"/>
  <c r="S117" i="1" s="1"/>
  <c r="T117" i="1"/>
  <c r="T116" i="1"/>
  <c r="U116" i="1" s="1"/>
  <c r="S116" i="1" s="1"/>
  <c r="T115" i="1"/>
  <c r="U115" i="1" s="1"/>
  <c r="S115" i="1" s="1"/>
  <c r="T114" i="1"/>
  <c r="U114" i="1" s="1"/>
  <c r="S114" i="1" s="1"/>
  <c r="U113" i="1"/>
  <c r="S113" i="1" s="1"/>
  <c r="T113" i="1"/>
  <c r="T112" i="1"/>
  <c r="U112" i="1" s="1"/>
  <c r="S112" i="1" s="1"/>
  <c r="T111" i="1"/>
  <c r="U111" i="1" s="1"/>
  <c r="S111" i="1" s="1"/>
  <c r="T110" i="1"/>
  <c r="U110" i="1" s="1"/>
  <c r="S110" i="1" s="1"/>
  <c r="U109" i="1"/>
  <c r="S109" i="1" s="1"/>
  <c r="T109" i="1"/>
  <c r="T108" i="1"/>
  <c r="U108" i="1" s="1"/>
  <c r="S108" i="1" s="1"/>
  <c r="U107" i="1"/>
  <c r="S107" i="1" s="1"/>
  <c r="T107" i="1"/>
  <c r="T106" i="1"/>
  <c r="U106" i="1" s="1"/>
  <c r="S106" i="1" s="1"/>
  <c r="U105" i="1"/>
  <c r="S105" i="1" s="1"/>
  <c r="T105" i="1"/>
  <c r="T104" i="1"/>
  <c r="U104" i="1" s="1"/>
  <c r="S104" i="1" s="1"/>
  <c r="U103" i="1"/>
  <c r="S103" i="1" s="1"/>
  <c r="T103" i="1"/>
  <c r="T102" i="1"/>
  <c r="U102" i="1" s="1"/>
  <c r="S102" i="1" s="1"/>
  <c r="U101" i="1"/>
  <c r="S101" i="1" s="1"/>
  <c r="T101" i="1"/>
  <c r="T100" i="1"/>
  <c r="U100" i="1" s="1"/>
  <c r="S100" i="1" s="1"/>
  <c r="U99" i="1"/>
  <c r="S99" i="1" s="1"/>
  <c r="T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S91" i="1" s="1"/>
  <c r="T91" i="1"/>
  <c r="T90" i="1"/>
  <c r="U90" i="1" s="1"/>
  <c r="S90" i="1" s="1"/>
  <c r="U89" i="1"/>
  <c r="S89" i="1" s="1"/>
  <c r="T89" i="1"/>
  <c r="T88" i="1"/>
  <c r="U88" i="1" s="1"/>
  <c r="S88" i="1" s="1"/>
  <c r="U87" i="1"/>
  <c r="S87" i="1" s="1"/>
  <c r="T87" i="1"/>
  <c r="T86" i="1"/>
  <c r="U86" i="1" s="1"/>
  <c r="S86" i="1" s="1"/>
  <c r="U85" i="1"/>
  <c r="S85" i="1" s="1"/>
  <c r="T85" i="1"/>
  <c r="T84" i="1"/>
  <c r="U84" i="1" s="1"/>
  <c r="S84" i="1" s="1"/>
  <c r="U83" i="1"/>
  <c r="S83" i="1" s="1"/>
  <c r="T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S75" i="1" s="1"/>
  <c r="T75" i="1"/>
  <c r="T74" i="1"/>
  <c r="U74" i="1" s="1"/>
  <c r="S74" i="1" s="1"/>
  <c r="U73" i="1"/>
  <c r="S73" i="1" s="1"/>
  <c r="T73" i="1"/>
  <c r="T72" i="1"/>
  <c r="U72" i="1" s="1"/>
  <c r="S72" i="1" s="1"/>
  <c r="U71" i="1"/>
  <c r="S71" i="1" s="1"/>
  <c r="T71" i="1"/>
  <c r="T70" i="1"/>
  <c r="U70" i="1" s="1"/>
  <c r="S70" i="1" s="1"/>
  <c r="U69" i="1"/>
  <c r="S69" i="1" s="1"/>
  <c r="T69" i="1"/>
  <c r="T68" i="1"/>
  <c r="U68" i="1" s="1"/>
  <c r="S68" i="1" s="1"/>
  <c r="U67" i="1"/>
  <c r="S67" i="1" s="1"/>
  <c r="T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S59" i="1" s="1"/>
  <c r="T59" i="1"/>
  <c r="T58" i="1"/>
  <c r="U58" i="1" s="1"/>
  <c r="S58" i="1" s="1"/>
  <c r="U57" i="1"/>
  <c r="S57" i="1" s="1"/>
  <c r="T57" i="1"/>
  <c r="T56" i="1"/>
  <c r="U56" i="1" s="1"/>
  <c r="S56" i="1" s="1"/>
  <c r="U55" i="1"/>
  <c r="S55" i="1" s="1"/>
  <c r="T55" i="1"/>
  <c r="T54" i="1"/>
  <c r="U54" i="1" s="1"/>
  <c r="S54" i="1" s="1"/>
  <c r="U53" i="1"/>
  <c r="S53" i="1" s="1"/>
  <c r="T53" i="1"/>
  <c r="T52" i="1"/>
  <c r="U52" i="1" s="1"/>
  <c r="S52" i="1" s="1"/>
  <c r="U51" i="1"/>
  <c r="S51" i="1" s="1"/>
  <c r="T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S43" i="1" s="1"/>
  <c r="T43" i="1"/>
  <c r="T42" i="1"/>
  <c r="U42" i="1" s="1"/>
  <c r="S42" i="1" s="1"/>
  <c r="U41" i="1"/>
  <c r="S41" i="1" s="1"/>
  <c r="T41" i="1"/>
  <c r="T40" i="1"/>
  <c r="U40" i="1" s="1"/>
  <c r="S40" i="1" s="1"/>
  <c r="U39" i="1"/>
  <c r="S39" i="1" s="1"/>
  <c r="T39" i="1"/>
  <c r="T38" i="1"/>
  <c r="U38" i="1" s="1"/>
  <c r="S38" i="1" s="1"/>
  <c r="U37" i="1"/>
  <c r="S37" i="1" s="1"/>
  <c r="T37" i="1"/>
  <c r="T36" i="1"/>
  <c r="U36" i="1" s="1"/>
  <c r="S36" i="1" s="1"/>
  <c r="U35" i="1"/>
  <c r="S35" i="1" s="1"/>
  <c r="T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S27" i="1" s="1"/>
  <c r="T27" i="1"/>
  <c r="T26" i="1"/>
  <c r="U26" i="1" s="1"/>
  <c r="S26" i="1" s="1"/>
  <c r="U25" i="1"/>
  <c r="S25" i="1" s="1"/>
  <c r="T25" i="1"/>
  <c r="T24" i="1"/>
  <c r="U24" i="1" s="1"/>
  <c r="S24" i="1" s="1"/>
  <c r="U23" i="1"/>
  <c r="S23" i="1" s="1"/>
  <c r="T23" i="1"/>
  <c r="T22" i="1"/>
  <c r="U22" i="1" s="1"/>
  <c r="S22" i="1" s="1"/>
  <c r="U21" i="1"/>
  <c r="S21" i="1" s="1"/>
  <c r="T21" i="1"/>
  <c r="T20" i="1"/>
  <c r="U20" i="1" s="1"/>
  <c r="S20" i="1" s="1"/>
  <c r="U19" i="1"/>
  <c r="S19" i="1" s="1"/>
  <c r="T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S11" i="1" s="1"/>
  <c r="T11" i="1"/>
  <c r="T10" i="1"/>
  <c r="U10" i="1" s="1"/>
  <c r="S10" i="1" s="1"/>
  <c r="U9" i="1"/>
  <c r="S9" i="1" s="1"/>
  <c r="T9" i="1"/>
  <c r="T8" i="1"/>
  <c r="U8" i="1" s="1"/>
  <c r="S8" i="1" s="1"/>
  <c r="U7" i="1"/>
  <c r="S7" i="1" s="1"/>
  <c r="T7" i="1"/>
  <c r="T6" i="1"/>
  <c r="U6" i="1" s="1"/>
  <c r="S6" i="1" s="1"/>
  <c r="U5" i="1"/>
  <c r="S5" i="1" s="1"/>
  <c r="T5" i="1"/>
  <c r="T4" i="1"/>
  <c r="U4" i="1" s="1"/>
  <c r="S4" i="1" s="1"/>
  <c r="U3" i="1"/>
  <c r="S3" i="1" s="1"/>
  <c r="T3" i="1"/>
  <c r="V160" i="1" l="1"/>
  <c r="Y136" i="1"/>
  <c r="Y137" i="1"/>
  <c r="Y138" i="1"/>
  <c r="Y139" i="1"/>
  <c r="Y140" i="1"/>
  <c r="N6" i="1" l="1"/>
  <c r="N10" i="1"/>
  <c r="N14" i="1"/>
  <c r="N18" i="1"/>
  <c r="N21" i="1"/>
  <c r="N25" i="1"/>
  <c r="N26" i="1"/>
  <c r="N29" i="1"/>
  <c r="N30" i="1"/>
  <c r="N33" i="1"/>
  <c r="N34" i="1"/>
  <c r="N37" i="1"/>
  <c r="N38" i="1"/>
  <c r="N41" i="1"/>
  <c r="N42" i="1"/>
  <c r="N45" i="1"/>
  <c r="N46" i="1"/>
  <c r="N49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5" i="1"/>
  <c r="N118" i="1"/>
  <c r="N119" i="1"/>
  <c r="N122" i="1"/>
  <c r="N123" i="1"/>
  <c r="N126" i="1"/>
  <c r="N127" i="1"/>
  <c r="N131" i="1"/>
  <c r="N134" i="1"/>
  <c r="N135" i="1"/>
  <c r="N138" i="1"/>
  <c r="N139" i="1"/>
  <c r="N142" i="1"/>
  <c r="N143" i="1"/>
  <c r="N147" i="1"/>
  <c r="W114" i="1"/>
  <c r="Y114" i="1"/>
  <c r="Z114" i="1"/>
  <c r="AA114" i="1"/>
  <c r="AC114" i="1"/>
  <c r="AD114" i="1"/>
  <c r="M114" i="1"/>
  <c r="P114" i="1" s="1"/>
  <c r="L114" i="1"/>
  <c r="K114" i="1"/>
  <c r="K4" i="1"/>
  <c r="L4" i="1"/>
  <c r="M4" i="1"/>
  <c r="N4" i="1" s="1"/>
  <c r="K5" i="1"/>
  <c r="L5" i="1"/>
  <c r="M5" i="1"/>
  <c r="N5" i="1" s="1"/>
  <c r="K6" i="1"/>
  <c r="L6" i="1"/>
  <c r="M6" i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K19" i="1"/>
  <c r="L19" i="1"/>
  <c r="M19" i="1"/>
  <c r="P19" i="1" s="1"/>
  <c r="K20" i="1"/>
  <c r="L20" i="1"/>
  <c r="M20" i="1"/>
  <c r="K21" i="1"/>
  <c r="L21" i="1"/>
  <c r="M21" i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K26" i="1"/>
  <c r="L26" i="1"/>
  <c r="M26" i="1"/>
  <c r="K27" i="1"/>
  <c r="L27" i="1"/>
  <c r="M27" i="1"/>
  <c r="N27" i="1" s="1"/>
  <c r="K28" i="1"/>
  <c r="L28" i="1"/>
  <c r="M28" i="1"/>
  <c r="N28" i="1" s="1"/>
  <c r="K29" i="1"/>
  <c r="L29" i="1"/>
  <c r="M29" i="1"/>
  <c r="K30" i="1"/>
  <c r="L30" i="1"/>
  <c r="M30" i="1"/>
  <c r="K31" i="1"/>
  <c r="L31" i="1"/>
  <c r="M31" i="1"/>
  <c r="N31" i="1" s="1"/>
  <c r="K32" i="1"/>
  <c r="L32" i="1"/>
  <c r="M32" i="1"/>
  <c r="N32" i="1" s="1"/>
  <c r="K33" i="1"/>
  <c r="L33" i="1"/>
  <c r="M33" i="1"/>
  <c r="K34" i="1"/>
  <c r="L34" i="1"/>
  <c r="M34" i="1"/>
  <c r="K35" i="1"/>
  <c r="L35" i="1"/>
  <c r="M35" i="1"/>
  <c r="N35" i="1" s="1"/>
  <c r="K36" i="1"/>
  <c r="L36" i="1"/>
  <c r="M36" i="1"/>
  <c r="N36" i="1" s="1"/>
  <c r="K37" i="1"/>
  <c r="L37" i="1"/>
  <c r="M37" i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K43" i="1"/>
  <c r="L43" i="1"/>
  <c r="M43" i="1"/>
  <c r="N43" i="1" s="1"/>
  <c r="K44" i="1"/>
  <c r="L44" i="1"/>
  <c r="M44" i="1"/>
  <c r="N44" i="1" s="1"/>
  <c r="K45" i="1"/>
  <c r="L45" i="1"/>
  <c r="M45" i="1"/>
  <c r="K46" i="1"/>
  <c r="L46" i="1"/>
  <c r="M46" i="1"/>
  <c r="K47" i="1"/>
  <c r="L47" i="1"/>
  <c r="M47" i="1"/>
  <c r="N47" i="1" s="1"/>
  <c r="K48" i="1"/>
  <c r="L48" i="1"/>
  <c r="M48" i="1"/>
  <c r="N48" i="1" s="1"/>
  <c r="K49" i="1"/>
  <c r="L49" i="1"/>
  <c r="M49" i="1"/>
  <c r="K50" i="1"/>
  <c r="L50" i="1"/>
  <c r="M50" i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K55" i="1"/>
  <c r="L55" i="1"/>
  <c r="M55" i="1"/>
  <c r="N55" i="1" s="1"/>
  <c r="K56" i="1"/>
  <c r="L56" i="1"/>
  <c r="M56" i="1"/>
  <c r="P56" i="1" s="1"/>
  <c r="K57" i="1"/>
  <c r="L57" i="1"/>
  <c r="M57" i="1"/>
  <c r="N57" i="1" s="1"/>
  <c r="K58" i="1"/>
  <c r="L58" i="1"/>
  <c r="M58" i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5" i="1"/>
  <c r="L115" i="1"/>
  <c r="M115" i="1"/>
  <c r="K116" i="1"/>
  <c r="L116" i="1"/>
  <c r="M116" i="1"/>
  <c r="N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K123" i="1"/>
  <c r="L123" i="1"/>
  <c r="M123" i="1"/>
  <c r="K124" i="1"/>
  <c r="L124" i="1"/>
  <c r="M124" i="1"/>
  <c r="N124" i="1" s="1"/>
  <c r="K125" i="1"/>
  <c r="L125" i="1"/>
  <c r="M125" i="1"/>
  <c r="N125" i="1" s="1"/>
  <c r="K126" i="1"/>
  <c r="L126" i="1"/>
  <c r="M126" i="1"/>
  <c r="K127" i="1"/>
  <c r="L127" i="1"/>
  <c r="M127" i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K132" i="1"/>
  <c r="L132" i="1"/>
  <c r="M132" i="1"/>
  <c r="N132" i="1" s="1"/>
  <c r="K133" i="1"/>
  <c r="L133" i="1"/>
  <c r="M133" i="1"/>
  <c r="N133" i="1" s="1"/>
  <c r="K134" i="1"/>
  <c r="L134" i="1"/>
  <c r="M134" i="1"/>
  <c r="K135" i="1"/>
  <c r="L135" i="1"/>
  <c r="M135" i="1"/>
  <c r="K136" i="1"/>
  <c r="L136" i="1"/>
  <c r="M136" i="1"/>
  <c r="N136" i="1" s="1"/>
  <c r="K137" i="1"/>
  <c r="L137" i="1"/>
  <c r="M137" i="1"/>
  <c r="N137" i="1" s="1"/>
  <c r="K138" i="1"/>
  <c r="L138" i="1"/>
  <c r="M138" i="1"/>
  <c r="K139" i="1"/>
  <c r="L139" i="1"/>
  <c r="M139" i="1"/>
  <c r="K140" i="1"/>
  <c r="L140" i="1"/>
  <c r="M140" i="1"/>
  <c r="N140" i="1" s="1"/>
  <c r="K141" i="1"/>
  <c r="L141" i="1"/>
  <c r="M141" i="1"/>
  <c r="N141" i="1" s="1"/>
  <c r="K142" i="1"/>
  <c r="L142" i="1"/>
  <c r="M142" i="1"/>
  <c r="K143" i="1"/>
  <c r="L143" i="1"/>
  <c r="M143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W103" i="1"/>
  <c r="Y103" i="1"/>
  <c r="Z103" i="1"/>
  <c r="AA103" i="1"/>
  <c r="AC103" i="1"/>
  <c r="AD103" i="1"/>
  <c r="W104" i="1"/>
  <c r="Y104" i="1"/>
  <c r="Z104" i="1"/>
  <c r="AA104" i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C108" i="1"/>
  <c r="AD108" i="1"/>
  <c r="W109" i="1"/>
  <c r="Y109" i="1"/>
  <c r="Z109" i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Y112" i="1"/>
  <c r="Z112" i="1"/>
  <c r="AA112" i="1"/>
  <c r="AC112" i="1"/>
  <c r="AD112" i="1"/>
  <c r="W113" i="1"/>
  <c r="Y113" i="1"/>
  <c r="Z113" i="1"/>
  <c r="AA113" i="1"/>
  <c r="AC113" i="1"/>
  <c r="AD113" i="1"/>
  <c r="W115" i="1"/>
  <c r="Y115" i="1"/>
  <c r="Z115" i="1"/>
  <c r="AA115" i="1"/>
  <c r="AC115" i="1"/>
  <c r="AD115" i="1"/>
  <c r="W116" i="1"/>
  <c r="Y116" i="1"/>
  <c r="Z116" i="1"/>
  <c r="AA116" i="1"/>
  <c r="AC116" i="1"/>
  <c r="AD116" i="1"/>
  <c r="W117" i="1"/>
  <c r="Y117" i="1"/>
  <c r="Z117" i="1"/>
  <c r="AA117" i="1"/>
  <c r="AC117" i="1"/>
  <c r="AD117" i="1"/>
  <c r="W118" i="1"/>
  <c r="Y118" i="1"/>
  <c r="Z118" i="1"/>
  <c r="AA118" i="1"/>
  <c r="AC118" i="1"/>
  <c r="AD118" i="1"/>
  <c r="W119" i="1"/>
  <c r="Y119" i="1"/>
  <c r="Z119" i="1"/>
  <c r="AA119" i="1"/>
  <c r="AC119" i="1"/>
  <c r="AD119" i="1"/>
  <c r="W120" i="1"/>
  <c r="Y120" i="1"/>
  <c r="Z120" i="1"/>
  <c r="AA120" i="1"/>
  <c r="AC120" i="1"/>
  <c r="AD120" i="1"/>
  <c r="W121" i="1"/>
  <c r="Y121" i="1"/>
  <c r="Z121" i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A123" i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129" i="1"/>
  <c r="Y129" i="1"/>
  <c r="Z129" i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W136" i="1"/>
  <c r="Z136" i="1"/>
  <c r="AA136" i="1"/>
  <c r="AC136" i="1"/>
  <c r="AD136" i="1"/>
  <c r="W137" i="1"/>
  <c r="Z137" i="1"/>
  <c r="AA137" i="1"/>
  <c r="AC137" i="1"/>
  <c r="AD137" i="1"/>
  <c r="W138" i="1"/>
  <c r="Z138" i="1"/>
  <c r="AA138" i="1"/>
  <c r="AC138" i="1"/>
  <c r="AD138" i="1"/>
  <c r="W139" i="1"/>
  <c r="Z139" i="1"/>
  <c r="AA139" i="1"/>
  <c r="AC139" i="1"/>
  <c r="AD139" i="1"/>
  <c r="W140" i="1"/>
  <c r="Z140" i="1"/>
  <c r="AA140" i="1"/>
  <c r="AC140" i="1"/>
  <c r="AD140" i="1"/>
  <c r="W141" i="1"/>
  <c r="Y141" i="1"/>
  <c r="Z141" i="1"/>
  <c r="AA141" i="1"/>
  <c r="AB141" i="1" s="1"/>
  <c r="X141" i="1" s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B143" i="1" s="1"/>
  <c r="X143" i="1" s="1"/>
  <c r="AC143" i="1"/>
  <c r="AD143" i="1"/>
  <c r="W144" i="1"/>
  <c r="Y144" i="1"/>
  <c r="Z144" i="1"/>
  <c r="AA144" i="1"/>
  <c r="AC144" i="1"/>
  <c r="AD144" i="1"/>
  <c r="W145" i="1"/>
  <c r="Y145" i="1"/>
  <c r="Z145" i="1"/>
  <c r="AA145" i="1"/>
  <c r="AC145" i="1"/>
  <c r="AD145" i="1"/>
  <c r="W146" i="1"/>
  <c r="Y146" i="1"/>
  <c r="Z146" i="1"/>
  <c r="AA146" i="1"/>
  <c r="AC146" i="1"/>
  <c r="AD146" i="1"/>
  <c r="W147" i="1"/>
  <c r="Y147" i="1"/>
  <c r="Z147" i="1"/>
  <c r="AA147" i="1"/>
  <c r="AC147" i="1"/>
  <c r="AD147" i="1"/>
  <c r="K3" i="1"/>
  <c r="L3" i="1"/>
  <c r="M3" i="1"/>
  <c r="N3" i="1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3" i="3"/>
  <c r="AB136" i="1" l="1"/>
  <c r="X136" i="1" s="1"/>
  <c r="AB128" i="1"/>
  <c r="X128" i="1" s="1"/>
  <c r="AB126" i="1"/>
  <c r="X126" i="1" s="1"/>
  <c r="AB120" i="1"/>
  <c r="X120" i="1" s="1"/>
  <c r="AB116" i="1"/>
  <c r="X116" i="1" s="1"/>
  <c r="AB113" i="1"/>
  <c r="X113" i="1" s="1"/>
  <c r="AB111" i="1"/>
  <c r="X111" i="1" s="1"/>
  <c r="AB107" i="1"/>
  <c r="X107" i="1" s="1"/>
  <c r="AB105" i="1"/>
  <c r="X105" i="1" s="1"/>
  <c r="AB103" i="1"/>
  <c r="X103" i="1" s="1"/>
  <c r="AB114" i="1"/>
  <c r="X114" i="1" s="1"/>
  <c r="AB146" i="1"/>
  <c r="X146" i="1" s="1"/>
  <c r="AB134" i="1"/>
  <c r="X134" i="1" s="1"/>
  <c r="AB118" i="1"/>
  <c r="X118" i="1" s="1"/>
  <c r="AB109" i="1"/>
  <c r="X109" i="1" s="1"/>
  <c r="AB147" i="1"/>
  <c r="X147" i="1" s="1"/>
  <c r="AB145" i="1"/>
  <c r="X145" i="1" s="1"/>
  <c r="AB130" i="1"/>
  <c r="X130" i="1" s="1"/>
  <c r="AB122" i="1"/>
  <c r="X122" i="1" s="1"/>
  <c r="AB117" i="1"/>
  <c r="X117" i="1" s="1"/>
  <c r="AB115" i="1"/>
  <c r="X115" i="1" s="1"/>
  <c r="AB112" i="1"/>
  <c r="X112" i="1" s="1"/>
  <c r="AB110" i="1"/>
  <c r="X110" i="1" s="1"/>
  <c r="AB108" i="1"/>
  <c r="X108" i="1" s="1"/>
  <c r="AB106" i="1"/>
  <c r="X106" i="1" s="1"/>
  <c r="AB104" i="1"/>
  <c r="X104" i="1" s="1"/>
  <c r="AB139" i="1"/>
  <c r="X139" i="1" s="1"/>
  <c r="AB132" i="1"/>
  <c r="X132" i="1" s="1"/>
  <c r="AB124" i="1"/>
  <c r="X124" i="1" s="1"/>
  <c r="AB144" i="1"/>
  <c r="X144" i="1" s="1"/>
  <c r="AB142" i="1"/>
  <c r="X142" i="1" s="1"/>
  <c r="AB140" i="1"/>
  <c r="X140" i="1" s="1"/>
  <c r="AB138" i="1"/>
  <c r="X138" i="1" s="1"/>
  <c r="AB137" i="1"/>
  <c r="X137" i="1" s="1"/>
  <c r="AB135" i="1"/>
  <c r="X135" i="1" s="1"/>
  <c r="AB133" i="1"/>
  <c r="X133" i="1" s="1"/>
  <c r="AB131" i="1"/>
  <c r="X131" i="1" s="1"/>
  <c r="AB129" i="1"/>
  <c r="X129" i="1" s="1"/>
  <c r="AB127" i="1"/>
  <c r="X127" i="1" s="1"/>
  <c r="AB125" i="1"/>
  <c r="X125" i="1" s="1"/>
  <c r="AB123" i="1"/>
  <c r="X123" i="1" s="1"/>
  <c r="AB121" i="1"/>
  <c r="X121" i="1" s="1"/>
  <c r="AB119" i="1"/>
  <c r="X119" i="1" s="1"/>
  <c r="A1" i="6"/>
  <c r="Y68" i="1" l="1"/>
  <c r="Y69" i="1"/>
  <c r="AC4" i="1" l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D3" i="1"/>
  <c r="AC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4" i="1"/>
  <c r="W102" i="1" l="1"/>
  <c r="Z102" i="1"/>
  <c r="AA102" i="1"/>
  <c r="W100" i="1"/>
  <c r="Z100" i="1"/>
  <c r="AA100" i="1"/>
  <c r="W98" i="1"/>
  <c r="Z98" i="1"/>
  <c r="AA98" i="1"/>
  <c r="AB98" i="1" l="1"/>
  <c r="X98" i="1" s="1"/>
  <c r="AB100" i="1"/>
  <c r="X100" i="1" s="1"/>
  <c r="AB102" i="1"/>
  <c r="X102" i="1" s="1"/>
  <c r="W88" i="1" l="1"/>
  <c r="Z88" i="1"/>
  <c r="AA88" i="1"/>
  <c r="W90" i="1"/>
  <c r="Z90" i="1"/>
  <c r="AA90" i="1"/>
  <c r="W91" i="1"/>
  <c r="Z91" i="1"/>
  <c r="AA91" i="1"/>
  <c r="W84" i="1"/>
  <c r="Z84" i="1"/>
  <c r="AA84" i="1"/>
  <c r="W95" i="1"/>
  <c r="Z95" i="1"/>
  <c r="AA95" i="1"/>
  <c r="W86" i="1"/>
  <c r="Z86" i="1"/>
  <c r="AA86" i="1"/>
  <c r="W93" i="1"/>
  <c r="Z93" i="1"/>
  <c r="AA93" i="1"/>
  <c r="W97" i="1"/>
  <c r="Z97" i="1"/>
  <c r="AA97" i="1"/>
  <c r="W89" i="1"/>
  <c r="Z89" i="1"/>
  <c r="AA89" i="1"/>
  <c r="W99" i="1"/>
  <c r="Z99" i="1"/>
  <c r="AA99" i="1"/>
  <c r="W101" i="1"/>
  <c r="Z101" i="1"/>
  <c r="AA101" i="1"/>
  <c r="W92" i="1"/>
  <c r="Z92" i="1"/>
  <c r="AA92" i="1"/>
  <c r="W94" i="1"/>
  <c r="Z94" i="1"/>
  <c r="AA94" i="1"/>
  <c r="W96" i="1"/>
  <c r="Z96" i="1"/>
  <c r="AA96" i="1"/>
  <c r="W33" i="1"/>
  <c r="W26" i="1"/>
  <c r="W31" i="1"/>
  <c r="W24" i="1"/>
  <c r="W29" i="1"/>
  <c r="W21" i="1"/>
  <c r="AB94" i="1" l="1"/>
  <c r="X94" i="1" s="1"/>
  <c r="AB97" i="1"/>
  <c r="X97" i="1" s="1"/>
  <c r="AB99" i="1"/>
  <c r="X99" i="1" s="1"/>
  <c r="AB96" i="1"/>
  <c r="X96" i="1" s="1"/>
  <c r="AB93" i="1"/>
  <c r="X93" i="1" s="1"/>
  <c r="AB91" i="1"/>
  <c r="X91" i="1" s="1"/>
  <c r="AB84" i="1"/>
  <c r="X84" i="1" s="1"/>
  <c r="AB88" i="1"/>
  <c r="X88" i="1" s="1"/>
  <c r="AB101" i="1"/>
  <c r="X101" i="1" s="1"/>
  <c r="AB90" i="1"/>
  <c r="X90" i="1" s="1"/>
  <c r="AB95" i="1"/>
  <c r="X95" i="1" s="1"/>
  <c r="AB89" i="1"/>
  <c r="X89" i="1" s="1"/>
  <c r="AB92" i="1"/>
  <c r="X92" i="1" s="1"/>
  <c r="AB86" i="1"/>
  <c r="X86" i="1" s="1"/>
  <c r="W5" i="1" l="1"/>
  <c r="Z5" i="1"/>
  <c r="AA5" i="1"/>
  <c r="W7" i="1"/>
  <c r="Z7" i="1"/>
  <c r="AA7" i="1"/>
  <c r="W11" i="1"/>
  <c r="Z11" i="1"/>
  <c r="AA11" i="1"/>
  <c r="W3" i="1"/>
  <c r="Z3" i="1"/>
  <c r="AA3" i="1"/>
  <c r="W14" i="1"/>
  <c r="Z14" i="1"/>
  <c r="AA14" i="1"/>
  <c r="W4" i="1"/>
  <c r="Z4" i="1"/>
  <c r="AA4" i="1"/>
  <c r="W13" i="1"/>
  <c r="Z13" i="1"/>
  <c r="AA13" i="1"/>
  <c r="W9" i="1"/>
  <c r="Z9" i="1"/>
  <c r="AA9" i="1"/>
  <c r="W10" i="1"/>
  <c r="Z10" i="1"/>
  <c r="AA10" i="1"/>
  <c r="W6" i="1"/>
  <c r="Z6" i="1"/>
  <c r="AA6" i="1"/>
  <c r="W20" i="1"/>
  <c r="Z20" i="1"/>
  <c r="AA20" i="1"/>
  <c r="W16" i="1"/>
  <c r="Z16" i="1"/>
  <c r="AA16" i="1"/>
  <c r="W15" i="1"/>
  <c r="Z15" i="1"/>
  <c r="AA15" i="1"/>
  <c r="W8" i="1"/>
  <c r="Z8" i="1"/>
  <c r="AA8" i="1"/>
  <c r="W17" i="1"/>
  <c r="Z17" i="1"/>
  <c r="AA17" i="1"/>
  <c r="W18" i="1"/>
  <c r="Z18" i="1"/>
  <c r="AA18" i="1"/>
  <c r="W25" i="1"/>
  <c r="Z25" i="1"/>
  <c r="AA25" i="1"/>
  <c r="W12" i="1"/>
  <c r="Z12" i="1"/>
  <c r="AA12" i="1"/>
  <c r="Z21" i="1"/>
  <c r="AA21" i="1"/>
  <c r="W23" i="1"/>
  <c r="Z23" i="1"/>
  <c r="AA23" i="1"/>
  <c r="W22" i="1"/>
  <c r="Z22" i="1"/>
  <c r="AA22" i="1"/>
  <c r="Z24" i="1"/>
  <c r="AA24" i="1"/>
  <c r="W27" i="1"/>
  <c r="Z27" i="1"/>
  <c r="AA27" i="1"/>
  <c r="W19" i="1"/>
  <c r="Z19" i="1"/>
  <c r="AA19" i="1"/>
  <c r="Z26" i="1"/>
  <c r="AA26" i="1"/>
  <c r="W28" i="1"/>
  <c r="Z28" i="1"/>
  <c r="AA28" i="1"/>
  <c r="Z29" i="1"/>
  <c r="AA29" i="1"/>
  <c r="W30" i="1"/>
  <c r="Z30" i="1"/>
  <c r="AA30" i="1"/>
  <c r="W32" i="1"/>
  <c r="Z32" i="1"/>
  <c r="AA32" i="1"/>
  <c r="Z31" i="1"/>
  <c r="AA31" i="1"/>
  <c r="Z33" i="1"/>
  <c r="AA33" i="1"/>
  <c r="W41" i="1"/>
  <c r="Z41" i="1"/>
  <c r="AA41" i="1"/>
  <c r="W35" i="1"/>
  <c r="Z35" i="1"/>
  <c r="AA35" i="1"/>
  <c r="W36" i="1"/>
  <c r="Z36" i="1"/>
  <c r="AA36" i="1"/>
  <c r="W37" i="1"/>
  <c r="Z37" i="1"/>
  <c r="AA37" i="1"/>
  <c r="W45" i="1"/>
  <c r="Z45" i="1"/>
  <c r="AA45" i="1"/>
  <c r="W39" i="1"/>
  <c r="Z39" i="1"/>
  <c r="AA39" i="1"/>
  <c r="W40" i="1"/>
  <c r="Z40" i="1"/>
  <c r="AA40" i="1"/>
  <c r="W34" i="1"/>
  <c r="Z34" i="1"/>
  <c r="AA34" i="1"/>
  <c r="W42" i="1"/>
  <c r="Z42" i="1"/>
  <c r="AA42" i="1"/>
  <c r="W43" i="1"/>
  <c r="Z43" i="1"/>
  <c r="AA43" i="1"/>
  <c r="W44" i="1"/>
  <c r="Z44" i="1"/>
  <c r="AA44" i="1"/>
  <c r="W46" i="1"/>
  <c r="Z46" i="1"/>
  <c r="AA46" i="1"/>
  <c r="W38" i="1"/>
  <c r="Z38" i="1"/>
  <c r="AA38" i="1"/>
  <c r="W47" i="1"/>
  <c r="Z47" i="1"/>
  <c r="AA47" i="1"/>
  <c r="W48" i="1"/>
  <c r="Z48" i="1"/>
  <c r="AA48" i="1"/>
  <c r="W49" i="1"/>
  <c r="Z49" i="1"/>
  <c r="AA49" i="1"/>
  <c r="W50" i="1"/>
  <c r="Z50" i="1"/>
  <c r="AA50" i="1"/>
  <c r="W51" i="1"/>
  <c r="Z51" i="1"/>
  <c r="AA51" i="1"/>
  <c r="W58" i="1"/>
  <c r="Z58" i="1"/>
  <c r="AA58" i="1"/>
  <c r="W53" i="1"/>
  <c r="Z53" i="1"/>
  <c r="AA53" i="1"/>
  <c r="W52" i="1"/>
  <c r="Z52" i="1"/>
  <c r="AA52" i="1"/>
  <c r="W56" i="1"/>
  <c r="Z56" i="1"/>
  <c r="AA56" i="1"/>
  <c r="W62" i="1"/>
  <c r="Z62" i="1"/>
  <c r="AA62" i="1"/>
  <c r="W55" i="1"/>
  <c r="Z55" i="1"/>
  <c r="AA55" i="1"/>
  <c r="W64" i="1"/>
  <c r="Z64" i="1"/>
  <c r="AA64" i="1"/>
  <c r="W60" i="1"/>
  <c r="Z60" i="1"/>
  <c r="AA60" i="1"/>
  <c r="W66" i="1"/>
  <c r="Z66" i="1"/>
  <c r="AA66" i="1"/>
  <c r="W54" i="1"/>
  <c r="Z54" i="1"/>
  <c r="AA54" i="1"/>
  <c r="W68" i="1"/>
  <c r="Z68" i="1"/>
  <c r="AA68" i="1"/>
  <c r="W57" i="1"/>
  <c r="Z57" i="1"/>
  <c r="AA57" i="1"/>
  <c r="W63" i="1"/>
  <c r="Z63" i="1"/>
  <c r="AA63" i="1"/>
  <c r="W59" i="1"/>
  <c r="Z59" i="1"/>
  <c r="AA59" i="1"/>
  <c r="W72" i="1"/>
  <c r="Z72" i="1"/>
  <c r="AA72" i="1"/>
  <c r="W61" i="1"/>
  <c r="Z61" i="1"/>
  <c r="AA61" i="1"/>
  <c r="W70" i="1"/>
  <c r="Z70" i="1"/>
  <c r="AA70" i="1"/>
  <c r="W69" i="1"/>
  <c r="Z69" i="1"/>
  <c r="AA69" i="1"/>
  <c r="W76" i="1"/>
  <c r="Z76" i="1"/>
  <c r="AA76" i="1"/>
  <c r="W65" i="1"/>
  <c r="Z65" i="1"/>
  <c r="AA65" i="1"/>
  <c r="W71" i="1"/>
  <c r="Z71" i="1"/>
  <c r="AA71" i="1"/>
  <c r="W73" i="1"/>
  <c r="Z73" i="1"/>
  <c r="AA73" i="1"/>
  <c r="W74" i="1"/>
  <c r="Z74" i="1"/>
  <c r="AA74" i="1"/>
  <c r="W75" i="1"/>
  <c r="Z75" i="1"/>
  <c r="AA75" i="1"/>
  <c r="W78" i="1"/>
  <c r="Z78" i="1"/>
  <c r="AA78" i="1"/>
  <c r="W67" i="1"/>
  <c r="Z67" i="1"/>
  <c r="AA67" i="1"/>
  <c r="W83" i="1"/>
  <c r="Z83" i="1"/>
  <c r="AA83" i="1"/>
  <c r="W79" i="1"/>
  <c r="Z79" i="1"/>
  <c r="AA79" i="1"/>
  <c r="W85" i="1"/>
  <c r="Z85" i="1"/>
  <c r="AA85" i="1"/>
  <c r="W81" i="1"/>
  <c r="Z81" i="1"/>
  <c r="AA81" i="1"/>
  <c r="W77" i="1"/>
  <c r="Z77" i="1"/>
  <c r="AA77" i="1"/>
  <c r="W87" i="1"/>
  <c r="Z87" i="1"/>
  <c r="AA87" i="1"/>
  <c r="W80" i="1"/>
  <c r="Z80" i="1"/>
  <c r="AA80" i="1"/>
  <c r="W82" i="1"/>
  <c r="Z82" i="1"/>
  <c r="AA82" i="1"/>
  <c r="AB29" i="1" l="1"/>
  <c r="X29" i="1" s="1"/>
  <c r="AB17" i="1"/>
  <c r="X17" i="1" s="1"/>
  <c r="AB13" i="1"/>
  <c r="X13" i="1" s="1"/>
  <c r="AB46" i="1"/>
  <c r="X46" i="1" s="1"/>
  <c r="AB10" i="1"/>
  <c r="X10" i="1" s="1"/>
  <c r="AB59" i="1"/>
  <c r="X59" i="1" s="1"/>
  <c r="AB49" i="1"/>
  <c r="X49" i="1" s="1"/>
  <c r="AB40" i="1"/>
  <c r="X40" i="1" s="1"/>
  <c r="AB36" i="1"/>
  <c r="X36" i="1" s="1"/>
  <c r="AB9" i="1"/>
  <c r="X9" i="1" s="1"/>
  <c r="AB78" i="1"/>
  <c r="X78" i="1" s="1"/>
  <c r="AB69" i="1"/>
  <c r="X69" i="1" s="1"/>
  <c r="AB63" i="1"/>
  <c r="X63" i="1" s="1"/>
  <c r="AB62" i="1"/>
  <c r="X62" i="1" s="1"/>
  <c r="AB58" i="1"/>
  <c r="X58" i="1" s="1"/>
  <c r="AB31" i="1"/>
  <c r="X31" i="1" s="1"/>
  <c r="AB22" i="1"/>
  <c r="X22" i="1" s="1"/>
  <c r="AB12" i="1"/>
  <c r="X12" i="1" s="1"/>
  <c r="AB77" i="1"/>
  <c r="X77" i="1" s="1"/>
  <c r="AB33" i="1"/>
  <c r="X33" i="1" s="1"/>
  <c r="AB20" i="1"/>
  <c r="X20" i="1" s="1"/>
  <c r="AB4" i="1"/>
  <c r="X4" i="1" s="1"/>
  <c r="AB27" i="1"/>
  <c r="X27" i="1" s="1"/>
  <c r="AB87" i="1"/>
  <c r="X87" i="1" s="1"/>
  <c r="AB54" i="1"/>
  <c r="X54" i="1" s="1"/>
  <c r="AB64" i="1"/>
  <c r="X64" i="1" s="1"/>
  <c r="AB55" i="1"/>
  <c r="X55" i="1" s="1"/>
  <c r="AB52" i="1"/>
  <c r="X52" i="1" s="1"/>
  <c r="AB38" i="1"/>
  <c r="X38" i="1" s="1"/>
  <c r="AB37" i="1"/>
  <c r="X37" i="1" s="1"/>
  <c r="AB8" i="1"/>
  <c r="X8" i="1" s="1"/>
  <c r="AB3" i="1"/>
  <c r="X3" i="1" s="1"/>
  <c r="AB5" i="1"/>
  <c r="X5" i="1" s="1"/>
  <c r="AB85" i="1"/>
  <c r="X85" i="1" s="1"/>
  <c r="AB71" i="1"/>
  <c r="X71" i="1" s="1"/>
  <c r="AB70" i="1"/>
  <c r="X70" i="1" s="1"/>
  <c r="AB60" i="1"/>
  <c r="X60" i="1" s="1"/>
  <c r="AB56" i="1"/>
  <c r="X56" i="1" s="1"/>
  <c r="AB51" i="1"/>
  <c r="X51" i="1" s="1"/>
  <c r="AB42" i="1"/>
  <c r="X42" i="1" s="1"/>
  <c r="AB26" i="1"/>
  <c r="X26" i="1" s="1"/>
  <c r="AB24" i="1"/>
  <c r="X24" i="1" s="1"/>
  <c r="AB21" i="1"/>
  <c r="X21" i="1" s="1"/>
  <c r="AB7" i="1"/>
  <c r="X7" i="1" s="1"/>
  <c r="AB81" i="1"/>
  <c r="X81" i="1" s="1"/>
  <c r="AB73" i="1"/>
  <c r="X73" i="1" s="1"/>
  <c r="AB34" i="1"/>
  <c r="X34" i="1" s="1"/>
  <c r="AB80" i="1"/>
  <c r="X80" i="1" s="1"/>
  <c r="AB79" i="1"/>
  <c r="X79" i="1" s="1"/>
  <c r="AB74" i="1"/>
  <c r="X74" i="1" s="1"/>
  <c r="AB65" i="1"/>
  <c r="X65" i="1" s="1"/>
  <c r="AB61" i="1"/>
  <c r="X61" i="1" s="1"/>
  <c r="AB72" i="1"/>
  <c r="X72" i="1" s="1"/>
  <c r="AB68" i="1"/>
  <c r="X68" i="1" s="1"/>
  <c r="AB53" i="1"/>
  <c r="X53" i="1" s="1"/>
  <c r="AB48" i="1"/>
  <c r="X48" i="1" s="1"/>
  <c r="AB43" i="1"/>
  <c r="X43" i="1" s="1"/>
  <c r="AB39" i="1"/>
  <c r="X39" i="1" s="1"/>
  <c r="AB35" i="1"/>
  <c r="X35" i="1" s="1"/>
  <c r="AB41" i="1"/>
  <c r="X41" i="1" s="1"/>
  <c r="AB25" i="1"/>
  <c r="X25" i="1" s="1"/>
  <c r="AB18" i="1"/>
  <c r="X18" i="1" s="1"/>
  <c r="AB11" i="1"/>
  <c r="X11" i="1" s="1"/>
  <c r="AB67" i="1"/>
  <c r="X67" i="1" s="1"/>
  <c r="AB30" i="1"/>
  <c r="X30" i="1" s="1"/>
  <c r="AB16" i="1"/>
  <c r="X16" i="1" s="1"/>
  <c r="AB19" i="1"/>
  <c r="X19" i="1" s="1"/>
  <c r="AB82" i="1"/>
  <c r="X82" i="1" s="1"/>
  <c r="AB83" i="1"/>
  <c r="X83" i="1" s="1"/>
  <c r="AB75" i="1"/>
  <c r="X75" i="1" s="1"/>
  <c r="AB76" i="1"/>
  <c r="X76" i="1" s="1"/>
  <c r="AB57" i="1"/>
  <c r="X57" i="1" s="1"/>
  <c r="AB66" i="1"/>
  <c r="X66" i="1" s="1"/>
  <c r="AB50" i="1"/>
  <c r="X50" i="1" s="1"/>
  <c r="AB47" i="1"/>
  <c r="X47" i="1" s="1"/>
  <c r="AB44" i="1"/>
  <c r="X44" i="1" s="1"/>
  <c r="AB45" i="1"/>
  <c r="X45" i="1" s="1"/>
  <c r="AB32" i="1"/>
  <c r="X32" i="1" s="1"/>
  <c r="AB28" i="1"/>
  <c r="X28" i="1" s="1"/>
  <c r="AB23" i="1"/>
  <c r="X23" i="1" s="1"/>
  <c r="AB15" i="1"/>
  <c r="X15" i="1" s="1"/>
  <c r="AB6" i="1"/>
  <c r="X6" i="1" s="1"/>
  <c r="AB14" i="1"/>
  <c r="X14" i="1" s="1"/>
  <c r="A1" i="3" l="1"/>
  <c r="I149" i="1" l="1"/>
  <c r="J153" i="1" l="1"/>
  <c r="J152" i="1"/>
  <c r="J155" i="1" l="1"/>
  <c r="J154" i="1"/>
  <c r="J151" i="1"/>
  <c r="M79" i="3"/>
  <c r="M80" i="3" s="1"/>
  <c r="J156" i="1" l="1"/>
  <c r="A1" i="1"/>
  <c r="O153" i="1" l="1"/>
  <c r="N153" i="1"/>
  <c r="M153" i="1"/>
  <c r="N155" i="1" l="1"/>
  <c r="N152" i="1"/>
  <c r="O155" i="1"/>
  <c r="M155" i="1"/>
  <c r="M152" i="1"/>
  <c r="O152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<sst xmlns="http://schemas.openxmlformats.org/spreadsheetml/2006/main" count="2435" uniqueCount="644">
  <si>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</si>
  <si>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</si>
  <si>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</si>
  <si>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</si>
  <si>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</si>
  <si>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</si>
  <si>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</si>
  <si>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</si>
  <si>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</si>
  <si>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</si>
  <si>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</si>
  <si>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</si>
  <si>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</si>
  <si>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</si>
  <si>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</si>
  <si>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</si>
  <si>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</si>
  <si>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</si>
  <si>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</si>
  <si>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</si>
  <si>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</si>
  <si>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</si>
  <si>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</si>
  <si>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</si>
  <si>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</si>
  <si>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</si>
  <si>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</si>
  <si>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</si>
  <si>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</si>
  <si>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</si>
  <si>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</si>
  <si>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</si>
  <si>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</si>
  <si>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</si>
  <si>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</si>
  <si>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</si>
  <si>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</si>
  <si>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</si>
  <si>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</si>
  <si>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</si>
  <si>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</si>
  <si>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</si>
  <si>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</si>
  <si>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</si>
  <si>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</si>
  <si>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</si>
  <si>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</si>
  <si>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</si>
  <si>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</si>
  <si>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</si>
  <si>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rtdc.l.rtdc.4027:itc</t>
  </si>
  <si>
    <t>rtdc.l.rtdc.4008:itc</t>
  </si>
  <si>
    <t>110-01</t>
  </si>
  <si>
    <t>rtdc.l.rtdc.4019:itc</t>
  </si>
  <si>
    <t>rtdc.l.rtdc.4018:itc</t>
  </si>
  <si>
    <t>133-01</t>
  </si>
  <si>
    <t>rtdc.l.rtdc.4016:itc</t>
  </si>
  <si>
    <t>143-01</t>
  </si>
  <si>
    <t>145-01</t>
  </si>
  <si>
    <t>rtdc.l.rtdc.4030:itc</t>
  </si>
  <si>
    <t>150-01</t>
  </si>
  <si>
    <t>rtdc.l.rtdc.4017:itc</t>
  </si>
  <si>
    <t>rtdc.l.rtdc.4044:itc</t>
  </si>
  <si>
    <t>rtdc.l.rtdc.4028:itc</t>
  </si>
  <si>
    <t>rtdc.l.rtdc.4020:itc</t>
  </si>
  <si>
    <t>167-01</t>
  </si>
  <si>
    <t>173-01</t>
  </si>
  <si>
    <t>rtdc.l.rtdc.4043:itc</t>
  </si>
  <si>
    <t>170-01</t>
  </si>
  <si>
    <t>174-01</t>
  </si>
  <si>
    <t>181-01</t>
  </si>
  <si>
    <t>184-01</t>
  </si>
  <si>
    <t>rtdc.l.rtdc.4015:itc</t>
  </si>
  <si>
    <t>rtdc.l.rtdc.4039:itc</t>
  </si>
  <si>
    <t>rtdc.l.rtdc.4029:itc</t>
  </si>
  <si>
    <t>200-01</t>
  </si>
  <si>
    <t>rtdc.l.rtdc.4007:itc</t>
  </si>
  <si>
    <t>207-01</t>
  </si>
  <si>
    <t>217-01</t>
  </si>
  <si>
    <t>213-01</t>
  </si>
  <si>
    <t>209-01</t>
  </si>
  <si>
    <t>205-01</t>
  </si>
  <si>
    <t>198-01</t>
  </si>
  <si>
    <t>194-01</t>
  </si>
  <si>
    <t>190-01</t>
  </si>
  <si>
    <t>191-01</t>
  </si>
  <si>
    <t>178-01</t>
  </si>
  <si>
    <t>179-01</t>
  </si>
  <si>
    <t>177-01</t>
  </si>
  <si>
    <t>162-01</t>
  </si>
  <si>
    <t>158-01</t>
  </si>
  <si>
    <t>161-01</t>
  </si>
  <si>
    <t>151-01</t>
  </si>
  <si>
    <t>149-01</t>
  </si>
  <si>
    <t>142-01</t>
  </si>
  <si>
    <t>136-01</t>
  </si>
  <si>
    <t>141-01</t>
  </si>
  <si>
    <t>134-01</t>
  </si>
  <si>
    <t>137-01</t>
  </si>
  <si>
    <t>128-01</t>
  </si>
  <si>
    <t>124-01</t>
  </si>
  <si>
    <t>122-01</t>
  </si>
  <si>
    <t>127-01</t>
  </si>
  <si>
    <t>118-01</t>
  </si>
  <si>
    <t>116-01</t>
  </si>
  <si>
    <t>114-01</t>
  </si>
  <si>
    <t>111-01</t>
  </si>
  <si>
    <t>104-01</t>
  </si>
  <si>
    <t>102-01</t>
  </si>
  <si>
    <t>101-01</t>
  </si>
  <si>
    <t>233-01</t>
  </si>
  <si>
    <t>244-01</t>
  </si>
  <si>
    <t>242-01</t>
  </si>
  <si>
    <t>239-01</t>
  </si>
  <si>
    <t>237-01</t>
  </si>
  <si>
    <t>230-01</t>
  </si>
  <si>
    <t>229-01</t>
  </si>
  <si>
    <t>227-01</t>
  </si>
  <si>
    <t>225-01</t>
  </si>
  <si>
    <t>216-01</t>
  </si>
  <si>
    <t>221-01</t>
  </si>
  <si>
    <t>Status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</si>
  <si>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</si>
  <si>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</si>
  <si>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</si>
  <si>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</si>
  <si>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</si>
  <si>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</si>
  <si>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</si>
  <si>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</si>
  <si>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</si>
  <si>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</si>
  <si>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</si>
  <si>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</si>
  <si>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</si>
  <si>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HONTZ</t>
  </si>
  <si>
    <t>YOUNG</t>
  </si>
  <si>
    <t>rtdc.l.rtdc.4040:itc</t>
  </si>
  <si>
    <t>BARTLETT</t>
  </si>
  <si>
    <t>rtdc.l.rtdc.4038:itc</t>
  </si>
  <si>
    <t>CHANDLER</t>
  </si>
  <si>
    <t>BONDS</t>
  </si>
  <si>
    <t>rtdc.l.rtdc.4025:itc</t>
  </si>
  <si>
    <t>BRUDER</t>
  </si>
  <si>
    <t>SPECTOR</t>
  </si>
  <si>
    <t>rtdc.l.rtdc.4014:itc</t>
  </si>
  <si>
    <t>rtdc.l.rtdc.4013:itc</t>
  </si>
  <si>
    <t>LEVIN</t>
  </si>
  <si>
    <t>rtdc.l.rtdc.4023:itc</t>
  </si>
  <si>
    <t>JACKSON</t>
  </si>
  <si>
    <t>DE LA ROSA</t>
  </si>
  <si>
    <t>117-02</t>
  </si>
  <si>
    <t>NEWELL</t>
  </si>
  <si>
    <t>rtdc.l.rtdc.4026:itc</t>
  </si>
  <si>
    <t>rtdc.l.rtdc.4024:itc</t>
  </si>
  <si>
    <t>SPARE-27</t>
  </si>
  <si>
    <t>COOLAHAN</t>
  </si>
  <si>
    <t>WEBSTER</t>
  </si>
  <si>
    <t>BRANNON</t>
  </si>
  <si>
    <t>STURGEON</t>
  </si>
  <si>
    <t>PTC TEST4-29</t>
  </si>
  <si>
    <t>CUSHING</t>
  </si>
  <si>
    <t>BRABO-27</t>
  </si>
  <si>
    <t>BRABO</t>
  </si>
  <si>
    <t>rtdc.l.rtdc.4037:itc</t>
  </si>
  <si>
    <t>134-02</t>
  </si>
  <si>
    <t>127-02</t>
  </si>
  <si>
    <t>119-02</t>
  </si>
  <si>
    <t>105-02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</si>
  <si>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</si>
  <si>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</si>
  <si>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</si>
  <si>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</si>
  <si>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</si>
  <si>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</si>
  <si>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</si>
  <si>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</si>
  <si>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</si>
  <si>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</si>
  <si>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</si>
  <si>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</si>
  <si>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</si>
  <si>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</si>
  <si>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</si>
  <si>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</si>
  <si>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</si>
  <si>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</si>
  <si>
    <t>159-02</t>
  </si>
  <si>
    <t>160-02</t>
  </si>
  <si>
    <t>165-02</t>
  </si>
  <si>
    <t>171-02</t>
  </si>
  <si>
    <t>162-02</t>
  </si>
  <si>
    <t>178-02</t>
  </si>
  <si>
    <t>193-02</t>
  </si>
  <si>
    <t>186-02</t>
  </si>
  <si>
    <t>201-02</t>
  </si>
  <si>
    <t>203-02</t>
  </si>
  <si>
    <t>200-02</t>
  </si>
  <si>
    <t>211-02</t>
  </si>
  <si>
    <t>208-02</t>
  </si>
  <si>
    <t>217-02</t>
  </si>
  <si>
    <t>223-02</t>
  </si>
  <si>
    <t>225-02</t>
  </si>
  <si>
    <t>227-02</t>
  </si>
  <si>
    <t>224-02</t>
  </si>
  <si>
    <t>228-02</t>
  </si>
  <si>
    <t>rtdc.l.rtdc.4042:itc</t>
  </si>
  <si>
    <t>231-02</t>
  </si>
  <si>
    <t>232-02</t>
  </si>
  <si>
    <t>226-02</t>
  </si>
  <si>
    <t>239-02</t>
  </si>
  <si>
    <t>243-02</t>
  </si>
  <si>
    <t>244-02</t>
  </si>
  <si>
    <t>121-03</t>
  </si>
  <si>
    <t>115-03</t>
  </si>
  <si>
    <t>106-03</t>
  </si>
  <si>
    <t>CANFIELD</t>
  </si>
  <si>
    <t>111-03</t>
  </si>
  <si>
    <t>rtdc.l.rtdc.4011:itc</t>
  </si>
  <si>
    <t>109-03</t>
  </si>
  <si>
    <t>YORK</t>
  </si>
  <si>
    <t>102-03</t>
  </si>
  <si>
    <t>240-02</t>
  </si>
  <si>
    <t>236-02</t>
  </si>
  <si>
    <t>STRICKLAND</t>
  </si>
  <si>
    <t>234-02</t>
  </si>
  <si>
    <t>STORY</t>
  </si>
  <si>
    <t>184-02</t>
  </si>
  <si>
    <t>235-02</t>
  </si>
  <si>
    <t>218-02</t>
  </si>
  <si>
    <t>REBOLETTI</t>
  </si>
  <si>
    <t>229-02</t>
  </si>
  <si>
    <t>230-02</t>
  </si>
  <si>
    <t>237-02</t>
  </si>
  <si>
    <t>241-02</t>
  </si>
  <si>
    <t>BEAM</t>
  </si>
  <si>
    <t>101-03</t>
  </si>
  <si>
    <t>107-03</t>
  </si>
  <si>
    <t>rtdc.l.rtdc.4032:itc</t>
  </si>
  <si>
    <t>104-03</t>
  </si>
  <si>
    <t>STARKS</t>
  </si>
  <si>
    <t>108-03</t>
  </si>
  <si>
    <t>204-02</t>
  </si>
  <si>
    <t>123-03</t>
  </si>
  <si>
    <t>206-02</t>
  </si>
  <si>
    <t>rtdc.l.rtdc.4031:itc</t>
  </si>
  <si>
    <t>117-03</t>
  </si>
  <si>
    <t>221-02</t>
  </si>
  <si>
    <t>222-02</t>
  </si>
  <si>
    <t>311-02</t>
  </si>
  <si>
    <t>233-02</t>
  </si>
  <si>
    <t>116-03</t>
  </si>
  <si>
    <t>242-02</t>
  </si>
  <si>
    <t>119-03</t>
  </si>
  <si>
    <t>114-03</t>
  </si>
  <si>
    <t>220-02</t>
  </si>
  <si>
    <t>214-02</t>
  </si>
  <si>
    <t>153-02</t>
  </si>
  <si>
    <t>146-02</t>
  </si>
  <si>
    <t>185-02</t>
  </si>
  <si>
    <t>167-02</t>
  </si>
  <si>
    <t>158-02</t>
  </si>
  <si>
    <t>157-02</t>
  </si>
  <si>
    <t>155-02</t>
  </si>
  <si>
    <t>170-02</t>
  </si>
  <si>
    <t>179-02</t>
  </si>
  <si>
    <t>176-02</t>
  </si>
  <si>
    <t>BRANNON-02</t>
  </si>
  <si>
    <t>195-02</t>
  </si>
  <si>
    <t>207-02</t>
  </si>
  <si>
    <t>192-02</t>
  </si>
  <si>
    <t>209-02</t>
  </si>
  <si>
    <t>238-02</t>
  </si>
  <si>
    <t>105-03</t>
  </si>
  <si>
    <t>213-02</t>
  </si>
  <si>
    <t>210-02</t>
  </si>
  <si>
    <t>103-03</t>
  </si>
  <si>
    <t>113-03</t>
  </si>
  <si>
    <t>rtdc.l.rtdc.4012:itc</t>
  </si>
  <si>
    <t>110-03</t>
  </si>
  <si>
    <t>112-03</t>
  </si>
  <si>
    <t>Difference between last trip</t>
  </si>
  <si>
    <t>SIGNAL</t>
  </si>
  <si>
    <t>118-03</t>
  </si>
  <si>
    <t>126-03</t>
  </si>
  <si>
    <t>120-03</t>
  </si>
  <si>
    <t>133-03</t>
  </si>
  <si>
    <t>128-03</t>
  </si>
  <si>
    <t>132-03</t>
  </si>
  <si>
    <t>130-03</t>
  </si>
  <si>
    <t>139-03</t>
  </si>
  <si>
    <t>134-03</t>
  </si>
  <si>
    <t>136-03</t>
  </si>
  <si>
    <t>138-03</t>
  </si>
  <si>
    <t>145-03</t>
  </si>
  <si>
    <t>147-03</t>
  </si>
  <si>
    <t>140-03</t>
  </si>
  <si>
    <t>144-03</t>
  </si>
  <si>
    <t>148-03</t>
  </si>
  <si>
    <t>159-03</t>
  </si>
  <si>
    <t>161-03</t>
  </si>
  <si>
    <t>154-03</t>
  </si>
  <si>
    <t>160-03</t>
  </si>
  <si>
    <t>166-03</t>
  </si>
  <si>
    <t>169-03</t>
  </si>
  <si>
    <t>171-03</t>
  </si>
  <si>
    <t>164-03</t>
  </si>
  <si>
    <t>174-03</t>
  </si>
  <si>
    <t>170-03</t>
  </si>
  <si>
    <t>179-03</t>
  </si>
  <si>
    <t>181-03</t>
  </si>
  <si>
    <t>176-03</t>
  </si>
  <si>
    <t>184-03</t>
  </si>
  <si>
    <t>193-03</t>
  </si>
  <si>
    <t>191-03</t>
  </si>
  <si>
    <t>197-03</t>
  </si>
  <si>
    <t>188-03</t>
  </si>
  <si>
    <t>190-03</t>
  </si>
  <si>
    <t>192-03</t>
  </si>
  <si>
    <t>194-03</t>
  </si>
  <si>
    <t>198-03</t>
  </si>
  <si>
    <t>207-03</t>
  </si>
  <si>
    <t>215-03</t>
  </si>
  <si>
    <t>213-03</t>
  </si>
  <si>
    <t>208-03</t>
  </si>
  <si>
    <t>212-03</t>
  </si>
  <si>
    <t>221-03</t>
  </si>
  <si>
    <t>223-03</t>
  </si>
  <si>
    <t>220-03</t>
  </si>
  <si>
    <t>225-03</t>
  </si>
  <si>
    <t>222-03</t>
  </si>
  <si>
    <t>229-03</t>
  </si>
  <si>
    <t>233-03</t>
  </si>
  <si>
    <t>230-03</t>
  </si>
  <si>
    <t>237-03</t>
  </si>
  <si>
    <t>234-03</t>
  </si>
  <si>
    <t>239-03</t>
  </si>
  <si>
    <t>Predictive Enforcement (2)</t>
  </si>
  <si>
    <t>Signal based authority (5)</t>
  </si>
  <si>
    <t>Increasing Mileposts (1)</t>
  </si>
  <si>
    <t>PERMANENT SPEED RESTRICTION</t>
  </si>
  <si>
    <t>Speed (6)</t>
  </si>
  <si>
    <t>Decreasing Mileposts (2)</t>
  </si>
  <si>
    <t>TRACK WARRANT AUTHORITY</t>
  </si>
  <si>
    <t>Form based authority (4)</t>
  </si>
  <si>
    <t>Reactive Enforcement (3)</t>
  </si>
  <si>
    <t>GRADE CROSSING</t>
  </si>
  <si>
    <t>Bulletin (2)</t>
  </si>
  <si>
    <t>SWITCH UNKNOWN</t>
  </si>
  <si>
    <t>Track device (7)</t>
  </si>
  <si>
    <t>153-03</t>
  </si>
  <si>
    <t>199-03</t>
  </si>
  <si>
    <t>205-03</t>
  </si>
  <si>
    <t>131-03</t>
  </si>
  <si>
    <t>216-03</t>
  </si>
  <si>
    <t>124-03</t>
  </si>
  <si>
    <t>224-03</t>
  </si>
  <si>
    <t>LEVERE</t>
  </si>
  <si>
    <t>241-03</t>
  </si>
  <si>
    <t>103-04</t>
  </si>
  <si>
    <t>102-04</t>
  </si>
  <si>
    <t>187-03</t>
  </si>
  <si>
    <t>203-03</t>
  </si>
  <si>
    <t>202-03</t>
  </si>
  <si>
    <t>206-03</t>
  </si>
  <si>
    <t>204-03</t>
  </si>
  <si>
    <t>307-03</t>
  </si>
  <si>
    <t>196-03</t>
  </si>
  <si>
    <t>189-03</t>
  </si>
  <si>
    <t>101-04</t>
  </si>
  <si>
    <t>111-04</t>
  </si>
  <si>
    <t>105-04</t>
  </si>
  <si>
    <t>240-03</t>
  </si>
  <si>
    <t>113-04</t>
  </si>
  <si>
    <t>115-04</t>
  </si>
  <si>
    <t>ADANE</t>
  </si>
  <si>
    <t>119-04</t>
  </si>
  <si>
    <t>211-03</t>
  </si>
  <si>
    <t>114-04</t>
  </si>
  <si>
    <t>108-04</t>
  </si>
  <si>
    <t>228-03</t>
  </si>
  <si>
    <t>218-03</t>
  </si>
  <si>
    <t>200-03</t>
  </si>
  <si>
    <t>112-04</t>
  </si>
  <si>
    <t>226-03</t>
  </si>
  <si>
    <t>129-03</t>
  </si>
  <si>
    <t>183-03</t>
  </si>
  <si>
    <t>141-03</t>
  </si>
  <si>
    <t>172-03</t>
  </si>
  <si>
    <t>143-03</t>
  </si>
  <si>
    <t>167-03</t>
  </si>
  <si>
    <t>YANAI</t>
  </si>
  <si>
    <t>149-03</t>
  </si>
  <si>
    <t>152-03</t>
  </si>
  <si>
    <t>151-03</t>
  </si>
  <si>
    <t>150-03</t>
  </si>
  <si>
    <t>155-03</t>
  </si>
  <si>
    <t>156-03</t>
  </si>
  <si>
    <t>146-03</t>
  </si>
  <si>
    <t>rtdc.l.rtdc.4009:itc</t>
  </si>
  <si>
    <t>rtdc.l.rtdc.4010:itc</t>
  </si>
  <si>
    <t>182-03</t>
  </si>
  <si>
    <t>238-03</t>
  </si>
  <si>
    <t>106-04</t>
  </si>
  <si>
    <t>227-03</t>
  </si>
  <si>
    <t>109-04</t>
  </si>
  <si>
    <t>210-03</t>
  </si>
  <si>
    <t>235-03</t>
  </si>
  <si>
    <t>243-03</t>
  </si>
  <si>
    <t>116-04</t>
  </si>
  <si>
    <t>201-03</t>
  </si>
  <si>
    <t>RIVERA</t>
  </si>
  <si>
    <t>232-03</t>
  </si>
  <si>
    <t>236-03</t>
  </si>
  <si>
    <t>214-03</t>
  </si>
  <si>
    <t>219-03</t>
  </si>
  <si>
    <t>217-03</t>
  </si>
  <si>
    <t>195-03</t>
  </si>
  <si>
    <t>142-03</t>
  </si>
  <si>
    <t>178-03</t>
  </si>
  <si>
    <t>185-03</t>
  </si>
  <si>
    <t>177-03</t>
  </si>
  <si>
    <t>175-03</t>
  </si>
  <si>
    <t>168-03</t>
  </si>
  <si>
    <t>135-03</t>
  </si>
  <si>
    <t>162-03</t>
  </si>
  <si>
    <t>165-03</t>
  </si>
  <si>
    <t>163-03</t>
  </si>
  <si>
    <t>158-03</t>
  </si>
  <si>
    <t>173-03</t>
  </si>
  <si>
    <t>157-03</t>
  </si>
  <si>
    <t>180-03</t>
  </si>
  <si>
    <t>186-03</t>
  </si>
  <si>
    <t>137-03</t>
  </si>
  <si>
    <t>127-03</t>
  </si>
  <si>
    <t>209-03</t>
  </si>
  <si>
    <t>231-03</t>
  </si>
  <si>
    <t>242-03</t>
  </si>
  <si>
    <t>244-03</t>
  </si>
  <si>
    <t>122-03</t>
  </si>
  <si>
    <t>121-04</t>
  </si>
  <si>
    <t>107-04</t>
  </si>
  <si>
    <t>110-04</t>
  </si>
  <si>
    <t>125-03</t>
  </si>
  <si>
    <t>104-04</t>
  </si>
  <si>
    <t>117-04</t>
  </si>
  <si>
    <t>123-04</t>
  </si>
  <si>
    <t>TEST TRAIN-03</t>
  </si>
  <si>
    <t>DE.1.0.6.0</t>
  </si>
  <si>
    <t>204:765</t>
  </si>
  <si>
    <t>204:233302</t>
  </si>
  <si>
    <t>204:232672</t>
  </si>
  <si>
    <t>204:129</t>
  </si>
  <si>
    <t>204:734</t>
  </si>
  <si>
    <t>204:233317</t>
  </si>
  <si>
    <t>204:232670</t>
  </si>
  <si>
    <t>204:245</t>
  </si>
  <si>
    <t>204:233298</t>
  </si>
  <si>
    <t>204:232662</t>
  </si>
  <si>
    <t>204:1742</t>
  </si>
  <si>
    <t>204:458</t>
  </si>
  <si>
    <t>204:233291</t>
  </si>
  <si>
    <t>204:232965</t>
  </si>
  <si>
    <t>204:138</t>
  </si>
  <si>
    <t>204:435</t>
  </si>
  <si>
    <t>204:233293</t>
  </si>
  <si>
    <t>204:232987</t>
  </si>
  <si>
    <t>204:152</t>
  </si>
  <si>
    <t>204:763</t>
  </si>
  <si>
    <t>204:233274</t>
  </si>
  <si>
    <t>204:232982</t>
  </si>
  <si>
    <t>204:156</t>
  </si>
  <si>
    <t>204:442</t>
  </si>
  <si>
    <t>204:233306</t>
  </si>
  <si>
    <t>204:232989</t>
  </si>
  <si>
    <t>204:956</t>
  </si>
  <si>
    <t>204:233299</t>
  </si>
  <si>
    <t>204:232992</t>
  </si>
  <si>
    <t>204:147</t>
  </si>
  <si>
    <t>204:19187</t>
  </si>
  <si>
    <t>204:233096</t>
  </si>
  <si>
    <t>204:613</t>
  </si>
  <si>
    <t>204:2129</t>
  </si>
  <si>
    <t>204:232772</t>
  </si>
  <si>
    <t>204:220</t>
  </si>
  <si>
    <t>204:1471</t>
  </si>
  <si>
    <t>204:233289</t>
  </si>
  <si>
    <t>204:232985</t>
  </si>
  <si>
    <t>204:462</t>
  </si>
  <si>
    <t>204:233297</t>
  </si>
  <si>
    <t>204:232993</t>
  </si>
  <si>
    <t>204:149</t>
  </si>
  <si>
    <t>204:449</t>
  </si>
  <si>
    <t>204:233316</t>
  </si>
  <si>
    <t>204:232977</t>
  </si>
  <si>
    <t>204:136</t>
  </si>
  <si>
    <t>204:473</t>
  </si>
  <si>
    <t>204:233308</t>
  </si>
  <si>
    <t>204:232996</t>
  </si>
  <si>
    <t>204:437</t>
  </si>
  <si>
    <t>204:160</t>
  </si>
  <si>
    <t>204:453</t>
  </si>
  <si>
    <t>204:233002</t>
  </si>
  <si>
    <t>204:141</t>
  </si>
  <si>
    <t>204:515</t>
  </si>
  <si>
    <t>204:233337</t>
  </si>
  <si>
    <t>204:233023</t>
  </si>
  <si>
    <t>204:167</t>
  </si>
  <si>
    <t>204:466</t>
  </si>
  <si>
    <t>204:232994</t>
  </si>
  <si>
    <t>204:143</t>
  </si>
  <si>
    <t>204:480</t>
  </si>
  <si>
    <t>204:232988</t>
  </si>
  <si>
    <t>204:1777</t>
  </si>
  <si>
    <t>204:475</t>
  </si>
  <si>
    <t>204:232991</t>
  </si>
  <si>
    <t>204:205</t>
  </si>
  <si>
    <t>204:469</t>
  </si>
  <si>
    <t>204:233303</t>
  </si>
  <si>
    <t>204:145</t>
  </si>
  <si>
    <t>204:233443</t>
  </si>
  <si>
    <t>204:254</t>
  </si>
  <si>
    <t>204:233361</t>
  </si>
  <si>
    <t>204:233000</t>
  </si>
  <si>
    <t>204:150</t>
  </si>
  <si>
    <t>204:457</t>
  </si>
  <si>
    <t>204:509</t>
  </si>
  <si>
    <t>204:233309</t>
  </si>
  <si>
    <t>204:139</t>
  </si>
  <si>
    <t>204:197160</t>
  </si>
  <si>
    <t>204:233030</t>
  </si>
  <si>
    <t>204:345</t>
  </si>
  <si>
    <t>204:444</t>
  </si>
  <si>
    <t>204:233305</t>
  </si>
  <si>
    <t>204:232971</t>
  </si>
  <si>
    <t>204:571</t>
  </si>
  <si>
    <t>204:232981</t>
  </si>
  <si>
    <t>204:233301</t>
  </si>
  <si>
    <t>204:232978</t>
  </si>
  <si>
    <t>204:170</t>
  </si>
  <si>
    <t>204:233338</t>
  </si>
  <si>
    <t>204:233008</t>
  </si>
  <si>
    <t>204:493</t>
  </si>
  <si>
    <t>204:232973</t>
  </si>
  <si>
    <t>204:446</t>
  </si>
  <si>
    <t>204:233283</t>
  </si>
  <si>
    <t>204:232970</t>
  </si>
  <si>
    <t>204:673</t>
  </si>
  <si>
    <t>204:233318</t>
  </si>
  <si>
    <t>204:134</t>
  </si>
  <si>
    <t>204:460</t>
  </si>
  <si>
    <t>204:233300</t>
  </si>
  <si>
    <t>204:169</t>
  </si>
  <si>
    <t>204:398</t>
  </si>
  <si>
    <t>204:233314</t>
  </si>
  <si>
    <t>204:232990</t>
  </si>
  <si>
    <t>204:130</t>
  </si>
  <si>
    <t>204:433</t>
  </si>
  <si>
    <t>204:194</t>
  </si>
  <si>
    <t>204:522</t>
  </si>
  <si>
    <t>204:233315</t>
  </si>
  <si>
    <t>204:232998</t>
  </si>
  <si>
    <t>204:467</t>
  </si>
  <si>
    <t>204:233307</t>
  </si>
  <si>
    <t>204:232975</t>
  </si>
  <si>
    <t>204:440</t>
  </si>
  <si>
    <t>204:233325</t>
  </si>
  <si>
    <t>204:233004</t>
  </si>
  <si>
    <t>204:132</t>
  </si>
  <si>
    <t>204:233334</t>
  </si>
  <si>
    <t>204:232984</t>
  </si>
  <si>
    <t>204:242</t>
  </si>
  <si>
    <t>204:447</t>
  </si>
  <si>
    <t>204:165</t>
  </si>
  <si>
    <t>204:504</t>
  </si>
  <si>
    <t>204:455</t>
  </si>
  <si>
    <t>204:233327</t>
  </si>
  <si>
    <t>204:233359</t>
  </si>
  <si>
    <t>204:233015</t>
  </si>
  <si>
    <t>204:110</t>
  </si>
  <si>
    <t>204:531</t>
  </si>
  <si>
    <t>204:233286</t>
  </si>
  <si>
    <t>204:233310</t>
  </si>
  <si>
    <t>204:161</t>
  </si>
  <si>
    <t>204:418</t>
  </si>
  <si>
    <t>204:232969</t>
  </si>
  <si>
    <t>204:154</t>
  </si>
  <si>
    <t>204:438</t>
  </si>
  <si>
    <t>204:232979</t>
  </si>
  <si>
    <t>204:477</t>
  </si>
  <si>
    <t>204:233326</t>
  </si>
  <si>
    <t>204:451</t>
  </si>
  <si>
    <t>204:233270</t>
  </si>
  <si>
    <t>204:232963</t>
  </si>
  <si>
    <t>204:232976</t>
  </si>
  <si>
    <t>204:158</t>
  </si>
  <si>
    <t>204:232974</t>
  </si>
  <si>
    <t>204:247</t>
  </si>
  <si>
    <t>204:233304</t>
  </si>
  <si>
    <t>204:471</t>
  </si>
  <si>
    <t>204:189</t>
  </si>
  <si>
    <t>204:464</t>
  </si>
  <si>
    <t>204:559</t>
  </si>
  <si>
    <t>204:233312</t>
  </si>
  <si>
    <t>204:233295</t>
  </si>
  <si>
    <t>204:232983</t>
  </si>
  <si>
    <t>204:2178</t>
  </si>
  <si>
    <t>N</t>
  </si>
  <si>
    <t>Early Arrival</t>
  </si>
  <si>
    <t>Y</t>
  </si>
  <si>
    <t>Overspeed / Potential Overspeed</t>
  </si>
  <si>
    <t>End of authority</t>
  </si>
  <si>
    <t>No cut out at end of run</t>
  </si>
  <si>
    <t>Wi-MAX outage</t>
  </si>
  <si>
    <t>Initialized too close to signal</t>
  </si>
  <si>
    <t>Routing @ 40th</t>
  </si>
  <si>
    <t>Onboard - DID NOT CONVERGE Fault</t>
  </si>
  <si>
    <t>Train initialized too close to signal</t>
  </si>
  <si>
    <t>Closed</t>
  </si>
  <si>
    <t>Issues clearing Pena 2N</t>
  </si>
  <si>
    <t>Dispatcher training - erroneous data entry for this trip, had to run in ATC</t>
  </si>
  <si>
    <t>Slow trip - routing @ Pena. Otherwise no issues.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</si>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</sst>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0" fontId="8" fillId="4" borderId="17" xfId="2" applyFont="1" applyFill="1" applyBorder="1" applyAlignment="1">
      <alignment horizontal="center"/>
    </xf>
    <xf numFmtId="0" fontId="8" fillId="0" borderId="18" xfId="2" applyFont="1" applyFill="1" applyBorder="1" applyAlignment="1">
      <alignment wrapText="1"/>
    </xf>
    <xf numFmtId="0" fontId="8" fillId="0" borderId="18" xfId="2" applyFont="1" applyFill="1" applyBorder="1" applyAlignment="1">
      <alignment horizontal="right" wrapText="1"/>
    </xf>
  </cellXfs>
  <cellStyles count="3">
    <cellStyle name="Normal" xfId="0" builtinId="0"/>
    <cellStyle name="Normal_XINGS" xfId="2"/>
    <cellStyle name="Percent" xfId="1" builtinId="5"/>
  </cellStyles>
  <dxfs count="15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4"/>
  <sheetViews>
    <sheetView showGridLines="0" topLeftCell="A136" zoomScale="85" zoomScaleNormal="85" workbookViewId="0">
      <selection activeCell="S136" sqref="S1:V1048576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5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1.85546875" customWidth="1"/>
    <col min="18" max="18" width="69.28515625" bestFit="1" customWidth="1"/>
    <col min="19" max="19" width="13.28515625" style="65" customWidth="1"/>
    <col min="20" max="20" width="11.28515625" style="65" customWidth="1"/>
    <col min="21" max="21" width="11" style="65" customWidth="1"/>
    <col min="22" max="22" width="4.28515625" customWidth="1"/>
    <col min="23" max="23" width="6.7109375" style="56" customWidth="1"/>
    <col min="24" max="25" width="10.140625" style="56" customWidth="1"/>
    <col min="26" max="28" width="9.140625" style="56"/>
    <col min="29" max="29" width="9.140625" style="57"/>
    <col min="30" max="30" width="17.85546875" style="57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- 2016-05-03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6" t="s">
        <v>0</v>
      </c>
      <c r="B2" s="47" t="s">
        <v>46</v>
      </c>
      <c r="C2" s="47" t="s">
        <v>26</v>
      </c>
      <c r="D2" s="47" t="s">
        <v>1</v>
      </c>
      <c r="E2" s="48" t="s">
        <v>2</v>
      </c>
      <c r="F2" s="48" t="s">
        <v>3</v>
      </c>
      <c r="G2" s="49" t="s">
        <v>4</v>
      </c>
      <c r="H2" s="48" t="s">
        <v>5</v>
      </c>
      <c r="I2" s="48" t="s">
        <v>6</v>
      </c>
      <c r="J2" s="47" t="s">
        <v>7</v>
      </c>
      <c r="K2" s="47" t="s">
        <v>49</v>
      </c>
      <c r="L2" s="47" t="s">
        <v>122</v>
      </c>
      <c r="M2" s="50" t="s">
        <v>8</v>
      </c>
      <c r="N2" s="47" t="s">
        <v>43</v>
      </c>
      <c r="O2" s="51" t="s">
        <v>44</v>
      </c>
      <c r="P2" s="51" t="s">
        <v>18</v>
      </c>
      <c r="Q2" s="52" t="s">
        <v>121</v>
      </c>
      <c r="R2" s="52" t="s">
        <v>24</v>
      </c>
      <c r="S2" s="52" t="s">
        <v>622</v>
      </c>
      <c r="T2" s="10" t="s">
        <v>623</v>
      </c>
      <c r="U2" s="10" t="s">
        <v>624</v>
      </c>
      <c r="V2" s="10"/>
      <c r="W2" s="58" t="s">
        <v>47</v>
      </c>
      <c r="X2" s="58" t="s">
        <v>23</v>
      </c>
      <c r="Y2" s="58" t="s">
        <v>281</v>
      </c>
      <c r="Z2" s="58" t="s">
        <v>20</v>
      </c>
      <c r="AA2" s="58" t="s">
        <v>21</v>
      </c>
      <c r="AB2" s="58" t="s">
        <v>22</v>
      </c>
      <c r="AC2" s="59" t="s">
        <v>41</v>
      </c>
      <c r="AD2" s="59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6" t="s">
        <v>236</v>
      </c>
      <c r="B3" s="66">
        <v>4027</v>
      </c>
      <c r="C3" s="66" t="s">
        <v>448</v>
      </c>
      <c r="D3" s="66" t="s">
        <v>449</v>
      </c>
      <c r="E3" s="30">
        <v>42493.124918981484</v>
      </c>
      <c r="F3" s="30">
        <v>42493.135648148149</v>
      </c>
      <c r="G3" s="38">
        <v>2</v>
      </c>
      <c r="H3" s="30" t="s">
        <v>450</v>
      </c>
      <c r="I3" s="30">
        <v>42493.161886574075</v>
      </c>
      <c r="J3" s="66">
        <v>0</v>
      </c>
      <c r="K3" s="66" t="str">
        <f t="shared" ref="K3:K34" si="0">IF(ISEVEN(B3),(B3-1)&amp;"/"&amp;B3,B3&amp;"/"&amp;(B3+1))</f>
        <v>4027/4028</v>
      </c>
      <c r="L3" s="66" t="str">
        <f>VLOOKUP(A3,'Trips&amp;Operators'!$C$1:$E$9999,3,FALSE)</f>
        <v>BRUDER</v>
      </c>
      <c r="M3" s="12">
        <f t="shared" ref="M3:M34" si="1">I3-F3</f>
        <v>2.6238425925839692E-2</v>
      </c>
      <c r="N3" s="13">
        <f t="shared" ref="N3:P66" si="2">$M3*24*60</f>
        <v>37.783333333209157</v>
      </c>
      <c r="O3" s="13"/>
      <c r="P3" s="13"/>
      <c r="Q3" s="67"/>
      <c r="R3" s="53"/>
      <c r="S3" s="87">
        <f>SUM(U3:U3)/12</f>
        <v>1</v>
      </c>
      <c r="T3" s="2" t="str">
        <f>IF(ISEVEN(LEFT(A3,3)),"Southbound","NorthBound")</f>
        <v>NorthBound</v>
      </c>
      <c r="U3" s="74">
        <f>COUNTIFS([2]Variables!$M$2:$M$19,IF(T3="NorthBound","&gt;=","&lt;=")&amp;Z3,[2]Variables!$M$2:$M$19,IF(T3="NorthBound","&lt;=","&gt;=")&amp;AA3)</f>
        <v>12</v>
      </c>
      <c r="W3" s="60" t="str">
        <f t="shared" ref="W3:W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https://search-rtdc-monitor-bjffxe2xuh6vdkpspy63sjmuny.us-east-1.es.amazonaws.com/_plugin/kibana/#/discover/Steve-Slow-Train-Analysis-(2080s-and-2083s)?_g=(refreshInterval:(display:Off,section:0,value:0),time:(from:'2016-05-03 02:58:53-0600',mode:absolute,to:'2016-05-03 03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" s="60" t="str">
        <f t="shared" ref="X3:X34" si="4">IF(AB3&lt;23,"Y","N")</f>
        <v>N</v>
      </c>
      <c r="Y3" s="60"/>
      <c r="Z3" s="60">
        <f t="shared" ref="Z3:Z34" si="5">RIGHT(D3,LEN(D3)-4)/10000</f>
        <v>7.6499999999999999E-2</v>
      </c>
      <c r="AA3" s="60">
        <f t="shared" ref="AA3:AA34" si="6">RIGHT(H3,LEN(H3)-4)/10000</f>
        <v>23.330200000000001</v>
      </c>
      <c r="AB3" s="60">
        <f t="shared" ref="AB3:AB34" si="7">ABS(AA3-Z3)</f>
        <v>23.253700000000002</v>
      </c>
      <c r="AC3" s="61" t="e">
        <f>VLOOKUP(A3,Enforcements!$C$3:$J$40,8,0)</f>
        <v>#N/A</v>
      </c>
      <c r="AD3" s="61" t="e">
        <f>VLOOKUP(A3,Enforcements!$C$3:$J$40,3,0)</f>
        <v>#N/A</v>
      </c>
    </row>
    <row r="4" spans="1:92" s="2" customFormat="1" x14ac:dyDescent="0.25">
      <c r="A4" s="66" t="s">
        <v>221</v>
      </c>
      <c r="B4" s="66">
        <v>4013</v>
      </c>
      <c r="C4" s="66" t="s">
        <v>448</v>
      </c>
      <c r="D4" s="66" t="s">
        <v>451</v>
      </c>
      <c r="E4" s="30">
        <v>42493.16847222222</v>
      </c>
      <c r="F4" s="30">
        <v>42493.174432870372</v>
      </c>
      <c r="G4" s="38">
        <v>2</v>
      </c>
      <c r="H4" s="30" t="s">
        <v>452</v>
      </c>
      <c r="I4" s="30">
        <v>42493.206446759257</v>
      </c>
      <c r="J4" s="66">
        <v>0</v>
      </c>
      <c r="K4" s="66" t="str">
        <f t="shared" si="0"/>
        <v>4013/4014</v>
      </c>
      <c r="L4" s="66" t="str">
        <f>VLOOKUP(A4,'Trips&amp;Operators'!$C$1:$E$9999,3,FALSE)</f>
        <v>BRUDER</v>
      </c>
      <c r="M4" s="12">
        <f t="shared" si="1"/>
        <v>3.2013888885558117E-2</v>
      </c>
      <c r="N4" s="13">
        <f t="shared" si="2"/>
        <v>46.099999995203689</v>
      </c>
      <c r="O4" s="13"/>
      <c r="P4" s="13"/>
      <c r="Q4" s="67"/>
      <c r="R4" s="67"/>
      <c r="S4" s="87">
        <f t="shared" ref="S4:S67" si="8">SUM(U4:U4)/12</f>
        <v>1</v>
      </c>
      <c r="T4" s="2" t="str">
        <f t="shared" ref="T4:T67" si="9">IF(ISEVEN(LEFT(A4,3)),"Southbound","NorthBound")</f>
        <v>Southbound</v>
      </c>
      <c r="U4" s="74">
        <f>COUNTIFS([2]Variables!$M$2:$M$19,IF(T4="NorthBound","&gt;=","&lt;=")&amp;Z4,[2]Variables!$M$2:$M$19,IF(T4="NorthBound","&lt;=","&gt;=")&amp;AA4)</f>
        <v>12</v>
      </c>
      <c r="W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04:01:36-0600',mode:absolute,to:'2016-05-03 04:58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" s="60" t="str">
        <f t="shared" si="4"/>
        <v>N</v>
      </c>
      <c r="Y4" s="60">
        <f>VALUE(LEFT(A4,3))-VALUE(LEFT(A3,3))</f>
        <v>1</v>
      </c>
      <c r="Z4" s="60">
        <f t="shared" si="5"/>
        <v>23.267199999999999</v>
      </c>
      <c r="AA4" s="60">
        <f t="shared" si="6"/>
        <v>1.29E-2</v>
      </c>
      <c r="AB4" s="60">
        <f t="shared" si="7"/>
        <v>23.254300000000001</v>
      </c>
      <c r="AC4" s="61" t="e">
        <f>VLOOKUP(A4,Enforcements!$C$3:$J$40,8,0)</f>
        <v>#N/A</v>
      </c>
      <c r="AD4" s="61" t="e">
        <f>VLOOKUP(A4,Enforcements!$C$3:$J$40,3,0)</f>
        <v>#N/A</v>
      </c>
    </row>
    <row r="5" spans="1:92" s="2" customFormat="1" x14ac:dyDescent="0.25">
      <c r="A5" s="66" t="s">
        <v>276</v>
      </c>
      <c r="B5" s="66">
        <v>4024</v>
      </c>
      <c r="C5" s="66" t="s">
        <v>448</v>
      </c>
      <c r="D5" s="66" t="s">
        <v>453</v>
      </c>
      <c r="E5" s="30">
        <v>42493.153738425928</v>
      </c>
      <c r="F5" s="30">
        <v>42493.154965277776</v>
      </c>
      <c r="G5" s="38">
        <v>1</v>
      </c>
      <c r="H5" s="30" t="s">
        <v>454</v>
      </c>
      <c r="I5" s="30">
        <v>42493.184247685182</v>
      </c>
      <c r="J5" s="66">
        <v>1</v>
      </c>
      <c r="K5" s="66" t="str">
        <f t="shared" si="0"/>
        <v>4023/4024</v>
      </c>
      <c r="L5" s="66" t="str">
        <f>VLOOKUP(A5,'Trips&amp;Operators'!$C$1:$E$9999,3,FALSE)</f>
        <v>STARKS</v>
      </c>
      <c r="M5" s="12">
        <f t="shared" si="1"/>
        <v>2.9282407405844424E-2</v>
      </c>
      <c r="N5" s="13">
        <f t="shared" si="2"/>
        <v>42.16666666441597</v>
      </c>
      <c r="O5" s="13"/>
      <c r="P5" s="13"/>
      <c r="Q5" s="67"/>
      <c r="R5" s="67"/>
      <c r="S5" s="87">
        <f t="shared" si="8"/>
        <v>1</v>
      </c>
      <c r="T5" s="2" t="str">
        <f t="shared" si="9"/>
        <v>NorthBound</v>
      </c>
      <c r="U5" s="74">
        <f>COUNTIFS([2]Variables!$M$2:$M$19,IF(T5="NorthBound","&gt;=","&lt;=")&amp;Z5,[2]Variables!$M$2:$M$19,IF(T5="NorthBound","&lt;=","&gt;=")&amp;AA5)</f>
        <v>12</v>
      </c>
      <c r="W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03:40:23-0600',mode:absolute,to:'2016-05-03 04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" s="60" t="str">
        <f t="shared" si="4"/>
        <v>N</v>
      </c>
      <c r="Y5" s="60">
        <f t="shared" ref="Y5:Y68" si="10">VALUE(LEFT(A5,3))-VALUE(LEFT(A4,3))</f>
        <v>1</v>
      </c>
      <c r="Z5" s="60">
        <f t="shared" si="5"/>
        <v>7.3400000000000007E-2</v>
      </c>
      <c r="AA5" s="60">
        <f t="shared" si="6"/>
        <v>23.331700000000001</v>
      </c>
      <c r="AB5" s="60">
        <f t="shared" si="7"/>
        <v>23.258300000000002</v>
      </c>
      <c r="AC5" s="61">
        <f>VLOOKUP(A5,Enforcements!$C$3:$J$40,8,0)</f>
        <v>149694</v>
      </c>
      <c r="AD5" s="61" t="str">
        <f>VLOOKUP(A5,Enforcements!$C$3:$J$40,3,0)</f>
        <v>SIGNAL</v>
      </c>
    </row>
    <row r="6" spans="1:92" s="2" customFormat="1" x14ac:dyDescent="0.25">
      <c r="A6" s="66" t="s">
        <v>239</v>
      </c>
      <c r="B6" s="66">
        <v>4032</v>
      </c>
      <c r="C6" s="66" t="s">
        <v>448</v>
      </c>
      <c r="D6" s="66" t="s">
        <v>455</v>
      </c>
      <c r="E6" s="30">
        <v>42493.194652777776</v>
      </c>
      <c r="F6" s="30">
        <v>42493.19568287037</v>
      </c>
      <c r="G6" s="38">
        <v>1</v>
      </c>
      <c r="H6" s="30" t="s">
        <v>456</v>
      </c>
      <c r="I6" s="30">
        <v>42493.222557870373</v>
      </c>
      <c r="J6" s="66">
        <v>2</v>
      </c>
      <c r="K6" s="66" t="str">
        <f t="shared" si="0"/>
        <v>4031/4032</v>
      </c>
      <c r="L6" s="66" t="str">
        <f>VLOOKUP(A6,'Trips&amp;Operators'!$C$1:$E$9999,3,FALSE)</f>
        <v>STARKS</v>
      </c>
      <c r="M6" s="12">
        <f t="shared" si="1"/>
        <v>2.6875000003201421E-2</v>
      </c>
      <c r="N6" s="13">
        <f t="shared" si="2"/>
        <v>38.700000004610047</v>
      </c>
      <c r="O6" s="13"/>
      <c r="P6" s="13"/>
      <c r="Q6" s="67"/>
      <c r="R6" s="67"/>
      <c r="S6" s="87">
        <f t="shared" si="8"/>
        <v>1</v>
      </c>
      <c r="T6" s="2" t="str">
        <f t="shared" si="9"/>
        <v>Southbound</v>
      </c>
      <c r="U6" s="74">
        <f>COUNTIFS([2]Variables!$M$2:$M$19,IF(T6="NorthBound","&gt;=","&lt;=")&amp;Z6,[2]Variables!$M$2:$M$19,IF(T6="NorthBound","&lt;=","&gt;=")&amp;AA6)</f>
        <v>12</v>
      </c>
      <c r="W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04:39:18-0600',mode:absolute,to:'2016-05-03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" s="60" t="str">
        <f t="shared" si="4"/>
        <v>N</v>
      </c>
      <c r="Y6" s="60">
        <f t="shared" si="10"/>
        <v>1</v>
      </c>
      <c r="Z6" s="60">
        <f t="shared" si="5"/>
        <v>23.266999999999999</v>
      </c>
      <c r="AA6" s="60">
        <f t="shared" si="6"/>
        <v>2.4500000000000001E-2</v>
      </c>
      <c r="AB6" s="60">
        <f t="shared" si="7"/>
        <v>23.2425</v>
      </c>
      <c r="AC6" s="61">
        <f>VLOOKUP(A6,Enforcements!$C$3:$J$40,8,0)</f>
        <v>119716</v>
      </c>
      <c r="AD6" s="61" t="str">
        <f>VLOOKUP(A6,Enforcements!$C$3:$J$40,3,0)</f>
        <v>PERMANENT SPEED RESTRICTION</v>
      </c>
    </row>
    <row r="7" spans="1:92" s="2" customFormat="1" x14ac:dyDescent="0.25">
      <c r="A7" s="66" t="s">
        <v>273</v>
      </c>
      <c r="B7" s="66">
        <v>4038</v>
      </c>
      <c r="C7" s="66" t="s">
        <v>448</v>
      </c>
      <c r="D7" s="66" t="s">
        <v>449</v>
      </c>
      <c r="E7" s="30">
        <v>42493.169560185182</v>
      </c>
      <c r="F7" s="30">
        <v>42493.172175925924</v>
      </c>
      <c r="G7" s="38">
        <v>3</v>
      </c>
      <c r="H7" s="30" t="s">
        <v>457</v>
      </c>
      <c r="I7" s="30">
        <v>42493.203287037039</v>
      </c>
      <c r="J7" s="66">
        <v>0</v>
      </c>
      <c r="K7" s="66" t="str">
        <f t="shared" si="0"/>
        <v>4037/4038</v>
      </c>
      <c r="L7" s="66" t="str">
        <f>VLOOKUP(A7,'Trips&amp;Operators'!$C$1:$E$9999,3,FALSE)</f>
        <v>CHANDLER</v>
      </c>
      <c r="M7" s="12">
        <f t="shared" si="1"/>
        <v>3.1111111115023959E-2</v>
      </c>
      <c r="N7" s="13">
        <f t="shared" si="2"/>
        <v>44.800000005634502</v>
      </c>
      <c r="O7" s="13"/>
      <c r="P7" s="13"/>
      <c r="Q7" s="67"/>
      <c r="R7" s="67"/>
      <c r="S7" s="87">
        <f t="shared" si="8"/>
        <v>1</v>
      </c>
      <c r="T7" s="2" t="str">
        <f t="shared" si="9"/>
        <v>NorthBound</v>
      </c>
      <c r="U7" s="74">
        <f>COUNTIFS([2]Variables!$M$2:$M$19,IF(T7="NorthBound","&gt;=","&lt;=")&amp;Z7,[2]Variables!$M$2:$M$19,IF(T7="NorthBound","&lt;=","&gt;=")&amp;AA7)</f>
        <v>12</v>
      </c>
      <c r="W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04:03:10-0600',mode:absolute,to:'2016-05-03 04:53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" s="60" t="str">
        <f t="shared" si="4"/>
        <v>N</v>
      </c>
      <c r="Y7" s="60">
        <f t="shared" si="10"/>
        <v>1</v>
      </c>
      <c r="Z7" s="60">
        <f t="shared" si="5"/>
        <v>7.6499999999999999E-2</v>
      </c>
      <c r="AA7" s="60">
        <f t="shared" si="6"/>
        <v>23.329799999999999</v>
      </c>
      <c r="AB7" s="60">
        <f t="shared" si="7"/>
        <v>23.253299999999999</v>
      </c>
      <c r="AC7" s="61" t="e">
        <f>VLOOKUP(A7,Enforcements!$C$3:$J$40,8,0)</f>
        <v>#N/A</v>
      </c>
      <c r="AD7" s="61" t="e">
        <f>VLOOKUP(A7,Enforcements!$C$3:$J$40,3,0)</f>
        <v>#N/A</v>
      </c>
    </row>
    <row r="8" spans="1:92" s="2" customFormat="1" x14ac:dyDescent="0.25">
      <c r="A8" s="66" t="s">
        <v>215</v>
      </c>
      <c r="B8" s="66">
        <v>4026</v>
      </c>
      <c r="C8" s="66" t="s">
        <v>448</v>
      </c>
      <c r="D8" s="66" t="s">
        <v>458</v>
      </c>
      <c r="E8" s="30">
        <v>42493.213182870371</v>
      </c>
      <c r="F8" s="30">
        <v>42493.214490740742</v>
      </c>
      <c r="G8" s="38">
        <v>1</v>
      </c>
      <c r="H8" s="30" t="s">
        <v>459</v>
      </c>
      <c r="I8" s="30">
        <v>42493.24119212963</v>
      </c>
      <c r="J8" s="66">
        <v>0</v>
      </c>
      <c r="K8" s="66" t="str">
        <f t="shared" si="0"/>
        <v>4025/4026</v>
      </c>
      <c r="L8" s="66" t="str">
        <f>VLOOKUP(A8,'Trips&amp;Operators'!$C$1:$E$9999,3,FALSE)</f>
        <v>CHANDLER</v>
      </c>
      <c r="M8" s="12">
        <f t="shared" si="1"/>
        <v>2.6701388887886424E-2</v>
      </c>
      <c r="N8" s="13">
        <f t="shared" si="2"/>
        <v>38.44999999855645</v>
      </c>
      <c r="O8" s="13"/>
      <c r="P8" s="13"/>
      <c r="Q8" s="67"/>
      <c r="R8" s="67"/>
      <c r="S8" s="87">
        <f t="shared" si="8"/>
        <v>1</v>
      </c>
      <c r="T8" s="2" t="str">
        <f t="shared" si="9"/>
        <v>Southbound</v>
      </c>
      <c r="U8" s="74">
        <f>COUNTIFS([2]Variables!$M$2:$M$19,IF(T8="NorthBound","&gt;=","&lt;=")&amp;Z8,[2]Variables!$M$2:$M$19,IF(T8="NorthBound","&lt;=","&gt;=")&amp;AA8)</f>
        <v>12</v>
      </c>
      <c r="W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05:05:59-0600',mode:absolute,to:'2016-05-03 05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" s="60" t="str">
        <f t="shared" si="4"/>
        <v>N</v>
      </c>
      <c r="Y8" s="60">
        <f t="shared" si="10"/>
        <v>1</v>
      </c>
      <c r="Z8" s="60">
        <f t="shared" si="5"/>
        <v>23.266200000000001</v>
      </c>
      <c r="AA8" s="60">
        <f t="shared" si="6"/>
        <v>0.17419999999999999</v>
      </c>
      <c r="AB8" s="60">
        <f t="shared" si="7"/>
        <v>23.092000000000002</v>
      </c>
      <c r="AC8" s="61" t="e">
        <f>VLOOKUP(A8,Enforcements!$C$3:$J$40,8,0)</f>
        <v>#N/A</v>
      </c>
      <c r="AD8" s="61" t="e">
        <f>VLOOKUP(A8,Enforcements!$C$3:$J$40,3,0)</f>
        <v>#N/A</v>
      </c>
    </row>
    <row r="9" spans="1:92" s="2" customFormat="1" x14ac:dyDescent="0.25">
      <c r="A9" s="66" t="s">
        <v>237</v>
      </c>
      <c r="B9" s="66">
        <v>4042</v>
      </c>
      <c r="C9" s="66" t="s">
        <v>448</v>
      </c>
      <c r="D9" s="66" t="s">
        <v>460</v>
      </c>
      <c r="E9" s="30">
        <v>42493.181793981479</v>
      </c>
      <c r="F9" s="30">
        <v>42493.182928240742</v>
      </c>
      <c r="G9" s="38">
        <v>1</v>
      </c>
      <c r="H9" s="30" t="s">
        <v>461</v>
      </c>
      <c r="I9" s="30">
        <v>42493.213194444441</v>
      </c>
      <c r="J9" s="66">
        <v>1</v>
      </c>
      <c r="K9" s="66" t="str">
        <f t="shared" si="0"/>
        <v>4041/4042</v>
      </c>
      <c r="L9" s="66" t="str">
        <f>VLOOKUP(A9,'Trips&amp;Operators'!$C$1:$E$9999,3,FALSE)</f>
        <v>DE LA ROSA</v>
      </c>
      <c r="M9" s="12">
        <f t="shared" si="1"/>
        <v>3.0266203699284233E-2</v>
      </c>
      <c r="N9" s="13">
        <f t="shared" si="2"/>
        <v>43.583333326969296</v>
      </c>
      <c r="O9" s="13"/>
      <c r="P9" s="13"/>
      <c r="Q9" s="67"/>
      <c r="R9" s="67"/>
      <c r="S9" s="87">
        <f t="shared" si="8"/>
        <v>1</v>
      </c>
      <c r="T9" s="2" t="str">
        <f t="shared" si="9"/>
        <v>NorthBound</v>
      </c>
      <c r="U9" s="74">
        <f>COUNTIFS([2]Variables!$M$2:$M$19,IF(T9="NorthBound","&gt;=","&lt;=")&amp;Z9,[2]Variables!$M$2:$M$19,IF(T9="NorthBound","&lt;=","&gt;=")&amp;AA9)</f>
        <v>12</v>
      </c>
      <c r="W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04:20:47-0600',mode:absolute,to:'2016-05-03 05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" s="60" t="str">
        <f t="shared" si="4"/>
        <v>N</v>
      </c>
      <c r="Y9" s="60">
        <f t="shared" si="10"/>
        <v>1</v>
      </c>
      <c r="Z9" s="60">
        <f t="shared" si="5"/>
        <v>4.58E-2</v>
      </c>
      <c r="AA9" s="60">
        <f t="shared" si="6"/>
        <v>23.3291</v>
      </c>
      <c r="AB9" s="60">
        <f t="shared" si="7"/>
        <v>23.283300000000001</v>
      </c>
      <c r="AC9" s="61">
        <f>VLOOKUP(A9,Enforcements!$C$3:$J$40,8,0)</f>
        <v>233491</v>
      </c>
      <c r="AD9" s="61" t="str">
        <f>VLOOKUP(A9,Enforcements!$C$3:$J$40,3,0)</f>
        <v>TRACK WARRANT AUTHORITY</v>
      </c>
    </row>
    <row r="10" spans="1:92" s="2" customFormat="1" x14ac:dyDescent="0.25">
      <c r="A10" s="66" t="s">
        <v>241</v>
      </c>
      <c r="B10" s="66">
        <v>4041</v>
      </c>
      <c r="C10" s="66" t="s">
        <v>448</v>
      </c>
      <c r="D10" s="66" t="s">
        <v>462</v>
      </c>
      <c r="E10" s="30">
        <v>42493.217511574076</v>
      </c>
      <c r="F10" s="30">
        <v>42493.218888888892</v>
      </c>
      <c r="G10" s="38">
        <v>1</v>
      </c>
      <c r="H10" s="30" t="s">
        <v>463</v>
      </c>
      <c r="I10" s="30">
        <v>42493.252326388887</v>
      </c>
      <c r="J10" s="66">
        <v>0</v>
      </c>
      <c r="K10" s="66" t="str">
        <f t="shared" si="0"/>
        <v>4041/4042</v>
      </c>
      <c r="L10" s="66" t="str">
        <f>VLOOKUP(A10,'Trips&amp;Operators'!$C$1:$E$9999,3,FALSE)</f>
        <v>DE LA ROSA</v>
      </c>
      <c r="M10" s="12">
        <f t="shared" si="1"/>
        <v>3.3437499994761311E-2</v>
      </c>
      <c r="N10" s="13">
        <f t="shared" si="2"/>
        <v>48.149999992456287</v>
      </c>
      <c r="O10" s="13"/>
      <c r="P10" s="13"/>
      <c r="Q10" s="67"/>
      <c r="R10" s="67"/>
      <c r="S10" s="87">
        <f t="shared" si="8"/>
        <v>1</v>
      </c>
      <c r="T10" s="2" t="str">
        <f t="shared" si="9"/>
        <v>Southbound</v>
      </c>
      <c r="U10" s="74">
        <f>COUNTIFS([2]Variables!$M$2:$M$19,IF(T10="NorthBound","&gt;=","&lt;=")&amp;Z10,[2]Variables!$M$2:$M$19,IF(T10="NorthBound","&lt;=","&gt;=")&amp;AA10)</f>
        <v>12</v>
      </c>
      <c r="W1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05:12:13-0600',mode:absolute,to:'2016-05-03 06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0" s="60" t="str">
        <f t="shared" si="4"/>
        <v>N</v>
      </c>
      <c r="Y10" s="60">
        <f t="shared" si="10"/>
        <v>1</v>
      </c>
      <c r="Z10" s="60">
        <f t="shared" si="5"/>
        <v>23.296500000000002</v>
      </c>
      <c r="AA10" s="60">
        <f t="shared" si="6"/>
        <v>1.38E-2</v>
      </c>
      <c r="AB10" s="60">
        <f t="shared" si="7"/>
        <v>23.282700000000002</v>
      </c>
      <c r="AC10" s="61" t="e">
        <f>VLOOKUP(A10,Enforcements!$C$3:$J$40,8,0)</f>
        <v>#N/A</v>
      </c>
      <c r="AD10" s="61" t="e">
        <f>VLOOKUP(A10,Enforcements!$C$3:$J$40,3,0)</f>
        <v>#N/A</v>
      </c>
    </row>
    <row r="11" spans="1:92" s="2" customFormat="1" x14ac:dyDescent="0.25">
      <c r="A11" s="66" t="s">
        <v>219</v>
      </c>
      <c r="B11" s="66">
        <v>4011</v>
      </c>
      <c r="C11" s="66" t="s">
        <v>448</v>
      </c>
      <c r="D11" s="66" t="s">
        <v>464</v>
      </c>
      <c r="E11" s="30">
        <v>42493.190381944441</v>
      </c>
      <c r="F11" s="30">
        <v>42493.191574074073</v>
      </c>
      <c r="G11" s="38">
        <v>1</v>
      </c>
      <c r="H11" s="30" t="s">
        <v>465</v>
      </c>
      <c r="I11" s="30">
        <v>42493.223506944443</v>
      </c>
      <c r="J11" s="66">
        <v>0</v>
      </c>
      <c r="K11" s="66" t="str">
        <f t="shared" si="0"/>
        <v>4011/4012</v>
      </c>
      <c r="L11" s="66" t="str">
        <f>VLOOKUP(A11,'Trips&amp;Operators'!$C$1:$E$9999,3,FALSE)</f>
        <v>ACKERMAN</v>
      </c>
      <c r="M11" s="12">
        <f t="shared" si="1"/>
        <v>3.1932870369928423E-2</v>
      </c>
      <c r="N11" s="13">
        <f t="shared" si="2"/>
        <v>45.98333333269693</v>
      </c>
      <c r="O11" s="13"/>
      <c r="P11" s="13"/>
      <c r="Q11" s="67"/>
      <c r="R11" s="67"/>
      <c r="S11" s="87">
        <f t="shared" si="8"/>
        <v>1</v>
      </c>
      <c r="T11" s="2" t="str">
        <f t="shared" si="9"/>
        <v>NorthBound</v>
      </c>
      <c r="U11" s="74">
        <f>COUNTIFS([2]Variables!$M$2:$M$19,IF(T11="NorthBound","&gt;=","&lt;=")&amp;Z11,[2]Variables!$M$2:$M$19,IF(T11="NorthBound","&lt;=","&gt;=")&amp;AA11)</f>
        <v>12</v>
      </c>
      <c r="W1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04:33:09-0600',mode:absolute,to:'2016-05-03 05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" s="60" t="str">
        <f t="shared" si="4"/>
        <v>N</v>
      </c>
      <c r="Y11" s="60">
        <f t="shared" si="10"/>
        <v>1</v>
      </c>
      <c r="Z11" s="60">
        <f t="shared" si="5"/>
        <v>4.3499999999999997E-2</v>
      </c>
      <c r="AA11" s="60">
        <f t="shared" si="6"/>
        <v>23.3293</v>
      </c>
      <c r="AB11" s="60">
        <f t="shared" si="7"/>
        <v>23.285799999999998</v>
      </c>
      <c r="AC11" s="61" t="e">
        <f>VLOOKUP(A11,Enforcements!$C$3:$J$40,8,0)</f>
        <v>#N/A</v>
      </c>
      <c r="AD11" s="61" t="e">
        <f>VLOOKUP(A11,Enforcements!$C$3:$J$40,3,0)</f>
        <v>#N/A</v>
      </c>
    </row>
    <row r="12" spans="1:92" s="2" customFormat="1" x14ac:dyDescent="0.25">
      <c r="A12" s="66" t="s">
        <v>279</v>
      </c>
      <c r="B12" s="66">
        <v>4012</v>
      </c>
      <c r="C12" s="66" t="s">
        <v>448</v>
      </c>
      <c r="D12" s="66" t="s">
        <v>466</v>
      </c>
      <c r="E12" s="30">
        <v>42493.231805555559</v>
      </c>
      <c r="F12" s="30">
        <v>42493.232997685183</v>
      </c>
      <c r="G12" s="38">
        <v>1</v>
      </c>
      <c r="H12" s="30" t="s">
        <v>467</v>
      </c>
      <c r="I12" s="30">
        <v>42493.262870370374</v>
      </c>
      <c r="J12" s="66">
        <v>0</v>
      </c>
      <c r="K12" s="66" t="str">
        <f t="shared" si="0"/>
        <v>4011/4012</v>
      </c>
      <c r="L12" s="66" t="str">
        <f>VLOOKUP(A12,'Trips&amp;Operators'!$C$1:$E$9999,3,FALSE)</f>
        <v>ACKERMAN</v>
      </c>
      <c r="M12" s="12">
        <f t="shared" si="1"/>
        <v>2.9872685190639459E-2</v>
      </c>
      <c r="N12" s="13">
        <f t="shared" si="2"/>
        <v>43.01666667452082</v>
      </c>
      <c r="O12" s="13"/>
      <c r="P12" s="13"/>
      <c r="Q12" s="67"/>
      <c r="R12" s="67"/>
      <c r="S12" s="87">
        <f t="shared" si="8"/>
        <v>1</v>
      </c>
      <c r="T12" s="2" t="str">
        <f t="shared" si="9"/>
        <v>Southbound</v>
      </c>
      <c r="U12" s="74">
        <f>COUNTIFS([2]Variables!$M$2:$M$19,IF(T12="NorthBound","&gt;=","&lt;=")&amp;Z12,[2]Variables!$M$2:$M$19,IF(T12="NorthBound","&lt;=","&gt;=")&amp;AA12)</f>
        <v>12</v>
      </c>
      <c r="W1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05:32:48-0600',mode:absolute,to:'2016-05-03 06:19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" s="60" t="str">
        <f t="shared" si="4"/>
        <v>N</v>
      </c>
      <c r="Y12" s="60">
        <f t="shared" si="10"/>
        <v>1</v>
      </c>
      <c r="Z12" s="60">
        <f t="shared" si="5"/>
        <v>23.2987</v>
      </c>
      <c r="AA12" s="60">
        <f t="shared" si="6"/>
        <v>1.52E-2</v>
      </c>
      <c r="AB12" s="60">
        <f t="shared" si="7"/>
        <v>23.2835</v>
      </c>
      <c r="AC12" s="61" t="e">
        <f>VLOOKUP(A12,Enforcements!$C$3:$J$40,8,0)</f>
        <v>#N/A</v>
      </c>
      <c r="AD12" s="61" t="e">
        <f>VLOOKUP(A12,Enforcements!$C$3:$J$40,3,0)</f>
        <v>#N/A</v>
      </c>
    </row>
    <row r="13" spans="1:92" s="2" customFormat="1" x14ac:dyDescent="0.25">
      <c r="A13" s="66" t="s">
        <v>217</v>
      </c>
      <c r="B13" s="66">
        <v>4027</v>
      </c>
      <c r="C13" s="66" t="s">
        <v>448</v>
      </c>
      <c r="D13" s="66" t="s">
        <v>468</v>
      </c>
      <c r="E13" s="30">
        <v>42493.208344907405</v>
      </c>
      <c r="F13" s="30">
        <v>42493.209629629629</v>
      </c>
      <c r="G13" s="38">
        <v>1</v>
      </c>
      <c r="H13" s="30" t="s">
        <v>469</v>
      </c>
      <c r="I13" s="30">
        <v>42493.235034722224</v>
      </c>
      <c r="J13" s="66">
        <v>0</v>
      </c>
      <c r="K13" s="66" t="str">
        <f t="shared" si="0"/>
        <v>4027/4028</v>
      </c>
      <c r="L13" s="66" t="str">
        <f>VLOOKUP(A13,'Trips&amp;Operators'!$C$1:$E$9999,3,FALSE)</f>
        <v>NEWELL</v>
      </c>
      <c r="M13" s="12">
        <f t="shared" si="1"/>
        <v>2.5405092594155576E-2</v>
      </c>
      <c r="N13" s="13">
        <f t="shared" si="2"/>
        <v>36.58333333558403</v>
      </c>
      <c r="O13" s="13"/>
      <c r="P13" s="13"/>
      <c r="Q13" s="67"/>
      <c r="R13" s="67"/>
      <c r="S13" s="87">
        <f t="shared" si="8"/>
        <v>1</v>
      </c>
      <c r="T13" s="2" t="str">
        <f t="shared" si="9"/>
        <v>NorthBound</v>
      </c>
      <c r="U13" s="74">
        <f>COUNTIFS([2]Variables!$M$2:$M$19,IF(T13="NorthBound","&gt;=","&lt;=")&amp;Z13,[2]Variables!$M$2:$M$19,IF(T13="NorthBound","&lt;=","&gt;=")&amp;AA13)</f>
        <v>12</v>
      </c>
      <c r="W1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04:59:01-0600',mode:absolute,to:'2016-05-03 05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3" s="60" t="str">
        <f t="shared" si="4"/>
        <v>N</v>
      </c>
      <c r="Y13" s="60">
        <f t="shared" si="10"/>
        <v>1</v>
      </c>
      <c r="Z13" s="60">
        <f t="shared" si="5"/>
        <v>7.6300000000000007E-2</v>
      </c>
      <c r="AA13" s="60">
        <f t="shared" si="6"/>
        <v>23.327400000000001</v>
      </c>
      <c r="AB13" s="60">
        <f t="shared" si="7"/>
        <v>23.251100000000001</v>
      </c>
      <c r="AC13" s="61" t="e">
        <f>VLOOKUP(A13,Enforcements!$C$3:$J$40,8,0)</f>
        <v>#N/A</v>
      </c>
      <c r="AD13" s="61" t="e">
        <f>VLOOKUP(A13,Enforcements!$C$3:$J$40,3,0)</f>
        <v>#N/A</v>
      </c>
    </row>
    <row r="14" spans="1:92" s="2" customFormat="1" x14ac:dyDescent="0.25">
      <c r="A14" s="66" t="s">
        <v>280</v>
      </c>
      <c r="B14" s="66">
        <v>4028</v>
      </c>
      <c r="C14" s="66" t="s">
        <v>448</v>
      </c>
      <c r="D14" s="66" t="s">
        <v>470</v>
      </c>
      <c r="E14" s="30">
        <v>42493.242361111108</v>
      </c>
      <c r="F14" s="30">
        <v>42493.243726851855</v>
      </c>
      <c r="G14" s="38">
        <v>1</v>
      </c>
      <c r="H14" s="30" t="s">
        <v>471</v>
      </c>
      <c r="I14" s="30">
        <v>42493.275706018518</v>
      </c>
      <c r="J14" s="66">
        <v>0</v>
      </c>
      <c r="K14" s="66" t="str">
        <f t="shared" si="0"/>
        <v>4027/4028</v>
      </c>
      <c r="L14" s="66" t="str">
        <f>VLOOKUP(A14,'Trips&amp;Operators'!$C$1:$E$9999,3,FALSE)</f>
        <v>NEWELL</v>
      </c>
      <c r="M14" s="12">
        <f t="shared" si="1"/>
        <v>3.1979166662495118E-2</v>
      </c>
      <c r="N14" s="13">
        <f t="shared" si="2"/>
        <v>46.049999993992969</v>
      </c>
      <c r="O14" s="13"/>
      <c r="P14" s="13"/>
      <c r="Q14" s="67"/>
      <c r="R14" s="67"/>
      <c r="S14" s="87">
        <f t="shared" si="8"/>
        <v>1</v>
      </c>
      <c r="T14" s="2" t="str">
        <f t="shared" si="9"/>
        <v>Southbound</v>
      </c>
      <c r="U14" s="74">
        <f>COUNTIFS([2]Variables!$M$2:$M$19,IF(T14="NorthBound","&gt;=","&lt;=")&amp;Z14,[2]Variables!$M$2:$M$19,IF(T14="NorthBound","&lt;=","&gt;=")&amp;AA14)</f>
        <v>12</v>
      </c>
      <c r="W1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05:48:00-0600',mode:absolute,to:'2016-05-03 06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4" s="60" t="str">
        <f t="shared" si="4"/>
        <v>N</v>
      </c>
      <c r="Y14" s="60">
        <f t="shared" si="10"/>
        <v>1</v>
      </c>
      <c r="Z14" s="60">
        <f t="shared" si="5"/>
        <v>23.298200000000001</v>
      </c>
      <c r="AA14" s="60">
        <f t="shared" si="6"/>
        <v>1.5599999999999999E-2</v>
      </c>
      <c r="AB14" s="60">
        <f t="shared" si="7"/>
        <v>23.282600000000002</v>
      </c>
      <c r="AC14" s="61" t="e">
        <f>VLOOKUP(A14,Enforcements!$C$3:$J$40,8,0)</f>
        <v>#N/A</v>
      </c>
      <c r="AD14" s="61" t="e">
        <f>VLOOKUP(A14,Enforcements!$C$3:$J$40,3,0)</f>
        <v>#N/A</v>
      </c>
    </row>
    <row r="15" spans="1:92" s="2" customFormat="1" x14ac:dyDescent="0.25">
      <c r="A15" s="66" t="s">
        <v>277</v>
      </c>
      <c r="B15" s="66">
        <v>4014</v>
      </c>
      <c r="C15" s="66" t="s">
        <v>448</v>
      </c>
      <c r="D15" s="66" t="s">
        <v>472</v>
      </c>
      <c r="E15" s="30">
        <v>42493.209513888891</v>
      </c>
      <c r="F15" s="30">
        <v>42493.210949074077</v>
      </c>
      <c r="G15" s="38">
        <v>2</v>
      </c>
      <c r="H15" s="30" t="s">
        <v>473</v>
      </c>
      <c r="I15" s="30">
        <v>42493.244421296295</v>
      </c>
      <c r="J15" s="66">
        <v>0</v>
      </c>
      <c r="K15" s="66" t="str">
        <f t="shared" si="0"/>
        <v>4013/4014</v>
      </c>
      <c r="L15" s="66" t="str">
        <f>VLOOKUP(A15,'Trips&amp;Operators'!$C$1:$E$9999,3,FALSE)</f>
        <v>BRUDER</v>
      </c>
      <c r="M15" s="12">
        <f t="shared" si="1"/>
        <v>3.347222221782431E-2</v>
      </c>
      <c r="N15" s="13">
        <f t="shared" si="2"/>
        <v>48.199999993667006</v>
      </c>
      <c r="O15" s="13"/>
      <c r="P15" s="13"/>
      <c r="Q15" s="67"/>
      <c r="R15" s="67"/>
      <c r="S15" s="87">
        <f t="shared" si="8"/>
        <v>1</v>
      </c>
      <c r="T15" s="2" t="str">
        <f t="shared" si="9"/>
        <v>NorthBound</v>
      </c>
      <c r="U15" s="74">
        <f>COUNTIFS([2]Variables!$M$2:$M$19,IF(T15="NorthBound","&gt;=","&lt;=")&amp;Z15,[2]Variables!$M$2:$M$19,IF(T15="NorthBound","&lt;=","&gt;=")&amp;AA15)</f>
        <v>12</v>
      </c>
      <c r="W1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05:00:42-0600',mode:absolute,to:'2016-05-03 05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5" s="60" t="str">
        <f t="shared" si="4"/>
        <v>N</v>
      </c>
      <c r="Y15" s="60">
        <f t="shared" si="10"/>
        <v>1</v>
      </c>
      <c r="Z15" s="60">
        <f t="shared" si="5"/>
        <v>4.4200000000000003E-2</v>
      </c>
      <c r="AA15" s="60">
        <f t="shared" si="6"/>
        <v>23.3306</v>
      </c>
      <c r="AB15" s="60">
        <f t="shared" si="7"/>
        <v>23.2864</v>
      </c>
      <c r="AC15" s="61" t="e">
        <f>VLOOKUP(A15,Enforcements!$C$3:$J$40,8,0)</f>
        <v>#N/A</v>
      </c>
      <c r="AD15" s="61" t="e">
        <f>VLOOKUP(A15,Enforcements!$C$3:$J$40,3,0)</f>
        <v>#N/A</v>
      </c>
    </row>
    <row r="16" spans="1:92" s="2" customFormat="1" x14ac:dyDescent="0.25">
      <c r="A16" s="66" t="s">
        <v>254</v>
      </c>
      <c r="B16" s="66">
        <v>4013</v>
      </c>
      <c r="C16" s="66" t="s">
        <v>448</v>
      </c>
      <c r="D16" s="66" t="s">
        <v>474</v>
      </c>
      <c r="E16" s="30">
        <v>42493.249351851853</v>
      </c>
      <c r="F16" s="30">
        <v>42493.250243055554</v>
      </c>
      <c r="G16" s="38">
        <v>1</v>
      </c>
      <c r="H16" s="30" t="s">
        <v>463</v>
      </c>
      <c r="I16" s="30">
        <v>42493.283842592595</v>
      </c>
      <c r="J16" s="66">
        <v>0</v>
      </c>
      <c r="K16" s="66" t="str">
        <f t="shared" si="0"/>
        <v>4013/4014</v>
      </c>
      <c r="L16" s="66" t="str">
        <f>VLOOKUP(A16,'Trips&amp;Operators'!$C$1:$E$9999,3,FALSE)</f>
        <v>BRUDER</v>
      </c>
      <c r="M16" s="12">
        <f t="shared" si="1"/>
        <v>3.3599537040572613E-2</v>
      </c>
      <c r="N16" s="13">
        <f t="shared" si="2"/>
        <v>48.383333338424563</v>
      </c>
      <c r="O16" s="13"/>
      <c r="P16" s="13"/>
      <c r="Q16" s="67"/>
      <c r="R16" s="67"/>
      <c r="S16" s="87">
        <f t="shared" si="8"/>
        <v>1</v>
      </c>
      <c r="T16" s="2" t="str">
        <f t="shared" si="9"/>
        <v>Southbound</v>
      </c>
      <c r="U16" s="74">
        <f>COUNTIFS([2]Variables!$M$2:$M$19,IF(T16="NorthBound","&gt;=","&lt;=")&amp;Z16,[2]Variables!$M$2:$M$19,IF(T16="NorthBound","&lt;=","&gt;=")&amp;AA16)</f>
        <v>12</v>
      </c>
      <c r="W1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05:58:04-0600',mode:absolute,to:'2016-05-03 06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6" s="60" t="str">
        <f t="shared" si="4"/>
        <v>N</v>
      </c>
      <c r="Y16" s="60">
        <f t="shared" si="10"/>
        <v>1</v>
      </c>
      <c r="Z16" s="60">
        <f t="shared" si="5"/>
        <v>23.2989</v>
      </c>
      <c r="AA16" s="60">
        <f t="shared" si="6"/>
        <v>1.38E-2</v>
      </c>
      <c r="AB16" s="60">
        <f t="shared" si="7"/>
        <v>23.2851</v>
      </c>
      <c r="AC16" s="61" t="e">
        <f>VLOOKUP(A16,Enforcements!$C$3:$J$40,8,0)</f>
        <v>#N/A</v>
      </c>
      <c r="AD16" s="61" t="e">
        <f>VLOOKUP(A16,Enforcements!$C$3:$J$40,3,0)</f>
        <v>#N/A</v>
      </c>
    </row>
    <row r="17" spans="1:30" s="2" customFormat="1" x14ac:dyDescent="0.25">
      <c r="A17" s="66" t="s">
        <v>214</v>
      </c>
      <c r="B17" s="66">
        <v>4024</v>
      </c>
      <c r="C17" s="66" t="s">
        <v>448</v>
      </c>
      <c r="D17" s="66" t="s">
        <v>475</v>
      </c>
      <c r="E17" s="30">
        <v>42493.229664351849</v>
      </c>
      <c r="F17" s="30">
        <v>42493.230740740742</v>
      </c>
      <c r="G17" s="38">
        <v>1</v>
      </c>
      <c r="H17" s="30" t="s">
        <v>476</v>
      </c>
      <c r="I17" s="30">
        <v>42493.256597222222</v>
      </c>
      <c r="J17" s="66">
        <v>1</v>
      </c>
      <c r="K17" s="66" t="str">
        <f t="shared" si="0"/>
        <v>4023/4024</v>
      </c>
      <c r="L17" s="66" t="str">
        <f>VLOOKUP(A17,'Trips&amp;Operators'!$C$1:$E$9999,3,FALSE)</f>
        <v>SPECTOR</v>
      </c>
      <c r="M17" s="12">
        <f t="shared" si="1"/>
        <v>2.5856481479422655E-2</v>
      </c>
      <c r="N17" s="13">
        <f t="shared" si="2"/>
        <v>37.233333330368623</v>
      </c>
      <c r="O17" s="13"/>
      <c r="P17" s="13"/>
      <c r="Q17" s="67"/>
      <c r="R17" s="67"/>
      <c r="S17" s="87">
        <f t="shared" si="8"/>
        <v>1</v>
      </c>
      <c r="T17" s="2" t="str">
        <f t="shared" si="9"/>
        <v>NorthBound</v>
      </c>
      <c r="U17" s="74">
        <f>COUNTIFS([2]Variables!$M$2:$M$19,IF(T17="NorthBound","&gt;=","&lt;=")&amp;Z17,[2]Variables!$M$2:$M$19,IF(T17="NorthBound","&lt;=","&gt;=")&amp;AA17)</f>
        <v>12</v>
      </c>
      <c r="W1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05:29:43-0600',mode:absolute,to:'2016-05-03 06:10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7" s="60" t="str">
        <f t="shared" si="4"/>
        <v>N</v>
      </c>
      <c r="Y17" s="60">
        <f t="shared" si="10"/>
        <v>1</v>
      </c>
      <c r="Z17" s="60">
        <f t="shared" si="5"/>
        <v>9.5600000000000004E-2</v>
      </c>
      <c r="AA17" s="60">
        <f t="shared" si="6"/>
        <v>23.329899999999999</v>
      </c>
      <c r="AB17" s="60">
        <f t="shared" si="7"/>
        <v>23.234299999999998</v>
      </c>
      <c r="AC17" s="61">
        <f>VLOOKUP(A17,Enforcements!$C$3:$J$40,8,0)</f>
        <v>224578</v>
      </c>
      <c r="AD17" s="61" t="str">
        <f>VLOOKUP(A17,Enforcements!$C$3:$J$40,3,0)</f>
        <v>PERMANENT SPEED RESTRICTION</v>
      </c>
    </row>
    <row r="18" spans="1:30" s="2" customFormat="1" x14ac:dyDescent="0.25">
      <c r="A18" s="66" t="s">
        <v>251</v>
      </c>
      <c r="B18" s="66">
        <v>4023</v>
      </c>
      <c r="C18" s="66" t="s">
        <v>448</v>
      </c>
      <c r="D18" s="66" t="s">
        <v>477</v>
      </c>
      <c r="E18" s="30">
        <v>42493.263391203705</v>
      </c>
      <c r="F18" s="30">
        <v>42493.264525462961</v>
      </c>
      <c r="G18" s="38">
        <v>1</v>
      </c>
      <c r="H18" s="30" t="s">
        <v>478</v>
      </c>
      <c r="I18" s="30">
        <v>42493.293900462966</v>
      </c>
      <c r="J18" s="66">
        <v>1</v>
      </c>
      <c r="K18" s="66" t="str">
        <f t="shared" si="0"/>
        <v>4023/4024</v>
      </c>
      <c r="L18" s="66" t="str">
        <f>VLOOKUP(A18,'Trips&amp;Operators'!$C$1:$E$9999,3,FALSE)</f>
        <v>SPECTOR</v>
      </c>
      <c r="M18" s="12">
        <f t="shared" si="1"/>
        <v>2.9375000005529728E-2</v>
      </c>
      <c r="N18" s="13">
        <f t="shared" si="2"/>
        <v>42.300000007962808</v>
      </c>
      <c r="O18" s="13"/>
      <c r="P18" s="13"/>
      <c r="Q18" s="67"/>
      <c r="R18" s="67"/>
      <c r="S18" s="87">
        <f t="shared" si="8"/>
        <v>1</v>
      </c>
      <c r="T18" s="2" t="str">
        <f t="shared" si="9"/>
        <v>Southbound</v>
      </c>
      <c r="U18" s="74">
        <f>COUNTIFS([2]Variables!$M$2:$M$19,IF(T18="NorthBound","&gt;=","&lt;=")&amp;Z18,[2]Variables!$M$2:$M$19,IF(T18="NorthBound","&lt;=","&gt;=")&amp;AA18)</f>
        <v>12</v>
      </c>
      <c r="W1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06:18:17-0600',mode:absolute,to:'2016-05-03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8" s="60" t="str">
        <f t="shared" si="4"/>
        <v>N</v>
      </c>
      <c r="Y18" s="60">
        <f t="shared" si="10"/>
        <v>1</v>
      </c>
      <c r="Z18" s="60">
        <f t="shared" si="5"/>
        <v>23.299199999999999</v>
      </c>
      <c r="AA18" s="60">
        <f t="shared" si="6"/>
        <v>1.47E-2</v>
      </c>
      <c r="AB18" s="60">
        <f t="shared" si="7"/>
        <v>23.284499999999998</v>
      </c>
      <c r="AC18" s="61">
        <f>VLOOKUP(A18,Enforcements!$C$3:$J$40,8,0)</f>
        <v>4677</v>
      </c>
      <c r="AD18" s="61" t="str">
        <f>VLOOKUP(A18,Enforcements!$C$3:$J$40,3,0)</f>
        <v>PERMANENT SPEED RESTRICTION</v>
      </c>
    </row>
    <row r="19" spans="1:30" s="2" customFormat="1" x14ac:dyDescent="0.25">
      <c r="A19" s="66" t="s">
        <v>246</v>
      </c>
      <c r="B19" s="66">
        <v>4031</v>
      </c>
      <c r="C19" s="66" t="s">
        <v>448</v>
      </c>
      <c r="D19" s="66" t="s">
        <v>479</v>
      </c>
      <c r="E19" s="30">
        <v>42493.244027777779</v>
      </c>
      <c r="F19" s="30">
        <v>42493.244768518518</v>
      </c>
      <c r="G19" s="38">
        <v>1</v>
      </c>
      <c r="H19" s="30" t="s">
        <v>480</v>
      </c>
      <c r="I19" s="30">
        <v>42493.265752314815</v>
      </c>
      <c r="J19" s="66">
        <v>1</v>
      </c>
      <c r="K19" s="66" t="str">
        <f t="shared" si="0"/>
        <v>4031/4032</v>
      </c>
      <c r="L19" s="66" t="str">
        <f>VLOOKUP(A19,'Trips&amp;Operators'!$C$1:$E$9999,3,FALSE)</f>
        <v>STARKS</v>
      </c>
      <c r="M19" s="12">
        <f t="shared" si="1"/>
        <v>2.0983796297514345E-2</v>
      </c>
      <c r="N19" s="13"/>
      <c r="O19" s="13"/>
      <c r="P19" s="13">
        <f>($M19+M20)*24*60</f>
        <v>35.500000000465661</v>
      </c>
      <c r="Q19" s="67" t="s">
        <v>618</v>
      </c>
      <c r="R19" s="67" t="s">
        <v>617</v>
      </c>
      <c r="S19" s="87">
        <f t="shared" si="8"/>
        <v>1</v>
      </c>
      <c r="T19" s="2" t="str">
        <f t="shared" si="9"/>
        <v>NorthBound</v>
      </c>
      <c r="U19" s="74">
        <f>COUNTIFS([2]Variables!$M$2:$M$19,IF(T19="NorthBound","&gt;=","&lt;=")&amp;Z19,[2]Variables!$M$2:$M$19,IF(T19="NorthBound","&lt;=","&gt;=")&amp;AA19)</f>
        <v>12</v>
      </c>
      <c r="W1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05:50:24-0600',mode:absolute,to:'2016-05-03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9" s="60" t="str">
        <f t="shared" si="4"/>
        <v>Y</v>
      </c>
      <c r="Y19" s="60">
        <f t="shared" si="10"/>
        <v>1</v>
      </c>
      <c r="Z19" s="60">
        <f t="shared" si="5"/>
        <v>1.9187000000000001</v>
      </c>
      <c r="AA19" s="60">
        <f t="shared" si="6"/>
        <v>23.3096</v>
      </c>
      <c r="AB19" s="60">
        <f t="shared" si="7"/>
        <v>21.390899999999998</v>
      </c>
      <c r="AC19" s="61">
        <f>VLOOKUP(A19,Enforcements!$C$3:$J$40,8,0)</f>
        <v>1692</v>
      </c>
      <c r="AD19" s="61" t="str">
        <f>VLOOKUP(A19,Enforcements!$C$3:$J$40,3,0)</f>
        <v>SIGNAL</v>
      </c>
    </row>
    <row r="20" spans="1:30" s="2" customFormat="1" x14ac:dyDescent="0.25">
      <c r="A20" s="66" t="s">
        <v>246</v>
      </c>
      <c r="B20" s="66">
        <v>4031</v>
      </c>
      <c r="C20" s="66" t="s">
        <v>448</v>
      </c>
      <c r="D20" s="66" t="s">
        <v>481</v>
      </c>
      <c r="E20" s="30">
        <v>42493.23609953704</v>
      </c>
      <c r="F20" s="30">
        <v>42493.237245370372</v>
      </c>
      <c r="G20" s="38">
        <v>1</v>
      </c>
      <c r="H20" s="30" t="s">
        <v>482</v>
      </c>
      <c r="I20" s="30">
        <v>42493.240914351853</v>
      </c>
      <c r="J20" s="66">
        <v>1</v>
      </c>
      <c r="K20" s="66" t="str">
        <f t="shared" si="0"/>
        <v>4031/4032</v>
      </c>
      <c r="L20" s="66" t="str">
        <f>VLOOKUP(A20,'Trips&amp;Operators'!$C$1:$E$9999,3,FALSE)</f>
        <v>STARKS</v>
      </c>
      <c r="M20" s="12">
        <f t="shared" si="1"/>
        <v>3.6689814805868082E-3</v>
      </c>
      <c r="N20" s="13"/>
      <c r="O20" s="13"/>
      <c r="P20" s="13"/>
      <c r="Q20" s="67"/>
      <c r="R20" s="67"/>
      <c r="S20" s="87">
        <f t="shared" si="8"/>
        <v>0</v>
      </c>
      <c r="T20" s="2" t="str">
        <f t="shared" si="9"/>
        <v>NorthBound</v>
      </c>
      <c r="U20" s="74">
        <f>COUNTIFS([2]Variables!$M$2:$M$19,IF(T20="NorthBound","&gt;=","&lt;=")&amp;Z20,[2]Variables!$M$2:$M$19,IF(T20="NorthBound","&lt;=","&gt;=")&amp;AA20)</f>
        <v>0</v>
      </c>
      <c r="W2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05:38:59-0600',mode:absolute,to:'2016-05-03 05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0" s="60" t="str">
        <f t="shared" si="4"/>
        <v>Y</v>
      </c>
      <c r="Y20" s="60">
        <f t="shared" si="10"/>
        <v>0</v>
      </c>
      <c r="Z20" s="60">
        <f t="shared" si="5"/>
        <v>6.13E-2</v>
      </c>
      <c r="AA20" s="60">
        <f t="shared" si="6"/>
        <v>0.21290000000000001</v>
      </c>
      <c r="AB20" s="60">
        <f t="shared" si="7"/>
        <v>0.15160000000000001</v>
      </c>
      <c r="AC20" s="61">
        <f>VLOOKUP(A20,Enforcements!$C$3:$J$40,8,0)</f>
        <v>1692</v>
      </c>
      <c r="AD20" s="61" t="str">
        <f>VLOOKUP(A20,Enforcements!$C$3:$J$40,3,0)</f>
        <v>SIGNAL</v>
      </c>
    </row>
    <row r="21" spans="1:30" s="2" customFormat="1" x14ac:dyDescent="0.25">
      <c r="A21" s="66" t="s">
        <v>283</v>
      </c>
      <c r="B21" s="66">
        <v>4032</v>
      </c>
      <c r="C21" s="66" t="s">
        <v>448</v>
      </c>
      <c r="D21" s="66" t="s">
        <v>483</v>
      </c>
      <c r="E21" s="30">
        <v>42493.277129629627</v>
      </c>
      <c r="F21" s="30">
        <v>42493.278148148151</v>
      </c>
      <c r="G21" s="38">
        <v>1</v>
      </c>
      <c r="H21" s="30" t="s">
        <v>484</v>
      </c>
      <c r="I21" s="30">
        <v>42493.305925925924</v>
      </c>
      <c r="J21" s="66">
        <v>2</v>
      </c>
      <c r="K21" s="66" t="str">
        <f t="shared" si="0"/>
        <v>4031/4032</v>
      </c>
      <c r="L21" s="66" t="str">
        <f>VLOOKUP(A21,'Trips&amp;Operators'!$C$1:$E$9999,3,FALSE)</f>
        <v>STARKS</v>
      </c>
      <c r="M21" s="12">
        <f t="shared" si="1"/>
        <v>2.7777777773735579E-2</v>
      </c>
      <c r="N21" s="13">
        <f t="shared" si="2"/>
        <v>39.999999994179234</v>
      </c>
      <c r="O21" s="13"/>
      <c r="P21" s="13"/>
      <c r="Q21" s="67"/>
      <c r="R21" s="67"/>
      <c r="S21" s="87">
        <f t="shared" si="8"/>
        <v>1</v>
      </c>
      <c r="T21" s="2" t="str">
        <f t="shared" si="9"/>
        <v>Southbound</v>
      </c>
      <c r="U21" s="74">
        <f>COUNTIFS([2]Variables!$M$2:$M$19,IF(T21="NorthBound","&gt;=","&lt;=")&amp;Z21,[2]Variables!$M$2:$M$19,IF(T21="NorthBound","&lt;=","&gt;=")&amp;AA21)</f>
        <v>12</v>
      </c>
      <c r="W2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06:38:04-0600',mode:absolute,to:'2016-05-03 07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1" s="60" t="str">
        <f t="shared" si="4"/>
        <v>N</v>
      </c>
      <c r="Y21" s="60">
        <f t="shared" si="10"/>
        <v>1</v>
      </c>
      <c r="Z21" s="60">
        <f t="shared" si="5"/>
        <v>23.277200000000001</v>
      </c>
      <c r="AA21" s="60">
        <f t="shared" si="6"/>
        <v>2.1999999999999999E-2</v>
      </c>
      <c r="AB21" s="60">
        <f t="shared" si="7"/>
        <v>23.255200000000002</v>
      </c>
      <c r="AC21" s="61">
        <f>VLOOKUP(A21,Enforcements!$C$3:$J$40,8,0)</f>
        <v>232107</v>
      </c>
      <c r="AD21" s="61" t="str">
        <f>VLOOKUP(A21,Enforcements!$C$3:$J$40,3,0)</f>
        <v>PERMANENT SPEED RESTRICTION</v>
      </c>
    </row>
    <row r="22" spans="1:30" s="2" customFormat="1" x14ac:dyDescent="0.25">
      <c r="A22" s="66" t="s">
        <v>253</v>
      </c>
      <c r="B22" s="66">
        <v>4038</v>
      </c>
      <c r="C22" s="66" t="s">
        <v>448</v>
      </c>
      <c r="D22" s="66" t="s">
        <v>485</v>
      </c>
      <c r="E22" s="30">
        <v>42493.246817129628</v>
      </c>
      <c r="F22" s="30">
        <v>42493.247893518521</v>
      </c>
      <c r="G22" s="38">
        <v>1</v>
      </c>
      <c r="H22" s="30" t="s">
        <v>486</v>
      </c>
      <c r="I22" s="30">
        <v>42493.274930555555</v>
      </c>
      <c r="J22" s="66">
        <v>1</v>
      </c>
      <c r="K22" s="66" t="str">
        <f t="shared" si="0"/>
        <v>4037/4038</v>
      </c>
      <c r="L22" s="66" t="str">
        <f>VLOOKUP(A22,'Trips&amp;Operators'!$C$1:$E$9999,3,FALSE)</f>
        <v>CHANDLER</v>
      </c>
      <c r="M22" s="12">
        <f t="shared" si="1"/>
        <v>2.7037037034460809E-2</v>
      </c>
      <c r="N22" s="13">
        <f t="shared" si="2"/>
        <v>38.933333329623565</v>
      </c>
      <c r="O22" s="13"/>
      <c r="P22" s="13"/>
      <c r="Q22" s="67"/>
      <c r="R22" s="67"/>
      <c r="S22" s="87">
        <f t="shared" si="8"/>
        <v>1</v>
      </c>
      <c r="T22" s="2" t="str">
        <f t="shared" si="9"/>
        <v>NorthBound</v>
      </c>
      <c r="U22" s="74">
        <f>COUNTIFS([2]Variables!$M$2:$M$19,IF(T22="NorthBound","&gt;=","&lt;=")&amp;Z22,[2]Variables!$M$2:$M$19,IF(T22="NorthBound","&lt;=","&gt;=")&amp;AA22)</f>
        <v>12</v>
      </c>
      <c r="W2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05:54:25-0600',mode:absolute,to:'2016-05-03 06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2" s="60" t="str">
        <f t="shared" si="4"/>
        <v>N</v>
      </c>
      <c r="Y22" s="60">
        <f t="shared" si="10"/>
        <v>1</v>
      </c>
      <c r="Z22" s="60">
        <f t="shared" si="5"/>
        <v>0.14710000000000001</v>
      </c>
      <c r="AA22" s="60">
        <f t="shared" si="6"/>
        <v>23.328900000000001</v>
      </c>
      <c r="AB22" s="60">
        <f t="shared" si="7"/>
        <v>23.181800000000003</v>
      </c>
      <c r="AC22" s="61">
        <f>VLOOKUP(A22,Enforcements!$C$3:$J$40,8,0)</f>
        <v>2096</v>
      </c>
      <c r="AD22" s="61" t="str">
        <f>VLOOKUP(A22,Enforcements!$C$3:$J$40,3,0)</f>
        <v>PERMANENT SPEED RESTRICTION</v>
      </c>
    </row>
    <row r="23" spans="1:30" s="2" customFormat="1" x14ac:dyDescent="0.25">
      <c r="A23" s="66" t="s">
        <v>285</v>
      </c>
      <c r="B23" s="66">
        <v>4037</v>
      </c>
      <c r="C23" s="66" t="s">
        <v>448</v>
      </c>
      <c r="D23" s="66" t="s">
        <v>462</v>
      </c>
      <c r="E23" s="30">
        <v>42493.284201388888</v>
      </c>
      <c r="F23" s="30">
        <v>42493.287187499998</v>
      </c>
      <c r="G23" s="38">
        <v>4</v>
      </c>
      <c r="H23" s="30" t="s">
        <v>487</v>
      </c>
      <c r="I23" s="30">
        <v>42493.31585648148</v>
      </c>
      <c r="J23" s="66">
        <v>3</v>
      </c>
      <c r="K23" s="66" t="str">
        <f t="shared" si="0"/>
        <v>4037/4038</v>
      </c>
      <c r="L23" s="66" t="str">
        <f>VLOOKUP(A23,'Trips&amp;Operators'!$C$1:$E$9999,3,FALSE)</f>
        <v>CHANDLER</v>
      </c>
      <c r="M23" s="12">
        <f t="shared" si="1"/>
        <v>2.8668981482042E-2</v>
      </c>
      <c r="N23" s="13">
        <f t="shared" si="2"/>
        <v>41.28333333414048</v>
      </c>
      <c r="O23" s="13"/>
      <c r="P23" s="13"/>
      <c r="Q23" s="67" t="s">
        <v>618</v>
      </c>
      <c r="R23" s="67" t="s">
        <v>612</v>
      </c>
      <c r="S23" s="87">
        <f t="shared" si="8"/>
        <v>0</v>
      </c>
      <c r="T23" s="2" t="str">
        <f t="shared" si="9"/>
        <v>Southbound</v>
      </c>
      <c r="U23" s="74">
        <f>COUNTIFS([2]Variables!$M$2:$M$19,IF(T23="NorthBound","&gt;=","&lt;=")&amp;Z23,[2]Variables!$M$2:$M$19,IF(T23="NorthBound","&lt;=","&gt;=")&amp;AA23)</f>
        <v>0</v>
      </c>
      <c r="W2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06:48:15-0600',mode:absolute,to:'2016-05-03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3" s="60" t="str">
        <f t="shared" si="4"/>
        <v>Y</v>
      </c>
      <c r="Y23" s="60">
        <f t="shared" si="10"/>
        <v>1</v>
      </c>
      <c r="Z23" s="60">
        <f t="shared" si="5"/>
        <v>23.296500000000002</v>
      </c>
      <c r="AA23" s="60">
        <f t="shared" si="6"/>
        <v>23.298500000000001</v>
      </c>
      <c r="AB23" s="60">
        <f t="shared" si="7"/>
        <v>1.9999999999988916E-3</v>
      </c>
      <c r="AC23" s="61">
        <f>VLOOKUP(A23,Enforcements!$C$3:$J$40,8,0)</f>
        <v>58118</v>
      </c>
      <c r="AD23" s="61" t="str">
        <f>VLOOKUP(A23,Enforcements!$C$3:$J$40,3,0)</f>
        <v>GRADE CROSSING</v>
      </c>
    </row>
    <row r="24" spans="1:30" s="2" customFormat="1" x14ac:dyDescent="0.25">
      <c r="A24" s="66" t="s">
        <v>213</v>
      </c>
      <c r="B24" s="66">
        <v>4042</v>
      </c>
      <c r="C24" s="66" t="s">
        <v>448</v>
      </c>
      <c r="D24" s="66" t="s">
        <v>488</v>
      </c>
      <c r="E24" s="30">
        <v>42493.254988425928</v>
      </c>
      <c r="F24" s="30">
        <v>42493.256435185183</v>
      </c>
      <c r="G24" s="38">
        <v>2</v>
      </c>
      <c r="H24" s="30" t="s">
        <v>489</v>
      </c>
      <c r="I24" s="30">
        <v>42493.285532407404</v>
      </c>
      <c r="J24" s="66">
        <v>0</v>
      </c>
      <c r="K24" s="66" t="str">
        <f t="shared" si="0"/>
        <v>4041/4042</v>
      </c>
      <c r="L24" s="66" t="str">
        <f>VLOOKUP(A24,'Trips&amp;Operators'!$C$1:$E$9999,3,FALSE)</f>
        <v>DE LA ROSA</v>
      </c>
      <c r="M24" s="12">
        <f t="shared" si="1"/>
        <v>2.9097222221025731E-2</v>
      </c>
      <c r="N24" s="13">
        <f t="shared" si="2"/>
        <v>41.899999998277053</v>
      </c>
      <c r="O24" s="13"/>
      <c r="P24" s="13"/>
      <c r="Q24" s="67"/>
      <c r="R24" s="67"/>
      <c r="S24" s="87">
        <f t="shared" si="8"/>
        <v>1</v>
      </c>
      <c r="T24" s="2" t="str">
        <f t="shared" si="9"/>
        <v>NorthBound</v>
      </c>
      <c r="U24" s="74">
        <f>COUNTIFS([2]Variables!$M$2:$M$19,IF(T24="NorthBound","&gt;=","&lt;=")&amp;Z24,[2]Variables!$M$2:$M$19,IF(T24="NorthBound","&lt;=","&gt;=")&amp;AA24)</f>
        <v>12</v>
      </c>
      <c r="W2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06:06:11-0600',mode:absolute,to:'2016-05-03 06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24" s="60" t="str">
        <f t="shared" si="4"/>
        <v>N</v>
      </c>
      <c r="Y24" s="60">
        <f t="shared" si="10"/>
        <v>1</v>
      </c>
      <c r="Z24" s="60">
        <f t="shared" si="5"/>
        <v>4.6199999999999998E-2</v>
      </c>
      <c r="AA24" s="60">
        <f t="shared" si="6"/>
        <v>23.329699999999999</v>
      </c>
      <c r="AB24" s="60">
        <f t="shared" si="7"/>
        <v>23.2835</v>
      </c>
      <c r="AC24" s="61" t="e">
        <f>VLOOKUP(A24,Enforcements!$C$3:$J$40,8,0)</f>
        <v>#N/A</v>
      </c>
      <c r="AD24" s="61" t="e">
        <f>VLOOKUP(A24,Enforcements!$C$3:$J$40,3,0)</f>
        <v>#N/A</v>
      </c>
    </row>
    <row r="25" spans="1:30" s="2" customFormat="1" x14ac:dyDescent="0.25">
      <c r="A25" s="66" t="s">
        <v>439</v>
      </c>
      <c r="B25" s="66">
        <v>4041</v>
      </c>
      <c r="C25" s="66" t="s">
        <v>448</v>
      </c>
      <c r="D25" s="66" t="s">
        <v>490</v>
      </c>
      <c r="E25" s="30">
        <v>42493.292175925926</v>
      </c>
      <c r="F25" s="30">
        <v>42493.293090277781</v>
      </c>
      <c r="G25" s="38">
        <v>1</v>
      </c>
      <c r="H25" s="30" t="s">
        <v>491</v>
      </c>
      <c r="I25" s="30">
        <v>42493.325185185182</v>
      </c>
      <c r="J25" s="66">
        <v>0</v>
      </c>
      <c r="K25" s="66" t="str">
        <f t="shared" si="0"/>
        <v>4041/4042</v>
      </c>
      <c r="L25" s="66" t="str">
        <f>VLOOKUP(A25,'Trips&amp;Operators'!$C$1:$E$9999,3,FALSE)</f>
        <v>DE LA ROSA</v>
      </c>
      <c r="M25" s="12">
        <f t="shared" si="1"/>
        <v>3.2094907401187811E-2</v>
      </c>
      <c r="N25" s="13">
        <f t="shared" si="2"/>
        <v>46.216666657710448</v>
      </c>
      <c r="O25" s="13"/>
      <c r="P25" s="13"/>
      <c r="Q25" s="67"/>
      <c r="R25" s="67"/>
      <c r="S25" s="87">
        <f t="shared" si="8"/>
        <v>1</v>
      </c>
      <c r="T25" s="2" t="str">
        <f t="shared" si="9"/>
        <v>Southbound</v>
      </c>
      <c r="U25" s="74">
        <f>COUNTIFS([2]Variables!$M$2:$M$19,IF(T25="NorthBound","&gt;=","&lt;=")&amp;Z25,[2]Variables!$M$2:$M$19,IF(T25="NorthBound","&lt;=","&gt;=")&amp;AA25)</f>
        <v>12</v>
      </c>
      <c r="W25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06:59:44-0600',mode:absolute,to:'2016-05-03 07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5" s="60" t="str">
        <f t="shared" si="4"/>
        <v>N</v>
      </c>
      <c r="Y25" s="60">
        <f t="shared" si="10"/>
        <v>1</v>
      </c>
      <c r="Z25" s="60">
        <f t="shared" si="5"/>
        <v>23.299299999999999</v>
      </c>
      <c r="AA25" s="60">
        <f t="shared" si="6"/>
        <v>1.49E-2</v>
      </c>
      <c r="AB25" s="60">
        <f t="shared" si="7"/>
        <v>23.284399999999998</v>
      </c>
      <c r="AC25" s="61" t="e">
        <f>VLOOKUP(A25,Enforcements!$C$3:$J$40,8,0)</f>
        <v>#N/A</v>
      </c>
      <c r="AD25" s="61" t="e">
        <f>VLOOKUP(A25,Enforcements!$C$3:$J$40,3,0)</f>
        <v>#N/A</v>
      </c>
    </row>
    <row r="26" spans="1:30" s="2" customFormat="1" x14ac:dyDescent="0.25">
      <c r="A26" s="66" t="s">
        <v>243</v>
      </c>
      <c r="B26" s="66">
        <v>4011</v>
      </c>
      <c r="C26" s="66" t="s">
        <v>448</v>
      </c>
      <c r="D26" s="66" t="s">
        <v>492</v>
      </c>
      <c r="E26" s="30">
        <v>42493.265625</v>
      </c>
      <c r="F26" s="30">
        <v>42493.266724537039</v>
      </c>
      <c r="G26" s="38">
        <v>1</v>
      </c>
      <c r="H26" s="30" t="s">
        <v>493</v>
      </c>
      <c r="I26" s="30">
        <v>42493.295729166668</v>
      </c>
      <c r="J26" s="66">
        <v>0</v>
      </c>
      <c r="K26" s="66" t="str">
        <f t="shared" si="0"/>
        <v>4011/4012</v>
      </c>
      <c r="L26" s="66" t="str">
        <f>VLOOKUP(A26,'Trips&amp;Operators'!$C$1:$E$9999,3,FALSE)</f>
        <v>ACKERMAN</v>
      </c>
      <c r="M26" s="12">
        <f t="shared" si="1"/>
        <v>2.9004629628616385E-2</v>
      </c>
      <c r="N26" s="13">
        <f t="shared" si="2"/>
        <v>41.766666665207595</v>
      </c>
      <c r="O26" s="13"/>
      <c r="P26" s="13"/>
      <c r="Q26" s="67"/>
      <c r="R26" s="67"/>
      <c r="S26" s="87">
        <f t="shared" si="8"/>
        <v>1</v>
      </c>
      <c r="T26" s="2" t="str">
        <f t="shared" si="9"/>
        <v>NorthBound</v>
      </c>
      <c r="U26" s="74">
        <f>COUNTIFS([2]Variables!$M$2:$M$19,IF(T26="NorthBound","&gt;=","&lt;=")&amp;Z26,[2]Variables!$M$2:$M$19,IF(T26="NorthBound","&lt;=","&gt;=")&amp;AA26)</f>
        <v>12</v>
      </c>
      <c r="W26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06:21:30-0600',mode:absolute,to:'2016-05-03 07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6" s="60" t="str">
        <f t="shared" si="4"/>
        <v>N</v>
      </c>
      <c r="Y26" s="60">
        <f t="shared" si="10"/>
        <v>1</v>
      </c>
      <c r="Z26" s="60">
        <f t="shared" si="5"/>
        <v>4.4900000000000002E-2</v>
      </c>
      <c r="AA26" s="60">
        <f t="shared" si="6"/>
        <v>23.331600000000002</v>
      </c>
      <c r="AB26" s="60">
        <f t="shared" si="7"/>
        <v>23.286700000000003</v>
      </c>
      <c r="AC26" s="61" t="e">
        <f>VLOOKUP(A26,Enforcements!$C$3:$J$40,8,0)</f>
        <v>#N/A</v>
      </c>
      <c r="AD26" s="61" t="e">
        <f>VLOOKUP(A26,Enforcements!$C$3:$J$40,3,0)</f>
        <v>#N/A</v>
      </c>
    </row>
    <row r="27" spans="1:30" s="2" customFormat="1" x14ac:dyDescent="0.25">
      <c r="A27" s="66" t="s">
        <v>355</v>
      </c>
      <c r="B27" s="66">
        <v>4012</v>
      </c>
      <c r="C27" s="66" t="s">
        <v>448</v>
      </c>
      <c r="D27" s="66" t="s">
        <v>494</v>
      </c>
      <c r="E27" s="30">
        <v>42493.305011574077</v>
      </c>
      <c r="F27" s="30">
        <v>42493.305902777778</v>
      </c>
      <c r="G27" s="38">
        <v>1</v>
      </c>
      <c r="H27" s="30" t="s">
        <v>495</v>
      </c>
      <c r="I27" s="30">
        <v>42493.335717592592</v>
      </c>
      <c r="J27" s="66">
        <v>0</v>
      </c>
      <c r="K27" s="66" t="str">
        <f t="shared" si="0"/>
        <v>4011/4012</v>
      </c>
      <c r="L27" s="66" t="str">
        <f>VLOOKUP(A27,'Trips&amp;Operators'!$C$1:$E$9999,3,FALSE)</f>
        <v>ACKERMAN</v>
      </c>
      <c r="M27" s="12">
        <f t="shared" si="1"/>
        <v>2.9814814814017154E-2</v>
      </c>
      <c r="N27" s="13">
        <f t="shared" si="2"/>
        <v>42.933333332184702</v>
      </c>
      <c r="O27" s="13"/>
      <c r="P27" s="13"/>
      <c r="Q27" s="67"/>
      <c r="R27" s="67"/>
      <c r="S27" s="87">
        <f t="shared" si="8"/>
        <v>1</v>
      </c>
      <c r="T27" s="2" t="str">
        <f t="shared" si="9"/>
        <v>Southbound</v>
      </c>
      <c r="U27" s="74">
        <f>COUNTIFS([2]Variables!$M$2:$M$19,IF(T27="NorthBound","&gt;=","&lt;=")&amp;Z27,[2]Variables!$M$2:$M$19,IF(T27="NorthBound","&lt;=","&gt;=")&amp;AA27)</f>
        <v>12</v>
      </c>
      <c r="W27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07:18:13-0600',mode:absolute,to:'2016-05-03 08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7" s="60" t="str">
        <f t="shared" si="4"/>
        <v>N</v>
      </c>
      <c r="Y27" s="60">
        <f t="shared" si="10"/>
        <v>1</v>
      </c>
      <c r="Z27" s="60">
        <f t="shared" si="5"/>
        <v>23.297699999999999</v>
      </c>
      <c r="AA27" s="60">
        <f t="shared" si="6"/>
        <v>1.3599999999999999E-2</v>
      </c>
      <c r="AB27" s="60">
        <f t="shared" si="7"/>
        <v>23.284099999999999</v>
      </c>
      <c r="AC27" s="61" t="e">
        <f>VLOOKUP(A27,Enforcements!$C$3:$J$40,8,0)</f>
        <v>#N/A</v>
      </c>
      <c r="AD27" s="61" t="e">
        <f>VLOOKUP(A27,Enforcements!$C$3:$J$40,3,0)</f>
        <v>#N/A</v>
      </c>
    </row>
    <row r="28" spans="1:30" s="2" customFormat="1" x14ac:dyDescent="0.25">
      <c r="A28" s="66" t="s">
        <v>443</v>
      </c>
      <c r="B28" s="66">
        <v>4027</v>
      </c>
      <c r="C28" s="66" t="s">
        <v>448</v>
      </c>
      <c r="D28" s="66" t="s">
        <v>496</v>
      </c>
      <c r="E28" s="30">
        <v>42493.277245370373</v>
      </c>
      <c r="F28" s="30">
        <v>42493.278124999997</v>
      </c>
      <c r="G28" s="38">
        <v>1</v>
      </c>
      <c r="H28" s="30" t="s">
        <v>497</v>
      </c>
      <c r="I28" s="30">
        <v>42493.307013888887</v>
      </c>
      <c r="J28" s="66">
        <v>0</v>
      </c>
      <c r="K28" s="66" t="str">
        <f t="shared" si="0"/>
        <v>4027/4028</v>
      </c>
      <c r="L28" s="66" t="str">
        <f>VLOOKUP(A28,'Trips&amp;Operators'!$C$1:$E$9999,3,FALSE)</f>
        <v>NEWELL</v>
      </c>
      <c r="M28" s="12">
        <f t="shared" si="1"/>
        <v>2.8888888889923692E-2</v>
      </c>
      <c r="N28" s="13">
        <f t="shared" si="2"/>
        <v>41.600000001490116</v>
      </c>
      <c r="O28" s="13"/>
      <c r="P28" s="13"/>
      <c r="Q28" s="67"/>
      <c r="R28" s="67"/>
      <c r="S28" s="87">
        <f t="shared" si="8"/>
        <v>1</v>
      </c>
      <c r="T28" s="2" t="str">
        <f t="shared" si="9"/>
        <v>NorthBound</v>
      </c>
      <c r="U28" s="74">
        <f>COUNTIFS([2]Variables!$M$2:$M$19,IF(T28="NorthBound","&gt;=","&lt;=")&amp;Z28,[2]Variables!$M$2:$M$19,IF(T28="NorthBound","&lt;=","&gt;=")&amp;AA28)</f>
        <v>12</v>
      </c>
      <c r="W28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06:38:14-0600',mode:absolute,to:'2016-05-03 07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28" s="60" t="str">
        <f t="shared" si="4"/>
        <v>N</v>
      </c>
      <c r="Y28" s="60">
        <f t="shared" si="10"/>
        <v>1</v>
      </c>
      <c r="Z28" s="60">
        <f t="shared" si="5"/>
        <v>4.7300000000000002E-2</v>
      </c>
      <c r="AA28" s="60">
        <f t="shared" si="6"/>
        <v>23.3308</v>
      </c>
      <c r="AB28" s="60">
        <f t="shared" si="7"/>
        <v>23.2835</v>
      </c>
      <c r="AC28" s="61" t="e">
        <f>VLOOKUP(A28,Enforcements!$C$3:$J$40,8,0)</f>
        <v>#N/A</v>
      </c>
      <c r="AD28" s="61" t="e">
        <f>VLOOKUP(A28,Enforcements!$C$3:$J$40,3,0)</f>
        <v>#N/A</v>
      </c>
    </row>
    <row r="29" spans="1:30" s="2" customFormat="1" x14ac:dyDescent="0.25">
      <c r="A29" s="66" t="s">
        <v>284</v>
      </c>
      <c r="B29" s="66">
        <v>4028</v>
      </c>
      <c r="C29" s="66" t="s">
        <v>448</v>
      </c>
      <c r="D29" s="66" t="s">
        <v>498</v>
      </c>
      <c r="E29" s="30">
        <v>42493.311898148146</v>
      </c>
      <c r="F29" s="30">
        <v>42493.313275462962</v>
      </c>
      <c r="G29" s="38">
        <v>1</v>
      </c>
      <c r="H29" s="30" t="s">
        <v>467</v>
      </c>
      <c r="I29" s="30">
        <v>42493.346064814818</v>
      </c>
      <c r="J29" s="66">
        <v>1</v>
      </c>
      <c r="K29" s="66" t="str">
        <f t="shared" si="0"/>
        <v>4027/4028</v>
      </c>
      <c r="L29" s="66" t="str">
        <f>VLOOKUP(A29,'Trips&amp;Operators'!$C$1:$E$9999,3,FALSE)</f>
        <v>NEWELL</v>
      </c>
      <c r="M29" s="12">
        <f t="shared" si="1"/>
        <v>3.2789351855171844E-2</v>
      </c>
      <c r="N29" s="13">
        <f t="shared" si="2"/>
        <v>47.216666671447456</v>
      </c>
      <c r="O29" s="13"/>
      <c r="P29" s="13"/>
      <c r="Q29" s="67"/>
      <c r="R29" s="67"/>
      <c r="S29" s="87">
        <f t="shared" si="8"/>
        <v>1</v>
      </c>
      <c r="T29" s="2" t="str">
        <f t="shared" si="9"/>
        <v>Southbound</v>
      </c>
      <c r="U29" s="74">
        <f>COUNTIFS([2]Variables!$M$2:$M$19,IF(T29="NorthBound","&gt;=","&lt;=")&amp;Z29,[2]Variables!$M$2:$M$19,IF(T29="NorthBound","&lt;=","&gt;=")&amp;AA29)</f>
        <v>12</v>
      </c>
      <c r="W29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07:28:08-0600',mode:absolute,to:'2016-05-03 08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29" s="60" t="str">
        <f t="shared" si="4"/>
        <v>N</v>
      </c>
      <c r="Y29" s="60">
        <f t="shared" si="10"/>
        <v>1</v>
      </c>
      <c r="Z29" s="60">
        <f t="shared" si="5"/>
        <v>23.299600000000002</v>
      </c>
      <c r="AA29" s="60">
        <f t="shared" si="6"/>
        <v>1.52E-2</v>
      </c>
      <c r="AB29" s="60">
        <f t="shared" si="7"/>
        <v>23.284400000000002</v>
      </c>
      <c r="AC29" s="61">
        <f>VLOOKUP(A29,Enforcements!$C$3:$J$40,8,0)</f>
        <v>127587</v>
      </c>
      <c r="AD29" s="61" t="str">
        <f>VLOOKUP(A29,Enforcements!$C$3:$J$40,3,0)</f>
        <v>SIGNAL</v>
      </c>
    </row>
    <row r="30" spans="1:30" s="2" customFormat="1" x14ac:dyDescent="0.25">
      <c r="A30" s="66" t="s">
        <v>434</v>
      </c>
      <c r="B30" s="66">
        <v>4014</v>
      </c>
      <c r="C30" s="66" t="s">
        <v>448</v>
      </c>
      <c r="D30" s="66" t="s">
        <v>499</v>
      </c>
      <c r="E30" s="30">
        <v>42493.285578703704</v>
      </c>
      <c r="F30" s="30">
        <v>42493.28665509259</v>
      </c>
      <c r="G30" s="38">
        <v>1</v>
      </c>
      <c r="H30" s="30" t="s">
        <v>461</v>
      </c>
      <c r="I30" s="30">
        <v>42493.317002314812</v>
      </c>
      <c r="J30" s="66">
        <v>0</v>
      </c>
      <c r="K30" s="66" t="str">
        <f t="shared" si="0"/>
        <v>4013/4014</v>
      </c>
      <c r="L30" s="66" t="str">
        <f>VLOOKUP(A30,'Trips&amp;Operators'!$C$1:$E$9999,3,FALSE)</f>
        <v>BRUDER</v>
      </c>
      <c r="M30" s="12">
        <f t="shared" si="1"/>
        <v>3.0347222222189885E-2</v>
      </c>
      <c r="N30" s="13">
        <f t="shared" si="2"/>
        <v>43.699999999953434</v>
      </c>
      <c r="O30" s="13"/>
      <c r="P30" s="13"/>
      <c r="Q30" s="67"/>
      <c r="R30" s="67"/>
      <c r="S30" s="87">
        <f t="shared" si="8"/>
        <v>1</v>
      </c>
      <c r="T30" s="2" t="str">
        <f t="shared" si="9"/>
        <v>NorthBound</v>
      </c>
      <c r="U30" s="74">
        <f>COUNTIFS([2]Variables!$M$2:$M$19,IF(T30="NorthBound","&gt;=","&lt;=")&amp;Z30,[2]Variables!$M$2:$M$19,IF(T30="NorthBound","&lt;=","&gt;=")&amp;AA30)</f>
        <v>12</v>
      </c>
      <c r="W30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06:50:14-0600',mode:absolute,to:'2016-05-03 07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0" s="60" t="str">
        <f t="shared" si="4"/>
        <v>N</v>
      </c>
      <c r="Y30" s="60">
        <f t="shared" si="10"/>
        <v>1</v>
      </c>
      <c r="Z30" s="60">
        <f t="shared" si="5"/>
        <v>4.3700000000000003E-2</v>
      </c>
      <c r="AA30" s="60">
        <f t="shared" si="6"/>
        <v>23.3291</v>
      </c>
      <c r="AB30" s="60">
        <f t="shared" si="7"/>
        <v>23.285399999999999</v>
      </c>
      <c r="AC30" s="61" t="e">
        <f>VLOOKUP(A30,Enforcements!$C$3:$J$40,8,0)</f>
        <v>#N/A</v>
      </c>
      <c r="AD30" s="61" t="e">
        <f>VLOOKUP(A30,Enforcements!$C$3:$J$40,3,0)</f>
        <v>#N/A</v>
      </c>
    </row>
    <row r="31" spans="1:30" s="2" customFormat="1" x14ac:dyDescent="0.25">
      <c r="A31" s="66" t="s">
        <v>287</v>
      </c>
      <c r="B31" s="66">
        <v>4013</v>
      </c>
      <c r="C31" s="66" t="s">
        <v>448</v>
      </c>
      <c r="D31" s="66" t="s">
        <v>470</v>
      </c>
      <c r="E31" s="30">
        <v>42493.323078703703</v>
      </c>
      <c r="F31" s="30">
        <v>42493.324004629627</v>
      </c>
      <c r="G31" s="38">
        <v>1</v>
      </c>
      <c r="H31" s="30" t="s">
        <v>500</v>
      </c>
      <c r="I31" s="30">
        <v>42493.357719907406</v>
      </c>
      <c r="J31" s="66">
        <v>1</v>
      </c>
      <c r="K31" s="66" t="str">
        <f t="shared" si="0"/>
        <v>4013/4014</v>
      </c>
      <c r="L31" s="66" t="str">
        <f>VLOOKUP(A31,'Trips&amp;Operators'!$C$1:$E$9999,3,FALSE)</f>
        <v>BRUDER</v>
      </c>
      <c r="M31" s="12">
        <f t="shared" si="1"/>
        <v>3.3715277779265307E-2</v>
      </c>
      <c r="N31" s="13">
        <f t="shared" si="2"/>
        <v>48.550000002142042</v>
      </c>
      <c r="O31" s="13"/>
      <c r="P31" s="13"/>
      <c r="Q31" s="67"/>
      <c r="R31" s="67"/>
      <c r="S31" s="87">
        <f t="shared" si="8"/>
        <v>1</v>
      </c>
      <c r="T31" s="2" t="str">
        <f t="shared" si="9"/>
        <v>Southbound</v>
      </c>
      <c r="U31" s="74">
        <f>COUNTIFS([2]Variables!$M$2:$M$19,IF(T31="NorthBound","&gt;=","&lt;=")&amp;Z31,[2]Variables!$M$2:$M$19,IF(T31="NorthBound","&lt;=","&gt;=")&amp;AA31)</f>
        <v>12</v>
      </c>
      <c r="W31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07:44:14-0600',mode:absolute,to:'2016-05-03 08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1" s="60" t="str">
        <f t="shared" si="4"/>
        <v>N</v>
      </c>
      <c r="Y31" s="60">
        <f t="shared" si="10"/>
        <v>1</v>
      </c>
      <c r="Z31" s="60">
        <f t="shared" si="5"/>
        <v>23.298200000000001</v>
      </c>
      <c r="AA31" s="60">
        <f t="shared" si="6"/>
        <v>1.6E-2</v>
      </c>
      <c r="AB31" s="60">
        <f t="shared" si="7"/>
        <v>23.282200000000003</v>
      </c>
      <c r="AC31" s="61" t="e">
        <f>VLOOKUP(A31,Enforcements!$C$3:$J$40,8,0)</f>
        <v>#N/A</v>
      </c>
      <c r="AD31" s="61" t="e">
        <f>VLOOKUP(A31,Enforcements!$C$3:$J$40,3,0)</f>
        <v>#N/A</v>
      </c>
    </row>
    <row r="32" spans="1:30" s="2" customFormat="1" x14ac:dyDescent="0.25">
      <c r="A32" s="66" t="s">
        <v>385</v>
      </c>
      <c r="B32" s="66">
        <v>4024</v>
      </c>
      <c r="C32" s="66" t="s">
        <v>448</v>
      </c>
      <c r="D32" s="66" t="s">
        <v>501</v>
      </c>
      <c r="E32" s="30">
        <v>42493.297719907408</v>
      </c>
      <c r="F32" s="30">
        <v>42493.29928240741</v>
      </c>
      <c r="G32" s="38">
        <v>2</v>
      </c>
      <c r="H32" s="30" t="s">
        <v>497</v>
      </c>
      <c r="I32" s="30">
        <v>42493.326724537037</v>
      </c>
      <c r="J32" s="66">
        <v>0</v>
      </c>
      <c r="K32" s="66" t="str">
        <f t="shared" si="0"/>
        <v>4023/4024</v>
      </c>
      <c r="L32" s="66" t="str">
        <f>VLOOKUP(A32,'Trips&amp;Operators'!$C$1:$E$9999,3,FALSE)</f>
        <v>SPECTOR</v>
      </c>
      <c r="M32" s="12">
        <f t="shared" si="1"/>
        <v>2.7442129627161194E-2</v>
      </c>
      <c r="N32" s="13">
        <f t="shared" si="2"/>
        <v>39.516666663112119</v>
      </c>
      <c r="O32" s="13"/>
      <c r="P32" s="13"/>
      <c r="Q32" s="67"/>
      <c r="R32" s="67"/>
      <c r="S32" s="87">
        <f t="shared" si="8"/>
        <v>1</v>
      </c>
      <c r="T32" s="2" t="str">
        <f t="shared" si="9"/>
        <v>NorthBound</v>
      </c>
      <c r="U32" s="74">
        <f>COUNTIFS([2]Variables!$M$2:$M$19,IF(T32="NorthBound","&gt;=","&lt;=")&amp;Z32,[2]Variables!$M$2:$M$19,IF(T32="NorthBound","&lt;=","&gt;=")&amp;AA32)</f>
        <v>12</v>
      </c>
      <c r="W32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07:07:43-0600',mode:absolute,to:'2016-05-03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2" s="60" t="str">
        <f t="shared" si="4"/>
        <v>N</v>
      </c>
      <c r="Y32" s="60">
        <f t="shared" si="10"/>
        <v>1</v>
      </c>
      <c r="Z32" s="60">
        <f t="shared" si="5"/>
        <v>4.53E-2</v>
      </c>
      <c r="AA32" s="60">
        <f t="shared" si="6"/>
        <v>23.3308</v>
      </c>
      <c r="AB32" s="60">
        <f t="shared" si="7"/>
        <v>23.285499999999999</v>
      </c>
      <c r="AC32" s="61" t="e">
        <f>VLOOKUP(A32,Enforcements!$C$3:$J$40,8,0)</f>
        <v>#N/A</v>
      </c>
      <c r="AD32" s="61" t="e">
        <f>VLOOKUP(A32,Enforcements!$C$3:$J$40,3,0)</f>
        <v>#N/A</v>
      </c>
    </row>
    <row r="33" spans="1:30" s="2" customFormat="1" x14ac:dyDescent="0.25">
      <c r="A33" s="66" t="s">
        <v>289</v>
      </c>
      <c r="B33" s="66">
        <v>4023</v>
      </c>
      <c r="C33" s="66" t="s">
        <v>448</v>
      </c>
      <c r="D33" s="66" t="s">
        <v>502</v>
      </c>
      <c r="E33" s="30">
        <v>42493.334351851852</v>
      </c>
      <c r="F33" s="30">
        <v>42493.335532407407</v>
      </c>
      <c r="G33" s="38">
        <v>1</v>
      </c>
      <c r="H33" s="30" t="s">
        <v>503</v>
      </c>
      <c r="I33" s="30">
        <v>42493.366238425922</v>
      </c>
      <c r="J33" s="66">
        <v>1</v>
      </c>
      <c r="K33" s="66" t="str">
        <f t="shared" si="0"/>
        <v>4023/4024</v>
      </c>
      <c r="L33" s="66" t="str">
        <f>VLOOKUP(A33,'Trips&amp;Operators'!$C$1:$E$9999,3,FALSE)</f>
        <v>SPECTOR</v>
      </c>
      <c r="M33" s="12">
        <f t="shared" si="1"/>
        <v>3.0706018515047617E-2</v>
      </c>
      <c r="N33" s="13">
        <f t="shared" si="2"/>
        <v>44.216666661668569</v>
      </c>
      <c r="O33" s="13"/>
      <c r="P33" s="13"/>
      <c r="Q33" s="67"/>
      <c r="R33" s="67"/>
      <c r="S33" s="87">
        <f t="shared" si="8"/>
        <v>1</v>
      </c>
      <c r="T33" s="2" t="str">
        <f t="shared" si="9"/>
        <v>Southbound</v>
      </c>
      <c r="U33" s="74">
        <f>COUNTIFS([2]Variables!$M$2:$M$19,IF(T33="NorthBound","&gt;=","&lt;=")&amp;Z33,[2]Variables!$M$2:$M$19,IF(T33="NorthBound","&lt;=","&gt;=")&amp;AA33)</f>
        <v>12</v>
      </c>
      <c r="W33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08:00:28-0600',mode:absolute,to:'2016-05-03 08:48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3" s="60" t="str">
        <f t="shared" si="4"/>
        <v>N</v>
      </c>
      <c r="Y33" s="60">
        <f t="shared" si="10"/>
        <v>1</v>
      </c>
      <c r="Z33" s="60">
        <f t="shared" si="5"/>
        <v>23.3002</v>
      </c>
      <c r="AA33" s="60">
        <f t="shared" si="6"/>
        <v>1.41E-2</v>
      </c>
      <c r="AB33" s="60">
        <f t="shared" si="7"/>
        <v>23.286100000000001</v>
      </c>
      <c r="AC33" s="61" t="e">
        <f>VLOOKUP(A33,Enforcements!$C$3:$J$40,8,0)</f>
        <v>#N/A</v>
      </c>
      <c r="AD33" s="61" t="e">
        <f>VLOOKUP(A33,Enforcements!$C$3:$J$40,3,0)</f>
        <v>#N/A</v>
      </c>
    </row>
    <row r="34" spans="1:30" s="2" customFormat="1" x14ac:dyDescent="0.25">
      <c r="A34" s="66" t="s">
        <v>353</v>
      </c>
      <c r="B34" s="66">
        <v>4031</v>
      </c>
      <c r="C34" s="66" t="s">
        <v>448</v>
      </c>
      <c r="D34" s="66" t="s">
        <v>504</v>
      </c>
      <c r="E34" s="30">
        <v>42493.309895833336</v>
      </c>
      <c r="F34" s="30">
        <v>42493.310740740744</v>
      </c>
      <c r="G34" s="38">
        <v>1</v>
      </c>
      <c r="H34" s="30" t="s">
        <v>505</v>
      </c>
      <c r="I34" s="30">
        <v>42493.339363425926</v>
      </c>
      <c r="J34" s="66">
        <v>0</v>
      </c>
      <c r="K34" s="66" t="str">
        <f t="shared" si="0"/>
        <v>4031/4032</v>
      </c>
      <c r="L34" s="66" t="str">
        <f>VLOOKUP(A34,'Trips&amp;Operators'!$C$1:$E$9999,3,FALSE)</f>
        <v>STARKS</v>
      </c>
      <c r="M34" s="12">
        <f t="shared" si="1"/>
        <v>2.8622685182199348E-2</v>
      </c>
      <c r="N34" s="13">
        <f t="shared" si="2"/>
        <v>41.216666662367061</v>
      </c>
      <c r="O34" s="13"/>
      <c r="P34" s="13"/>
      <c r="Q34" s="67"/>
      <c r="R34" s="67"/>
      <c r="S34" s="87">
        <f t="shared" si="8"/>
        <v>1</v>
      </c>
      <c r="T34" s="2" t="str">
        <f t="shared" si="9"/>
        <v>NorthBound</v>
      </c>
      <c r="U34" s="74">
        <f>COUNTIFS([2]Variables!$M$2:$M$19,IF(T34="NorthBound","&gt;=","&lt;=")&amp;Z34,[2]Variables!$M$2:$M$19,IF(T34="NorthBound","&lt;=","&gt;=")&amp;AA34)</f>
        <v>12</v>
      </c>
      <c r="W34" s="60" t="str">
        <f t="shared" si="3"/>
        <v>https://search-rtdc-monitor-bjffxe2xuh6vdkpspy63sjmuny.us-east-1.es.amazonaws.com/_plugin/kibana/#/discover/Steve-Slow-Train-Analysis-(2080s-and-2083s)?_g=(refreshInterval:(display:Off,section:0,value:0),time:(from:'2016-05-03 07:25:15-0600',mode:absolute,to:'2016-05-03 08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4" s="60" t="str">
        <f t="shared" si="4"/>
        <v>N</v>
      </c>
      <c r="Y34" s="60">
        <f t="shared" si="10"/>
        <v>1</v>
      </c>
      <c r="Z34" s="60">
        <f t="shared" si="5"/>
        <v>5.1499999999999997E-2</v>
      </c>
      <c r="AA34" s="60">
        <f t="shared" si="6"/>
        <v>23.3337</v>
      </c>
      <c r="AB34" s="60">
        <f t="shared" si="7"/>
        <v>23.2822</v>
      </c>
      <c r="AC34" s="61" t="e">
        <f>VLOOKUP(A34,Enforcements!$C$3:$J$40,8,0)</f>
        <v>#N/A</v>
      </c>
      <c r="AD34" s="61" t="e">
        <f>VLOOKUP(A34,Enforcements!$C$3:$J$40,3,0)</f>
        <v>#N/A</v>
      </c>
    </row>
    <row r="35" spans="1:30" s="2" customFormat="1" x14ac:dyDescent="0.25">
      <c r="A35" s="66" t="s">
        <v>288</v>
      </c>
      <c r="B35" s="66">
        <v>4032</v>
      </c>
      <c r="C35" s="66" t="s">
        <v>448</v>
      </c>
      <c r="D35" s="66" t="s">
        <v>506</v>
      </c>
      <c r="E35" s="30">
        <v>42493.34957175926</v>
      </c>
      <c r="F35" s="30">
        <v>42493.350543981483</v>
      </c>
      <c r="G35" s="38">
        <v>1</v>
      </c>
      <c r="H35" s="30" t="s">
        <v>507</v>
      </c>
      <c r="I35" s="30">
        <v>42493.378182870372</v>
      </c>
      <c r="J35" s="66">
        <v>2</v>
      </c>
      <c r="K35" s="66" t="str">
        <f t="shared" ref="K35:K66" si="11">IF(ISEVEN(B35),(B35-1)&amp;"/"&amp;B35,B35&amp;"/"&amp;(B35+1))</f>
        <v>4031/4032</v>
      </c>
      <c r="L35" s="66" t="str">
        <f>VLOOKUP(A35,'Trips&amp;Operators'!$C$1:$E$9999,3,FALSE)</f>
        <v>STARKS</v>
      </c>
      <c r="M35" s="12">
        <f t="shared" ref="M35:M66" si="12">I35-F35</f>
        <v>2.7638888888759539E-2</v>
      </c>
      <c r="N35" s="13">
        <f t="shared" si="2"/>
        <v>39.799999999813735</v>
      </c>
      <c r="O35" s="13"/>
      <c r="P35" s="13"/>
      <c r="Q35" s="67"/>
      <c r="R35" s="67"/>
      <c r="S35" s="87">
        <f t="shared" si="8"/>
        <v>1</v>
      </c>
      <c r="T35" s="2" t="str">
        <f t="shared" si="9"/>
        <v>Southbound</v>
      </c>
      <c r="U35" s="74">
        <f>COUNTIFS([2]Variables!$M$2:$M$19,IF(T35="NorthBound","&gt;=","&lt;=")&amp;Z35,[2]Variables!$M$2:$M$19,IF(T35="NorthBound","&lt;=","&gt;=")&amp;AA35)</f>
        <v>12</v>
      </c>
      <c r="W35" s="60" t="str">
        <f t="shared" ref="W35:W66" si="13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https://search-rtdc-monitor-bjffxe2xuh6vdkpspy63sjmuny.us-east-1.es.amazonaws.com/_plugin/kibana/#/discover/Steve-Slow-Train-Analysis-(2080s-and-2083s)?_g=(refreshInterval:(display:Off,section:0,value:0),time:(from:'2016-05-03 08:22:23-0600',mode:absolute,to:'2016-05-03 09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5" s="60" t="str">
        <f t="shared" ref="X35:X66" si="14">IF(AB35&lt;23,"Y","N")</f>
        <v>N</v>
      </c>
      <c r="Y35" s="60">
        <f t="shared" si="10"/>
        <v>1</v>
      </c>
      <c r="Z35" s="60">
        <f t="shared" ref="Z35:Z66" si="15">RIGHT(D35,LEN(D35)-4)/10000</f>
        <v>23.302299999999999</v>
      </c>
      <c r="AA35" s="60">
        <f t="shared" ref="AA35:AA66" si="16">RIGHT(H35,LEN(H35)-4)/10000</f>
        <v>1.67E-2</v>
      </c>
      <c r="AB35" s="60">
        <f t="shared" ref="AB35:AB66" si="17">ABS(AA35-Z35)</f>
        <v>23.285599999999999</v>
      </c>
      <c r="AC35" s="61">
        <f>VLOOKUP(A35,Enforcements!$C$3:$J$40,8,0)</f>
        <v>156300</v>
      </c>
      <c r="AD35" s="61" t="str">
        <f>VLOOKUP(A35,Enforcements!$C$3:$J$40,3,0)</f>
        <v>PERMANENT SPEED RESTRICTION</v>
      </c>
    </row>
    <row r="36" spans="1:30" s="2" customFormat="1" x14ac:dyDescent="0.25">
      <c r="A36" s="66" t="s">
        <v>286</v>
      </c>
      <c r="B36" s="66">
        <v>4038</v>
      </c>
      <c r="C36" s="66" t="s">
        <v>448</v>
      </c>
      <c r="D36" s="66" t="s">
        <v>508</v>
      </c>
      <c r="E36" s="30">
        <v>42493.319039351853</v>
      </c>
      <c r="F36" s="30">
        <v>42493.320335648146</v>
      </c>
      <c r="G36" s="38">
        <v>1</v>
      </c>
      <c r="H36" s="30" t="s">
        <v>454</v>
      </c>
      <c r="I36" s="30">
        <v>42493.348553240743</v>
      </c>
      <c r="J36" s="66">
        <v>1</v>
      </c>
      <c r="K36" s="66" t="str">
        <f t="shared" si="11"/>
        <v>4037/4038</v>
      </c>
      <c r="L36" s="66" t="str">
        <f>VLOOKUP(A36,'Trips&amp;Operators'!$C$1:$E$9999,3,FALSE)</f>
        <v>CHANDLER</v>
      </c>
      <c r="M36" s="12">
        <f t="shared" si="12"/>
        <v>2.8217592596774921E-2</v>
      </c>
      <c r="N36" s="13">
        <f t="shared" si="2"/>
        <v>40.633333339355886</v>
      </c>
      <c r="O36" s="13"/>
      <c r="P36" s="13"/>
      <c r="Q36" s="67"/>
      <c r="R36" s="67"/>
      <c r="S36" s="87">
        <f t="shared" si="8"/>
        <v>1</v>
      </c>
      <c r="T36" s="2" t="str">
        <f t="shared" si="9"/>
        <v>NorthBound</v>
      </c>
      <c r="U36" s="74">
        <f>COUNTIFS([2]Variables!$M$2:$M$19,IF(T36="NorthBound","&gt;=","&lt;=")&amp;Z36,[2]Variables!$M$2:$M$19,IF(T36="NorthBound","&lt;=","&gt;=")&amp;AA36)</f>
        <v>12</v>
      </c>
      <c r="W36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07:38:25-0600',mode:absolute,to:'2016-05-03 08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6" s="60" t="str">
        <f t="shared" si="14"/>
        <v>N</v>
      </c>
      <c r="Y36" s="60">
        <f t="shared" si="10"/>
        <v>1</v>
      </c>
      <c r="Z36" s="60">
        <f t="shared" si="15"/>
        <v>4.6600000000000003E-2</v>
      </c>
      <c r="AA36" s="60">
        <f t="shared" si="16"/>
        <v>23.331700000000001</v>
      </c>
      <c r="AB36" s="60">
        <f t="shared" si="17"/>
        <v>23.2851</v>
      </c>
      <c r="AC36" s="61" t="e">
        <f>VLOOKUP(A36,Enforcements!$C$3:$J$40,8,0)</f>
        <v>#N/A</v>
      </c>
      <c r="AD36" s="61" t="e">
        <f>VLOOKUP(A36,Enforcements!$C$3:$J$40,3,0)</f>
        <v>#N/A</v>
      </c>
    </row>
    <row r="37" spans="1:30" s="2" customFormat="1" x14ac:dyDescent="0.25">
      <c r="A37" s="66" t="s">
        <v>291</v>
      </c>
      <c r="B37" s="66">
        <v>4037</v>
      </c>
      <c r="C37" s="66" t="s">
        <v>448</v>
      </c>
      <c r="D37" s="66" t="s">
        <v>509</v>
      </c>
      <c r="E37" s="30">
        <v>42493.360358796293</v>
      </c>
      <c r="F37" s="30">
        <v>42493.36136574074</v>
      </c>
      <c r="G37" s="38">
        <v>1</v>
      </c>
      <c r="H37" s="30" t="s">
        <v>510</v>
      </c>
      <c r="I37" s="30">
        <v>42493.387800925928</v>
      </c>
      <c r="J37" s="66">
        <v>1</v>
      </c>
      <c r="K37" s="66" t="str">
        <f t="shared" si="11"/>
        <v>4037/4038</v>
      </c>
      <c r="L37" s="66" t="str">
        <f>VLOOKUP(A37,'Trips&amp;Operators'!$C$1:$E$9999,3,FALSE)</f>
        <v>CHANDLER</v>
      </c>
      <c r="M37" s="12">
        <f t="shared" si="12"/>
        <v>2.6435185187438037E-2</v>
      </c>
      <c r="N37" s="13">
        <f t="shared" si="2"/>
        <v>38.066666669910774</v>
      </c>
      <c r="O37" s="13"/>
      <c r="P37" s="13"/>
      <c r="Q37" s="67"/>
      <c r="R37" s="67"/>
      <c r="S37" s="87">
        <f t="shared" si="8"/>
        <v>1</v>
      </c>
      <c r="T37" s="2" t="str">
        <f t="shared" si="9"/>
        <v>Southbound</v>
      </c>
      <c r="U37" s="74">
        <f>COUNTIFS([2]Variables!$M$2:$M$19,IF(T37="NorthBound","&gt;=","&lt;=")&amp;Z37,[2]Variables!$M$2:$M$19,IF(T37="NorthBound","&lt;=","&gt;=")&amp;AA37)</f>
        <v>12</v>
      </c>
      <c r="W37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08:37:55-0600',mode:absolute,to:'2016-05-03 09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7" s="60" t="str">
        <f t="shared" si="14"/>
        <v>N</v>
      </c>
      <c r="Y37" s="60">
        <f t="shared" si="10"/>
        <v>1</v>
      </c>
      <c r="Z37" s="60">
        <f t="shared" si="15"/>
        <v>23.299399999999999</v>
      </c>
      <c r="AA37" s="60">
        <f t="shared" si="16"/>
        <v>1.43E-2</v>
      </c>
      <c r="AB37" s="60">
        <f t="shared" si="17"/>
        <v>23.2851</v>
      </c>
      <c r="AC37" s="61">
        <f>VLOOKUP(A37,Enforcements!$C$3:$J$40,8,0)</f>
        <v>10694</v>
      </c>
      <c r="AD37" s="61" t="str">
        <f>VLOOKUP(A37,Enforcements!$C$3:$J$40,3,0)</f>
        <v>PERMANENT SPEED RESTRICTION</v>
      </c>
    </row>
    <row r="38" spans="1:30" s="2" customFormat="1" x14ac:dyDescent="0.25">
      <c r="A38" s="66" t="s">
        <v>424</v>
      </c>
      <c r="B38" s="66">
        <v>4042</v>
      </c>
      <c r="C38" s="66" t="s">
        <v>448</v>
      </c>
      <c r="D38" s="66" t="s">
        <v>511</v>
      </c>
      <c r="E38" s="30">
        <v>42493.326990740738</v>
      </c>
      <c r="F38" s="30">
        <v>42493.327893518515</v>
      </c>
      <c r="G38" s="38">
        <v>1</v>
      </c>
      <c r="H38" s="30" t="s">
        <v>461</v>
      </c>
      <c r="I38" s="30">
        <v>42493.358634259261</v>
      </c>
      <c r="J38" s="66">
        <v>0</v>
      </c>
      <c r="K38" s="66" t="str">
        <f t="shared" si="11"/>
        <v>4041/4042</v>
      </c>
      <c r="L38" s="66" t="str">
        <f>VLOOKUP(A38,'Trips&amp;Operators'!$C$1:$E$9999,3,FALSE)</f>
        <v>DE LA ROSA</v>
      </c>
      <c r="M38" s="12">
        <f t="shared" si="12"/>
        <v>3.0740740745386574E-2</v>
      </c>
      <c r="N38" s="13">
        <f t="shared" si="2"/>
        <v>44.266666673356667</v>
      </c>
      <c r="O38" s="13"/>
      <c r="P38" s="13"/>
      <c r="Q38" s="67"/>
      <c r="R38" s="67"/>
      <c r="S38" s="87">
        <f t="shared" si="8"/>
        <v>1</v>
      </c>
      <c r="T38" s="2" t="str">
        <f t="shared" si="9"/>
        <v>NorthBound</v>
      </c>
      <c r="U38" s="74">
        <f>COUNTIFS([2]Variables!$M$2:$M$19,IF(T38="NorthBound","&gt;=","&lt;=")&amp;Z38,[2]Variables!$M$2:$M$19,IF(T38="NorthBound","&lt;=","&gt;=")&amp;AA38)</f>
        <v>12</v>
      </c>
      <c r="W38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07:49:52-0600',mode:absolute,to:'2016-05-03 08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8" s="60" t="str">
        <f t="shared" si="14"/>
        <v>N</v>
      </c>
      <c r="Y38" s="60">
        <f t="shared" si="10"/>
        <v>1</v>
      </c>
      <c r="Z38" s="60">
        <f t="shared" si="15"/>
        <v>4.8000000000000001E-2</v>
      </c>
      <c r="AA38" s="60">
        <f t="shared" si="16"/>
        <v>23.3291</v>
      </c>
      <c r="AB38" s="60">
        <f t="shared" si="17"/>
        <v>23.281100000000002</v>
      </c>
      <c r="AC38" s="61" t="e">
        <f>VLOOKUP(A38,Enforcements!$C$3:$J$40,8,0)</f>
        <v>#N/A</v>
      </c>
      <c r="AD38" s="61" t="e">
        <f>VLOOKUP(A38,Enforcements!$C$3:$J$40,3,0)</f>
        <v>#N/A</v>
      </c>
    </row>
    <row r="39" spans="1:30" s="2" customFormat="1" x14ac:dyDescent="0.25">
      <c r="A39" s="66" t="s">
        <v>292</v>
      </c>
      <c r="B39" s="66">
        <v>4041</v>
      </c>
      <c r="C39" s="66" t="s">
        <v>448</v>
      </c>
      <c r="D39" s="66" t="s">
        <v>512</v>
      </c>
      <c r="E39" s="30">
        <v>42493.367280092592</v>
      </c>
      <c r="F39" s="30">
        <v>42493.368888888886</v>
      </c>
      <c r="G39" s="38">
        <v>2</v>
      </c>
      <c r="H39" s="30" t="s">
        <v>513</v>
      </c>
      <c r="I39" s="30">
        <v>42493.40289351852</v>
      </c>
      <c r="J39" s="66">
        <v>2</v>
      </c>
      <c r="K39" s="66" t="str">
        <f t="shared" si="11"/>
        <v>4041/4042</v>
      </c>
      <c r="L39" s="66" t="str">
        <f>VLOOKUP(A39,'Trips&amp;Operators'!$C$1:$E$9999,3,FALSE)</f>
        <v>DE LA ROSA</v>
      </c>
      <c r="M39" s="12">
        <f t="shared" si="12"/>
        <v>3.4004629633272998E-2</v>
      </c>
      <c r="N39" s="13">
        <f t="shared" si="2"/>
        <v>48.966666671913117</v>
      </c>
      <c r="O39" s="13"/>
      <c r="P39" s="13"/>
      <c r="Q39" s="67"/>
      <c r="R39" s="67"/>
      <c r="S39" s="87">
        <f t="shared" si="8"/>
        <v>1</v>
      </c>
      <c r="T39" s="2" t="str">
        <f t="shared" si="9"/>
        <v>Southbound</v>
      </c>
      <c r="U39" s="74">
        <f>COUNTIFS([2]Variables!$M$2:$M$19,IF(T39="NorthBound","&gt;=","&lt;=")&amp;Z39,[2]Variables!$M$2:$M$19,IF(T39="NorthBound","&lt;=","&gt;=")&amp;AA39)</f>
        <v>12</v>
      </c>
      <c r="W39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08:47:53-0600',mode:absolute,to:'2016-05-03 09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9" s="60" t="str">
        <f t="shared" si="14"/>
        <v>N</v>
      </c>
      <c r="Y39" s="60">
        <f t="shared" si="10"/>
        <v>1</v>
      </c>
      <c r="Z39" s="60">
        <f t="shared" si="15"/>
        <v>23.2988</v>
      </c>
      <c r="AA39" s="60">
        <f t="shared" si="16"/>
        <v>0.1777</v>
      </c>
      <c r="AB39" s="60">
        <f t="shared" si="17"/>
        <v>23.121099999999998</v>
      </c>
      <c r="AC39" s="61" t="e">
        <f>VLOOKUP(A39,Enforcements!$C$3:$J$40,8,0)</f>
        <v>#N/A</v>
      </c>
      <c r="AD39" s="61" t="e">
        <f>VLOOKUP(A39,Enforcements!$C$3:$J$40,3,0)</f>
        <v>#N/A</v>
      </c>
    </row>
    <row r="40" spans="1:30" s="2" customFormat="1" x14ac:dyDescent="0.25">
      <c r="A40" s="66" t="s">
        <v>433</v>
      </c>
      <c r="B40" s="66">
        <v>4011</v>
      </c>
      <c r="C40" s="66" t="s">
        <v>448</v>
      </c>
      <c r="D40" s="66" t="s">
        <v>514</v>
      </c>
      <c r="E40" s="30">
        <v>42493.338645833333</v>
      </c>
      <c r="F40" s="30">
        <v>42493.343090277776</v>
      </c>
      <c r="G40" s="38">
        <v>6</v>
      </c>
      <c r="H40" s="30" t="s">
        <v>497</v>
      </c>
      <c r="I40" s="30">
        <v>42493.368761574071</v>
      </c>
      <c r="J40" s="66">
        <v>0</v>
      </c>
      <c r="K40" s="66" t="str">
        <f t="shared" si="11"/>
        <v>4011/4012</v>
      </c>
      <c r="L40" s="66" t="str">
        <f>VLOOKUP(A40,'Trips&amp;Operators'!$C$1:$E$9999,3,FALSE)</f>
        <v>ACKERMAN</v>
      </c>
      <c r="M40" s="12">
        <f t="shared" si="12"/>
        <v>2.5671296294603962E-2</v>
      </c>
      <c r="N40" s="13">
        <f t="shared" si="2"/>
        <v>36.966666664229706</v>
      </c>
      <c r="O40" s="13"/>
      <c r="P40" s="13"/>
      <c r="Q40" s="67"/>
      <c r="R40" s="67"/>
      <c r="S40" s="87">
        <f t="shared" si="8"/>
        <v>1</v>
      </c>
      <c r="T40" s="2" t="str">
        <f t="shared" si="9"/>
        <v>NorthBound</v>
      </c>
      <c r="U40" s="74">
        <f>COUNTIFS([2]Variables!$M$2:$M$19,IF(T40="NorthBound","&gt;=","&lt;=")&amp;Z40,[2]Variables!$M$2:$M$19,IF(T40="NorthBound","&lt;=","&gt;=")&amp;AA40)</f>
        <v>12</v>
      </c>
      <c r="W40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08:06:39-0600',mode:absolute,to:'2016-05-03 08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0" s="60" t="str">
        <f t="shared" si="14"/>
        <v>N</v>
      </c>
      <c r="Y40" s="60">
        <f t="shared" si="10"/>
        <v>1</v>
      </c>
      <c r="Z40" s="60">
        <f t="shared" si="15"/>
        <v>4.7500000000000001E-2</v>
      </c>
      <c r="AA40" s="60">
        <f t="shared" si="16"/>
        <v>23.3308</v>
      </c>
      <c r="AB40" s="60">
        <f t="shared" si="17"/>
        <v>23.283300000000001</v>
      </c>
      <c r="AC40" s="61" t="e">
        <f>VLOOKUP(A40,Enforcements!$C$3:$J$40,8,0)</f>
        <v>#N/A</v>
      </c>
      <c r="AD40" s="61" t="e">
        <f>VLOOKUP(A40,Enforcements!$C$3:$J$40,3,0)</f>
        <v>#N/A</v>
      </c>
    </row>
    <row r="41" spans="1:30" s="2" customFormat="1" x14ac:dyDescent="0.25">
      <c r="A41" s="66" t="s">
        <v>293</v>
      </c>
      <c r="B41" s="66">
        <v>4012</v>
      </c>
      <c r="C41" s="66" t="s">
        <v>448</v>
      </c>
      <c r="D41" s="66" t="s">
        <v>515</v>
      </c>
      <c r="E41" s="30">
        <v>42493.376828703702</v>
      </c>
      <c r="F41" s="30">
        <v>42493.377696759257</v>
      </c>
      <c r="G41" s="38">
        <v>1</v>
      </c>
      <c r="H41" s="30" t="s">
        <v>516</v>
      </c>
      <c r="I41" s="30">
        <v>42493.40898148148</v>
      </c>
      <c r="J41" s="66">
        <v>1</v>
      </c>
      <c r="K41" s="66" t="str">
        <f t="shared" si="11"/>
        <v>4011/4012</v>
      </c>
      <c r="L41" s="66" t="str">
        <f>VLOOKUP(A41,'Trips&amp;Operators'!$C$1:$E$9999,3,FALSE)</f>
        <v>ACKERMAN</v>
      </c>
      <c r="M41" s="12">
        <f t="shared" si="12"/>
        <v>3.1284722223063E-2</v>
      </c>
      <c r="N41" s="13">
        <f t="shared" si="2"/>
        <v>45.050000001210719</v>
      </c>
      <c r="O41" s="13"/>
      <c r="P41" s="13"/>
      <c r="Q41" s="67"/>
      <c r="R41" s="67"/>
      <c r="S41" s="87">
        <f t="shared" si="8"/>
        <v>1</v>
      </c>
      <c r="T41" s="2" t="str">
        <f t="shared" si="9"/>
        <v>Southbound</v>
      </c>
      <c r="U41" s="74">
        <f>COUNTIFS([2]Variables!$M$2:$M$19,IF(T41="NorthBound","&gt;=","&lt;=")&amp;Z41,[2]Variables!$M$2:$M$19,IF(T41="NorthBound","&lt;=","&gt;=")&amp;AA41)</f>
        <v>12</v>
      </c>
      <c r="W41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09:01:38-0600',mode:absolute,to:'2016-05-03 09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41" s="60" t="str">
        <f t="shared" si="14"/>
        <v>N</v>
      </c>
      <c r="Y41" s="60">
        <f t="shared" si="10"/>
        <v>1</v>
      </c>
      <c r="Z41" s="60">
        <f t="shared" si="15"/>
        <v>23.299099999999999</v>
      </c>
      <c r="AA41" s="60">
        <f t="shared" si="16"/>
        <v>2.0500000000000001E-2</v>
      </c>
      <c r="AB41" s="60">
        <f t="shared" si="17"/>
        <v>23.278600000000001</v>
      </c>
      <c r="AC41" s="61" t="e">
        <f>VLOOKUP(A41,Enforcements!$C$3:$J$40,8,0)</f>
        <v>#N/A</v>
      </c>
      <c r="AD41" s="61" t="e">
        <f>VLOOKUP(A41,Enforcements!$C$3:$J$40,3,0)</f>
        <v>#N/A</v>
      </c>
    </row>
    <row r="42" spans="1:30" s="2" customFormat="1" x14ac:dyDescent="0.25">
      <c r="A42" s="66" t="s">
        <v>290</v>
      </c>
      <c r="B42" s="66">
        <v>4027</v>
      </c>
      <c r="C42" s="66" t="s">
        <v>448</v>
      </c>
      <c r="D42" s="66" t="s">
        <v>517</v>
      </c>
      <c r="E42" s="30">
        <v>42493.347812499997</v>
      </c>
      <c r="F42" s="30">
        <v>42493.34888888889</v>
      </c>
      <c r="G42" s="38">
        <v>1</v>
      </c>
      <c r="H42" s="30" t="s">
        <v>518</v>
      </c>
      <c r="I42" s="30">
        <v>42493.37872685185</v>
      </c>
      <c r="J42" s="66">
        <v>1</v>
      </c>
      <c r="K42" s="66" t="str">
        <f t="shared" si="11"/>
        <v>4027/4028</v>
      </c>
      <c r="L42" s="66" t="str">
        <f>VLOOKUP(A42,'Trips&amp;Operators'!$C$1:$E$9999,3,FALSE)</f>
        <v>NEWELL</v>
      </c>
      <c r="M42" s="12">
        <f t="shared" si="12"/>
        <v>2.9837962960300501E-2</v>
      </c>
      <c r="N42" s="13">
        <f t="shared" si="2"/>
        <v>42.966666662832722</v>
      </c>
      <c r="O42" s="13"/>
      <c r="P42" s="13"/>
      <c r="Q42" s="67"/>
      <c r="R42" s="67"/>
      <c r="S42" s="87">
        <f t="shared" si="8"/>
        <v>1</v>
      </c>
      <c r="T42" s="2" t="str">
        <f t="shared" si="9"/>
        <v>NorthBound</v>
      </c>
      <c r="U42" s="74">
        <f>COUNTIFS([2]Variables!$M$2:$M$19,IF(T42="NorthBound","&gt;=","&lt;=")&amp;Z42,[2]Variables!$M$2:$M$19,IF(T42="NorthBound","&lt;=","&gt;=")&amp;AA42)</f>
        <v>12</v>
      </c>
      <c r="W42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08:19:51-0600',mode:absolute,to:'2016-05-03 09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2" s="60" t="str">
        <f t="shared" si="14"/>
        <v>N</v>
      </c>
      <c r="Y42" s="60">
        <f t="shared" si="10"/>
        <v>1</v>
      </c>
      <c r="Z42" s="60">
        <f t="shared" si="15"/>
        <v>4.6899999999999997E-2</v>
      </c>
      <c r="AA42" s="60">
        <f t="shared" si="16"/>
        <v>23.330300000000001</v>
      </c>
      <c r="AB42" s="60">
        <f t="shared" si="17"/>
        <v>23.2834</v>
      </c>
      <c r="AC42" s="61" t="e">
        <f>VLOOKUP(A42,Enforcements!$C$3:$J$40,8,0)</f>
        <v>#N/A</v>
      </c>
      <c r="AD42" s="61" t="e">
        <f>VLOOKUP(A42,Enforcements!$C$3:$J$40,3,0)</f>
        <v>#N/A</v>
      </c>
    </row>
    <row r="43" spans="1:30" s="2" customFormat="1" x14ac:dyDescent="0.25">
      <c r="A43" s="66" t="s">
        <v>296</v>
      </c>
      <c r="B43" s="66">
        <v>4028</v>
      </c>
      <c r="C43" s="66" t="s">
        <v>448</v>
      </c>
      <c r="D43" s="66" t="s">
        <v>494</v>
      </c>
      <c r="E43" s="30">
        <v>42493.380115740743</v>
      </c>
      <c r="F43" s="30">
        <v>42493.393125000002</v>
      </c>
      <c r="G43" s="38">
        <v>2</v>
      </c>
      <c r="H43" s="30" t="s">
        <v>478</v>
      </c>
      <c r="I43" s="30">
        <v>42493.418726851851</v>
      </c>
      <c r="J43" s="66">
        <v>1</v>
      </c>
      <c r="K43" s="66" t="str">
        <f t="shared" si="11"/>
        <v>4027/4028</v>
      </c>
      <c r="L43" s="66" t="str">
        <f>VLOOKUP(A43,'Trips&amp;Operators'!$C$1:$E$9999,3,FALSE)</f>
        <v>NEWELL</v>
      </c>
      <c r="M43" s="12">
        <f t="shared" si="12"/>
        <v>2.5601851848477963E-2</v>
      </c>
      <c r="N43" s="13">
        <f t="shared" si="2"/>
        <v>36.866666661808267</v>
      </c>
      <c r="O43" s="13"/>
      <c r="P43" s="13"/>
      <c r="Q43" s="67"/>
      <c r="R43" s="67"/>
      <c r="S43" s="87">
        <f t="shared" si="8"/>
        <v>1</v>
      </c>
      <c r="T43" s="2" t="str">
        <f t="shared" si="9"/>
        <v>Southbound</v>
      </c>
      <c r="U43" s="74">
        <f>COUNTIFS([2]Variables!$M$2:$M$19,IF(T43="NorthBound","&gt;=","&lt;=")&amp;Z43,[2]Variables!$M$2:$M$19,IF(T43="NorthBound","&lt;=","&gt;=")&amp;AA43)</f>
        <v>12</v>
      </c>
      <c r="W43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09:06:22-0600',mode:absolute,to:'2016-05-03 10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3" s="60" t="str">
        <f t="shared" si="14"/>
        <v>N</v>
      </c>
      <c r="Y43" s="60">
        <f t="shared" si="10"/>
        <v>1</v>
      </c>
      <c r="Z43" s="60">
        <f t="shared" si="15"/>
        <v>23.297699999999999</v>
      </c>
      <c r="AA43" s="60">
        <f t="shared" si="16"/>
        <v>1.47E-2</v>
      </c>
      <c r="AB43" s="60">
        <f t="shared" si="17"/>
        <v>23.282999999999998</v>
      </c>
      <c r="AC43" s="61" t="e">
        <f>VLOOKUP(A43,Enforcements!$C$3:$J$40,8,0)</f>
        <v>#N/A</v>
      </c>
      <c r="AD43" s="61" t="e">
        <f>VLOOKUP(A43,Enforcements!$C$3:$J$40,3,0)</f>
        <v>#N/A</v>
      </c>
    </row>
    <row r="44" spans="1:30" s="2" customFormat="1" x14ac:dyDescent="0.25">
      <c r="A44" s="66" t="s">
        <v>387</v>
      </c>
      <c r="B44" s="66">
        <v>4014</v>
      </c>
      <c r="C44" s="66" t="s">
        <v>448</v>
      </c>
      <c r="D44" s="66" t="s">
        <v>488</v>
      </c>
      <c r="E44" s="30">
        <v>42493.358680555553</v>
      </c>
      <c r="F44" s="30">
        <v>42493.360138888886</v>
      </c>
      <c r="G44" s="38">
        <v>2</v>
      </c>
      <c r="H44" s="30" t="s">
        <v>465</v>
      </c>
      <c r="I44" s="30">
        <v>42493.389780092592</v>
      </c>
      <c r="J44" s="66">
        <v>0</v>
      </c>
      <c r="K44" s="66" t="str">
        <f t="shared" si="11"/>
        <v>4013/4014</v>
      </c>
      <c r="L44" s="66" t="str">
        <f>VLOOKUP(A44,'Trips&amp;Operators'!$C$1:$E$9999,3,FALSE)</f>
        <v>BRUDER</v>
      </c>
      <c r="M44" s="12">
        <f t="shared" si="12"/>
        <v>2.9641203705978114E-2</v>
      </c>
      <c r="N44" s="13">
        <f t="shared" si="2"/>
        <v>42.683333336608484</v>
      </c>
      <c r="O44" s="13"/>
      <c r="P44" s="13"/>
      <c r="Q44" s="67"/>
      <c r="R44" s="67"/>
      <c r="S44" s="87">
        <f t="shared" si="8"/>
        <v>1</v>
      </c>
      <c r="T44" s="2" t="str">
        <f t="shared" si="9"/>
        <v>NorthBound</v>
      </c>
      <c r="U44" s="74">
        <f>COUNTIFS([2]Variables!$M$2:$M$19,IF(T44="NorthBound","&gt;=","&lt;=")&amp;Z44,[2]Variables!$M$2:$M$19,IF(T44="NorthBound","&lt;=","&gt;=")&amp;AA44)</f>
        <v>12</v>
      </c>
      <c r="W44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08:35:30-0600',mode:absolute,to:'2016-05-03 09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44" s="60" t="str">
        <f t="shared" si="14"/>
        <v>N</v>
      </c>
      <c r="Y44" s="60">
        <f t="shared" si="10"/>
        <v>1</v>
      </c>
      <c r="Z44" s="60">
        <f t="shared" si="15"/>
        <v>4.6199999999999998E-2</v>
      </c>
      <c r="AA44" s="60">
        <f t="shared" si="16"/>
        <v>23.3293</v>
      </c>
      <c r="AB44" s="60">
        <f t="shared" si="17"/>
        <v>23.283100000000001</v>
      </c>
      <c r="AC44" s="61" t="e">
        <f>VLOOKUP(A44,Enforcements!$C$3:$J$40,8,0)</f>
        <v>#N/A</v>
      </c>
      <c r="AD44" s="61" t="e">
        <f>VLOOKUP(A44,Enforcements!$C$3:$J$40,3,0)</f>
        <v>#N/A</v>
      </c>
    </row>
    <row r="45" spans="1:30" s="2" customFormat="1" x14ac:dyDescent="0.25">
      <c r="A45" s="66" t="s">
        <v>418</v>
      </c>
      <c r="B45" s="66">
        <v>4013</v>
      </c>
      <c r="C45" s="66" t="s">
        <v>448</v>
      </c>
      <c r="D45" s="66" t="s">
        <v>466</v>
      </c>
      <c r="E45" s="30">
        <v>42493.395671296297</v>
      </c>
      <c r="F45" s="30">
        <v>42493.396620370368</v>
      </c>
      <c r="G45" s="38">
        <v>1</v>
      </c>
      <c r="H45" s="30" t="s">
        <v>519</v>
      </c>
      <c r="I45" s="30">
        <v>42493.429907407408</v>
      </c>
      <c r="J45" s="66">
        <v>0</v>
      </c>
      <c r="K45" s="66" t="str">
        <f t="shared" si="11"/>
        <v>4013/4014</v>
      </c>
      <c r="L45" s="66" t="str">
        <f>VLOOKUP(A45,'Trips&amp;Operators'!$C$1:$E$9999,3,FALSE)</f>
        <v>BRUDER</v>
      </c>
      <c r="M45" s="12">
        <f t="shared" si="12"/>
        <v>3.3287037040281575E-2</v>
      </c>
      <c r="N45" s="13">
        <f t="shared" si="2"/>
        <v>47.933333338005468</v>
      </c>
      <c r="O45" s="13"/>
      <c r="P45" s="13"/>
      <c r="Q45" s="67"/>
      <c r="R45" s="67"/>
      <c r="S45" s="87">
        <f t="shared" si="8"/>
        <v>1</v>
      </c>
      <c r="T45" s="2" t="str">
        <f t="shared" si="9"/>
        <v>Southbound</v>
      </c>
      <c r="U45" s="74">
        <f>COUNTIFS([2]Variables!$M$2:$M$19,IF(T45="NorthBound","&gt;=","&lt;=")&amp;Z45,[2]Variables!$M$2:$M$19,IF(T45="NorthBound","&lt;=","&gt;=")&amp;AA45)</f>
        <v>12</v>
      </c>
      <c r="W45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09:28:46-0600',mode:absolute,to:'2016-05-03 10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5" s="60" t="str">
        <f t="shared" si="14"/>
        <v>N</v>
      </c>
      <c r="Y45" s="60">
        <f t="shared" si="10"/>
        <v>1</v>
      </c>
      <c r="Z45" s="60">
        <f t="shared" si="15"/>
        <v>23.2987</v>
      </c>
      <c r="AA45" s="60">
        <f t="shared" si="16"/>
        <v>1.4500000000000001E-2</v>
      </c>
      <c r="AB45" s="60">
        <f t="shared" si="17"/>
        <v>23.284199999999998</v>
      </c>
      <c r="AC45" s="61" t="e">
        <f>VLOOKUP(A45,Enforcements!$C$3:$J$40,8,0)</f>
        <v>#N/A</v>
      </c>
      <c r="AD45" s="61" t="e">
        <f>VLOOKUP(A45,Enforcements!$C$3:$J$40,3,0)</f>
        <v>#N/A</v>
      </c>
    </row>
    <row r="46" spans="1:30" s="2" customFormat="1" x14ac:dyDescent="0.25">
      <c r="A46" s="66" t="s">
        <v>389</v>
      </c>
      <c r="B46" s="66">
        <v>4024</v>
      </c>
      <c r="C46" s="66" t="s">
        <v>448</v>
      </c>
      <c r="D46" s="66" t="s">
        <v>508</v>
      </c>
      <c r="E46" s="30">
        <v>42493.371134259258</v>
      </c>
      <c r="F46" s="30">
        <v>42493.372337962966</v>
      </c>
      <c r="G46" s="38">
        <v>1</v>
      </c>
      <c r="H46" s="30" t="s">
        <v>520</v>
      </c>
      <c r="I46" s="30">
        <v>42493.400613425925</v>
      </c>
      <c r="J46" s="66">
        <v>0</v>
      </c>
      <c r="K46" s="66" t="str">
        <f t="shared" si="11"/>
        <v>4023/4024</v>
      </c>
      <c r="L46" s="66" t="str">
        <f>VLOOKUP(A46,'Trips&amp;Operators'!$C$1:$E$9999,3,FALSE)</f>
        <v>SPECTOR</v>
      </c>
      <c r="M46" s="12">
        <f t="shared" si="12"/>
        <v>2.827546295884531E-2</v>
      </c>
      <c r="N46" s="13">
        <f t="shared" si="2"/>
        <v>40.716666660737246</v>
      </c>
      <c r="O46" s="13"/>
      <c r="P46" s="13"/>
      <c r="Q46" s="67"/>
      <c r="R46" s="67"/>
      <c r="S46" s="87">
        <f t="shared" si="8"/>
        <v>1</v>
      </c>
      <c r="T46" s="2" t="str">
        <f t="shared" si="9"/>
        <v>NorthBound</v>
      </c>
      <c r="U46" s="74">
        <f>COUNTIFS([2]Variables!$M$2:$M$19,IF(T46="NorthBound","&gt;=","&lt;=")&amp;Z46,[2]Variables!$M$2:$M$19,IF(T46="NorthBound","&lt;=","&gt;=")&amp;AA46)</f>
        <v>12</v>
      </c>
      <c r="W46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08:53:26-0600',mode:absolute,to:'2016-05-03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6" s="60" t="str">
        <f t="shared" si="14"/>
        <v>N</v>
      </c>
      <c r="Y46" s="60">
        <f t="shared" si="10"/>
        <v>1</v>
      </c>
      <c r="Z46" s="60">
        <f t="shared" si="15"/>
        <v>4.6600000000000003E-2</v>
      </c>
      <c r="AA46" s="60">
        <f t="shared" si="16"/>
        <v>23.3443</v>
      </c>
      <c r="AB46" s="60">
        <f t="shared" si="17"/>
        <v>23.297699999999999</v>
      </c>
      <c r="AC46" s="61" t="e">
        <f>VLOOKUP(A46,Enforcements!$C$3:$J$40,8,0)</f>
        <v>#N/A</v>
      </c>
      <c r="AD46" s="61" t="e">
        <f>VLOOKUP(A46,Enforcements!$C$3:$J$40,3,0)</f>
        <v>#N/A</v>
      </c>
    </row>
    <row r="47" spans="1:30" s="2" customFormat="1" x14ac:dyDescent="0.25">
      <c r="A47" s="66" t="s">
        <v>297</v>
      </c>
      <c r="B47" s="66">
        <v>4023</v>
      </c>
      <c r="C47" s="66" t="s">
        <v>448</v>
      </c>
      <c r="D47" s="66" t="s">
        <v>477</v>
      </c>
      <c r="E47" s="30">
        <v>42493.407604166663</v>
      </c>
      <c r="F47" s="30">
        <v>42493.408692129633</v>
      </c>
      <c r="G47" s="38">
        <v>1</v>
      </c>
      <c r="H47" s="30" t="s">
        <v>521</v>
      </c>
      <c r="I47" s="30">
        <v>42493.443078703705</v>
      </c>
      <c r="J47" s="66">
        <v>1</v>
      </c>
      <c r="K47" s="66" t="str">
        <f t="shared" si="11"/>
        <v>4023/4024</v>
      </c>
      <c r="L47" s="66" t="str">
        <f>VLOOKUP(A47,'Trips&amp;Operators'!$C$1:$E$9999,3,FALSE)</f>
        <v>SPECTOR</v>
      </c>
      <c r="M47" s="12">
        <f t="shared" si="12"/>
        <v>3.4386574072414078E-2</v>
      </c>
      <c r="N47" s="13">
        <f t="shared" si="2"/>
        <v>49.516666664276272</v>
      </c>
      <c r="O47" s="13"/>
      <c r="P47" s="13"/>
      <c r="Q47" s="67"/>
      <c r="R47" s="67"/>
      <c r="S47" s="87">
        <f t="shared" si="8"/>
        <v>1</v>
      </c>
      <c r="T47" s="2" t="str">
        <f t="shared" si="9"/>
        <v>Southbound</v>
      </c>
      <c r="U47" s="74">
        <f>COUNTIFS([2]Variables!$M$2:$M$19,IF(T47="NorthBound","&gt;=","&lt;=")&amp;Z47,[2]Variables!$M$2:$M$19,IF(T47="NorthBound","&lt;=","&gt;=")&amp;AA47)</f>
        <v>12</v>
      </c>
      <c r="W47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09:45:57-0600',mode:absolute,to:'2016-05-03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7" s="60" t="str">
        <f t="shared" si="14"/>
        <v>N</v>
      </c>
      <c r="Y47" s="60">
        <f t="shared" si="10"/>
        <v>1</v>
      </c>
      <c r="Z47" s="60">
        <f t="shared" si="15"/>
        <v>23.299199999999999</v>
      </c>
      <c r="AA47" s="60">
        <f t="shared" si="16"/>
        <v>2.5399999999999999E-2</v>
      </c>
      <c r="AB47" s="60">
        <f t="shared" si="17"/>
        <v>23.273799999999998</v>
      </c>
      <c r="AC47" s="61" t="e">
        <f>VLOOKUP(A47,Enforcements!$C$3:$J$40,8,0)</f>
        <v>#N/A</v>
      </c>
      <c r="AD47" s="61" t="e">
        <f>VLOOKUP(A47,Enforcements!$C$3:$J$40,3,0)</f>
        <v>#N/A</v>
      </c>
    </row>
    <row r="48" spans="1:30" s="2" customFormat="1" x14ac:dyDescent="0.25">
      <c r="A48" s="66" t="s">
        <v>294</v>
      </c>
      <c r="B48" s="66">
        <v>4031</v>
      </c>
      <c r="C48" s="66" t="s">
        <v>448</v>
      </c>
      <c r="D48" s="66" t="s">
        <v>511</v>
      </c>
      <c r="E48" s="30">
        <v>42493.383796296293</v>
      </c>
      <c r="F48" s="30">
        <v>42493.384675925925</v>
      </c>
      <c r="G48" s="38">
        <v>1</v>
      </c>
      <c r="H48" s="30" t="s">
        <v>522</v>
      </c>
      <c r="I48" s="30">
        <v>42493.411064814813</v>
      </c>
      <c r="J48" s="66">
        <v>1</v>
      </c>
      <c r="K48" s="66" t="str">
        <f t="shared" si="11"/>
        <v>4031/4032</v>
      </c>
      <c r="L48" s="66" t="str">
        <f>VLOOKUP(A48,'Trips&amp;Operators'!$C$1:$E$9999,3,FALSE)</f>
        <v>STARKS</v>
      </c>
      <c r="M48" s="12">
        <f t="shared" si="12"/>
        <v>2.6388888887595385E-2</v>
      </c>
      <c r="N48" s="13">
        <f t="shared" si="2"/>
        <v>37.999999998137355</v>
      </c>
      <c r="O48" s="13"/>
      <c r="P48" s="13"/>
      <c r="Q48" s="67"/>
      <c r="R48" s="67"/>
      <c r="S48" s="87">
        <f t="shared" si="8"/>
        <v>1</v>
      </c>
      <c r="T48" s="2" t="str">
        <f t="shared" si="9"/>
        <v>NorthBound</v>
      </c>
      <c r="U48" s="74">
        <f>COUNTIFS([2]Variables!$M$2:$M$19,IF(T48="NorthBound","&gt;=","&lt;=")&amp;Z48,[2]Variables!$M$2:$M$19,IF(T48="NorthBound","&lt;=","&gt;=")&amp;AA48)</f>
        <v>12</v>
      </c>
      <c r="W48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09:11:40-0600',mode:absolute,to:'2016-05-03 09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8" s="60" t="str">
        <f t="shared" si="14"/>
        <v>N</v>
      </c>
      <c r="Y48" s="60">
        <f t="shared" si="10"/>
        <v>1</v>
      </c>
      <c r="Z48" s="60">
        <f t="shared" si="15"/>
        <v>4.8000000000000001E-2</v>
      </c>
      <c r="AA48" s="60">
        <f t="shared" si="16"/>
        <v>23.336099999999998</v>
      </c>
      <c r="AB48" s="60">
        <f t="shared" si="17"/>
        <v>23.2881</v>
      </c>
      <c r="AC48" s="61">
        <f>VLOOKUP(A48,Enforcements!$C$3:$J$40,8,0)</f>
        <v>230436</v>
      </c>
      <c r="AD48" s="61" t="str">
        <f>VLOOKUP(A48,Enforcements!$C$3:$J$40,3,0)</f>
        <v>PERMANENT SPEED RESTRICTION</v>
      </c>
    </row>
    <row r="49" spans="1:30" s="2" customFormat="1" x14ac:dyDescent="0.25">
      <c r="A49" s="66" t="s">
        <v>398</v>
      </c>
      <c r="B49" s="66">
        <v>4032</v>
      </c>
      <c r="C49" s="66" t="s">
        <v>448</v>
      </c>
      <c r="D49" s="66" t="s">
        <v>523</v>
      </c>
      <c r="E49" s="30">
        <v>42493.423171296294</v>
      </c>
      <c r="F49" s="30">
        <v>42493.423888888887</v>
      </c>
      <c r="G49" s="38">
        <v>1</v>
      </c>
      <c r="H49" s="30" t="s">
        <v>524</v>
      </c>
      <c r="I49" s="30">
        <v>42493.455891203703</v>
      </c>
      <c r="J49" s="66">
        <v>0</v>
      </c>
      <c r="K49" s="66" t="str">
        <f t="shared" si="11"/>
        <v>4031/4032</v>
      </c>
      <c r="L49" s="66" t="str">
        <f>VLOOKUP(A49,'Trips&amp;Operators'!$C$1:$E$9999,3,FALSE)</f>
        <v>STARKS</v>
      </c>
      <c r="M49" s="12">
        <f t="shared" si="12"/>
        <v>3.2002314816054422E-2</v>
      </c>
      <c r="N49" s="13">
        <f t="shared" si="2"/>
        <v>46.083333335118368</v>
      </c>
      <c r="O49" s="13"/>
      <c r="P49" s="13"/>
      <c r="Q49" s="67"/>
      <c r="R49" s="67"/>
      <c r="S49" s="87">
        <f t="shared" si="8"/>
        <v>1</v>
      </c>
      <c r="T49" s="2" t="str">
        <f t="shared" si="9"/>
        <v>Southbound</v>
      </c>
      <c r="U49" s="74">
        <f>COUNTIFS([2]Variables!$M$2:$M$19,IF(T49="NorthBound","&gt;=","&lt;=")&amp;Z49,[2]Variables!$M$2:$M$19,IF(T49="NorthBound","&lt;=","&gt;=")&amp;AA49)</f>
        <v>12</v>
      </c>
      <c r="W49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10:08:22-0600',mode:absolute,to:'2016-05-03 10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9" s="60" t="str">
        <f t="shared" si="14"/>
        <v>N</v>
      </c>
      <c r="Y49" s="60">
        <f t="shared" si="10"/>
        <v>1</v>
      </c>
      <c r="Z49" s="60">
        <f t="shared" si="15"/>
        <v>23.3</v>
      </c>
      <c r="AA49" s="60">
        <f t="shared" si="16"/>
        <v>1.4999999999999999E-2</v>
      </c>
      <c r="AB49" s="60">
        <f t="shared" si="17"/>
        <v>23.285</v>
      </c>
      <c r="AC49" s="61" t="e">
        <f>VLOOKUP(A49,Enforcements!$C$3:$J$40,8,0)</f>
        <v>#N/A</v>
      </c>
      <c r="AD49" s="61" t="e">
        <f>VLOOKUP(A49,Enforcements!$C$3:$J$40,3,0)</f>
        <v>#N/A</v>
      </c>
    </row>
    <row r="50" spans="1:30" s="2" customFormat="1" x14ac:dyDescent="0.25">
      <c r="A50" s="66" t="s">
        <v>295</v>
      </c>
      <c r="B50" s="66">
        <v>4038</v>
      </c>
      <c r="C50" s="66" t="s">
        <v>448</v>
      </c>
      <c r="D50" s="66" t="s">
        <v>472</v>
      </c>
      <c r="E50" s="30">
        <v>42493.389374999999</v>
      </c>
      <c r="F50" s="30">
        <v>42493.393842592595</v>
      </c>
      <c r="G50" s="38">
        <v>6</v>
      </c>
      <c r="H50" s="30" t="s">
        <v>505</v>
      </c>
      <c r="I50" s="30">
        <v>42493.423333333332</v>
      </c>
      <c r="J50" s="66">
        <v>1</v>
      </c>
      <c r="K50" s="66" t="str">
        <f t="shared" si="11"/>
        <v>4037/4038</v>
      </c>
      <c r="L50" s="66" t="str">
        <f>VLOOKUP(A50,'Trips&amp;Operators'!$C$1:$E$9999,3,FALSE)</f>
        <v>CHANDLER</v>
      </c>
      <c r="M50" s="12">
        <f t="shared" si="12"/>
        <v>2.9490740736946464E-2</v>
      </c>
      <c r="N50" s="13">
        <f t="shared" si="2"/>
        <v>42.466666661202908</v>
      </c>
      <c r="O50" s="13"/>
      <c r="P50" s="13"/>
      <c r="Q50" s="67"/>
      <c r="R50" s="67"/>
      <c r="S50" s="87">
        <f t="shared" si="8"/>
        <v>1</v>
      </c>
      <c r="T50" s="2" t="str">
        <f t="shared" si="9"/>
        <v>NorthBound</v>
      </c>
      <c r="U50" s="74">
        <f>COUNTIFS([2]Variables!$M$2:$M$19,IF(T50="NorthBound","&gt;=","&lt;=")&amp;Z50,[2]Variables!$M$2:$M$19,IF(T50="NorthBound","&lt;=","&gt;=")&amp;AA50)</f>
        <v>12</v>
      </c>
      <c r="W50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09:19:42-0600',mode:absolute,to:'2016-05-03 10:10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0" s="60" t="str">
        <f t="shared" si="14"/>
        <v>N</v>
      </c>
      <c r="Y50" s="60">
        <f t="shared" si="10"/>
        <v>1</v>
      </c>
      <c r="Z50" s="60">
        <f t="shared" si="15"/>
        <v>4.4200000000000003E-2</v>
      </c>
      <c r="AA50" s="60">
        <f t="shared" si="16"/>
        <v>23.3337</v>
      </c>
      <c r="AB50" s="60">
        <f t="shared" si="17"/>
        <v>23.2895</v>
      </c>
      <c r="AC50" s="61">
        <f>VLOOKUP(A50,Enforcements!$C$3:$J$40,8,0)</f>
        <v>144300</v>
      </c>
      <c r="AD50" s="61" t="str">
        <f>VLOOKUP(A50,Enforcements!$C$3:$J$40,3,0)</f>
        <v>SIGNAL</v>
      </c>
    </row>
    <row r="51" spans="1:30" s="2" customFormat="1" x14ac:dyDescent="0.25">
      <c r="A51" s="66" t="s">
        <v>298</v>
      </c>
      <c r="B51" s="66">
        <v>4037</v>
      </c>
      <c r="C51" s="66" t="s">
        <v>448</v>
      </c>
      <c r="D51" s="66" t="s">
        <v>509</v>
      </c>
      <c r="E51" s="30">
        <v>42493.428553240738</v>
      </c>
      <c r="F51" s="30">
        <v>42493.430520833332</v>
      </c>
      <c r="G51" s="38">
        <v>2</v>
      </c>
      <c r="H51" s="30" t="s">
        <v>510</v>
      </c>
      <c r="I51" s="30">
        <v>42493.462858796294</v>
      </c>
      <c r="J51" s="66">
        <v>1</v>
      </c>
      <c r="K51" s="66" t="str">
        <f t="shared" si="11"/>
        <v>4037/4038</v>
      </c>
      <c r="L51" s="66" t="str">
        <f>VLOOKUP(A51,'Trips&amp;Operators'!$C$1:$E$9999,3,FALSE)</f>
        <v>CHANDLER</v>
      </c>
      <c r="M51" s="12">
        <f t="shared" si="12"/>
        <v>3.2337962962628808E-2</v>
      </c>
      <c r="N51" s="13">
        <f t="shared" si="2"/>
        <v>46.566666666185483</v>
      </c>
      <c r="O51" s="13"/>
      <c r="P51" s="13"/>
      <c r="Q51" s="67"/>
      <c r="R51" s="67"/>
      <c r="S51" s="87">
        <f t="shared" si="8"/>
        <v>1</v>
      </c>
      <c r="T51" s="2" t="str">
        <f t="shared" si="9"/>
        <v>Southbound</v>
      </c>
      <c r="U51" s="74">
        <f>COUNTIFS([2]Variables!$M$2:$M$19,IF(T51="NorthBound","&gt;=","&lt;=")&amp;Z51,[2]Variables!$M$2:$M$19,IF(T51="NorthBound","&lt;=","&gt;=")&amp;AA51)</f>
        <v>12</v>
      </c>
      <c r="W51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10:16:07-0600',mode:absolute,to:'2016-05-03 11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1" s="60" t="str">
        <f t="shared" si="14"/>
        <v>N</v>
      </c>
      <c r="Y51" s="60">
        <f t="shared" si="10"/>
        <v>1</v>
      </c>
      <c r="Z51" s="60">
        <f t="shared" si="15"/>
        <v>23.299399999999999</v>
      </c>
      <c r="AA51" s="60">
        <f t="shared" si="16"/>
        <v>1.43E-2</v>
      </c>
      <c r="AB51" s="60">
        <f t="shared" si="17"/>
        <v>23.2851</v>
      </c>
      <c r="AC51" s="61" t="e">
        <f>VLOOKUP(A51,Enforcements!$C$3:$J$40,8,0)</f>
        <v>#N/A</v>
      </c>
      <c r="AD51" s="61" t="e">
        <f>VLOOKUP(A51,Enforcements!$C$3:$J$40,3,0)</f>
        <v>#N/A</v>
      </c>
    </row>
    <row r="52" spans="1:30" s="2" customFormat="1" x14ac:dyDescent="0.25">
      <c r="A52" s="66" t="s">
        <v>392</v>
      </c>
      <c r="B52" s="66">
        <v>4025</v>
      </c>
      <c r="C52" s="66" t="s">
        <v>448</v>
      </c>
      <c r="D52" s="66" t="s">
        <v>525</v>
      </c>
      <c r="E52" s="30">
        <v>42493.407187500001</v>
      </c>
      <c r="F52" s="30">
        <v>42493.408587962964</v>
      </c>
      <c r="G52" s="38">
        <v>2</v>
      </c>
      <c r="H52" s="30" t="s">
        <v>473</v>
      </c>
      <c r="I52" s="30">
        <v>42493.434745370374</v>
      </c>
      <c r="J52" s="66">
        <v>0</v>
      </c>
      <c r="K52" s="66" t="str">
        <f t="shared" si="11"/>
        <v>4025/4026</v>
      </c>
      <c r="L52" s="66" t="str">
        <f>VLOOKUP(A52,'Trips&amp;Operators'!$C$1:$E$9999,3,FALSE)</f>
        <v>DE LA ROSA</v>
      </c>
      <c r="M52" s="12">
        <f t="shared" si="12"/>
        <v>2.6157407410209998E-2</v>
      </c>
      <c r="N52" s="13">
        <f t="shared" si="2"/>
        <v>37.666666670702398</v>
      </c>
      <c r="O52" s="13"/>
      <c r="P52" s="13"/>
      <c r="Q52" s="67"/>
      <c r="R52" s="67"/>
      <c r="S52" s="87">
        <f t="shared" si="8"/>
        <v>1</v>
      </c>
      <c r="T52" s="2" t="str">
        <f t="shared" si="9"/>
        <v>NorthBound</v>
      </c>
      <c r="U52" s="74">
        <f>COUNTIFS([2]Variables!$M$2:$M$19,IF(T52="NorthBound","&gt;=","&lt;=")&amp;Z52,[2]Variables!$M$2:$M$19,IF(T52="NorthBound","&lt;=","&gt;=")&amp;AA52)</f>
        <v>12</v>
      </c>
      <c r="W52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09:45:21-0600',mode:absolute,to:'2016-05-03 10:27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2" s="60" t="str">
        <f t="shared" si="14"/>
        <v>N</v>
      </c>
      <c r="Y52" s="60">
        <f t="shared" si="10"/>
        <v>1</v>
      </c>
      <c r="Z52" s="60">
        <f t="shared" si="15"/>
        <v>4.5699999999999998E-2</v>
      </c>
      <c r="AA52" s="60">
        <f t="shared" si="16"/>
        <v>23.3306</v>
      </c>
      <c r="AB52" s="60">
        <f t="shared" si="17"/>
        <v>23.2849</v>
      </c>
      <c r="AC52" s="61" t="e">
        <f>VLOOKUP(A52,Enforcements!$C$3:$J$40,8,0)</f>
        <v>#N/A</v>
      </c>
      <c r="AD52" s="61" t="e">
        <f>VLOOKUP(A52,Enforcements!$C$3:$J$40,3,0)</f>
        <v>#N/A</v>
      </c>
    </row>
    <row r="53" spans="1:30" s="2" customFormat="1" x14ac:dyDescent="0.25">
      <c r="A53" s="66" t="s">
        <v>395</v>
      </c>
      <c r="B53" s="66">
        <v>4026</v>
      </c>
      <c r="C53" s="66" t="s">
        <v>448</v>
      </c>
      <c r="D53" s="66" t="s">
        <v>498</v>
      </c>
      <c r="E53" s="30">
        <v>42493.444606481484</v>
      </c>
      <c r="F53" s="30">
        <v>42493.445636574077</v>
      </c>
      <c r="G53" s="38">
        <v>1</v>
      </c>
      <c r="H53" s="30" t="s">
        <v>478</v>
      </c>
      <c r="I53" s="30">
        <v>42493.482743055552</v>
      </c>
      <c r="J53" s="66">
        <v>0</v>
      </c>
      <c r="K53" s="66" t="str">
        <f t="shared" si="11"/>
        <v>4025/4026</v>
      </c>
      <c r="L53" s="66" t="str">
        <f>VLOOKUP(A53,'Trips&amp;Operators'!$C$1:$E$9999,3,FALSE)</f>
        <v>DE LA ROSA</v>
      </c>
      <c r="M53" s="12">
        <f t="shared" si="12"/>
        <v>3.7106481475348119E-2</v>
      </c>
      <c r="N53" s="13">
        <f t="shared" si="2"/>
        <v>53.433333324501291</v>
      </c>
      <c r="O53" s="13"/>
      <c r="P53" s="13"/>
      <c r="Q53" s="67" t="s">
        <v>618</v>
      </c>
      <c r="R53" s="67" t="s">
        <v>621</v>
      </c>
      <c r="S53" s="87">
        <f t="shared" si="8"/>
        <v>1</v>
      </c>
      <c r="T53" s="2" t="str">
        <f t="shared" si="9"/>
        <v>Southbound</v>
      </c>
      <c r="U53" s="74">
        <f>COUNTIFS([2]Variables!$M$2:$M$19,IF(T53="NorthBound","&gt;=","&lt;=")&amp;Z53,[2]Variables!$M$2:$M$19,IF(T53="NorthBound","&lt;=","&gt;=")&amp;AA53)</f>
        <v>12</v>
      </c>
      <c r="W53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10:39:14-0600',mode:absolute,to:'2016-05-03 11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3" s="60" t="str">
        <f t="shared" si="14"/>
        <v>N</v>
      </c>
      <c r="Y53" s="60">
        <f t="shared" si="10"/>
        <v>1</v>
      </c>
      <c r="Z53" s="60">
        <f t="shared" si="15"/>
        <v>23.299600000000002</v>
      </c>
      <c r="AA53" s="60">
        <f t="shared" si="16"/>
        <v>1.47E-2</v>
      </c>
      <c r="AB53" s="60">
        <f t="shared" si="17"/>
        <v>23.2849</v>
      </c>
      <c r="AC53" s="61" t="e">
        <f>VLOOKUP(A53,Enforcements!$C$3:$J$40,8,0)</f>
        <v>#N/A</v>
      </c>
      <c r="AD53" s="61" t="e">
        <f>VLOOKUP(A53,Enforcements!$C$3:$J$40,3,0)</f>
        <v>#N/A</v>
      </c>
    </row>
    <row r="54" spans="1:30" s="2" customFormat="1" x14ac:dyDescent="0.25">
      <c r="A54" s="66" t="s">
        <v>394</v>
      </c>
      <c r="B54" s="66">
        <v>4011</v>
      </c>
      <c r="C54" s="66" t="s">
        <v>448</v>
      </c>
      <c r="D54" s="66" t="s">
        <v>526</v>
      </c>
      <c r="E54" s="30">
        <v>42493.412858796299</v>
      </c>
      <c r="F54" s="30">
        <v>42493.4140625</v>
      </c>
      <c r="G54" s="38">
        <v>1</v>
      </c>
      <c r="H54" s="30" t="s">
        <v>527</v>
      </c>
      <c r="I54" s="30">
        <v>42493.443414351852</v>
      </c>
      <c r="J54" s="66">
        <v>0</v>
      </c>
      <c r="K54" s="66" t="str">
        <f t="shared" si="11"/>
        <v>4011/4012</v>
      </c>
      <c r="L54" s="66" t="str">
        <f>VLOOKUP(A54,'Trips&amp;Operators'!$C$1:$E$9999,3,FALSE)</f>
        <v>ACKERMAN</v>
      </c>
      <c r="M54" s="12">
        <f t="shared" si="12"/>
        <v>2.9351851851970423E-2</v>
      </c>
      <c r="N54" s="13">
        <f t="shared" si="2"/>
        <v>42.266666666837409</v>
      </c>
      <c r="O54" s="13"/>
      <c r="P54" s="13"/>
      <c r="Q54" s="67"/>
      <c r="R54" s="67"/>
      <c r="S54" s="87">
        <f t="shared" si="8"/>
        <v>1</v>
      </c>
      <c r="T54" s="2" t="str">
        <f t="shared" si="9"/>
        <v>NorthBound</v>
      </c>
      <c r="U54" s="74">
        <f>COUNTIFS([2]Variables!$M$2:$M$19,IF(T54="NorthBound","&gt;=","&lt;=")&amp;Z54,[2]Variables!$M$2:$M$19,IF(T54="NorthBound","&lt;=","&gt;=")&amp;AA54)</f>
        <v>12</v>
      </c>
      <c r="W54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09:53:31-0600',mode:absolute,to:'2016-05-03 10:39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4" s="60" t="str">
        <f t="shared" si="14"/>
        <v>N</v>
      </c>
      <c r="Y54" s="60">
        <f t="shared" si="10"/>
        <v>1</v>
      </c>
      <c r="Z54" s="60">
        <f t="shared" si="15"/>
        <v>5.0900000000000001E-2</v>
      </c>
      <c r="AA54" s="60">
        <f t="shared" si="16"/>
        <v>23.3309</v>
      </c>
      <c r="AB54" s="60">
        <f t="shared" si="17"/>
        <v>23.28</v>
      </c>
      <c r="AC54" s="61" t="e">
        <f>VLOOKUP(A54,Enforcements!$C$3:$J$40,8,0)</f>
        <v>#N/A</v>
      </c>
      <c r="AD54" s="61" t="e">
        <f>VLOOKUP(A54,Enforcements!$C$3:$J$40,3,0)</f>
        <v>#N/A</v>
      </c>
    </row>
    <row r="55" spans="1:30" s="2" customFormat="1" x14ac:dyDescent="0.25">
      <c r="A55" s="66" t="s">
        <v>393</v>
      </c>
      <c r="B55" s="66">
        <v>4012</v>
      </c>
      <c r="C55" s="66" t="s">
        <v>448</v>
      </c>
      <c r="D55" s="66" t="s">
        <v>512</v>
      </c>
      <c r="E55" s="30">
        <v>42493.450706018521</v>
      </c>
      <c r="F55" s="30">
        <v>42493.458553240744</v>
      </c>
      <c r="G55" s="38">
        <v>1</v>
      </c>
      <c r="H55" s="30" t="s">
        <v>528</v>
      </c>
      <c r="I55" s="30">
        <v>42493.486354166664</v>
      </c>
      <c r="J55" s="66">
        <v>0</v>
      </c>
      <c r="K55" s="66" t="str">
        <f t="shared" si="11"/>
        <v>4011/4012</v>
      </c>
      <c r="L55" s="66" t="str">
        <f>VLOOKUP(A55,'Trips&amp;Operators'!$C$1:$E$9999,3,FALSE)</f>
        <v>ACKERMAN</v>
      </c>
      <c r="M55" s="12">
        <f t="shared" si="12"/>
        <v>2.7800925920018926E-2</v>
      </c>
      <c r="N55" s="13">
        <f t="shared" si="2"/>
        <v>40.033333324827254</v>
      </c>
      <c r="O55" s="13"/>
      <c r="P55" s="13"/>
      <c r="Q55" s="67"/>
      <c r="R55" s="67"/>
      <c r="S55" s="87">
        <f t="shared" si="8"/>
        <v>1</v>
      </c>
      <c r="T55" s="2" t="str">
        <f t="shared" si="9"/>
        <v>Southbound</v>
      </c>
      <c r="U55" s="74">
        <f>COUNTIFS([2]Variables!$M$2:$M$19,IF(T55="NorthBound","&gt;=","&lt;=")&amp;Z55,[2]Variables!$M$2:$M$19,IF(T55="NorthBound","&lt;=","&gt;=")&amp;AA55)</f>
        <v>12</v>
      </c>
      <c r="W55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10:48:01-0600',mode:absolute,to:'2016-05-03 11:41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5" s="60" t="str">
        <f t="shared" si="14"/>
        <v>N</v>
      </c>
      <c r="Y55" s="60">
        <f t="shared" si="10"/>
        <v>1</v>
      </c>
      <c r="Z55" s="60">
        <f t="shared" si="15"/>
        <v>23.2988</v>
      </c>
      <c r="AA55" s="60">
        <f t="shared" si="16"/>
        <v>1.3899999999999999E-2</v>
      </c>
      <c r="AB55" s="60">
        <f t="shared" si="17"/>
        <v>23.2849</v>
      </c>
      <c r="AC55" s="61" t="e">
        <f>VLOOKUP(A55,Enforcements!$C$3:$J$40,8,0)</f>
        <v>#N/A</v>
      </c>
      <c r="AD55" s="61" t="e">
        <f>VLOOKUP(A55,Enforcements!$C$3:$J$40,3,0)</f>
        <v>#N/A</v>
      </c>
    </row>
    <row r="56" spans="1:30" s="2" customFormat="1" x14ac:dyDescent="0.25">
      <c r="A56" s="66" t="s">
        <v>350</v>
      </c>
      <c r="B56" s="66">
        <v>4027</v>
      </c>
      <c r="C56" s="66" t="s">
        <v>448</v>
      </c>
      <c r="D56" s="66" t="s">
        <v>472</v>
      </c>
      <c r="E56" s="30">
        <v>42493.42083333333</v>
      </c>
      <c r="F56" s="30">
        <v>42493.422523148147</v>
      </c>
      <c r="G56" s="38">
        <v>2</v>
      </c>
      <c r="H56" s="30" t="s">
        <v>529</v>
      </c>
      <c r="I56" s="30">
        <v>42493.457141203704</v>
      </c>
      <c r="J56" s="66">
        <v>0</v>
      </c>
      <c r="K56" s="66" t="str">
        <f t="shared" si="11"/>
        <v>4027/4028</v>
      </c>
      <c r="L56" s="66" t="str">
        <f>VLOOKUP(A56,'Trips&amp;Operators'!$C$1:$E$9999,3,FALSE)</f>
        <v>COOLAHAN</v>
      </c>
      <c r="M56" s="12">
        <f t="shared" si="12"/>
        <v>3.4618055557075422E-2</v>
      </c>
      <c r="N56" s="13"/>
      <c r="O56" s="13"/>
      <c r="P56" s="13">
        <f t="shared" si="2"/>
        <v>49.850000002188608</v>
      </c>
      <c r="Q56" s="67" t="s">
        <v>618</v>
      </c>
      <c r="R56" s="67" t="s">
        <v>619</v>
      </c>
      <c r="S56" s="87">
        <f t="shared" si="8"/>
        <v>1</v>
      </c>
      <c r="T56" s="2" t="str">
        <f t="shared" si="9"/>
        <v>NorthBound</v>
      </c>
      <c r="U56" s="74">
        <f>COUNTIFS([2]Variables!$M$2:$M$19,IF(T56="NorthBound","&gt;=","&lt;=")&amp;Z56,[2]Variables!$M$2:$M$19,IF(T56="NorthBound","&lt;=","&gt;=")&amp;AA56)</f>
        <v>12</v>
      </c>
      <c r="W56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10:05:00-0600',mode:absolute,to:'2016-05-03 10:59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6" s="60" t="str">
        <f t="shared" si="14"/>
        <v>Y</v>
      </c>
      <c r="Y56" s="60">
        <f t="shared" si="10"/>
        <v>1</v>
      </c>
      <c r="Z56" s="60">
        <f t="shared" si="15"/>
        <v>4.4200000000000003E-2</v>
      </c>
      <c r="AA56" s="60">
        <f t="shared" si="16"/>
        <v>19.716000000000001</v>
      </c>
      <c r="AB56" s="60">
        <f t="shared" si="17"/>
        <v>19.671800000000001</v>
      </c>
      <c r="AC56" s="61" t="e">
        <f>VLOOKUP(A56,Enforcements!$C$3:$J$40,8,0)</f>
        <v>#N/A</v>
      </c>
      <c r="AD56" s="61" t="e">
        <f>VLOOKUP(A56,Enforcements!$C$3:$J$40,3,0)</f>
        <v>#N/A</v>
      </c>
    </row>
    <row r="57" spans="1:30" s="2" customFormat="1" x14ac:dyDescent="0.25">
      <c r="A57" s="66" t="s">
        <v>301</v>
      </c>
      <c r="B57" s="66">
        <v>4028</v>
      </c>
      <c r="C57" s="66" t="s">
        <v>448</v>
      </c>
      <c r="D57" s="66" t="s">
        <v>530</v>
      </c>
      <c r="E57" s="30">
        <v>42493.467488425929</v>
      </c>
      <c r="F57" s="30">
        <v>42493.468888888892</v>
      </c>
      <c r="G57" s="38">
        <v>2</v>
      </c>
      <c r="H57" s="30" t="s">
        <v>531</v>
      </c>
      <c r="I57" s="30">
        <v>42493.496006944442</v>
      </c>
      <c r="J57" s="66">
        <v>1</v>
      </c>
      <c r="K57" s="66" t="str">
        <f t="shared" si="11"/>
        <v>4027/4028</v>
      </c>
      <c r="L57" s="66" t="str">
        <f>VLOOKUP(A57,'Trips&amp;Operators'!$C$1:$E$9999,3,FALSE)</f>
        <v>COOLAHAN</v>
      </c>
      <c r="M57" s="12">
        <f t="shared" si="12"/>
        <v>2.7118055550090503E-2</v>
      </c>
      <c r="N57" s="13">
        <f t="shared" si="2"/>
        <v>39.049999992130324</v>
      </c>
      <c r="O57" s="13"/>
      <c r="P57" s="13"/>
      <c r="Q57" s="67"/>
      <c r="R57" s="67"/>
      <c r="S57" s="87">
        <f t="shared" si="8"/>
        <v>1</v>
      </c>
      <c r="T57" s="2" t="str">
        <f t="shared" si="9"/>
        <v>Southbound</v>
      </c>
      <c r="U57" s="74">
        <f>COUNTIFS([2]Variables!$M$2:$M$19,IF(T57="NorthBound","&gt;=","&lt;=")&amp;Z57,[2]Variables!$M$2:$M$19,IF(T57="NorthBound","&lt;=","&gt;=")&amp;AA57)</f>
        <v>12</v>
      </c>
      <c r="W57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11:12:11-0600',mode:absolute,to:'2016-05-03 11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57" s="60" t="str">
        <f t="shared" si="14"/>
        <v>N</v>
      </c>
      <c r="Y57" s="60">
        <f t="shared" si="10"/>
        <v>1</v>
      </c>
      <c r="Z57" s="60">
        <f t="shared" si="15"/>
        <v>23.303000000000001</v>
      </c>
      <c r="AA57" s="60">
        <f t="shared" si="16"/>
        <v>3.4500000000000003E-2</v>
      </c>
      <c r="AB57" s="60">
        <f t="shared" si="17"/>
        <v>23.2685</v>
      </c>
      <c r="AC57" s="61" t="e">
        <f>VLOOKUP(A57,Enforcements!$C$3:$J$40,8,0)</f>
        <v>#N/A</v>
      </c>
      <c r="AD57" s="61" t="e">
        <f>VLOOKUP(A57,Enforcements!$C$3:$J$40,3,0)</f>
        <v>#N/A</v>
      </c>
    </row>
    <row r="58" spans="1:30" s="2" customFormat="1" x14ac:dyDescent="0.25">
      <c r="A58" s="66" t="s">
        <v>396</v>
      </c>
      <c r="B58" s="66">
        <v>4014</v>
      </c>
      <c r="C58" s="66" t="s">
        <v>448</v>
      </c>
      <c r="D58" s="66" t="s">
        <v>532</v>
      </c>
      <c r="E58" s="30">
        <v>42493.43409722222</v>
      </c>
      <c r="F58" s="30">
        <v>42493.43540509259</v>
      </c>
      <c r="G58" s="38">
        <v>1</v>
      </c>
      <c r="H58" s="30" t="s">
        <v>533</v>
      </c>
      <c r="I58" s="30">
        <v>42493.468402777777</v>
      </c>
      <c r="J58" s="66">
        <v>0</v>
      </c>
      <c r="K58" s="66" t="str">
        <f t="shared" si="11"/>
        <v>4013/4014</v>
      </c>
      <c r="L58" s="66" t="str">
        <f>VLOOKUP(A58,'Trips&amp;Operators'!$C$1:$E$9999,3,FALSE)</f>
        <v>NEWELL</v>
      </c>
      <c r="M58" s="12">
        <f t="shared" si="12"/>
        <v>3.2997685186273884E-2</v>
      </c>
      <c r="N58" s="13">
        <f t="shared" si="2"/>
        <v>47.516666668234393</v>
      </c>
      <c r="O58" s="13"/>
      <c r="P58" s="13"/>
      <c r="Q58" s="67"/>
      <c r="R58" s="67"/>
      <c r="S58" s="87">
        <f t="shared" si="8"/>
        <v>1</v>
      </c>
      <c r="T58" s="2" t="str">
        <f t="shared" si="9"/>
        <v>NorthBound</v>
      </c>
      <c r="U58" s="74">
        <f>COUNTIFS([2]Variables!$M$2:$M$19,IF(T58="NorthBound","&gt;=","&lt;=")&amp;Z58,[2]Variables!$M$2:$M$19,IF(T58="NorthBound","&lt;=","&gt;=")&amp;AA58)</f>
        <v>12</v>
      </c>
      <c r="W58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10:24:06-0600',mode:absolute,to:'2016-05-03 11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8" s="60" t="str">
        <f t="shared" si="14"/>
        <v>N</v>
      </c>
      <c r="Y58" s="60">
        <f t="shared" si="10"/>
        <v>1</v>
      </c>
      <c r="Z58" s="60">
        <f t="shared" si="15"/>
        <v>4.4400000000000002E-2</v>
      </c>
      <c r="AA58" s="60">
        <f t="shared" si="16"/>
        <v>23.330500000000001</v>
      </c>
      <c r="AB58" s="60">
        <f t="shared" si="17"/>
        <v>23.286100000000001</v>
      </c>
      <c r="AC58" s="61" t="e">
        <f>VLOOKUP(A58,Enforcements!$C$3:$J$40,8,0)</f>
        <v>#N/A</v>
      </c>
      <c r="AD58" s="61" t="e">
        <f>VLOOKUP(A58,Enforcements!$C$3:$J$40,3,0)</f>
        <v>#N/A</v>
      </c>
    </row>
    <row r="59" spans="1:30" s="2" customFormat="1" x14ac:dyDescent="0.25">
      <c r="A59" s="66" t="s">
        <v>397</v>
      </c>
      <c r="B59" s="66">
        <v>4013</v>
      </c>
      <c r="C59" s="66" t="s">
        <v>448</v>
      </c>
      <c r="D59" s="66" t="s">
        <v>534</v>
      </c>
      <c r="E59" s="30">
        <v>42493.47146990741</v>
      </c>
      <c r="F59" s="30">
        <v>42493.472743055558</v>
      </c>
      <c r="G59" s="38">
        <v>1</v>
      </c>
      <c r="H59" s="30" t="s">
        <v>503</v>
      </c>
      <c r="I59" s="30">
        <v>42493.504814814813</v>
      </c>
      <c r="J59" s="66">
        <v>0</v>
      </c>
      <c r="K59" s="66" t="str">
        <f t="shared" si="11"/>
        <v>4013/4014</v>
      </c>
      <c r="L59" s="66" t="str">
        <f>VLOOKUP(A59,'Trips&amp;Operators'!$C$1:$E$9999,3,FALSE)</f>
        <v>NEWELL</v>
      </c>
      <c r="M59" s="12">
        <f t="shared" si="12"/>
        <v>3.2071759254904464E-2</v>
      </c>
      <c r="N59" s="13">
        <f t="shared" si="2"/>
        <v>46.183333327062428</v>
      </c>
      <c r="O59" s="13"/>
      <c r="P59" s="13"/>
      <c r="Q59" s="67"/>
      <c r="R59" s="67"/>
      <c r="S59" s="87">
        <f t="shared" si="8"/>
        <v>1</v>
      </c>
      <c r="T59" s="2" t="str">
        <f t="shared" si="9"/>
        <v>Southbound</v>
      </c>
      <c r="U59" s="74">
        <f>COUNTIFS([2]Variables!$M$2:$M$19,IF(T59="NorthBound","&gt;=","&lt;=")&amp;Z59,[2]Variables!$M$2:$M$19,IF(T59="NorthBound","&lt;=","&gt;=")&amp;AA59)</f>
        <v>12</v>
      </c>
      <c r="W59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11:17:55-0600',mode:absolute,to:'2016-05-03 12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9" s="60" t="str">
        <f t="shared" si="14"/>
        <v>N</v>
      </c>
      <c r="Y59" s="60">
        <f t="shared" si="10"/>
        <v>1</v>
      </c>
      <c r="Z59" s="60">
        <f t="shared" si="15"/>
        <v>23.2971</v>
      </c>
      <c r="AA59" s="60">
        <f t="shared" si="16"/>
        <v>1.41E-2</v>
      </c>
      <c r="AB59" s="60">
        <f t="shared" si="17"/>
        <v>23.283000000000001</v>
      </c>
      <c r="AC59" s="61" t="e">
        <f>VLOOKUP(A59,Enforcements!$C$3:$J$40,8,0)</f>
        <v>#N/A</v>
      </c>
      <c r="AD59" s="61" t="e">
        <f>VLOOKUP(A59,Enforcements!$C$3:$J$40,3,0)</f>
        <v>#N/A</v>
      </c>
    </row>
    <row r="60" spans="1:30" s="2" customFormat="1" x14ac:dyDescent="0.25">
      <c r="A60" s="66" t="s">
        <v>430</v>
      </c>
      <c r="B60" s="66">
        <v>4024</v>
      </c>
      <c r="C60" s="66" t="s">
        <v>448</v>
      </c>
      <c r="D60" s="66" t="s">
        <v>535</v>
      </c>
      <c r="E60" s="30">
        <v>42493.443981481483</v>
      </c>
      <c r="F60" s="30">
        <v>42493.448078703703</v>
      </c>
      <c r="G60" s="38">
        <v>5</v>
      </c>
      <c r="H60" s="30" t="s">
        <v>473</v>
      </c>
      <c r="I60" s="30">
        <v>42493.478414351855</v>
      </c>
      <c r="J60" s="66">
        <v>0</v>
      </c>
      <c r="K60" s="66" t="str">
        <f t="shared" si="11"/>
        <v>4023/4024</v>
      </c>
      <c r="L60" s="66" t="str">
        <f>VLOOKUP(A60,'Trips&amp;Operators'!$C$1:$E$9999,3,FALSE)</f>
        <v>CANFIELD</v>
      </c>
      <c r="M60" s="12">
        <f t="shared" si="12"/>
        <v>3.033564815268619E-2</v>
      </c>
      <c r="N60" s="13">
        <f t="shared" si="2"/>
        <v>43.683333339868113</v>
      </c>
      <c r="O60" s="13"/>
      <c r="P60" s="13"/>
      <c r="Q60" s="67"/>
      <c r="R60" s="67"/>
      <c r="S60" s="87">
        <f t="shared" si="8"/>
        <v>1</v>
      </c>
      <c r="T60" s="2" t="str">
        <f t="shared" si="9"/>
        <v>NorthBound</v>
      </c>
      <c r="U60" s="74">
        <f>COUNTIFS([2]Variables!$M$2:$M$19,IF(T60="NorthBound","&gt;=","&lt;=")&amp;Z60,[2]Variables!$M$2:$M$19,IF(T60="NorthBound","&lt;=","&gt;=")&amp;AA60)</f>
        <v>12</v>
      </c>
      <c r="W60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10:38:20-0600',mode:absolute,to:'2016-05-03 11:29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0" s="60" t="str">
        <f t="shared" si="14"/>
        <v>N</v>
      </c>
      <c r="Y60" s="60">
        <f t="shared" si="10"/>
        <v>1</v>
      </c>
      <c r="Z60" s="60">
        <f t="shared" si="15"/>
        <v>5.7099999999999998E-2</v>
      </c>
      <c r="AA60" s="60">
        <f t="shared" si="16"/>
        <v>23.3306</v>
      </c>
      <c r="AB60" s="60">
        <f t="shared" si="17"/>
        <v>23.273500000000002</v>
      </c>
      <c r="AC60" s="61" t="e">
        <f>VLOOKUP(A60,Enforcements!$C$3:$J$40,8,0)</f>
        <v>#N/A</v>
      </c>
      <c r="AD60" s="61" t="e">
        <f>VLOOKUP(A60,Enforcements!$C$3:$J$40,3,0)</f>
        <v>#N/A</v>
      </c>
    </row>
    <row r="61" spans="1:30" s="2" customFormat="1" x14ac:dyDescent="0.25">
      <c r="A61" s="66" t="s">
        <v>428</v>
      </c>
      <c r="B61" s="66">
        <v>4023</v>
      </c>
      <c r="C61" s="66" t="s">
        <v>448</v>
      </c>
      <c r="D61" s="66" t="s">
        <v>536</v>
      </c>
      <c r="E61" s="30">
        <v>42493.482361111113</v>
      </c>
      <c r="F61" s="30">
        <v>42493.483831018515</v>
      </c>
      <c r="G61" s="38">
        <v>2</v>
      </c>
      <c r="H61" s="30" t="s">
        <v>519</v>
      </c>
      <c r="I61" s="30">
        <v>42493.513715277775</v>
      </c>
      <c r="J61" s="66">
        <v>0</v>
      </c>
      <c r="K61" s="66" t="str">
        <f t="shared" si="11"/>
        <v>4023/4024</v>
      </c>
      <c r="L61" s="66" t="str">
        <f>VLOOKUP(A61,'Trips&amp;Operators'!$C$1:$E$9999,3,FALSE)</f>
        <v>CANFIELD</v>
      </c>
      <c r="M61" s="12">
        <f t="shared" si="12"/>
        <v>2.9884259260143153E-2</v>
      </c>
      <c r="N61" s="13">
        <f t="shared" si="2"/>
        <v>43.033333334606141</v>
      </c>
      <c r="O61" s="13"/>
      <c r="P61" s="13"/>
      <c r="Q61" s="67"/>
      <c r="R61" s="67"/>
      <c r="S61" s="87">
        <f t="shared" si="8"/>
        <v>1</v>
      </c>
      <c r="T61" s="2" t="str">
        <f t="shared" si="9"/>
        <v>Southbound</v>
      </c>
      <c r="U61" s="74">
        <f>COUNTIFS([2]Variables!$M$2:$M$19,IF(T61="NorthBound","&gt;=","&lt;=")&amp;Z61,[2]Variables!$M$2:$M$19,IF(T61="NorthBound","&lt;=","&gt;=")&amp;AA61)</f>
        <v>12</v>
      </c>
      <c r="W61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11:33:36-0600',mode:absolute,to:'2016-05-03 12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1" s="60" t="str">
        <f t="shared" si="14"/>
        <v>N</v>
      </c>
      <c r="Y61" s="60">
        <f t="shared" si="10"/>
        <v>1</v>
      </c>
      <c r="Z61" s="60">
        <f t="shared" si="15"/>
        <v>23.298100000000002</v>
      </c>
      <c r="AA61" s="60">
        <f t="shared" si="16"/>
        <v>1.4500000000000001E-2</v>
      </c>
      <c r="AB61" s="60">
        <f t="shared" si="17"/>
        <v>23.2836</v>
      </c>
      <c r="AC61" s="61" t="e">
        <f>VLOOKUP(A61,Enforcements!$C$3:$J$40,8,0)</f>
        <v>#N/A</v>
      </c>
      <c r="AD61" s="61" t="e">
        <f>VLOOKUP(A61,Enforcements!$C$3:$J$40,3,0)</f>
        <v>#N/A</v>
      </c>
    </row>
    <row r="62" spans="1:30" s="2" customFormat="1" x14ac:dyDescent="0.25">
      <c r="A62" s="66" t="s">
        <v>299</v>
      </c>
      <c r="B62" s="66">
        <v>4031</v>
      </c>
      <c r="C62" s="66" t="s">
        <v>448</v>
      </c>
      <c r="D62" s="66" t="s">
        <v>511</v>
      </c>
      <c r="E62" s="30">
        <v>42493.459328703706</v>
      </c>
      <c r="F62" s="30">
        <v>42493.46056712963</v>
      </c>
      <c r="G62" s="38">
        <v>1</v>
      </c>
      <c r="H62" s="30" t="s">
        <v>537</v>
      </c>
      <c r="I62" s="30">
        <v>42493.48605324074</v>
      </c>
      <c r="J62" s="66">
        <v>1</v>
      </c>
      <c r="K62" s="66" t="str">
        <f t="shared" si="11"/>
        <v>4031/4032</v>
      </c>
      <c r="L62" s="66" t="str">
        <f>VLOOKUP(A62,'Trips&amp;Operators'!$C$1:$E$9999,3,FALSE)</f>
        <v>SPECTOR</v>
      </c>
      <c r="M62" s="12">
        <f t="shared" si="12"/>
        <v>2.548611110978527E-2</v>
      </c>
      <c r="N62" s="13">
        <f t="shared" si="2"/>
        <v>36.699999998090789</v>
      </c>
      <c r="O62" s="13"/>
      <c r="P62" s="13"/>
      <c r="Q62" s="67"/>
      <c r="R62" s="67"/>
      <c r="S62" s="87">
        <f t="shared" si="8"/>
        <v>1</v>
      </c>
      <c r="T62" s="2" t="str">
        <f t="shared" si="9"/>
        <v>NorthBound</v>
      </c>
      <c r="U62" s="74">
        <f>COUNTIFS([2]Variables!$M$2:$M$19,IF(T62="NorthBound","&gt;=","&lt;=")&amp;Z62,[2]Variables!$M$2:$M$19,IF(T62="NorthBound","&lt;=","&gt;=")&amp;AA62)</f>
        <v>12</v>
      </c>
      <c r="W62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11:00:26-0600',mode:absolute,to:'2016-05-03 11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2" s="60" t="str">
        <f t="shared" si="14"/>
        <v>N</v>
      </c>
      <c r="Y62" s="60">
        <f t="shared" si="10"/>
        <v>1</v>
      </c>
      <c r="Z62" s="60">
        <f t="shared" si="15"/>
        <v>4.8000000000000001E-2</v>
      </c>
      <c r="AA62" s="60">
        <f t="shared" si="16"/>
        <v>23.330100000000002</v>
      </c>
      <c r="AB62" s="60">
        <f t="shared" si="17"/>
        <v>23.282100000000003</v>
      </c>
      <c r="AC62" s="61">
        <f>VLOOKUP(A62,Enforcements!$C$3:$J$40,8,0)</f>
        <v>20338</v>
      </c>
      <c r="AD62" s="61" t="str">
        <f>VLOOKUP(A62,Enforcements!$C$3:$J$40,3,0)</f>
        <v>PERMANENT SPEED RESTRICTION</v>
      </c>
    </row>
    <row r="63" spans="1:30" s="2" customFormat="1" x14ac:dyDescent="0.25">
      <c r="A63" s="66" t="s">
        <v>302</v>
      </c>
      <c r="B63" s="66">
        <v>4032</v>
      </c>
      <c r="C63" s="66" t="s">
        <v>448</v>
      </c>
      <c r="D63" s="66" t="s">
        <v>538</v>
      </c>
      <c r="E63" s="30">
        <v>42493.494293981479</v>
      </c>
      <c r="F63" s="30">
        <v>42493.495497685188</v>
      </c>
      <c r="G63" s="38">
        <v>1</v>
      </c>
      <c r="H63" s="30" t="s">
        <v>539</v>
      </c>
      <c r="I63" s="30">
        <v>42493.527499999997</v>
      </c>
      <c r="J63" s="66">
        <v>2</v>
      </c>
      <c r="K63" s="66" t="str">
        <f t="shared" si="11"/>
        <v>4031/4032</v>
      </c>
      <c r="L63" s="66" t="str">
        <f>VLOOKUP(A63,'Trips&amp;Operators'!$C$1:$E$9999,3,FALSE)</f>
        <v>SPECTOR</v>
      </c>
      <c r="M63" s="12">
        <f t="shared" si="12"/>
        <v>3.2002314808778465E-2</v>
      </c>
      <c r="N63" s="13">
        <f t="shared" si="2"/>
        <v>46.083333324640989</v>
      </c>
      <c r="O63" s="13"/>
      <c r="P63" s="13"/>
      <c r="Q63" s="67"/>
      <c r="R63" s="67"/>
      <c r="S63" s="87">
        <f t="shared" si="8"/>
        <v>1</v>
      </c>
      <c r="T63" s="2" t="str">
        <f t="shared" si="9"/>
        <v>Southbound</v>
      </c>
      <c r="U63" s="74">
        <f>COUNTIFS([2]Variables!$M$2:$M$19,IF(T63="NorthBound","&gt;=","&lt;=")&amp;Z63,[2]Variables!$M$2:$M$19,IF(T63="NorthBound","&lt;=","&gt;=")&amp;AA63)</f>
        <v>12</v>
      </c>
      <c r="W63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11:50:47-0600',mode:absolute,to:'2016-05-03 12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3" s="60" t="str">
        <f t="shared" si="14"/>
        <v>N</v>
      </c>
      <c r="Y63" s="60">
        <f t="shared" si="10"/>
        <v>1</v>
      </c>
      <c r="Z63" s="60">
        <f t="shared" si="15"/>
        <v>23.297799999999999</v>
      </c>
      <c r="AA63" s="60">
        <f t="shared" si="16"/>
        <v>1.7000000000000001E-2</v>
      </c>
      <c r="AB63" s="60">
        <f t="shared" si="17"/>
        <v>23.280799999999999</v>
      </c>
      <c r="AC63" s="61">
        <f>VLOOKUP(A63,Enforcements!$C$3:$J$40,8,0)</f>
        <v>191723</v>
      </c>
      <c r="AD63" s="61" t="str">
        <f>VLOOKUP(A63,Enforcements!$C$3:$J$40,3,0)</f>
        <v>SWITCH UNKNOWN</v>
      </c>
    </row>
    <row r="64" spans="1:30" s="2" customFormat="1" x14ac:dyDescent="0.25">
      <c r="A64" s="66" t="s">
        <v>300</v>
      </c>
      <c r="B64" s="66">
        <v>4038</v>
      </c>
      <c r="C64" s="66" t="s">
        <v>448</v>
      </c>
      <c r="D64" s="66" t="s">
        <v>514</v>
      </c>
      <c r="E64" s="30">
        <v>42493.467581018522</v>
      </c>
      <c r="F64" s="30">
        <v>42493.469178240739</v>
      </c>
      <c r="G64" s="38">
        <v>2</v>
      </c>
      <c r="H64" s="30" t="s">
        <v>540</v>
      </c>
      <c r="I64" s="30">
        <v>42493.495462962965</v>
      </c>
      <c r="J64" s="66">
        <v>1</v>
      </c>
      <c r="K64" s="66" t="str">
        <f t="shared" si="11"/>
        <v>4037/4038</v>
      </c>
      <c r="L64" s="66" t="str">
        <f>VLOOKUP(A64,'Trips&amp;Operators'!$C$1:$E$9999,3,FALSE)</f>
        <v>YORK</v>
      </c>
      <c r="M64" s="12">
        <f t="shared" si="12"/>
        <v>2.6284722225682344E-2</v>
      </c>
      <c r="N64" s="13">
        <f t="shared" si="2"/>
        <v>37.850000004982576</v>
      </c>
      <c r="O64" s="13"/>
      <c r="P64" s="13"/>
      <c r="Q64" s="67"/>
      <c r="R64" s="67"/>
      <c r="S64" s="87">
        <f t="shared" si="8"/>
        <v>1</v>
      </c>
      <c r="T64" s="2" t="str">
        <f t="shared" si="9"/>
        <v>NorthBound</v>
      </c>
      <c r="U64" s="74">
        <f>COUNTIFS([2]Variables!$M$2:$M$19,IF(T64="NorthBound","&gt;=","&lt;=")&amp;Z64,[2]Variables!$M$2:$M$19,IF(T64="NorthBound","&lt;=","&gt;=")&amp;AA64)</f>
        <v>12</v>
      </c>
      <c r="W64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11:12:19-0600',mode:absolute,to:'2016-05-03 11:54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4" s="60" t="str">
        <f t="shared" si="14"/>
        <v>N</v>
      </c>
      <c r="Y64" s="60">
        <f t="shared" si="10"/>
        <v>1</v>
      </c>
      <c r="Z64" s="60">
        <f t="shared" si="15"/>
        <v>4.7500000000000001E-2</v>
      </c>
      <c r="AA64" s="60">
        <f t="shared" si="16"/>
        <v>23.3338</v>
      </c>
      <c r="AB64" s="60">
        <f t="shared" si="17"/>
        <v>23.286300000000001</v>
      </c>
      <c r="AC64" s="61" t="e">
        <f>VLOOKUP(A64,Enforcements!$C$3:$J$40,8,0)</f>
        <v>#N/A</v>
      </c>
      <c r="AD64" s="61" t="e">
        <f>VLOOKUP(A64,Enforcements!$C$3:$J$40,3,0)</f>
        <v>#N/A</v>
      </c>
    </row>
    <row r="65" spans="1:30" s="2" customFormat="1" x14ac:dyDescent="0.25">
      <c r="A65" s="66" t="s">
        <v>425</v>
      </c>
      <c r="B65" s="66">
        <v>4037</v>
      </c>
      <c r="C65" s="66" t="s">
        <v>448</v>
      </c>
      <c r="D65" s="66" t="s">
        <v>541</v>
      </c>
      <c r="E65" s="30">
        <v>42493.504699074074</v>
      </c>
      <c r="F65" s="30">
        <v>42493.507256944446</v>
      </c>
      <c r="G65" s="38">
        <v>3</v>
      </c>
      <c r="H65" s="30" t="s">
        <v>467</v>
      </c>
      <c r="I65" s="30">
        <v>42493.533194444448</v>
      </c>
      <c r="J65" s="66">
        <v>0</v>
      </c>
      <c r="K65" s="66" t="str">
        <f t="shared" si="11"/>
        <v>4037/4038</v>
      </c>
      <c r="L65" s="66" t="str">
        <f>VLOOKUP(A65,'Trips&amp;Operators'!$C$1:$E$9999,3,FALSE)</f>
        <v>YORK</v>
      </c>
      <c r="M65" s="12">
        <f t="shared" si="12"/>
        <v>2.5937500002328306E-2</v>
      </c>
      <c r="N65" s="13">
        <f t="shared" si="2"/>
        <v>37.350000003352761</v>
      </c>
      <c r="O65" s="13"/>
      <c r="P65" s="13"/>
      <c r="Q65" s="67"/>
      <c r="R65" s="67"/>
      <c r="S65" s="87">
        <f t="shared" si="8"/>
        <v>1</v>
      </c>
      <c r="T65" s="2" t="str">
        <f t="shared" si="9"/>
        <v>Southbound</v>
      </c>
      <c r="U65" s="74">
        <f>COUNTIFS([2]Variables!$M$2:$M$19,IF(T65="NorthBound","&gt;=","&lt;=")&amp;Z65,[2]Variables!$M$2:$M$19,IF(T65="NorthBound","&lt;=","&gt;=")&amp;AA65)</f>
        <v>12</v>
      </c>
      <c r="W65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12:05:46-0600',mode:absolute,to:'2016-05-03 12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5" s="60" t="str">
        <f t="shared" si="14"/>
        <v>N</v>
      </c>
      <c r="Y65" s="60">
        <f t="shared" si="10"/>
        <v>1</v>
      </c>
      <c r="Z65" s="60">
        <f t="shared" si="15"/>
        <v>23.300799999999999</v>
      </c>
      <c r="AA65" s="60">
        <f t="shared" si="16"/>
        <v>1.52E-2</v>
      </c>
      <c r="AB65" s="60">
        <f t="shared" si="17"/>
        <v>23.285599999999999</v>
      </c>
      <c r="AC65" s="61" t="e">
        <f>VLOOKUP(A65,Enforcements!$C$3:$J$40,8,0)</f>
        <v>#N/A</v>
      </c>
      <c r="AD65" s="61" t="e">
        <f>VLOOKUP(A65,Enforcements!$C$3:$J$40,3,0)</f>
        <v>#N/A</v>
      </c>
    </row>
    <row r="66" spans="1:30" s="2" customFormat="1" x14ac:dyDescent="0.25">
      <c r="A66" s="66" t="s">
        <v>427</v>
      </c>
      <c r="B66" s="66">
        <v>4025</v>
      </c>
      <c r="C66" s="66" t="s">
        <v>448</v>
      </c>
      <c r="D66" s="66" t="s">
        <v>542</v>
      </c>
      <c r="E66" s="30">
        <v>42493.484606481485</v>
      </c>
      <c r="F66" s="30">
        <v>42493.48542824074</v>
      </c>
      <c r="G66" s="38">
        <v>1</v>
      </c>
      <c r="H66" s="30" t="s">
        <v>476</v>
      </c>
      <c r="I66" s="30">
        <v>42493.512974537036</v>
      </c>
      <c r="J66" s="66">
        <v>0</v>
      </c>
      <c r="K66" s="66" t="str">
        <f t="shared" si="11"/>
        <v>4025/4026</v>
      </c>
      <c r="L66" s="66" t="str">
        <f>VLOOKUP(A66,'Trips&amp;Operators'!$C$1:$E$9999,3,FALSE)</f>
        <v>BEAM</v>
      </c>
      <c r="M66" s="12">
        <f t="shared" si="12"/>
        <v>2.7546296296350192E-2</v>
      </c>
      <c r="N66" s="13">
        <f t="shared" si="2"/>
        <v>39.666666666744277</v>
      </c>
      <c r="O66" s="13"/>
      <c r="P66" s="13"/>
      <c r="Q66" s="67"/>
      <c r="R66" s="67"/>
      <c r="S66" s="87">
        <f t="shared" si="8"/>
        <v>1</v>
      </c>
      <c r="T66" s="2" t="str">
        <f t="shared" si="9"/>
        <v>NorthBound</v>
      </c>
      <c r="U66" s="74">
        <f>COUNTIFS([2]Variables!$M$2:$M$19,IF(T66="NorthBound","&gt;=","&lt;=")&amp;Z66,[2]Variables!$M$2:$M$19,IF(T66="NorthBound","&lt;=","&gt;=")&amp;AA66)</f>
        <v>12</v>
      </c>
      <c r="W66" s="60" t="str">
        <f t="shared" si="13"/>
        <v>https://search-rtdc-monitor-bjffxe2xuh6vdkpspy63sjmuny.us-east-1.es.amazonaws.com/_plugin/kibana/#/discover/Steve-Slow-Train-Analysis-(2080s-and-2083s)?_g=(refreshInterval:(display:Off,section:0,value:0),time:(from:'2016-05-03 11:36:50-0600',mode:absolute,to:'2016-05-03 12:19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66" s="60" t="str">
        <f t="shared" si="14"/>
        <v>N</v>
      </c>
      <c r="Y66" s="60">
        <f t="shared" si="10"/>
        <v>1</v>
      </c>
      <c r="Z66" s="60">
        <f t="shared" si="15"/>
        <v>4.9299999999999997E-2</v>
      </c>
      <c r="AA66" s="60">
        <f t="shared" si="16"/>
        <v>23.329899999999999</v>
      </c>
      <c r="AB66" s="60">
        <f t="shared" si="17"/>
        <v>23.2806</v>
      </c>
      <c r="AC66" s="61" t="e">
        <f>VLOOKUP(A66,Enforcements!$C$3:$J$40,8,0)</f>
        <v>#N/A</v>
      </c>
      <c r="AD66" s="61" t="e">
        <f>VLOOKUP(A66,Enforcements!$C$3:$J$40,3,0)</f>
        <v>#N/A</v>
      </c>
    </row>
    <row r="67" spans="1:30" s="2" customFormat="1" x14ac:dyDescent="0.25">
      <c r="A67" s="66" t="s">
        <v>306</v>
      </c>
      <c r="B67" s="66">
        <v>4026</v>
      </c>
      <c r="C67" s="66" t="s">
        <v>448</v>
      </c>
      <c r="D67" s="66" t="s">
        <v>543</v>
      </c>
      <c r="E67" s="30">
        <v>42493.51730324074</v>
      </c>
      <c r="F67" s="30">
        <v>42493.518240740741</v>
      </c>
      <c r="G67" s="38">
        <v>1</v>
      </c>
      <c r="H67" s="30" t="s">
        <v>484</v>
      </c>
      <c r="I67" s="30">
        <v>42493.545949074076</v>
      </c>
      <c r="J67" s="66">
        <v>1</v>
      </c>
      <c r="K67" s="66" t="str">
        <f t="shared" ref="K67:K98" si="18">IF(ISEVEN(B67),(B67-1)&amp;"/"&amp;B67,B67&amp;"/"&amp;(B67+1))</f>
        <v>4025/4026</v>
      </c>
      <c r="L67" s="66" t="str">
        <f>VLOOKUP(A67,'Trips&amp;Operators'!$C$1:$E$9999,3,FALSE)</f>
        <v>BEAM</v>
      </c>
      <c r="M67" s="12">
        <f t="shared" ref="M67:M98" si="19">I67-F67</f>
        <v>2.7708333334885538E-2</v>
      </c>
      <c r="N67" s="13">
        <f t="shared" ref="N67:N130" si="20">$M67*24*60</f>
        <v>39.900000002235174</v>
      </c>
      <c r="O67" s="13"/>
      <c r="P67" s="13"/>
      <c r="Q67" s="67"/>
      <c r="R67" s="67"/>
      <c r="S67" s="87">
        <f t="shared" si="8"/>
        <v>1</v>
      </c>
      <c r="T67" s="2" t="str">
        <f t="shared" si="9"/>
        <v>Southbound</v>
      </c>
      <c r="U67" s="74">
        <f>COUNTIFS([2]Variables!$M$2:$M$19,IF(T67="NorthBound","&gt;=","&lt;=")&amp;Z67,[2]Variables!$M$2:$M$19,IF(T67="NorthBound","&lt;=","&gt;=")&amp;AA67)</f>
        <v>12</v>
      </c>
      <c r="W67" s="60" t="str">
        <f t="shared" ref="W67:W98" si="21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https://search-rtdc-monitor-bjffxe2xuh6vdkpspy63sjmuny.us-east-1.es.amazonaws.com/_plugin/kibana/#/discover/Steve-Slow-Train-Analysis-(2080s-and-2083s)?_g=(refreshInterval:(display:Off,section:0,value:0),time:(from:'2016-05-03 12:23:55-0600',mode:absolute,to:'2016-05-03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7" s="60" t="str">
        <f t="shared" ref="X67:X98" si="22">IF(AB67&lt;23,"Y","N")</f>
        <v>N</v>
      </c>
      <c r="Y67" s="60">
        <f t="shared" si="10"/>
        <v>1</v>
      </c>
      <c r="Z67" s="60">
        <f t="shared" ref="Z67:Z98" si="23">RIGHT(D67,LEN(D67)-4)/10000</f>
        <v>23.2973</v>
      </c>
      <c r="AA67" s="60">
        <f t="shared" ref="AA67:AA98" si="24">RIGHT(H67,LEN(H67)-4)/10000</f>
        <v>2.1999999999999999E-2</v>
      </c>
      <c r="AB67" s="60">
        <f t="shared" ref="AB67:AB98" si="25">ABS(AA67-Z67)</f>
        <v>23.275300000000001</v>
      </c>
      <c r="AC67" s="61" t="e">
        <f>VLOOKUP(A67,Enforcements!$C$3:$J$40,8,0)</f>
        <v>#N/A</v>
      </c>
      <c r="AD67" s="61" t="e">
        <f>VLOOKUP(A67,Enforcements!$C$3:$J$40,3,0)</f>
        <v>#N/A</v>
      </c>
    </row>
    <row r="68" spans="1:30" s="2" customFormat="1" x14ac:dyDescent="0.25">
      <c r="A68" s="66" t="s">
        <v>426</v>
      </c>
      <c r="B68" s="66">
        <v>4011</v>
      </c>
      <c r="C68" s="66" t="s">
        <v>448</v>
      </c>
      <c r="D68" s="66" t="s">
        <v>544</v>
      </c>
      <c r="E68" s="30">
        <v>42493.488958333335</v>
      </c>
      <c r="F68" s="30">
        <v>42493.490949074076</v>
      </c>
      <c r="G68" s="38">
        <v>2</v>
      </c>
      <c r="H68" s="30" t="s">
        <v>545</v>
      </c>
      <c r="I68" s="30">
        <v>42493.522013888891</v>
      </c>
      <c r="J68" s="66">
        <v>0</v>
      </c>
      <c r="K68" s="66" t="str">
        <f t="shared" si="18"/>
        <v>4011/4012</v>
      </c>
      <c r="L68" s="66" t="str">
        <f>VLOOKUP(A68,'Trips&amp;Operators'!$C$1:$E$9999,3,FALSE)</f>
        <v>ADANE</v>
      </c>
      <c r="M68" s="12">
        <f t="shared" si="19"/>
        <v>3.1064814815181307E-2</v>
      </c>
      <c r="N68" s="13">
        <f t="shared" si="20"/>
        <v>44.733333333861083</v>
      </c>
      <c r="O68" s="13"/>
      <c r="P68" s="13"/>
      <c r="Q68" s="67"/>
      <c r="R68" s="67"/>
      <c r="S68" s="87">
        <f t="shared" ref="S68:S131" si="26">SUM(U68:U68)/12</f>
        <v>1</v>
      </c>
      <c r="T68" s="2" t="str">
        <f t="shared" ref="T68:T131" si="27">IF(ISEVEN(LEFT(A68,3)),"Southbound","NorthBound")</f>
        <v>NorthBound</v>
      </c>
      <c r="U68" s="74">
        <f>COUNTIFS([2]Variables!$M$2:$M$19,IF(T68="NorthBound","&gt;=","&lt;=")&amp;Z68,[2]Variables!$M$2:$M$19,IF(T68="NorthBound","&lt;=","&gt;=")&amp;AA68)</f>
        <v>12</v>
      </c>
      <c r="W68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11:43:06-0600',mode:absolute,to:'2016-05-03 12:32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8" s="60" t="str">
        <f t="shared" si="22"/>
        <v>N</v>
      </c>
      <c r="Y68" s="60">
        <f t="shared" si="10"/>
        <v>1</v>
      </c>
      <c r="Z68" s="60">
        <f t="shared" si="23"/>
        <v>4.4600000000000001E-2</v>
      </c>
      <c r="AA68" s="60">
        <f t="shared" si="24"/>
        <v>23.328299999999999</v>
      </c>
      <c r="AB68" s="60">
        <f t="shared" si="25"/>
        <v>23.2837</v>
      </c>
      <c r="AC68" s="61" t="e">
        <f>VLOOKUP(A68,Enforcements!$C$3:$J$40,8,0)</f>
        <v>#N/A</v>
      </c>
      <c r="AD68" s="61" t="e">
        <f>VLOOKUP(A68,Enforcements!$C$3:$J$40,3,0)</f>
        <v>#N/A</v>
      </c>
    </row>
    <row r="69" spans="1:30" s="2" customFormat="1" x14ac:dyDescent="0.25">
      <c r="A69" s="66" t="s">
        <v>303</v>
      </c>
      <c r="B69" s="66">
        <v>4012</v>
      </c>
      <c r="C69" s="66" t="s">
        <v>448</v>
      </c>
      <c r="D69" s="66" t="s">
        <v>546</v>
      </c>
      <c r="E69" s="30">
        <v>42493.523715277777</v>
      </c>
      <c r="F69" s="30">
        <v>42493.525104166663</v>
      </c>
      <c r="G69" s="38">
        <v>2</v>
      </c>
      <c r="H69" s="30" t="s">
        <v>467</v>
      </c>
      <c r="I69" s="30">
        <v>42493.557326388887</v>
      </c>
      <c r="J69" s="66">
        <v>2</v>
      </c>
      <c r="K69" s="66" t="str">
        <f t="shared" si="18"/>
        <v>4011/4012</v>
      </c>
      <c r="L69" s="66" t="str">
        <f>VLOOKUP(A69,'Trips&amp;Operators'!$C$1:$E$9999,3,FALSE)</f>
        <v>ADANE</v>
      </c>
      <c r="M69" s="12">
        <f t="shared" si="19"/>
        <v>3.2222222223936114E-2</v>
      </c>
      <c r="N69" s="13">
        <f t="shared" si="20"/>
        <v>46.400000002468005</v>
      </c>
      <c r="O69" s="13"/>
      <c r="P69" s="13"/>
      <c r="Q69" s="67"/>
      <c r="R69" s="67"/>
      <c r="S69" s="87">
        <f t="shared" si="26"/>
        <v>1</v>
      </c>
      <c r="T69" s="2" t="str">
        <f t="shared" si="27"/>
        <v>Southbound</v>
      </c>
      <c r="U69" s="74">
        <f>COUNTIFS([2]Variables!$M$2:$M$19,IF(T69="NorthBound","&gt;=","&lt;=")&amp;Z69,[2]Variables!$M$2:$M$19,IF(T69="NorthBound","&lt;=","&gt;=")&amp;AA69)</f>
        <v>12</v>
      </c>
      <c r="W69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12:33:09-0600',mode:absolute,to:'2016-05-03 13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9" s="60" t="str">
        <f t="shared" si="22"/>
        <v>N</v>
      </c>
      <c r="Y69" s="60">
        <f t="shared" ref="Y69" si="28">VALUE(LEFT(A69,3))-VALUE(LEFT(A68,3))</f>
        <v>1</v>
      </c>
      <c r="Z69" s="60">
        <f t="shared" si="23"/>
        <v>23.297000000000001</v>
      </c>
      <c r="AA69" s="60">
        <f t="shared" si="24"/>
        <v>1.52E-2</v>
      </c>
      <c r="AB69" s="60">
        <f t="shared" si="25"/>
        <v>23.2818</v>
      </c>
      <c r="AC69" s="61">
        <f>VLOOKUP(A69,Enforcements!$C$3:$J$40,8,0)</f>
        <v>191108</v>
      </c>
      <c r="AD69" s="61" t="str">
        <f>VLOOKUP(A69,Enforcements!$C$3:$J$40,3,0)</f>
        <v>PERMANENT SPEED RESTRICTION</v>
      </c>
    </row>
    <row r="70" spans="1:30" s="2" customFormat="1" x14ac:dyDescent="0.25">
      <c r="A70" s="66" t="s">
        <v>390</v>
      </c>
      <c r="B70" s="66">
        <v>4027</v>
      </c>
      <c r="C70" s="66" t="s">
        <v>448</v>
      </c>
      <c r="D70" s="66" t="s">
        <v>547</v>
      </c>
      <c r="E70" s="30">
        <v>42493.497939814813</v>
      </c>
      <c r="F70" s="30">
        <v>42493.498888888891</v>
      </c>
      <c r="G70" s="38">
        <v>1</v>
      </c>
      <c r="H70" s="30" t="s">
        <v>548</v>
      </c>
      <c r="I70" s="30">
        <v>42493.525567129633</v>
      </c>
      <c r="J70" s="66">
        <v>0</v>
      </c>
      <c r="K70" s="66" t="str">
        <f t="shared" si="18"/>
        <v>4027/4028</v>
      </c>
      <c r="L70" s="66" t="str">
        <f>VLOOKUP(A70,'Trips&amp;Operators'!$C$1:$E$9999,3,FALSE)</f>
        <v>YANAI</v>
      </c>
      <c r="M70" s="12">
        <f t="shared" si="19"/>
        <v>2.6678240741603076E-2</v>
      </c>
      <c r="N70" s="13">
        <f t="shared" si="20"/>
        <v>38.41666666790843</v>
      </c>
      <c r="O70" s="13"/>
      <c r="P70" s="13"/>
      <c r="Q70" s="67"/>
      <c r="R70" s="67"/>
      <c r="S70" s="87">
        <f t="shared" si="26"/>
        <v>1</v>
      </c>
      <c r="T70" s="2" t="str">
        <f t="shared" si="27"/>
        <v>NorthBound</v>
      </c>
      <c r="U70" s="74">
        <f>COUNTIFS([2]Variables!$M$2:$M$19,IF(T70="NorthBound","&gt;=","&lt;=")&amp;Z70,[2]Variables!$M$2:$M$19,IF(T70="NorthBound","&lt;=","&gt;=")&amp;AA70)</f>
        <v>12</v>
      </c>
      <c r="W70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11:56:02-0600',mode:absolute,to:'2016-05-03 12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0" s="60" t="str">
        <f t="shared" si="22"/>
        <v>N</v>
      </c>
      <c r="Y70" s="60">
        <f t="shared" ref="Y70:Y102" si="29">VALUE(LEFT(A70,3))-VALUE(LEFT(A69,3))</f>
        <v>1</v>
      </c>
      <c r="Z70" s="60">
        <f t="shared" si="23"/>
        <v>6.7299999999999999E-2</v>
      </c>
      <c r="AA70" s="60">
        <f t="shared" si="24"/>
        <v>23.331800000000001</v>
      </c>
      <c r="AB70" s="60">
        <f t="shared" si="25"/>
        <v>23.264500000000002</v>
      </c>
      <c r="AC70" s="61" t="e">
        <f>VLOOKUP(A70,Enforcements!$C$3:$J$40,8,0)</f>
        <v>#N/A</v>
      </c>
      <c r="AD70" s="61" t="e">
        <f>VLOOKUP(A70,Enforcements!$C$3:$J$40,3,0)</f>
        <v>#N/A</v>
      </c>
    </row>
    <row r="71" spans="1:30" s="2" customFormat="1" x14ac:dyDescent="0.25">
      <c r="A71" s="66" t="s">
        <v>423</v>
      </c>
      <c r="B71" s="66">
        <v>4028</v>
      </c>
      <c r="C71" s="66" t="s">
        <v>448</v>
      </c>
      <c r="D71" s="66" t="s">
        <v>477</v>
      </c>
      <c r="E71" s="30">
        <v>42493.535162037035</v>
      </c>
      <c r="F71" s="30">
        <v>42493.536168981482</v>
      </c>
      <c r="G71" s="38">
        <v>1</v>
      </c>
      <c r="H71" s="30" t="s">
        <v>549</v>
      </c>
      <c r="I71" s="30">
        <v>42493.564895833333</v>
      </c>
      <c r="J71" s="66">
        <v>0</v>
      </c>
      <c r="K71" s="66" t="str">
        <f t="shared" si="18"/>
        <v>4027/4028</v>
      </c>
      <c r="L71" s="66" t="str">
        <f>VLOOKUP(A71,'Trips&amp;Operators'!$C$1:$E$9999,3,FALSE)</f>
        <v>YANAI</v>
      </c>
      <c r="M71" s="12">
        <f t="shared" si="19"/>
        <v>2.8726851851388346E-2</v>
      </c>
      <c r="N71" s="13">
        <f t="shared" si="20"/>
        <v>41.366666665999219</v>
      </c>
      <c r="O71" s="13"/>
      <c r="P71" s="13"/>
      <c r="Q71" s="67"/>
      <c r="R71" s="67"/>
      <c r="S71" s="87">
        <f t="shared" si="26"/>
        <v>1</v>
      </c>
      <c r="T71" s="2" t="str">
        <f t="shared" si="27"/>
        <v>Southbound</v>
      </c>
      <c r="U71" s="74">
        <f>COUNTIFS([2]Variables!$M$2:$M$19,IF(T71="NorthBound","&gt;=","&lt;=")&amp;Z71,[2]Variables!$M$2:$M$19,IF(T71="NorthBound","&lt;=","&gt;=")&amp;AA71)</f>
        <v>12</v>
      </c>
      <c r="W71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12:49:38-0600',mode:absolute,to:'2016-05-03 13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1" s="60" t="str">
        <f t="shared" si="22"/>
        <v>N</v>
      </c>
      <c r="Y71" s="60">
        <f t="shared" si="29"/>
        <v>1</v>
      </c>
      <c r="Z71" s="60">
        <f t="shared" si="23"/>
        <v>23.299199999999999</v>
      </c>
      <c r="AA71" s="60">
        <f t="shared" si="24"/>
        <v>1.34E-2</v>
      </c>
      <c r="AB71" s="60">
        <f t="shared" si="25"/>
        <v>23.285799999999998</v>
      </c>
      <c r="AC71" s="61" t="e">
        <f>VLOOKUP(A71,Enforcements!$C$3:$J$40,8,0)</f>
        <v>#N/A</v>
      </c>
      <c r="AD71" s="61" t="e">
        <f>VLOOKUP(A71,Enforcements!$C$3:$J$40,3,0)</f>
        <v>#N/A</v>
      </c>
    </row>
    <row r="72" spans="1:30" s="2" customFormat="1" x14ac:dyDescent="0.25">
      <c r="A72" s="66" t="s">
        <v>304</v>
      </c>
      <c r="B72" s="66">
        <v>4014</v>
      </c>
      <c r="C72" s="66" t="s">
        <v>448</v>
      </c>
      <c r="D72" s="66" t="s">
        <v>550</v>
      </c>
      <c r="E72" s="30">
        <v>42493.5080787037</v>
      </c>
      <c r="F72" s="30">
        <v>42493.509467592594</v>
      </c>
      <c r="G72" s="38">
        <v>1</v>
      </c>
      <c r="H72" s="30" t="s">
        <v>551</v>
      </c>
      <c r="I72" s="30">
        <v>42493.536354166667</v>
      </c>
      <c r="J72" s="66">
        <v>1</v>
      </c>
      <c r="K72" s="66" t="str">
        <f t="shared" si="18"/>
        <v>4013/4014</v>
      </c>
      <c r="L72" s="66" t="str">
        <f>VLOOKUP(A72,'Trips&amp;Operators'!$C$1:$E$9999,3,FALSE)</f>
        <v>YOUNG</v>
      </c>
      <c r="M72" s="12">
        <f t="shared" si="19"/>
        <v>2.6886574072705116E-2</v>
      </c>
      <c r="N72" s="13">
        <f t="shared" si="20"/>
        <v>38.716666664695367</v>
      </c>
      <c r="O72" s="13"/>
      <c r="P72" s="13"/>
      <c r="Q72" s="67"/>
      <c r="R72" s="67"/>
      <c r="S72" s="87">
        <f t="shared" si="26"/>
        <v>1</v>
      </c>
      <c r="T72" s="2" t="str">
        <f t="shared" si="27"/>
        <v>NorthBound</v>
      </c>
      <c r="U72" s="74">
        <f>COUNTIFS([2]Variables!$M$2:$M$19,IF(T72="NorthBound","&gt;=","&lt;=")&amp;Z72,[2]Variables!$M$2:$M$19,IF(T72="NorthBound","&lt;=","&gt;=")&amp;AA72)</f>
        <v>12</v>
      </c>
      <c r="W72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12:10:38-0600',mode:absolute,to:'2016-05-03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72" s="60" t="str">
        <f t="shared" si="22"/>
        <v>N</v>
      </c>
      <c r="Y72" s="60">
        <f t="shared" si="29"/>
        <v>1</v>
      </c>
      <c r="Z72" s="60">
        <f t="shared" si="23"/>
        <v>4.5999999999999999E-2</v>
      </c>
      <c r="AA72" s="60">
        <f t="shared" si="24"/>
        <v>23.33</v>
      </c>
      <c r="AB72" s="60">
        <f t="shared" si="25"/>
        <v>23.283999999999999</v>
      </c>
      <c r="AC72" s="61" t="e">
        <f>VLOOKUP(A72,Enforcements!$C$3:$J$40,8,0)</f>
        <v>#N/A</v>
      </c>
      <c r="AD72" s="61" t="e">
        <f>VLOOKUP(A72,Enforcements!$C$3:$J$40,3,0)</f>
        <v>#N/A</v>
      </c>
    </row>
    <row r="73" spans="1:30" s="2" customFormat="1" x14ac:dyDescent="0.25">
      <c r="A73" s="66" t="s">
        <v>308</v>
      </c>
      <c r="B73" s="66">
        <v>4013</v>
      </c>
      <c r="C73" s="66" t="s">
        <v>448</v>
      </c>
      <c r="D73" s="66" t="s">
        <v>494</v>
      </c>
      <c r="E73" s="30">
        <v>42493.541550925926</v>
      </c>
      <c r="F73" s="30">
        <v>42493.549618055556</v>
      </c>
      <c r="G73" s="38">
        <v>1</v>
      </c>
      <c r="H73" s="30" t="s">
        <v>552</v>
      </c>
      <c r="I73" s="30">
        <v>42493.579108796293</v>
      </c>
      <c r="J73" s="66">
        <v>1</v>
      </c>
      <c r="K73" s="66" t="str">
        <f t="shared" si="18"/>
        <v>4013/4014</v>
      </c>
      <c r="L73" s="66" t="str">
        <f>VLOOKUP(A73,'Trips&amp;Operators'!$C$1:$E$9999,3,FALSE)</f>
        <v>YOUNG</v>
      </c>
      <c r="M73" s="12">
        <f t="shared" si="19"/>
        <v>2.9490740736946464E-2</v>
      </c>
      <c r="N73" s="13">
        <f t="shared" si="20"/>
        <v>42.466666661202908</v>
      </c>
      <c r="O73" s="13"/>
      <c r="P73" s="13"/>
      <c r="Q73" s="67"/>
      <c r="R73" s="67"/>
      <c r="S73" s="87">
        <f t="shared" si="26"/>
        <v>1</v>
      </c>
      <c r="T73" s="2" t="str">
        <f t="shared" si="27"/>
        <v>Southbound</v>
      </c>
      <c r="U73" s="74">
        <f>COUNTIFS([2]Variables!$M$2:$M$19,IF(T73="NorthBound","&gt;=","&lt;=")&amp;Z73,[2]Variables!$M$2:$M$19,IF(T73="NorthBound","&lt;=","&gt;=")&amp;AA73)</f>
        <v>12</v>
      </c>
      <c r="W73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12:58:50-0600',mode:absolute,to:'2016-05-03 13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73" s="60" t="str">
        <f t="shared" si="22"/>
        <v>N</v>
      </c>
      <c r="Y73" s="60">
        <f t="shared" si="29"/>
        <v>1</v>
      </c>
      <c r="Z73" s="60">
        <f t="shared" si="23"/>
        <v>23.297699999999999</v>
      </c>
      <c r="AA73" s="60">
        <f t="shared" si="24"/>
        <v>1.6899999999999998E-2</v>
      </c>
      <c r="AB73" s="60">
        <f t="shared" si="25"/>
        <v>23.280799999999999</v>
      </c>
      <c r="AC73" s="61" t="e">
        <f>VLOOKUP(A73,Enforcements!$C$3:$J$40,8,0)</f>
        <v>#N/A</v>
      </c>
      <c r="AD73" s="61" t="e">
        <f>VLOOKUP(A73,Enforcements!$C$3:$J$40,3,0)</f>
        <v>#N/A</v>
      </c>
    </row>
    <row r="74" spans="1:30" s="2" customFormat="1" x14ac:dyDescent="0.25">
      <c r="A74" s="66" t="s">
        <v>305</v>
      </c>
      <c r="B74" s="66">
        <v>4024</v>
      </c>
      <c r="C74" s="66" t="s">
        <v>448</v>
      </c>
      <c r="D74" s="66" t="s">
        <v>553</v>
      </c>
      <c r="E74" s="30">
        <v>42493.514930555553</v>
      </c>
      <c r="F74" s="30">
        <v>42493.515949074077</v>
      </c>
      <c r="G74" s="38">
        <v>1</v>
      </c>
      <c r="H74" s="30" t="s">
        <v>554</v>
      </c>
      <c r="I74" s="30">
        <v>42493.547222222223</v>
      </c>
      <c r="J74" s="66">
        <v>1</v>
      </c>
      <c r="K74" s="66" t="str">
        <f t="shared" si="18"/>
        <v>4023/4024</v>
      </c>
      <c r="L74" s="66" t="str">
        <f>VLOOKUP(A74,'Trips&amp;Operators'!$C$1:$E$9999,3,FALSE)</f>
        <v>CANFIELD</v>
      </c>
      <c r="M74" s="12">
        <f t="shared" si="19"/>
        <v>3.1273148146283347E-2</v>
      </c>
      <c r="N74" s="13">
        <f t="shared" si="20"/>
        <v>45.03333333064802</v>
      </c>
      <c r="O74" s="13"/>
      <c r="P74" s="13"/>
      <c r="Q74" s="67"/>
      <c r="R74" s="67"/>
      <c r="S74" s="87">
        <f t="shared" si="26"/>
        <v>1</v>
      </c>
      <c r="T74" s="2" t="str">
        <f t="shared" si="27"/>
        <v>NorthBound</v>
      </c>
      <c r="U74" s="74">
        <f>COUNTIFS([2]Variables!$M$2:$M$19,IF(T74="NorthBound","&gt;=","&lt;=")&amp;Z74,[2]Variables!$M$2:$M$19,IF(T74="NorthBound","&lt;=","&gt;=")&amp;AA74)</f>
        <v>12</v>
      </c>
      <c r="W74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12:20:30-0600',mode:absolute,to:'2016-05-03 13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4" s="60" t="str">
        <f t="shared" si="22"/>
        <v>N</v>
      </c>
      <c r="Y74" s="60">
        <f t="shared" si="29"/>
        <v>1</v>
      </c>
      <c r="Z74" s="60">
        <f t="shared" si="23"/>
        <v>3.9800000000000002E-2</v>
      </c>
      <c r="AA74" s="60">
        <f t="shared" si="24"/>
        <v>23.331399999999999</v>
      </c>
      <c r="AB74" s="60">
        <f t="shared" si="25"/>
        <v>23.291599999999999</v>
      </c>
      <c r="AC74" s="61">
        <f>VLOOKUP(A74,Enforcements!$C$3:$J$40,8,0)</f>
        <v>217106</v>
      </c>
      <c r="AD74" s="61" t="str">
        <f>VLOOKUP(A74,Enforcements!$C$3:$J$40,3,0)</f>
        <v>SWITCH UNKNOWN</v>
      </c>
    </row>
    <row r="75" spans="1:30" s="2" customFormat="1" x14ac:dyDescent="0.25">
      <c r="A75" s="66" t="s">
        <v>388</v>
      </c>
      <c r="B75" s="66">
        <v>4023</v>
      </c>
      <c r="C75" s="66" t="s">
        <v>448</v>
      </c>
      <c r="D75" s="66" t="s">
        <v>555</v>
      </c>
      <c r="E75" s="30">
        <v>42493.55228009259</v>
      </c>
      <c r="F75" s="30">
        <v>42493.553344907406</v>
      </c>
      <c r="G75" s="38">
        <v>1</v>
      </c>
      <c r="H75" s="30" t="s">
        <v>556</v>
      </c>
      <c r="I75" s="30">
        <v>42493.585289351853</v>
      </c>
      <c r="J75" s="66">
        <v>0</v>
      </c>
      <c r="K75" s="66" t="str">
        <f t="shared" si="18"/>
        <v>4023/4024</v>
      </c>
      <c r="L75" s="66" t="str">
        <f>VLOOKUP(A75,'Trips&amp;Operators'!$C$1:$E$9999,3,FALSE)</f>
        <v>CANFIELD</v>
      </c>
      <c r="M75" s="12">
        <f t="shared" si="19"/>
        <v>3.1944444446708076E-2</v>
      </c>
      <c r="N75" s="13">
        <f t="shared" si="20"/>
        <v>46.000000003259629</v>
      </c>
      <c r="O75" s="13"/>
      <c r="P75" s="13"/>
      <c r="Q75" s="67"/>
      <c r="R75" s="67"/>
      <c r="S75" s="87">
        <f t="shared" si="26"/>
        <v>1</v>
      </c>
      <c r="T75" s="2" t="str">
        <f t="shared" si="27"/>
        <v>Southbound</v>
      </c>
      <c r="U75" s="74">
        <f>COUNTIFS([2]Variables!$M$2:$M$19,IF(T75="NorthBound","&gt;=","&lt;=")&amp;Z75,[2]Variables!$M$2:$M$19,IF(T75="NorthBound","&lt;=","&gt;=")&amp;AA75)</f>
        <v>12</v>
      </c>
      <c r="W75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13:14:17-0600',mode:absolute,to:'2016-05-03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5" s="60" t="str">
        <f t="shared" si="22"/>
        <v>N</v>
      </c>
      <c r="Y75" s="60">
        <f t="shared" si="29"/>
        <v>1</v>
      </c>
      <c r="Z75" s="60">
        <f t="shared" si="23"/>
        <v>23.298999999999999</v>
      </c>
      <c r="AA75" s="60">
        <f t="shared" si="24"/>
        <v>1.2999999999999999E-2</v>
      </c>
      <c r="AB75" s="60">
        <f t="shared" si="25"/>
        <v>23.285999999999998</v>
      </c>
      <c r="AC75" s="61" t="e">
        <f>VLOOKUP(A75,Enforcements!$C$3:$J$40,8,0)</f>
        <v>#N/A</v>
      </c>
      <c r="AD75" s="61" t="e">
        <f>VLOOKUP(A75,Enforcements!$C$3:$J$40,3,0)</f>
        <v>#N/A</v>
      </c>
    </row>
    <row r="76" spans="1:30" s="2" customFormat="1" x14ac:dyDescent="0.25">
      <c r="A76" s="66" t="s">
        <v>429</v>
      </c>
      <c r="B76" s="66">
        <v>4031</v>
      </c>
      <c r="C76" s="66" t="s">
        <v>448</v>
      </c>
      <c r="D76" s="66" t="s">
        <v>511</v>
      </c>
      <c r="E76" s="30">
        <v>42493.531574074077</v>
      </c>
      <c r="F76" s="30">
        <v>42493.533032407409</v>
      </c>
      <c r="G76" s="38">
        <v>2</v>
      </c>
      <c r="H76" s="30" t="s">
        <v>497</v>
      </c>
      <c r="I76" s="30">
        <v>42493.557951388888</v>
      </c>
      <c r="J76" s="66">
        <v>0</v>
      </c>
      <c r="K76" s="66" t="str">
        <f t="shared" si="18"/>
        <v>4031/4032</v>
      </c>
      <c r="L76" s="66" t="str">
        <f>VLOOKUP(A76,'Trips&amp;Operators'!$C$1:$E$9999,3,FALSE)</f>
        <v>JACKSON</v>
      </c>
      <c r="M76" s="12">
        <f t="shared" si="19"/>
        <v>2.491898147854954E-2</v>
      </c>
      <c r="N76" s="13">
        <f t="shared" si="20"/>
        <v>35.883333329111338</v>
      </c>
      <c r="O76" s="13"/>
      <c r="P76" s="13"/>
      <c r="Q76" s="67"/>
      <c r="R76" s="67"/>
      <c r="S76" s="87">
        <f t="shared" si="26"/>
        <v>1</v>
      </c>
      <c r="T76" s="2" t="str">
        <f t="shared" si="27"/>
        <v>NorthBound</v>
      </c>
      <c r="U76" s="74">
        <f>COUNTIFS([2]Variables!$M$2:$M$19,IF(T76="NorthBound","&gt;=","&lt;=")&amp;Z76,[2]Variables!$M$2:$M$19,IF(T76="NorthBound","&lt;=","&gt;=")&amp;AA76)</f>
        <v>12</v>
      </c>
      <c r="W76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12:44:28-0600',mode:absolute,to:'2016-05-03 13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6" s="60" t="str">
        <f t="shared" si="22"/>
        <v>N</v>
      </c>
      <c r="Y76" s="60">
        <f t="shared" si="29"/>
        <v>1</v>
      </c>
      <c r="Z76" s="60">
        <f t="shared" si="23"/>
        <v>4.8000000000000001E-2</v>
      </c>
      <c r="AA76" s="60">
        <f t="shared" si="24"/>
        <v>23.3308</v>
      </c>
      <c r="AB76" s="60">
        <f t="shared" si="25"/>
        <v>23.282800000000002</v>
      </c>
      <c r="AC76" s="61" t="e">
        <f>VLOOKUP(A76,Enforcements!$C$3:$J$40,8,0)</f>
        <v>#N/A</v>
      </c>
      <c r="AD76" s="61" t="e">
        <f>VLOOKUP(A76,Enforcements!$C$3:$J$40,3,0)</f>
        <v>#N/A</v>
      </c>
    </row>
    <row r="77" spans="1:30" s="2" customFormat="1" x14ac:dyDescent="0.25">
      <c r="A77" s="66" t="s">
        <v>307</v>
      </c>
      <c r="B77" s="66">
        <v>4032</v>
      </c>
      <c r="C77" s="66" t="s">
        <v>448</v>
      </c>
      <c r="D77" s="66" t="s">
        <v>490</v>
      </c>
      <c r="E77" s="30">
        <v>42493.564791666664</v>
      </c>
      <c r="F77" s="30">
        <v>42493.565787037034</v>
      </c>
      <c r="G77" s="38">
        <v>1</v>
      </c>
      <c r="H77" s="30" t="s">
        <v>524</v>
      </c>
      <c r="I77" s="30">
        <v>42493.59715277778</v>
      </c>
      <c r="J77" s="66">
        <v>1</v>
      </c>
      <c r="K77" s="66" t="str">
        <f t="shared" si="18"/>
        <v>4031/4032</v>
      </c>
      <c r="L77" s="66" t="str">
        <f>VLOOKUP(A77,'Trips&amp;Operators'!$C$1:$E$9999,3,FALSE)</f>
        <v>JACKSON</v>
      </c>
      <c r="M77" s="12">
        <f t="shared" si="19"/>
        <v>3.1365740745968651E-2</v>
      </c>
      <c r="N77" s="13">
        <f t="shared" si="20"/>
        <v>45.166666674194857</v>
      </c>
      <c r="O77" s="13"/>
      <c r="P77" s="13"/>
      <c r="Q77" s="67"/>
      <c r="R77" s="67"/>
      <c r="S77" s="87">
        <f t="shared" si="26"/>
        <v>1</v>
      </c>
      <c r="T77" s="2" t="str">
        <f t="shared" si="27"/>
        <v>Southbound</v>
      </c>
      <c r="U77" s="74">
        <f>COUNTIFS([2]Variables!$M$2:$M$19,IF(T77="NorthBound","&gt;=","&lt;=")&amp;Z77,[2]Variables!$M$2:$M$19,IF(T77="NorthBound","&lt;=","&gt;=")&amp;AA77)</f>
        <v>12</v>
      </c>
      <c r="W77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13:32:18-0600',mode:absolute,to:'2016-05-03 14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7" s="60" t="str">
        <f t="shared" si="22"/>
        <v>N</v>
      </c>
      <c r="Y77" s="60">
        <f t="shared" si="29"/>
        <v>1</v>
      </c>
      <c r="Z77" s="60">
        <f t="shared" si="23"/>
        <v>23.299299999999999</v>
      </c>
      <c r="AA77" s="60">
        <f t="shared" si="24"/>
        <v>1.4999999999999999E-2</v>
      </c>
      <c r="AB77" s="60">
        <f t="shared" si="25"/>
        <v>23.284299999999998</v>
      </c>
      <c r="AC77" s="61">
        <f>VLOOKUP(A77,Enforcements!$C$3:$J$40,8,0)</f>
        <v>183829</v>
      </c>
      <c r="AD77" s="61" t="str">
        <f>VLOOKUP(A77,Enforcements!$C$3:$J$40,3,0)</f>
        <v>PERMANENT SPEED RESTRICTION</v>
      </c>
    </row>
    <row r="78" spans="1:30" s="2" customFormat="1" x14ac:dyDescent="0.25">
      <c r="A78" s="66" t="s">
        <v>422</v>
      </c>
      <c r="B78" s="66">
        <v>4038</v>
      </c>
      <c r="C78" s="66" t="s">
        <v>448</v>
      </c>
      <c r="D78" s="66" t="s">
        <v>557</v>
      </c>
      <c r="E78" s="30">
        <v>42493.538148148145</v>
      </c>
      <c r="F78" s="30">
        <v>42493.538877314815</v>
      </c>
      <c r="G78" s="38">
        <v>1</v>
      </c>
      <c r="H78" s="30" t="s">
        <v>461</v>
      </c>
      <c r="I78" s="30">
        <v>42493.566782407404</v>
      </c>
      <c r="J78" s="66">
        <v>0</v>
      </c>
      <c r="K78" s="66" t="str">
        <f t="shared" si="18"/>
        <v>4037/4038</v>
      </c>
      <c r="L78" s="66" t="str">
        <f>VLOOKUP(A78,'Trips&amp;Operators'!$C$1:$E$9999,3,FALSE)</f>
        <v>YORK</v>
      </c>
      <c r="M78" s="12">
        <f t="shared" si="19"/>
        <v>2.7905092589207925E-2</v>
      </c>
      <c r="N78" s="13">
        <f t="shared" si="20"/>
        <v>40.183333328459412</v>
      </c>
      <c r="O78" s="13"/>
      <c r="P78" s="13"/>
      <c r="Q78" s="67"/>
      <c r="R78" s="67"/>
      <c r="S78" s="87">
        <f t="shared" si="26"/>
        <v>1</v>
      </c>
      <c r="T78" s="2" t="str">
        <f t="shared" si="27"/>
        <v>NorthBound</v>
      </c>
      <c r="U78" s="74">
        <f>COUNTIFS([2]Variables!$M$2:$M$19,IF(T78="NorthBound","&gt;=","&lt;=")&amp;Z78,[2]Variables!$M$2:$M$19,IF(T78="NorthBound","&lt;=","&gt;=")&amp;AA78)</f>
        <v>12</v>
      </c>
      <c r="W78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12:53:56-0600',mode:absolute,to:'2016-05-03 13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8" s="60" t="str">
        <f t="shared" si="22"/>
        <v>N</v>
      </c>
      <c r="Y78" s="60">
        <f t="shared" si="29"/>
        <v>1</v>
      </c>
      <c r="Z78" s="60">
        <f t="shared" si="23"/>
        <v>4.3299999999999998E-2</v>
      </c>
      <c r="AA78" s="60">
        <f t="shared" si="24"/>
        <v>23.3291</v>
      </c>
      <c r="AB78" s="60">
        <f t="shared" si="25"/>
        <v>23.285800000000002</v>
      </c>
      <c r="AC78" s="61" t="e">
        <f>VLOOKUP(A78,Enforcements!$C$3:$J$40,8,0)</f>
        <v>#N/A</v>
      </c>
      <c r="AD78" s="61" t="e">
        <f>VLOOKUP(A78,Enforcements!$C$3:$J$40,3,0)</f>
        <v>#N/A</v>
      </c>
    </row>
    <row r="79" spans="1:30" s="2" customFormat="1" x14ac:dyDescent="0.25">
      <c r="A79" s="66" t="s">
        <v>311</v>
      </c>
      <c r="B79" s="66">
        <v>4037</v>
      </c>
      <c r="C79" s="66" t="s">
        <v>448</v>
      </c>
      <c r="D79" s="66" t="s">
        <v>534</v>
      </c>
      <c r="E79" s="30">
        <v>42493.577337962961</v>
      </c>
      <c r="F79" s="30">
        <v>42493.578379629631</v>
      </c>
      <c r="G79" s="38">
        <v>1</v>
      </c>
      <c r="H79" s="30" t="s">
        <v>558</v>
      </c>
      <c r="I79" s="30">
        <v>42493.606412037036</v>
      </c>
      <c r="J79" s="66">
        <v>1</v>
      </c>
      <c r="K79" s="66" t="str">
        <f t="shared" si="18"/>
        <v>4037/4038</v>
      </c>
      <c r="L79" s="66" t="str">
        <f>VLOOKUP(A79,'Trips&amp;Operators'!$C$1:$E$9999,3,FALSE)</f>
        <v>YORK</v>
      </c>
      <c r="M79" s="12">
        <f t="shared" si="19"/>
        <v>2.8032407404680271E-2</v>
      </c>
      <c r="N79" s="13">
        <f t="shared" si="20"/>
        <v>40.36666666273959</v>
      </c>
      <c r="O79" s="13"/>
      <c r="P79" s="13"/>
      <c r="Q79" s="67"/>
      <c r="R79" s="67"/>
      <c r="S79" s="87">
        <f t="shared" si="26"/>
        <v>1</v>
      </c>
      <c r="T79" s="2" t="str">
        <f t="shared" si="27"/>
        <v>Southbound</v>
      </c>
      <c r="U79" s="74">
        <f>COUNTIFS([2]Variables!$M$2:$M$19,IF(T79="NorthBound","&gt;=","&lt;=")&amp;Z79,[2]Variables!$M$2:$M$19,IF(T79="NorthBound","&lt;=","&gt;=")&amp;AA79)</f>
        <v>12</v>
      </c>
      <c r="W79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13:50:22-0600',mode:absolute,to:'2016-05-03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9" s="60" t="str">
        <f t="shared" si="22"/>
        <v>N</v>
      </c>
      <c r="Y79" s="60">
        <f t="shared" si="29"/>
        <v>1</v>
      </c>
      <c r="Z79" s="60">
        <f t="shared" si="23"/>
        <v>23.2971</v>
      </c>
      <c r="AA79" s="60">
        <f t="shared" si="24"/>
        <v>1.9400000000000001E-2</v>
      </c>
      <c r="AB79" s="60">
        <f t="shared" si="25"/>
        <v>23.277699999999999</v>
      </c>
      <c r="AC79" s="61" t="e">
        <f>VLOOKUP(A79,Enforcements!$C$3:$J$40,8,0)</f>
        <v>#N/A</v>
      </c>
      <c r="AD79" s="61" t="e">
        <f>VLOOKUP(A79,Enforcements!$C$3:$J$40,3,0)</f>
        <v>#N/A</v>
      </c>
    </row>
    <row r="80" spans="1:30" s="2" customFormat="1" x14ac:dyDescent="0.25">
      <c r="A80" s="66" t="s">
        <v>421</v>
      </c>
      <c r="B80" s="66">
        <v>4025</v>
      </c>
      <c r="C80" s="66" t="s">
        <v>448</v>
      </c>
      <c r="D80" s="66" t="s">
        <v>559</v>
      </c>
      <c r="E80" s="30">
        <v>42493.54855324074</v>
      </c>
      <c r="F80" s="30">
        <v>42493.549560185187</v>
      </c>
      <c r="G80" s="38">
        <v>1</v>
      </c>
      <c r="H80" s="30" t="s">
        <v>560</v>
      </c>
      <c r="I80" s="30">
        <v>42493.577326388891</v>
      </c>
      <c r="J80" s="66">
        <v>0</v>
      </c>
      <c r="K80" s="66" t="str">
        <f t="shared" si="18"/>
        <v>4025/4026</v>
      </c>
      <c r="L80" s="66" t="str">
        <f>VLOOKUP(A80,'Trips&amp;Operators'!$C$1:$E$9999,3,FALSE)</f>
        <v>BEAM</v>
      </c>
      <c r="M80" s="12">
        <f t="shared" si="19"/>
        <v>2.7766203704231884E-2</v>
      </c>
      <c r="N80" s="13">
        <f t="shared" si="20"/>
        <v>39.983333334093913</v>
      </c>
      <c r="O80" s="13"/>
      <c r="P80" s="13"/>
      <c r="Q80" s="67"/>
      <c r="R80" s="67"/>
      <c r="S80" s="87">
        <f t="shared" si="26"/>
        <v>1</v>
      </c>
      <c r="T80" s="2" t="str">
        <f t="shared" si="27"/>
        <v>NorthBound</v>
      </c>
      <c r="U80" s="74">
        <f>COUNTIFS([2]Variables!$M$2:$M$19,IF(T80="NorthBound","&gt;=","&lt;=")&amp;Z80,[2]Variables!$M$2:$M$19,IF(T80="NorthBound","&lt;=","&gt;=")&amp;AA80)</f>
        <v>12</v>
      </c>
      <c r="W80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13:08:55-0600',mode:absolute,to:'2016-05-03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80" s="60" t="str">
        <f t="shared" si="22"/>
        <v>N</v>
      </c>
      <c r="Y80" s="60">
        <f t="shared" si="29"/>
        <v>1</v>
      </c>
      <c r="Z80" s="60">
        <f t="shared" si="23"/>
        <v>5.2200000000000003E-2</v>
      </c>
      <c r="AA80" s="60">
        <f t="shared" si="24"/>
        <v>23.331499999999998</v>
      </c>
      <c r="AB80" s="60">
        <f t="shared" si="25"/>
        <v>23.279299999999999</v>
      </c>
      <c r="AC80" s="61" t="e">
        <f>VLOOKUP(A80,Enforcements!$C$3:$J$40,8,0)</f>
        <v>#N/A</v>
      </c>
      <c r="AD80" s="61" t="e">
        <f>VLOOKUP(A80,Enforcements!$C$3:$J$40,3,0)</f>
        <v>#N/A</v>
      </c>
    </row>
    <row r="81" spans="1:30" s="2" customFormat="1" x14ac:dyDescent="0.25">
      <c r="A81" s="66" t="s">
        <v>419</v>
      </c>
      <c r="B81" s="66">
        <v>4026</v>
      </c>
      <c r="C81" s="66" t="s">
        <v>448</v>
      </c>
      <c r="D81" s="66" t="s">
        <v>561</v>
      </c>
      <c r="E81" s="30">
        <v>42493.58697916667</v>
      </c>
      <c r="F81" s="30">
        <v>42493.58803240741</v>
      </c>
      <c r="G81" s="38">
        <v>1</v>
      </c>
      <c r="H81" s="30" t="s">
        <v>519</v>
      </c>
      <c r="I81" s="30">
        <v>42493.617083333331</v>
      </c>
      <c r="J81" s="66">
        <v>0</v>
      </c>
      <c r="K81" s="66" t="str">
        <f t="shared" si="18"/>
        <v>4025/4026</v>
      </c>
      <c r="L81" s="66" t="str">
        <f>VLOOKUP(A81,'Trips&amp;Operators'!$C$1:$E$9999,3,FALSE)</f>
        <v>BEAM</v>
      </c>
      <c r="M81" s="12">
        <f t="shared" si="19"/>
        <v>2.9050925921183079E-2</v>
      </c>
      <c r="N81" s="13">
        <f t="shared" si="20"/>
        <v>41.833333326503634</v>
      </c>
      <c r="O81" s="13"/>
      <c r="P81" s="13"/>
      <c r="Q81" s="67"/>
      <c r="R81" s="67"/>
      <c r="S81" s="87">
        <f t="shared" si="26"/>
        <v>1</v>
      </c>
      <c r="T81" s="2" t="str">
        <f t="shared" si="27"/>
        <v>Southbound</v>
      </c>
      <c r="U81" s="74">
        <f>COUNTIFS([2]Variables!$M$2:$M$19,IF(T81="NorthBound","&gt;=","&lt;=")&amp;Z81,[2]Variables!$M$2:$M$19,IF(T81="NorthBound","&lt;=","&gt;=")&amp;AA81)</f>
        <v>12</v>
      </c>
      <c r="W81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14:04:15-0600',mode:absolute,to:'2016-05-03 14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1" s="60" t="str">
        <f t="shared" si="22"/>
        <v>N</v>
      </c>
      <c r="Y81" s="60">
        <f t="shared" si="29"/>
        <v>1</v>
      </c>
      <c r="Z81" s="60">
        <f t="shared" si="23"/>
        <v>23.299800000000001</v>
      </c>
      <c r="AA81" s="60">
        <f t="shared" si="24"/>
        <v>1.4500000000000001E-2</v>
      </c>
      <c r="AB81" s="60">
        <f t="shared" si="25"/>
        <v>23.285299999999999</v>
      </c>
      <c r="AC81" s="61" t="e">
        <f>VLOOKUP(A81,Enforcements!$C$3:$J$40,8,0)</f>
        <v>#N/A</v>
      </c>
      <c r="AD81" s="61" t="e">
        <f>VLOOKUP(A81,Enforcements!$C$3:$J$40,3,0)</f>
        <v>#N/A</v>
      </c>
    </row>
    <row r="82" spans="1:30" s="2" customFormat="1" x14ac:dyDescent="0.25">
      <c r="A82" s="66" t="s">
        <v>309</v>
      </c>
      <c r="B82" s="66">
        <v>4011</v>
      </c>
      <c r="C82" s="66" t="s">
        <v>448</v>
      </c>
      <c r="D82" s="66" t="s">
        <v>562</v>
      </c>
      <c r="E82" s="30">
        <v>42493.559756944444</v>
      </c>
      <c r="F82" s="30">
        <v>42493.560763888891</v>
      </c>
      <c r="G82" s="38">
        <v>1</v>
      </c>
      <c r="H82" s="30" t="s">
        <v>563</v>
      </c>
      <c r="I82" s="30">
        <v>42493.587314814817</v>
      </c>
      <c r="J82" s="66">
        <v>1</v>
      </c>
      <c r="K82" s="66" t="str">
        <f t="shared" si="18"/>
        <v>4011/4012</v>
      </c>
      <c r="L82" s="66" t="str">
        <f>VLOOKUP(A82,'Trips&amp;Operators'!$C$1:$E$9999,3,FALSE)</f>
        <v>ADANE</v>
      </c>
      <c r="M82" s="12">
        <f t="shared" si="19"/>
        <v>2.6550925926130731E-2</v>
      </c>
      <c r="N82" s="13">
        <f t="shared" si="20"/>
        <v>38.233333333628252</v>
      </c>
      <c r="O82" s="13"/>
      <c r="P82" s="13"/>
      <c r="Q82" s="67"/>
      <c r="R82" s="67"/>
      <c r="S82" s="87">
        <f t="shared" si="26"/>
        <v>1</v>
      </c>
      <c r="T82" s="2" t="str">
        <f t="shared" si="27"/>
        <v>NorthBound</v>
      </c>
      <c r="U82" s="74">
        <f>COUNTIFS([2]Variables!$M$2:$M$19,IF(T82="NorthBound","&gt;=","&lt;=")&amp;Z82,[2]Variables!$M$2:$M$19,IF(T82="NorthBound","&lt;=","&gt;=")&amp;AA82)</f>
        <v>12</v>
      </c>
      <c r="W82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13:25:03-0600',mode:absolute,to:'2016-05-03 14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2" s="60" t="str">
        <f t="shared" si="22"/>
        <v>N</v>
      </c>
      <c r="Y82" s="60">
        <f t="shared" si="29"/>
        <v>1</v>
      </c>
      <c r="Z82" s="60">
        <f t="shared" si="23"/>
        <v>4.6699999999999998E-2</v>
      </c>
      <c r="AA82" s="60">
        <f t="shared" si="24"/>
        <v>23.3307</v>
      </c>
      <c r="AB82" s="60">
        <f t="shared" si="25"/>
        <v>23.283999999999999</v>
      </c>
      <c r="AC82" s="61" t="e">
        <f>VLOOKUP(A82,Enforcements!$C$3:$J$40,8,0)</f>
        <v>#N/A</v>
      </c>
      <c r="AD82" s="61" t="e">
        <f>VLOOKUP(A82,Enforcements!$C$3:$J$40,3,0)</f>
        <v>#N/A</v>
      </c>
    </row>
    <row r="83" spans="1:30" s="2" customFormat="1" x14ac:dyDescent="0.25">
      <c r="A83" s="66" t="s">
        <v>431</v>
      </c>
      <c r="B83" s="66">
        <v>4012</v>
      </c>
      <c r="C83" s="66" t="s">
        <v>448</v>
      </c>
      <c r="D83" s="66" t="s">
        <v>564</v>
      </c>
      <c r="E83" s="30">
        <v>42493.59715277778</v>
      </c>
      <c r="F83" s="30">
        <v>42493.598240740743</v>
      </c>
      <c r="G83" s="38">
        <v>1</v>
      </c>
      <c r="H83" s="30" t="s">
        <v>528</v>
      </c>
      <c r="I83" s="30">
        <v>42493.627870370372</v>
      </c>
      <c r="J83" s="66">
        <v>0</v>
      </c>
      <c r="K83" s="66" t="str">
        <f t="shared" si="18"/>
        <v>4011/4012</v>
      </c>
      <c r="L83" s="66" t="str">
        <f>VLOOKUP(A83,'Trips&amp;Operators'!$C$1:$E$9999,3,FALSE)</f>
        <v>ADANE</v>
      </c>
      <c r="M83" s="12">
        <f t="shared" si="19"/>
        <v>2.9629629629198462E-2</v>
      </c>
      <c r="N83" s="13">
        <f t="shared" si="20"/>
        <v>42.666666666045785</v>
      </c>
      <c r="O83" s="13"/>
      <c r="P83" s="13"/>
      <c r="Q83" s="67"/>
      <c r="R83" s="67"/>
      <c r="S83" s="87">
        <f t="shared" si="26"/>
        <v>1</v>
      </c>
      <c r="T83" s="2" t="str">
        <f t="shared" si="27"/>
        <v>Southbound</v>
      </c>
      <c r="U83" s="74">
        <f>COUNTIFS([2]Variables!$M$2:$M$19,IF(T83="NorthBound","&gt;=","&lt;=")&amp;Z83,[2]Variables!$M$2:$M$19,IF(T83="NorthBound","&lt;=","&gt;=")&amp;AA83)</f>
        <v>12</v>
      </c>
      <c r="W83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14:18:54-0600',mode:absolute,to:'2016-05-03 15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3" s="60" t="str">
        <f t="shared" si="22"/>
        <v>N</v>
      </c>
      <c r="Y83" s="60">
        <f t="shared" si="29"/>
        <v>1</v>
      </c>
      <c r="Z83" s="60">
        <f t="shared" si="23"/>
        <v>23.297499999999999</v>
      </c>
      <c r="AA83" s="60">
        <f t="shared" si="24"/>
        <v>1.3899999999999999E-2</v>
      </c>
      <c r="AB83" s="60">
        <f t="shared" si="25"/>
        <v>23.2836</v>
      </c>
      <c r="AC83" s="61" t="e">
        <f>VLOOKUP(A83,Enforcements!$C$3:$J$40,8,0)</f>
        <v>#N/A</v>
      </c>
      <c r="AD83" s="61" t="e">
        <f>VLOOKUP(A83,Enforcements!$C$3:$J$40,3,0)</f>
        <v>#N/A</v>
      </c>
    </row>
    <row r="84" spans="1:30" s="2" customFormat="1" x14ac:dyDescent="0.25">
      <c r="A84" s="66" t="s">
        <v>310</v>
      </c>
      <c r="B84" s="66">
        <v>4027</v>
      </c>
      <c r="C84" s="66" t="s">
        <v>448</v>
      </c>
      <c r="D84" s="66" t="s">
        <v>565</v>
      </c>
      <c r="E84" s="30">
        <v>42493.567337962966</v>
      </c>
      <c r="F84" s="30">
        <v>42493.568472222221</v>
      </c>
      <c r="G84" s="38">
        <v>1</v>
      </c>
      <c r="H84" s="30" t="s">
        <v>566</v>
      </c>
      <c r="I84" s="30">
        <v>42493.59783564815</v>
      </c>
      <c r="J84" s="66">
        <v>1</v>
      </c>
      <c r="K84" s="66" t="str">
        <f t="shared" si="18"/>
        <v>4027/4028</v>
      </c>
      <c r="L84" s="66" t="str">
        <f>VLOOKUP(A84,'Trips&amp;Operators'!$C$1:$E$9999,3,FALSE)</f>
        <v>COOLAHAN</v>
      </c>
      <c r="M84" s="12">
        <f t="shared" si="19"/>
        <v>2.9363425928750075E-2</v>
      </c>
      <c r="N84" s="13">
        <f t="shared" si="20"/>
        <v>42.283333337400109</v>
      </c>
      <c r="O84" s="13"/>
      <c r="P84" s="13"/>
      <c r="Q84" s="67"/>
      <c r="R84" s="67"/>
      <c r="S84" s="87">
        <f t="shared" si="26"/>
        <v>1</v>
      </c>
      <c r="T84" s="2" t="str">
        <f t="shared" si="27"/>
        <v>NorthBound</v>
      </c>
      <c r="U84" s="74">
        <f>COUNTIFS([2]Variables!$M$2:$M$19,IF(T84="NorthBound","&gt;=","&lt;=")&amp;Z84,[2]Variables!$M$2:$M$19,IF(T84="NorthBound","&lt;=","&gt;=")&amp;AA84)</f>
        <v>12</v>
      </c>
      <c r="W84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13:35:58-0600',mode:absolute,to:'2016-05-03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4" s="60" t="str">
        <f t="shared" si="22"/>
        <v>N</v>
      </c>
      <c r="Y84" s="60">
        <f t="shared" si="29"/>
        <v>1</v>
      </c>
      <c r="Z84" s="60">
        <f t="shared" si="23"/>
        <v>4.3999999999999997E-2</v>
      </c>
      <c r="AA84" s="60">
        <f t="shared" si="24"/>
        <v>23.3325</v>
      </c>
      <c r="AB84" s="60">
        <f t="shared" si="25"/>
        <v>23.288499999999999</v>
      </c>
      <c r="AC84" s="61" t="e">
        <f>VLOOKUP(A84,Enforcements!$C$3:$J$40,8,0)</f>
        <v>#N/A</v>
      </c>
      <c r="AD84" s="61" t="e">
        <f>VLOOKUP(A84,Enforcements!$C$3:$J$40,3,0)</f>
        <v>#N/A</v>
      </c>
    </row>
    <row r="85" spans="1:30" s="2" customFormat="1" x14ac:dyDescent="0.25">
      <c r="A85" s="66" t="s">
        <v>401</v>
      </c>
      <c r="B85" s="66">
        <v>4028</v>
      </c>
      <c r="C85" s="66" t="s">
        <v>448</v>
      </c>
      <c r="D85" s="66" t="s">
        <v>567</v>
      </c>
      <c r="E85" s="30">
        <v>42493.609293981484</v>
      </c>
      <c r="F85" s="30">
        <v>42493.610960648148</v>
      </c>
      <c r="G85" s="38">
        <v>2</v>
      </c>
      <c r="H85" s="30" t="s">
        <v>568</v>
      </c>
      <c r="I85" s="30">
        <v>42493.637476851851</v>
      </c>
      <c r="J85" s="66">
        <v>0</v>
      </c>
      <c r="K85" s="66" t="str">
        <f t="shared" si="18"/>
        <v>4027/4028</v>
      </c>
      <c r="L85" s="66" t="str">
        <f>VLOOKUP(A85,'Trips&amp;Operators'!$C$1:$E$9999,3,FALSE)</f>
        <v>COOLAHAN</v>
      </c>
      <c r="M85" s="12">
        <f t="shared" si="19"/>
        <v>2.6516203703067731E-2</v>
      </c>
      <c r="N85" s="13">
        <f t="shared" si="20"/>
        <v>38.183333332417533</v>
      </c>
      <c r="O85" s="13"/>
      <c r="P85" s="13"/>
      <c r="Q85" s="67"/>
      <c r="R85" s="67"/>
      <c r="S85" s="87">
        <f t="shared" si="26"/>
        <v>1</v>
      </c>
      <c r="T85" s="2" t="str">
        <f t="shared" si="27"/>
        <v>Southbound</v>
      </c>
      <c r="U85" s="74">
        <f>COUNTIFS([2]Variables!$M$2:$M$19,IF(T85="NorthBound","&gt;=","&lt;=")&amp;Z85,[2]Variables!$M$2:$M$19,IF(T85="NorthBound","&lt;=","&gt;=")&amp;AA85)</f>
        <v>12</v>
      </c>
      <c r="W85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14:36:23-0600',mode:absolute,to:'2016-05-03 15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85" s="60" t="str">
        <f t="shared" si="22"/>
        <v>N</v>
      </c>
      <c r="Y85" s="60">
        <f t="shared" si="29"/>
        <v>1</v>
      </c>
      <c r="Z85" s="60">
        <f t="shared" si="23"/>
        <v>23.3004</v>
      </c>
      <c r="AA85" s="60">
        <f t="shared" si="24"/>
        <v>1.32E-2</v>
      </c>
      <c r="AB85" s="60">
        <f t="shared" si="25"/>
        <v>23.287199999999999</v>
      </c>
      <c r="AC85" s="61" t="e">
        <f>VLOOKUP(A85,Enforcements!$C$3:$J$40,8,0)</f>
        <v>#N/A</v>
      </c>
      <c r="AD85" s="61" t="e">
        <f>VLOOKUP(A85,Enforcements!$C$3:$J$40,3,0)</f>
        <v>#N/A</v>
      </c>
    </row>
    <row r="86" spans="1:30" s="2" customFormat="1" x14ac:dyDescent="0.25">
      <c r="A86" s="66" t="s">
        <v>386</v>
      </c>
      <c r="B86" s="66">
        <v>4014</v>
      </c>
      <c r="C86" s="66" t="s">
        <v>448</v>
      </c>
      <c r="D86" s="66" t="s">
        <v>488</v>
      </c>
      <c r="E86" s="30">
        <v>42493.581041666665</v>
      </c>
      <c r="F86" s="30">
        <v>42493.58222222222</v>
      </c>
      <c r="G86" s="38">
        <v>1</v>
      </c>
      <c r="H86" s="30" t="s">
        <v>569</v>
      </c>
      <c r="I86" s="30">
        <v>42493.608726851853</v>
      </c>
      <c r="J86" s="66">
        <v>0</v>
      </c>
      <c r="K86" s="66" t="str">
        <f t="shared" si="18"/>
        <v>4013/4014</v>
      </c>
      <c r="L86" s="66" t="str">
        <f>VLOOKUP(A86,'Trips&amp;Operators'!$C$1:$E$9999,3,FALSE)</f>
        <v>YOUNG</v>
      </c>
      <c r="M86" s="12">
        <f t="shared" si="19"/>
        <v>2.6504629633564036E-2</v>
      </c>
      <c r="N86" s="13">
        <f t="shared" si="20"/>
        <v>38.166666672332212</v>
      </c>
      <c r="O86" s="13"/>
      <c r="P86" s="13"/>
      <c r="Q86" s="67"/>
      <c r="R86" s="67"/>
      <c r="S86" s="87">
        <f t="shared" si="26"/>
        <v>1</v>
      </c>
      <c r="T86" s="2" t="str">
        <f t="shared" si="27"/>
        <v>NorthBound</v>
      </c>
      <c r="U86" s="74">
        <f>COUNTIFS([2]Variables!$M$2:$M$19,IF(T86="NorthBound","&gt;=","&lt;=")&amp;Z86,[2]Variables!$M$2:$M$19,IF(T86="NorthBound","&lt;=","&gt;=")&amp;AA86)</f>
        <v>12</v>
      </c>
      <c r="W86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13:55:42-0600',mode:absolute,to:'2016-05-03 14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6" s="60" t="str">
        <f t="shared" si="22"/>
        <v>N</v>
      </c>
      <c r="Y86" s="60">
        <f t="shared" si="29"/>
        <v>1</v>
      </c>
      <c r="Z86" s="60">
        <f t="shared" si="23"/>
        <v>4.6199999999999998E-2</v>
      </c>
      <c r="AA86" s="60">
        <f t="shared" si="24"/>
        <v>23.333400000000001</v>
      </c>
      <c r="AB86" s="60">
        <f t="shared" si="25"/>
        <v>23.287200000000002</v>
      </c>
      <c r="AC86" s="61" t="e">
        <f>VLOOKUP(A86,Enforcements!$C$3:$J$40,8,0)</f>
        <v>#N/A</v>
      </c>
      <c r="AD86" s="61" t="e">
        <f>VLOOKUP(A86,Enforcements!$C$3:$J$40,3,0)</f>
        <v>#N/A</v>
      </c>
    </row>
    <row r="87" spans="1:30" s="2" customFormat="1" x14ac:dyDescent="0.25">
      <c r="A87" s="66" t="s">
        <v>312</v>
      </c>
      <c r="B87" s="66">
        <v>4013</v>
      </c>
      <c r="C87" s="66" t="s">
        <v>448</v>
      </c>
      <c r="D87" s="66" t="s">
        <v>570</v>
      </c>
      <c r="E87" s="30">
        <v>42493.614965277775</v>
      </c>
      <c r="F87" s="30">
        <v>42493.622453703705</v>
      </c>
      <c r="G87" s="38">
        <v>1</v>
      </c>
      <c r="H87" s="30" t="s">
        <v>571</v>
      </c>
      <c r="I87" s="30">
        <v>42493.651018518518</v>
      </c>
      <c r="J87" s="66">
        <v>3</v>
      </c>
      <c r="K87" s="66" t="str">
        <f t="shared" si="18"/>
        <v>4013/4014</v>
      </c>
      <c r="L87" s="66" t="str">
        <f>VLOOKUP(A87,'Trips&amp;Operators'!$C$1:$E$9999,3,FALSE)</f>
        <v>YOUNG</v>
      </c>
      <c r="M87" s="12">
        <f t="shared" si="19"/>
        <v>2.8564814812853001E-2</v>
      </c>
      <c r="N87" s="13">
        <f t="shared" si="20"/>
        <v>41.133333330508322</v>
      </c>
      <c r="O87" s="13"/>
      <c r="P87" s="13"/>
      <c r="Q87" s="67"/>
      <c r="R87" s="67"/>
      <c r="S87" s="87">
        <f t="shared" si="26"/>
        <v>1</v>
      </c>
      <c r="T87" s="2" t="str">
        <f t="shared" si="27"/>
        <v>Southbound</v>
      </c>
      <c r="U87" s="74">
        <f>COUNTIFS([2]Variables!$M$2:$M$19,IF(T87="NorthBound","&gt;=","&lt;=")&amp;Z87,[2]Variables!$M$2:$M$19,IF(T87="NorthBound","&lt;=","&gt;=")&amp;AA87)</f>
        <v>12</v>
      </c>
      <c r="W87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14:44:33-0600',mode:absolute,to:'2016-05-03 15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7" s="60" t="str">
        <f t="shared" si="22"/>
        <v>N</v>
      </c>
      <c r="Y87" s="60">
        <f t="shared" si="29"/>
        <v>1</v>
      </c>
      <c r="Z87" s="60">
        <f t="shared" si="23"/>
        <v>23.298400000000001</v>
      </c>
      <c r="AA87" s="60">
        <f t="shared" si="24"/>
        <v>2.4199999999999999E-2</v>
      </c>
      <c r="AB87" s="60">
        <f t="shared" si="25"/>
        <v>23.2742</v>
      </c>
      <c r="AC87" s="61">
        <f>VLOOKUP(A87,Enforcements!$C$3:$J$40,8,0)</f>
        <v>229055</v>
      </c>
      <c r="AD87" s="61" t="str">
        <f>VLOOKUP(A87,Enforcements!$C$3:$J$40,3,0)</f>
        <v>PERMANENT SPEED RESTRICTION</v>
      </c>
    </row>
    <row r="88" spans="1:30" s="2" customFormat="1" x14ac:dyDescent="0.25">
      <c r="A88" s="66" t="s">
        <v>420</v>
      </c>
      <c r="B88" s="66">
        <v>4024</v>
      </c>
      <c r="C88" s="66" t="s">
        <v>448</v>
      </c>
      <c r="D88" s="66" t="s">
        <v>572</v>
      </c>
      <c r="E88" s="30">
        <v>42493.587013888886</v>
      </c>
      <c r="F88" s="30">
        <v>42493.588067129633</v>
      </c>
      <c r="G88" s="38">
        <v>1</v>
      </c>
      <c r="H88" s="30" t="s">
        <v>554</v>
      </c>
      <c r="I88" s="30">
        <v>42493.619490740741</v>
      </c>
      <c r="J88" s="66">
        <v>0</v>
      </c>
      <c r="K88" s="66" t="str">
        <f t="shared" si="18"/>
        <v>4023/4024</v>
      </c>
      <c r="L88" s="66" t="str">
        <f>VLOOKUP(A88,'Trips&amp;Operators'!$C$1:$E$9999,3,FALSE)</f>
        <v>CANFIELD</v>
      </c>
      <c r="M88" s="12">
        <f t="shared" si="19"/>
        <v>3.142361110803904E-2</v>
      </c>
      <c r="N88" s="13">
        <f t="shared" si="20"/>
        <v>45.249999995576218</v>
      </c>
      <c r="O88" s="13"/>
      <c r="P88" s="13"/>
      <c r="Q88" s="67"/>
      <c r="R88" s="67"/>
      <c r="S88" s="87">
        <f t="shared" si="26"/>
        <v>1</v>
      </c>
      <c r="T88" s="2" t="str">
        <f t="shared" si="27"/>
        <v>NorthBound</v>
      </c>
      <c r="U88" s="74">
        <f>COUNTIFS([2]Variables!$M$2:$M$19,IF(T88="NorthBound","&gt;=","&lt;=")&amp;Z88,[2]Variables!$M$2:$M$19,IF(T88="NorthBound","&lt;=","&gt;=")&amp;AA88)</f>
        <v>12</v>
      </c>
      <c r="W88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14:04:18-0600',mode:absolute,to:'2016-05-03 14:53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8" s="60" t="str">
        <f t="shared" si="22"/>
        <v>N</v>
      </c>
      <c r="Y88" s="60">
        <f t="shared" si="29"/>
        <v>1</v>
      </c>
      <c r="Z88" s="60">
        <f t="shared" si="23"/>
        <v>4.4699999999999997E-2</v>
      </c>
      <c r="AA88" s="60">
        <f t="shared" si="24"/>
        <v>23.331399999999999</v>
      </c>
      <c r="AB88" s="60">
        <f t="shared" si="25"/>
        <v>23.2867</v>
      </c>
      <c r="AC88" s="61" t="e">
        <f>VLOOKUP(A88,Enforcements!$C$3:$J$40,8,0)</f>
        <v>#N/A</v>
      </c>
      <c r="AD88" s="61" t="e">
        <f>VLOOKUP(A88,Enforcements!$C$3:$J$40,3,0)</f>
        <v>#N/A</v>
      </c>
    </row>
    <row r="89" spans="1:30" s="2" customFormat="1" x14ac:dyDescent="0.25">
      <c r="A89" s="66" t="s">
        <v>432</v>
      </c>
      <c r="B89" s="66">
        <v>4023</v>
      </c>
      <c r="C89" s="66" t="s">
        <v>448</v>
      </c>
      <c r="D89" s="66" t="s">
        <v>541</v>
      </c>
      <c r="E89" s="30">
        <v>42493.626562500001</v>
      </c>
      <c r="F89" s="30">
        <v>42493.627395833333</v>
      </c>
      <c r="G89" s="38">
        <v>1</v>
      </c>
      <c r="H89" s="30" t="s">
        <v>500</v>
      </c>
      <c r="I89" s="30">
        <v>42493.658402777779</v>
      </c>
      <c r="J89" s="66">
        <v>0</v>
      </c>
      <c r="K89" s="66" t="str">
        <f t="shared" si="18"/>
        <v>4023/4024</v>
      </c>
      <c r="L89" s="66" t="str">
        <f>VLOOKUP(A89,'Trips&amp;Operators'!$C$1:$E$9999,3,FALSE)</f>
        <v>CANFIELD</v>
      </c>
      <c r="M89" s="12">
        <f t="shared" si="19"/>
        <v>3.1006944445834961E-2</v>
      </c>
      <c r="N89" s="13">
        <f t="shared" si="20"/>
        <v>44.650000002002344</v>
      </c>
      <c r="O89" s="13"/>
      <c r="P89" s="13"/>
      <c r="Q89" s="67"/>
      <c r="R89" s="67"/>
      <c r="S89" s="87">
        <f t="shared" si="26"/>
        <v>1</v>
      </c>
      <c r="T89" s="2" t="str">
        <f t="shared" si="27"/>
        <v>Southbound</v>
      </c>
      <c r="U89" s="74">
        <f>COUNTIFS([2]Variables!$M$2:$M$19,IF(T89="NorthBound","&gt;=","&lt;=")&amp;Z89,[2]Variables!$M$2:$M$19,IF(T89="NorthBound","&lt;=","&gt;=")&amp;AA89)</f>
        <v>12</v>
      </c>
      <c r="W89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15:01:15-0600',mode:absolute,to:'2016-05-03 15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9" s="60" t="str">
        <f t="shared" si="22"/>
        <v>N</v>
      </c>
      <c r="Y89" s="60">
        <f t="shared" si="29"/>
        <v>1</v>
      </c>
      <c r="Z89" s="60">
        <f t="shared" si="23"/>
        <v>23.300799999999999</v>
      </c>
      <c r="AA89" s="60">
        <f t="shared" si="24"/>
        <v>1.6E-2</v>
      </c>
      <c r="AB89" s="60">
        <f t="shared" si="25"/>
        <v>23.284800000000001</v>
      </c>
      <c r="AC89" s="61" t="e">
        <f>VLOOKUP(A89,Enforcements!$C$3:$J$40,8,0)</f>
        <v>#N/A</v>
      </c>
      <c r="AD89" s="61" t="e">
        <f>VLOOKUP(A89,Enforcements!$C$3:$J$40,3,0)</f>
        <v>#N/A</v>
      </c>
    </row>
    <row r="90" spans="1:30" s="2" customFormat="1" x14ac:dyDescent="0.25">
      <c r="A90" s="66" t="s">
        <v>361</v>
      </c>
      <c r="B90" s="66">
        <v>4031</v>
      </c>
      <c r="C90" s="66" t="s">
        <v>448</v>
      </c>
      <c r="D90" s="66" t="s">
        <v>496</v>
      </c>
      <c r="E90" s="30">
        <v>42493.599664351852</v>
      </c>
      <c r="F90" s="30">
        <v>42493.600740740738</v>
      </c>
      <c r="G90" s="38">
        <v>1</v>
      </c>
      <c r="H90" s="30" t="s">
        <v>533</v>
      </c>
      <c r="I90" s="30">
        <v>42493.629143518519</v>
      </c>
      <c r="J90" s="66">
        <v>0</v>
      </c>
      <c r="K90" s="66" t="str">
        <f t="shared" si="18"/>
        <v>4031/4032</v>
      </c>
      <c r="L90" s="66" t="str">
        <f>VLOOKUP(A90,'Trips&amp;Operators'!$C$1:$E$9999,3,FALSE)</f>
        <v>JACKSON</v>
      </c>
      <c r="M90" s="12">
        <f t="shared" si="19"/>
        <v>2.8402777781593613E-2</v>
      </c>
      <c r="N90" s="13">
        <f t="shared" si="20"/>
        <v>40.900000005494803</v>
      </c>
      <c r="O90" s="13"/>
      <c r="P90" s="13"/>
      <c r="Q90" s="67"/>
      <c r="R90" s="67"/>
      <c r="S90" s="87">
        <f t="shared" si="26"/>
        <v>1</v>
      </c>
      <c r="T90" s="2" t="str">
        <f t="shared" si="27"/>
        <v>NorthBound</v>
      </c>
      <c r="U90" s="74">
        <f>COUNTIFS([2]Variables!$M$2:$M$19,IF(T90="NorthBound","&gt;=","&lt;=")&amp;Z90,[2]Variables!$M$2:$M$19,IF(T90="NorthBound","&lt;=","&gt;=")&amp;AA90)</f>
        <v>12</v>
      </c>
      <c r="W90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14:22:31-0600',mode:absolute,to:'2016-05-03 15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0" s="60" t="str">
        <f t="shared" si="22"/>
        <v>N</v>
      </c>
      <c r="Y90" s="60">
        <f t="shared" si="29"/>
        <v>1</v>
      </c>
      <c r="Z90" s="60">
        <f t="shared" si="23"/>
        <v>4.7300000000000002E-2</v>
      </c>
      <c r="AA90" s="60">
        <f t="shared" si="24"/>
        <v>23.330500000000001</v>
      </c>
      <c r="AB90" s="60">
        <f t="shared" si="25"/>
        <v>23.283200000000001</v>
      </c>
      <c r="AC90" s="61" t="e">
        <f>VLOOKUP(A90,Enforcements!$C$3:$J$40,8,0)</f>
        <v>#N/A</v>
      </c>
      <c r="AD90" s="61" t="e">
        <f>VLOOKUP(A90,Enforcements!$C$3:$J$40,3,0)</f>
        <v>#N/A</v>
      </c>
    </row>
    <row r="91" spans="1:30" s="2" customFormat="1" x14ac:dyDescent="0.25">
      <c r="A91" s="66" t="s">
        <v>316</v>
      </c>
      <c r="B91" s="66">
        <v>4032</v>
      </c>
      <c r="C91" s="66" t="s">
        <v>448</v>
      </c>
      <c r="D91" s="66" t="s">
        <v>564</v>
      </c>
      <c r="E91" s="30">
        <v>42493.63521990741</v>
      </c>
      <c r="F91" s="30">
        <v>42493.636608796296</v>
      </c>
      <c r="G91" s="38">
        <v>2</v>
      </c>
      <c r="H91" s="30" t="s">
        <v>573</v>
      </c>
      <c r="I91" s="30">
        <v>42493.66946759259</v>
      </c>
      <c r="J91" s="66">
        <v>1</v>
      </c>
      <c r="K91" s="66" t="str">
        <f t="shared" si="18"/>
        <v>4031/4032</v>
      </c>
      <c r="L91" s="66" t="str">
        <f>VLOOKUP(A91,'Trips&amp;Operators'!$C$1:$E$9999,3,FALSE)</f>
        <v>JACKSON</v>
      </c>
      <c r="M91" s="12">
        <f t="shared" si="19"/>
        <v>3.2858796294021886E-2</v>
      </c>
      <c r="N91" s="13">
        <f t="shared" si="20"/>
        <v>47.316666663391516</v>
      </c>
      <c r="O91" s="13"/>
      <c r="P91" s="13"/>
      <c r="Q91" s="67"/>
      <c r="R91" s="67"/>
      <c r="S91" s="87">
        <f t="shared" si="26"/>
        <v>1</v>
      </c>
      <c r="T91" s="2" t="str">
        <f t="shared" si="27"/>
        <v>Southbound</v>
      </c>
      <c r="U91" s="74">
        <f>COUNTIFS([2]Variables!$M$2:$M$19,IF(T91="NorthBound","&gt;=","&lt;=")&amp;Z91,[2]Variables!$M$2:$M$19,IF(T91="NorthBound","&lt;=","&gt;=")&amp;AA91)</f>
        <v>12</v>
      </c>
      <c r="W91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15:13:43-0600',mode:absolute,to:'2016-05-03 16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1" s="60" t="str">
        <f t="shared" si="22"/>
        <v>N</v>
      </c>
      <c r="Y91" s="60">
        <f t="shared" si="29"/>
        <v>1</v>
      </c>
      <c r="Z91" s="60">
        <f t="shared" si="23"/>
        <v>23.297499999999999</v>
      </c>
      <c r="AA91" s="60">
        <f t="shared" si="24"/>
        <v>1.6500000000000001E-2</v>
      </c>
      <c r="AB91" s="60">
        <f t="shared" si="25"/>
        <v>23.280999999999999</v>
      </c>
      <c r="AC91" s="61" t="e">
        <f>VLOOKUP(A91,Enforcements!$C$3:$J$40,8,0)</f>
        <v>#N/A</v>
      </c>
      <c r="AD91" s="61" t="e">
        <f>VLOOKUP(A91,Enforcements!$C$3:$J$40,3,0)</f>
        <v>#N/A</v>
      </c>
    </row>
    <row r="92" spans="1:30" s="2" customFormat="1" x14ac:dyDescent="0.25">
      <c r="A92" s="66" t="s">
        <v>368</v>
      </c>
      <c r="B92" s="66">
        <v>4038</v>
      </c>
      <c r="C92" s="66" t="s">
        <v>448</v>
      </c>
      <c r="D92" s="66" t="s">
        <v>574</v>
      </c>
      <c r="E92" s="30">
        <v>42493.609016203707</v>
      </c>
      <c r="F92" s="30">
        <v>42493.610462962963</v>
      </c>
      <c r="G92" s="38">
        <v>2</v>
      </c>
      <c r="H92" s="30" t="s">
        <v>497</v>
      </c>
      <c r="I92" s="30">
        <v>42493.63925925926</v>
      </c>
      <c r="J92" s="66">
        <v>0</v>
      </c>
      <c r="K92" s="66" t="str">
        <f t="shared" si="18"/>
        <v>4037/4038</v>
      </c>
      <c r="L92" s="66" t="str">
        <f>VLOOKUP(A92,'Trips&amp;Operators'!$C$1:$E$9999,3,FALSE)</f>
        <v>YORK</v>
      </c>
      <c r="M92" s="12">
        <f t="shared" si="19"/>
        <v>2.8796296297514345E-2</v>
      </c>
      <c r="N92" s="13">
        <f t="shared" si="20"/>
        <v>41.466666668420658</v>
      </c>
      <c r="O92" s="13"/>
      <c r="P92" s="13"/>
      <c r="Q92" s="67"/>
      <c r="R92" s="67"/>
      <c r="S92" s="87">
        <f t="shared" si="26"/>
        <v>1</v>
      </c>
      <c r="T92" s="2" t="str">
        <f t="shared" si="27"/>
        <v>NorthBound</v>
      </c>
      <c r="U92" s="74">
        <f>COUNTIFS([2]Variables!$M$2:$M$19,IF(T92="NorthBound","&gt;=","&lt;=")&amp;Z92,[2]Variables!$M$2:$M$19,IF(T92="NorthBound","&lt;=","&gt;=")&amp;AA92)</f>
        <v>12</v>
      </c>
      <c r="W92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14:35:59-0600',mode:absolute,to:'2016-05-03 15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2" s="60" t="str">
        <f t="shared" si="22"/>
        <v>N</v>
      </c>
      <c r="Y92" s="60">
        <f t="shared" si="29"/>
        <v>1</v>
      </c>
      <c r="Z92" s="60">
        <f t="shared" si="23"/>
        <v>5.04E-2</v>
      </c>
      <c r="AA92" s="60">
        <f t="shared" si="24"/>
        <v>23.3308</v>
      </c>
      <c r="AB92" s="60">
        <f t="shared" si="25"/>
        <v>23.2804</v>
      </c>
      <c r="AC92" s="61" t="e">
        <f>VLOOKUP(A92,Enforcements!$C$3:$J$40,8,0)</f>
        <v>#N/A</v>
      </c>
      <c r="AD92" s="61" t="e">
        <f>VLOOKUP(A92,Enforcements!$C$3:$J$40,3,0)</f>
        <v>#N/A</v>
      </c>
    </row>
    <row r="93" spans="1:30" s="2" customFormat="1" x14ac:dyDescent="0.25">
      <c r="A93" s="66" t="s">
        <v>317</v>
      </c>
      <c r="B93" s="66">
        <v>4037</v>
      </c>
      <c r="C93" s="66" t="s">
        <v>448</v>
      </c>
      <c r="D93" s="66" t="s">
        <v>561</v>
      </c>
      <c r="E93" s="30">
        <v>42493.650497685187</v>
      </c>
      <c r="F93" s="30">
        <v>42493.65179398148</v>
      </c>
      <c r="G93" s="38">
        <v>1</v>
      </c>
      <c r="H93" s="30" t="s">
        <v>519</v>
      </c>
      <c r="I93" s="30">
        <v>42493.678831018522</v>
      </c>
      <c r="J93" s="66">
        <v>0</v>
      </c>
      <c r="K93" s="66" t="str">
        <f t="shared" si="18"/>
        <v>4037/4038</v>
      </c>
      <c r="L93" s="66" t="str">
        <f>VLOOKUP(A93,'Trips&amp;Operators'!$C$1:$E$9999,3,FALSE)</f>
        <v>YORK</v>
      </c>
      <c r="M93" s="12">
        <f t="shared" si="19"/>
        <v>2.7037037041736767E-2</v>
      </c>
      <c r="N93" s="13">
        <f t="shared" si="20"/>
        <v>38.933333340100944</v>
      </c>
      <c r="O93" s="13"/>
      <c r="P93" s="13"/>
      <c r="Q93" s="67"/>
      <c r="R93" s="67"/>
      <c r="S93" s="87">
        <f t="shared" si="26"/>
        <v>1</v>
      </c>
      <c r="T93" s="2" t="str">
        <f t="shared" si="27"/>
        <v>Southbound</v>
      </c>
      <c r="U93" s="74">
        <f>COUNTIFS([2]Variables!$M$2:$M$19,IF(T93="NorthBound","&gt;=","&lt;=")&amp;Z93,[2]Variables!$M$2:$M$19,IF(T93="NorthBound","&lt;=","&gt;=")&amp;AA93)</f>
        <v>12</v>
      </c>
      <c r="W93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15:35:43-0600',mode:absolute,to:'2016-05-03 16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3" s="60" t="str">
        <f t="shared" si="22"/>
        <v>N</v>
      </c>
      <c r="Y93" s="60">
        <f t="shared" si="29"/>
        <v>1</v>
      </c>
      <c r="Z93" s="60">
        <f t="shared" si="23"/>
        <v>23.299800000000001</v>
      </c>
      <c r="AA93" s="60">
        <f t="shared" si="24"/>
        <v>1.4500000000000001E-2</v>
      </c>
      <c r="AB93" s="60">
        <f t="shared" si="25"/>
        <v>23.285299999999999</v>
      </c>
      <c r="AC93" s="61" t="e">
        <f>VLOOKUP(A93,Enforcements!$C$3:$J$40,8,0)</f>
        <v>#N/A</v>
      </c>
      <c r="AD93" s="61" t="e">
        <f>VLOOKUP(A93,Enforcements!$C$3:$J$40,3,0)</f>
        <v>#N/A</v>
      </c>
    </row>
    <row r="94" spans="1:30" s="2" customFormat="1" x14ac:dyDescent="0.25">
      <c r="A94" s="66" t="s">
        <v>314</v>
      </c>
      <c r="B94" s="66">
        <v>4025</v>
      </c>
      <c r="C94" s="66" t="s">
        <v>448</v>
      </c>
      <c r="D94" s="66" t="s">
        <v>575</v>
      </c>
      <c r="E94" s="30">
        <v>42493.621319444443</v>
      </c>
      <c r="F94" s="30">
        <v>42493.622199074074</v>
      </c>
      <c r="G94" s="38">
        <v>1</v>
      </c>
      <c r="H94" s="30" t="s">
        <v>518</v>
      </c>
      <c r="I94" s="30">
        <v>42493.649293981478</v>
      </c>
      <c r="J94" s="66">
        <v>0</v>
      </c>
      <c r="K94" s="66" t="str">
        <f t="shared" si="18"/>
        <v>4025/4026</v>
      </c>
      <c r="L94" s="66" t="str">
        <f>VLOOKUP(A94,'Trips&amp;Operators'!$C$1:$E$9999,3,FALSE)</f>
        <v>BEAM</v>
      </c>
      <c r="M94" s="12">
        <f t="shared" si="19"/>
        <v>2.7094907403807156E-2</v>
      </c>
      <c r="N94" s="13">
        <f t="shared" si="20"/>
        <v>39.016666661482304</v>
      </c>
      <c r="O94" s="13"/>
      <c r="P94" s="13"/>
      <c r="Q94" s="67"/>
      <c r="R94" s="67"/>
      <c r="S94" s="87">
        <f t="shared" si="26"/>
        <v>1</v>
      </c>
      <c r="T94" s="2" t="str">
        <f t="shared" si="27"/>
        <v>NorthBound</v>
      </c>
      <c r="U94" s="74">
        <f>COUNTIFS([2]Variables!$M$2:$M$19,IF(T94="NorthBound","&gt;=","&lt;=")&amp;Z94,[2]Variables!$M$2:$M$19,IF(T94="NorthBound","&lt;=","&gt;=")&amp;AA94)</f>
        <v>12</v>
      </c>
      <c r="W94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14:53:42-0600',mode:absolute,to:'2016-05-03 15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4" s="60" t="str">
        <f t="shared" si="22"/>
        <v>N</v>
      </c>
      <c r="Y94" s="60">
        <f t="shared" si="29"/>
        <v>1</v>
      </c>
      <c r="Z94" s="60">
        <f t="shared" si="23"/>
        <v>4.5499999999999999E-2</v>
      </c>
      <c r="AA94" s="60">
        <f t="shared" si="24"/>
        <v>23.330300000000001</v>
      </c>
      <c r="AB94" s="60">
        <f t="shared" si="25"/>
        <v>23.284800000000001</v>
      </c>
      <c r="AC94" s="61" t="e">
        <f>VLOOKUP(A94,Enforcements!$C$3:$J$40,8,0)</f>
        <v>#N/A</v>
      </c>
      <c r="AD94" s="61" t="e">
        <f>VLOOKUP(A94,Enforcements!$C$3:$J$40,3,0)</f>
        <v>#N/A</v>
      </c>
    </row>
    <row r="95" spans="1:30" s="2" customFormat="1" x14ac:dyDescent="0.25">
      <c r="A95" s="66" t="s">
        <v>318</v>
      </c>
      <c r="B95" s="66">
        <v>4026</v>
      </c>
      <c r="C95" s="66" t="s">
        <v>448</v>
      </c>
      <c r="D95" s="66" t="s">
        <v>538</v>
      </c>
      <c r="E95" s="30">
        <v>42493.659699074073</v>
      </c>
      <c r="F95" s="30">
        <v>42493.660555555558</v>
      </c>
      <c r="G95" s="38">
        <v>1</v>
      </c>
      <c r="H95" s="30" t="s">
        <v>463</v>
      </c>
      <c r="I95" s="30">
        <v>42493.690601851849</v>
      </c>
      <c r="J95" s="66">
        <v>1</v>
      </c>
      <c r="K95" s="66" t="str">
        <f t="shared" si="18"/>
        <v>4025/4026</v>
      </c>
      <c r="L95" s="66" t="str">
        <f>VLOOKUP(A95,'Trips&amp;Operators'!$C$1:$E$9999,3,FALSE)</f>
        <v>BEAM</v>
      </c>
      <c r="M95" s="12">
        <f t="shared" si="19"/>
        <v>3.0046296291402541E-2</v>
      </c>
      <c r="N95" s="13">
        <f t="shared" si="20"/>
        <v>43.266666659619659</v>
      </c>
      <c r="O95" s="13"/>
      <c r="P95" s="13"/>
      <c r="Q95" s="67"/>
      <c r="R95" s="67"/>
      <c r="S95" s="87">
        <f t="shared" si="26"/>
        <v>1</v>
      </c>
      <c r="T95" s="2" t="str">
        <f t="shared" si="27"/>
        <v>Southbound</v>
      </c>
      <c r="U95" s="74">
        <f>COUNTIFS([2]Variables!$M$2:$M$19,IF(T95="NorthBound","&gt;=","&lt;=")&amp;Z95,[2]Variables!$M$2:$M$19,IF(T95="NorthBound","&lt;=","&gt;=")&amp;AA95)</f>
        <v>12</v>
      </c>
      <c r="W95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15:48:58-0600',mode:absolute,to:'2016-05-03 16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5" s="60" t="str">
        <f t="shared" si="22"/>
        <v>N</v>
      </c>
      <c r="Y95" s="60">
        <f t="shared" si="29"/>
        <v>1</v>
      </c>
      <c r="Z95" s="60">
        <f t="shared" si="23"/>
        <v>23.297799999999999</v>
      </c>
      <c r="AA95" s="60">
        <f t="shared" si="24"/>
        <v>1.38E-2</v>
      </c>
      <c r="AB95" s="60">
        <f t="shared" si="25"/>
        <v>23.283999999999999</v>
      </c>
      <c r="AC95" s="61" t="e">
        <f>VLOOKUP(A95,Enforcements!$C$3:$J$40,8,0)</f>
        <v>#N/A</v>
      </c>
      <c r="AD95" s="61" t="e">
        <f>VLOOKUP(A95,Enforcements!$C$3:$J$40,3,0)</f>
        <v>#N/A</v>
      </c>
    </row>
    <row r="96" spans="1:30" s="2" customFormat="1" x14ac:dyDescent="0.25">
      <c r="A96" s="66" t="s">
        <v>313</v>
      </c>
      <c r="B96" s="66">
        <v>4011</v>
      </c>
      <c r="C96" s="66" t="s">
        <v>448</v>
      </c>
      <c r="D96" s="66" t="s">
        <v>472</v>
      </c>
      <c r="E96" s="30">
        <v>42493.629560185182</v>
      </c>
      <c r="F96" s="30">
        <v>42493.630902777775</v>
      </c>
      <c r="G96" s="38">
        <v>1</v>
      </c>
      <c r="H96" s="30" t="s">
        <v>576</v>
      </c>
      <c r="I96" s="30">
        <v>42493.661087962966</v>
      </c>
      <c r="J96" s="66">
        <v>1</v>
      </c>
      <c r="K96" s="66" t="str">
        <f t="shared" si="18"/>
        <v>4011/4012</v>
      </c>
      <c r="L96" s="66" t="str">
        <f>VLOOKUP(A96,'Trips&amp;Operators'!$C$1:$E$9999,3,FALSE)</f>
        <v>ADANE</v>
      </c>
      <c r="M96" s="12">
        <f t="shared" si="19"/>
        <v>3.0185185190930497E-2</v>
      </c>
      <c r="N96" s="13">
        <f t="shared" si="20"/>
        <v>43.466666674939916</v>
      </c>
      <c r="O96" s="13"/>
      <c r="P96" s="13"/>
      <c r="Q96" s="67"/>
      <c r="R96" s="67"/>
      <c r="S96" s="87">
        <f t="shared" si="26"/>
        <v>1</v>
      </c>
      <c r="T96" s="2" t="str">
        <f t="shared" si="27"/>
        <v>NorthBound</v>
      </c>
      <c r="U96" s="74">
        <f>COUNTIFS([2]Variables!$M$2:$M$19,IF(T96="NorthBound","&gt;=","&lt;=")&amp;Z96,[2]Variables!$M$2:$M$19,IF(T96="NorthBound","&lt;=","&gt;=")&amp;AA96)</f>
        <v>12</v>
      </c>
      <c r="W96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15:05:34-0600',mode:absolute,to:'2016-05-03 15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6" s="60" t="str">
        <f t="shared" si="22"/>
        <v>N</v>
      </c>
      <c r="Y96" s="60">
        <f t="shared" si="29"/>
        <v>1</v>
      </c>
      <c r="Z96" s="60">
        <f t="shared" si="23"/>
        <v>4.4200000000000003E-2</v>
      </c>
      <c r="AA96" s="60">
        <f t="shared" si="24"/>
        <v>23.332699999999999</v>
      </c>
      <c r="AB96" s="60">
        <f t="shared" si="25"/>
        <v>23.288499999999999</v>
      </c>
      <c r="AC96" s="61">
        <f>VLOOKUP(A96,Enforcements!$C$3:$J$40,8,0)</f>
        <v>20338</v>
      </c>
      <c r="AD96" s="61" t="str">
        <f>VLOOKUP(A96,Enforcements!$C$3:$J$40,3,0)</f>
        <v>PERMANENT SPEED RESTRICTION</v>
      </c>
    </row>
    <row r="97" spans="1:30" s="2" customFormat="1" x14ac:dyDescent="0.25">
      <c r="A97" s="66" t="s">
        <v>319</v>
      </c>
      <c r="B97" s="66">
        <v>4012</v>
      </c>
      <c r="C97" s="66" t="s">
        <v>448</v>
      </c>
      <c r="D97" s="66" t="s">
        <v>466</v>
      </c>
      <c r="E97" s="30">
        <v>42493.667141203703</v>
      </c>
      <c r="F97" s="30">
        <v>42493.674803240741</v>
      </c>
      <c r="G97" s="38">
        <v>2</v>
      </c>
      <c r="H97" s="30" t="s">
        <v>478</v>
      </c>
      <c r="I97" s="30">
        <v>42493.703576388885</v>
      </c>
      <c r="J97" s="66">
        <v>1</v>
      </c>
      <c r="K97" s="66" t="str">
        <f t="shared" si="18"/>
        <v>4011/4012</v>
      </c>
      <c r="L97" s="66" t="str">
        <f>VLOOKUP(A97,'Trips&amp;Operators'!$C$1:$E$9999,3,FALSE)</f>
        <v>ADANE</v>
      </c>
      <c r="M97" s="12">
        <f t="shared" si="19"/>
        <v>2.8773148143955041E-2</v>
      </c>
      <c r="N97" s="13">
        <f t="shared" si="20"/>
        <v>41.433333327295259</v>
      </c>
      <c r="O97" s="13"/>
      <c r="P97" s="13"/>
      <c r="Q97" s="67"/>
      <c r="R97" s="67"/>
      <c r="S97" s="87">
        <f t="shared" si="26"/>
        <v>1</v>
      </c>
      <c r="T97" s="2" t="str">
        <f t="shared" si="27"/>
        <v>Southbound</v>
      </c>
      <c r="U97" s="74">
        <f>COUNTIFS([2]Variables!$M$2:$M$19,IF(T97="NorthBound","&gt;=","&lt;=")&amp;Z97,[2]Variables!$M$2:$M$19,IF(T97="NorthBound","&lt;=","&gt;=")&amp;AA97)</f>
        <v>12</v>
      </c>
      <c r="W97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15:59:41-0600',mode:absolute,to:'2016-05-03 16:54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7" s="60" t="str">
        <f t="shared" si="22"/>
        <v>N</v>
      </c>
      <c r="Y97" s="60">
        <f t="shared" si="29"/>
        <v>1</v>
      </c>
      <c r="Z97" s="60">
        <f t="shared" si="23"/>
        <v>23.2987</v>
      </c>
      <c r="AA97" s="60">
        <f t="shared" si="24"/>
        <v>1.47E-2</v>
      </c>
      <c r="AB97" s="60">
        <f t="shared" si="25"/>
        <v>23.283999999999999</v>
      </c>
      <c r="AC97" s="61">
        <f>VLOOKUP(A97,Enforcements!$C$3:$J$40,8,0)</f>
        <v>21848</v>
      </c>
      <c r="AD97" s="61" t="str">
        <f>VLOOKUP(A97,Enforcements!$C$3:$J$40,3,0)</f>
        <v>PERMANENT SPEED RESTRICTION</v>
      </c>
    </row>
    <row r="98" spans="1:30" s="2" customFormat="1" x14ac:dyDescent="0.25">
      <c r="A98" s="66" t="s">
        <v>417</v>
      </c>
      <c r="B98" s="66">
        <v>4027</v>
      </c>
      <c r="C98" s="66" t="s">
        <v>448</v>
      </c>
      <c r="D98" s="66" t="s">
        <v>464</v>
      </c>
      <c r="E98" s="30">
        <v>42493.640543981484</v>
      </c>
      <c r="F98" s="30">
        <v>42493.641851851855</v>
      </c>
      <c r="G98" s="38">
        <v>1</v>
      </c>
      <c r="H98" s="30" t="s">
        <v>577</v>
      </c>
      <c r="I98" s="30">
        <v>42493.670405092591</v>
      </c>
      <c r="J98" s="66">
        <v>0</v>
      </c>
      <c r="K98" s="66" t="str">
        <f t="shared" si="18"/>
        <v>4027/4028</v>
      </c>
      <c r="L98" s="66" t="str">
        <f>VLOOKUP(A98,'Trips&amp;Operators'!$C$1:$E$9999,3,FALSE)</f>
        <v>COOLAHAN</v>
      </c>
      <c r="M98" s="12">
        <f t="shared" si="19"/>
        <v>2.8553240736073349E-2</v>
      </c>
      <c r="N98" s="13">
        <f t="shared" si="20"/>
        <v>41.116666659945622</v>
      </c>
      <c r="O98" s="13"/>
      <c r="P98" s="13"/>
      <c r="Q98" s="67"/>
      <c r="R98" s="67"/>
      <c r="S98" s="87">
        <f t="shared" si="26"/>
        <v>1</v>
      </c>
      <c r="T98" s="2" t="str">
        <f t="shared" si="27"/>
        <v>NorthBound</v>
      </c>
      <c r="U98" s="74">
        <f>COUNTIFS([2]Variables!$M$2:$M$19,IF(T98="NorthBound","&gt;=","&lt;=")&amp;Z98,[2]Variables!$M$2:$M$19,IF(T98="NorthBound","&lt;=","&gt;=")&amp;AA98)</f>
        <v>12</v>
      </c>
      <c r="W98" s="60" t="str">
        <f t="shared" si="21"/>
        <v>https://search-rtdc-monitor-bjffxe2xuh6vdkpspy63sjmuny.us-east-1.es.amazonaws.com/_plugin/kibana/#/discover/Steve-Slow-Train-Analysis-(2080s-and-2083s)?_g=(refreshInterval:(display:Off,section:0,value:0),time:(from:'2016-05-03 15:21:23-0600',mode:absolute,to:'2016-05-03 16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98" s="60" t="str">
        <f t="shared" si="22"/>
        <v>N</v>
      </c>
      <c r="Y98" s="60">
        <f t="shared" si="29"/>
        <v>1</v>
      </c>
      <c r="Z98" s="60">
        <f t="shared" si="23"/>
        <v>4.3499999999999997E-2</v>
      </c>
      <c r="AA98" s="60">
        <f t="shared" si="24"/>
        <v>23.335899999999999</v>
      </c>
      <c r="AB98" s="60">
        <f t="shared" si="25"/>
        <v>23.292399999999997</v>
      </c>
      <c r="AC98" s="61" t="e">
        <f>VLOOKUP(A98,Enforcements!$C$3:$J$40,8,0)</f>
        <v>#N/A</v>
      </c>
      <c r="AD98" s="61" t="e">
        <f>VLOOKUP(A98,Enforcements!$C$3:$J$40,3,0)</f>
        <v>#N/A</v>
      </c>
    </row>
    <row r="99" spans="1:30" s="2" customFormat="1" x14ac:dyDescent="0.25">
      <c r="A99" s="66" t="s">
        <v>367</v>
      </c>
      <c r="B99" s="66">
        <v>4028</v>
      </c>
      <c r="C99" s="66" t="s">
        <v>448</v>
      </c>
      <c r="D99" s="66" t="s">
        <v>578</v>
      </c>
      <c r="E99" s="30">
        <v>42493.680439814816</v>
      </c>
      <c r="F99" s="30">
        <v>42493.681458333333</v>
      </c>
      <c r="G99" s="38">
        <v>1</v>
      </c>
      <c r="H99" s="30" t="s">
        <v>579</v>
      </c>
      <c r="I99" s="30">
        <v>42493.710578703707</v>
      </c>
      <c r="J99" s="66">
        <v>0</v>
      </c>
      <c r="K99" s="66" t="str">
        <f t="shared" ref="K99:K102" si="30">IF(ISEVEN(B99),(B99-1)&amp;"/"&amp;B99,B99&amp;"/"&amp;(B99+1))</f>
        <v>4027/4028</v>
      </c>
      <c r="L99" s="66" t="str">
        <f>VLOOKUP(A99,'Trips&amp;Operators'!$C$1:$E$9999,3,FALSE)</f>
        <v>COOLAHAN</v>
      </c>
      <c r="M99" s="12">
        <f t="shared" ref="M99:M102" si="31">I99-F99</f>
        <v>2.9120370374585036E-2</v>
      </c>
      <c r="N99" s="13">
        <f t="shared" si="20"/>
        <v>41.933333339402452</v>
      </c>
      <c r="O99" s="13"/>
      <c r="P99" s="13"/>
      <c r="Q99" s="67"/>
      <c r="R99" s="67"/>
      <c r="S99" s="87">
        <f t="shared" si="26"/>
        <v>1</v>
      </c>
      <c r="T99" s="2" t="str">
        <f t="shared" si="27"/>
        <v>Southbound</v>
      </c>
      <c r="U99" s="74">
        <f>COUNTIFS([2]Variables!$M$2:$M$19,IF(T99="NorthBound","&gt;=","&lt;=")&amp;Z99,[2]Variables!$M$2:$M$19,IF(T99="NorthBound","&lt;=","&gt;=")&amp;AA99)</f>
        <v>12</v>
      </c>
      <c r="W99" s="60" t="str">
        <f t="shared" ref="W99:W102" si="32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https://search-rtdc-monitor-bjffxe2xuh6vdkpspy63sjmuny.us-east-1.es.amazonaws.com/_plugin/kibana/#/discover/Steve-Slow-Train-Analysis-(2080s-and-2083s)?_g=(refreshInterval:(display:Off,section:0,value:0),time:(from:'2016-05-03 16:18:50-0600',mode:absolute,to:'2016-05-03 17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9" s="60" t="str">
        <f t="shared" ref="X99:X102" si="33">IF(AB99&lt;23,"Y","N")</f>
        <v>N</v>
      </c>
      <c r="Y99" s="60">
        <f t="shared" si="29"/>
        <v>1</v>
      </c>
      <c r="Z99" s="60">
        <f t="shared" ref="Z99:Z102" si="34">RIGHT(D99,LEN(D99)-4)/10000</f>
        <v>23.301500000000001</v>
      </c>
      <c r="AA99" s="60">
        <f t="shared" ref="AA99:AA102" si="35">RIGHT(H99,LEN(H99)-4)/10000</f>
        <v>1.0999999999999999E-2</v>
      </c>
      <c r="AB99" s="60">
        <f t="shared" ref="AB99:AB102" si="36">ABS(AA99-Z99)</f>
        <v>23.290500000000002</v>
      </c>
      <c r="AC99" s="61" t="e">
        <f>VLOOKUP(A99,Enforcements!$C$3:$J$40,8,0)</f>
        <v>#N/A</v>
      </c>
      <c r="AD99" s="61" t="e">
        <f>VLOOKUP(A99,Enforcements!$C$3:$J$40,3,0)</f>
        <v>#N/A</v>
      </c>
    </row>
    <row r="100" spans="1:30" s="2" customFormat="1" x14ac:dyDescent="0.25">
      <c r="A100" s="66" t="s">
        <v>315</v>
      </c>
      <c r="B100" s="66">
        <v>4014</v>
      </c>
      <c r="C100" s="66" t="s">
        <v>448</v>
      </c>
      <c r="D100" s="66" t="s">
        <v>580</v>
      </c>
      <c r="E100" s="30">
        <v>42493.654374999998</v>
      </c>
      <c r="F100" s="30">
        <v>42493.655300925922</v>
      </c>
      <c r="G100" s="38">
        <v>1</v>
      </c>
      <c r="H100" s="30" t="s">
        <v>537</v>
      </c>
      <c r="I100" s="30">
        <v>42493.689212962963</v>
      </c>
      <c r="J100" s="66">
        <v>2</v>
      </c>
      <c r="K100" s="66" t="str">
        <f t="shared" si="30"/>
        <v>4013/4014</v>
      </c>
      <c r="L100" s="66" t="str">
        <f>VLOOKUP(A100,'Trips&amp;Operators'!$C$1:$E$9999,3,FALSE)</f>
        <v>YOUNG</v>
      </c>
      <c r="M100" s="12">
        <f t="shared" si="31"/>
        <v>3.3912037040863652E-2</v>
      </c>
      <c r="N100" s="13">
        <f t="shared" si="20"/>
        <v>48.833333338843659</v>
      </c>
      <c r="O100" s="13"/>
      <c r="P100" s="13"/>
      <c r="Q100" s="67"/>
      <c r="R100" s="67"/>
      <c r="S100" s="87">
        <f t="shared" si="26"/>
        <v>1</v>
      </c>
      <c r="T100" s="2" t="str">
        <f t="shared" si="27"/>
        <v>NorthBound</v>
      </c>
      <c r="U100" s="74">
        <f>COUNTIFS([2]Variables!$M$2:$M$19,IF(T100="NorthBound","&gt;=","&lt;=")&amp;Z100,[2]Variables!$M$2:$M$19,IF(T100="NorthBound","&lt;=","&gt;=")&amp;AA100)</f>
        <v>12</v>
      </c>
      <c r="W100" s="60" t="str">
        <f t="shared" si="32"/>
        <v>https://search-rtdc-monitor-bjffxe2xuh6vdkpspy63sjmuny.us-east-1.es.amazonaws.com/_plugin/kibana/#/discover/Steve-Slow-Train-Analysis-(2080s-and-2083s)?_g=(refreshInterval:(display:Off,section:0,value:0),time:(from:'2016-05-03 15:41:18-0600',mode:absolute,to:'2016-05-03 16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0" s="60" t="str">
        <f t="shared" si="33"/>
        <v>N</v>
      </c>
      <c r="Y100" s="60">
        <f t="shared" si="29"/>
        <v>1</v>
      </c>
      <c r="Z100" s="60">
        <f t="shared" si="34"/>
        <v>5.3100000000000001E-2</v>
      </c>
      <c r="AA100" s="60">
        <f t="shared" si="35"/>
        <v>23.330100000000002</v>
      </c>
      <c r="AB100" s="60">
        <f t="shared" si="36"/>
        <v>23.277000000000001</v>
      </c>
      <c r="AC100" s="61">
        <f>VLOOKUP(A100,Enforcements!$C$3:$J$40,8,0)</f>
        <v>63995</v>
      </c>
      <c r="AD100" s="61" t="str">
        <f>VLOOKUP(A100,Enforcements!$C$3:$J$40,3,0)</f>
        <v>SIGNAL</v>
      </c>
    </row>
    <row r="101" spans="1:30" s="2" customFormat="1" x14ac:dyDescent="0.25">
      <c r="A101" s="66" t="s">
        <v>320</v>
      </c>
      <c r="B101" s="66">
        <v>4013</v>
      </c>
      <c r="C101" s="66" t="s">
        <v>448</v>
      </c>
      <c r="D101" s="66" t="s">
        <v>570</v>
      </c>
      <c r="E101" s="30">
        <v>42493.696319444447</v>
      </c>
      <c r="F101" s="30">
        <v>42493.697372685187</v>
      </c>
      <c r="G101" s="38">
        <v>1</v>
      </c>
      <c r="H101" s="30" t="s">
        <v>571</v>
      </c>
      <c r="I101" s="30">
        <v>42493.724212962959</v>
      </c>
      <c r="J101" s="66">
        <v>1</v>
      </c>
      <c r="K101" s="66" t="str">
        <f t="shared" si="30"/>
        <v>4013/4014</v>
      </c>
      <c r="L101" s="66" t="str">
        <f>VLOOKUP(A101,'Trips&amp;Operators'!$C$1:$E$9999,3,FALSE)</f>
        <v>YOUNG</v>
      </c>
      <c r="M101" s="12">
        <f t="shared" si="31"/>
        <v>2.6840277772862464E-2</v>
      </c>
      <c r="N101" s="13">
        <f t="shared" si="20"/>
        <v>38.649999992921948</v>
      </c>
      <c r="O101" s="13"/>
      <c r="P101" s="13"/>
      <c r="Q101" s="67"/>
      <c r="R101" s="67"/>
      <c r="S101" s="87">
        <f t="shared" si="26"/>
        <v>1</v>
      </c>
      <c r="T101" s="2" t="str">
        <f t="shared" si="27"/>
        <v>Southbound</v>
      </c>
      <c r="U101" s="74">
        <f>COUNTIFS([2]Variables!$M$2:$M$19,IF(T101="NorthBound","&gt;=","&lt;=")&amp;Z101,[2]Variables!$M$2:$M$19,IF(T101="NorthBound","&lt;=","&gt;=")&amp;AA101)</f>
        <v>12</v>
      </c>
      <c r="W101" s="60" t="str">
        <f t="shared" si="32"/>
        <v>https://search-rtdc-monitor-bjffxe2xuh6vdkpspy63sjmuny.us-east-1.es.amazonaws.com/_plugin/kibana/#/discover/Steve-Slow-Train-Analysis-(2080s-and-2083s)?_g=(refreshInterval:(display:Off,section:0,value:0),time:(from:'2016-05-03 16:41:42-0600',mode:absolute,to:'2016-05-03 17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1" s="60" t="str">
        <f t="shared" si="33"/>
        <v>N</v>
      </c>
      <c r="Y101" s="60">
        <f t="shared" si="29"/>
        <v>1</v>
      </c>
      <c r="Z101" s="60">
        <f t="shared" si="34"/>
        <v>23.298400000000001</v>
      </c>
      <c r="AA101" s="60">
        <f t="shared" si="35"/>
        <v>2.4199999999999999E-2</v>
      </c>
      <c r="AB101" s="60">
        <f t="shared" si="36"/>
        <v>23.2742</v>
      </c>
      <c r="AC101" s="61" t="e">
        <f>VLOOKUP(A101,Enforcements!$C$3:$J$40,8,0)</f>
        <v>#N/A</v>
      </c>
      <c r="AD101" s="61" t="e">
        <f>VLOOKUP(A101,Enforcements!$C$3:$J$40,3,0)</f>
        <v>#N/A</v>
      </c>
    </row>
    <row r="102" spans="1:30" s="2" customFormat="1" x14ac:dyDescent="0.25">
      <c r="A102" s="66" t="s">
        <v>351</v>
      </c>
      <c r="B102" s="66">
        <v>4024</v>
      </c>
      <c r="C102" s="66" t="s">
        <v>448</v>
      </c>
      <c r="D102" s="66" t="s">
        <v>575</v>
      </c>
      <c r="E102" s="30">
        <v>42493.660868055558</v>
      </c>
      <c r="F102" s="30">
        <v>42493.66196759259</v>
      </c>
      <c r="G102" s="38">
        <v>1</v>
      </c>
      <c r="H102" s="30" t="s">
        <v>450</v>
      </c>
      <c r="I102" s="30">
        <v>42493.692025462966</v>
      </c>
      <c r="J102" s="66">
        <v>0</v>
      </c>
      <c r="K102" s="66" t="str">
        <f t="shared" si="30"/>
        <v>4023/4024</v>
      </c>
      <c r="L102" s="66" t="str">
        <f>VLOOKUP(A102,'Trips&amp;Operators'!$C$1:$E$9999,3,FALSE)</f>
        <v>CANFIELD</v>
      </c>
      <c r="M102" s="12">
        <f t="shared" si="31"/>
        <v>3.0057870375458151E-2</v>
      </c>
      <c r="N102" s="13">
        <f t="shared" si="20"/>
        <v>43.283333340659738</v>
      </c>
      <c r="O102" s="13"/>
      <c r="P102" s="13"/>
      <c r="Q102" s="67"/>
      <c r="R102" s="67"/>
      <c r="S102" s="87">
        <f t="shared" si="26"/>
        <v>1</v>
      </c>
      <c r="T102" s="2" t="str">
        <f t="shared" si="27"/>
        <v>NorthBound</v>
      </c>
      <c r="U102" s="74">
        <f>COUNTIFS([2]Variables!$M$2:$M$19,IF(T102="NorthBound","&gt;=","&lt;=")&amp;Z102,[2]Variables!$M$2:$M$19,IF(T102="NorthBound","&lt;=","&gt;=")&amp;AA102)</f>
        <v>12</v>
      </c>
      <c r="W102" s="60" t="str">
        <f t="shared" si="32"/>
        <v>https://search-rtdc-monitor-bjffxe2xuh6vdkpspy63sjmuny.us-east-1.es.amazonaws.com/_plugin/kibana/#/discover/Steve-Slow-Train-Analysis-(2080s-and-2083s)?_g=(refreshInterval:(display:Off,section:0,value:0),time:(from:'2016-05-03 15:50:39-0600',mode:absolute,to:'2016-05-03 16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2" s="60" t="str">
        <f t="shared" si="33"/>
        <v>N</v>
      </c>
      <c r="Y102" s="60">
        <f t="shared" si="29"/>
        <v>1</v>
      </c>
      <c r="Z102" s="60">
        <f t="shared" si="34"/>
        <v>4.5499999999999999E-2</v>
      </c>
      <c r="AA102" s="60">
        <f t="shared" si="35"/>
        <v>23.330200000000001</v>
      </c>
      <c r="AB102" s="60">
        <f t="shared" si="36"/>
        <v>23.284700000000001</v>
      </c>
      <c r="AC102" s="61" t="e">
        <f>VLOOKUP(A102,Enforcements!$C$3:$J$40,8,0)</f>
        <v>#N/A</v>
      </c>
      <c r="AD102" s="61" t="e">
        <f>VLOOKUP(A102,Enforcements!$C$3:$J$40,3,0)</f>
        <v>#N/A</v>
      </c>
    </row>
    <row r="103" spans="1:30" s="2" customFormat="1" x14ac:dyDescent="0.25">
      <c r="A103" s="66" t="s">
        <v>382</v>
      </c>
      <c r="B103" s="66">
        <v>4023</v>
      </c>
      <c r="C103" s="66" t="s">
        <v>448</v>
      </c>
      <c r="D103" s="66" t="s">
        <v>494</v>
      </c>
      <c r="E103" s="30">
        <v>42493.699930555558</v>
      </c>
      <c r="F103" s="30">
        <v>42493.700706018521</v>
      </c>
      <c r="G103" s="38">
        <v>1</v>
      </c>
      <c r="H103" s="30" t="s">
        <v>463</v>
      </c>
      <c r="I103" s="30">
        <v>42493.731724537036</v>
      </c>
      <c r="J103" s="66">
        <v>0</v>
      </c>
      <c r="K103" s="66" t="str">
        <f t="shared" ref="K103:K147" si="37">IF(ISEVEN(B103),(B103-1)&amp;"/"&amp;B103,B103&amp;"/"&amp;(B103+1))</f>
        <v>4023/4024</v>
      </c>
      <c r="L103" s="66" t="str">
        <f>VLOOKUP(A103,'Trips&amp;Operators'!$C$1:$E$9999,3,FALSE)</f>
        <v>CANFIELD</v>
      </c>
      <c r="M103" s="12">
        <f t="shared" ref="M103:M147" si="38">I103-F103</f>
        <v>3.1018518515338656E-2</v>
      </c>
      <c r="N103" s="13">
        <f t="shared" si="20"/>
        <v>44.666666662087664</v>
      </c>
      <c r="O103" s="13"/>
      <c r="P103" s="13"/>
      <c r="Q103" s="67"/>
      <c r="R103" s="67"/>
      <c r="S103" s="87">
        <f t="shared" si="26"/>
        <v>1</v>
      </c>
      <c r="T103" s="2" t="str">
        <f t="shared" si="27"/>
        <v>Southbound</v>
      </c>
      <c r="U103" s="74">
        <f>COUNTIFS([2]Variables!$M$2:$M$19,IF(T103="NorthBound","&gt;=","&lt;=")&amp;Z103,[2]Variables!$M$2:$M$19,IF(T103="NorthBound","&lt;=","&gt;=")&amp;AA103)</f>
        <v>12</v>
      </c>
      <c r="W103" s="60" t="str">
        <f t="shared" ref="W103:W147" si="39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https://search-rtdc-monitor-bjffxe2xuh6vdkpspy63sjmuny.us-east-1.es.amazonaws.com/_plugin/kibana/#/discover/Steve-Slow-Train-Analysis-(2080s-and-2083s)?_g=(refreshInterval:(display:Off,section:0,value:0),time:(from:'2016-05-03 16:46:54-0600',mode:absolute,to:'2016-05-03 17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3" s="60" t="str">
        <f t="shared" ref="X103:X147" si="40">IF(AB103&lt;23,"Y","N")</f>
        <v>N</v>
      </c>
      <c r="Y103" s="60">
        <f t="shared" ref="Y103:Y147" si="41">VALUE(LEFT(A103,3))-VALUE(LEFT(A102,3))</f>
        <v>1</v>
      </c>
      <c r="Z103" s="60">
        <f t="shared" ref="Z103:Z147" si="42">RIGHT(D103,LEN(D103)-4)/10000</f>
        <v>23.297699999999999</v>
      </c>
      <c r="AA103" s="60">
        <f t="shared" ref="AA103:AA147" si="43">RIGHT(H103,LEN(H103)-4)/10000</f>
        <v>1.38E-2</v>
      </c>
      <c r="AB103" s="60">
        <f t="shared" ref="AB103:AB147" si="44">ABS(AA103-Z103)</f>
        <v>23.283899999999999</v>
      </c>
      <c r="AC103" s="61" t="e">
        <f>VLOOKUP(A103,Enforcements!$C$3:$J$40,8,0)</f>
        <v>#N/A</v>
      </c>
      <c r="AD103" s="61" t="e">
        <f>VLOOKUP(A103,Enforcements!$C$3:$J$40,3,0)</f>
        <v>#N/A</v>
      </c>
    </row>
    <row r="104" spans="1:30" s="2" customFormat="1" x14ac:dyDescent="0.25">
      <c r="A104" s="66" t="s">
        <v>410</v>
      </c>
      <c r="B104" s="66">
        <v>4031</v>
      </c>
      <c r="C104" s="66" t="s">
        <v>448</v>
      </c>
      <c r="D104" s="66" t="s">
        <v>514</v>
      </c>
      <c r="E104" s="30">
        <v>42493.672037037039</v>
      </c>
      <c r="F104" s="30">
        <v>42493.673831018517</v>
      </c>
      <c r="G104" s="38">
        <v>2</v>
      </c>
      <c r="H104" s="30" t="s">
        <v>581</v>
      </c>
      <c r="I104" s="30">
        <v>42493.701539351852</v>
      </c>
      <c r="J104" s="66">
        <v>0</v>
      </c>
      <c r="K104" s="66" t="str">
        <f t="shared" si="37"/>
        <v>4031/4032</v>
      </c>
      <c r="L104" s="66" t="str">
        <f>VLOOKUP(A104,'Trips&amp;Operators'!$C$1:$E$9999,3,FALSE)</f>
        <v>JACKSON</v>
      </c>
      <c r="M104" s="12">
        <f t="shared" si="38"/>
        <v>2.7708333334885538E-2</v>
      </c>
      <c r="N104" s="13">
        <f t="shared" si="20"/>
        <v>39.900000002235174</v>
      </c>
      <c r="O104" s="13"/>
      <c r="P104" s="13"/>
      <c r="Q104" s="67"/>
      <c r="R104" s="67"/>
      <c r="S104" s="87">
        <f t="shared" si="26"/>
        <v>1</v>
      </c>
      <c r="T104" s="2" t="str">
        <f t="shared" si="27"/>
        <v>NorthBound</v>
      </c>
      <c r="U104" s="74">
        <f>COUNTIFS([2]Variables!$M$2:$M$19,IF(T104="NorthBound","&gt;=","&lt;=")&amp;Z104,[2]Variables!$M$2:$M$19,IF(T104="NorthBound","&lt;=","&gt;=")&amp;AA104)</f>
        <v>12</v>
      </c>
      <c r="W104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16:06:44-0600',mode:absolute,to:'2016-05-03 16:51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4" s="60" t="str">
        <f t="shared" si="40"/>
        <v>N</v>
      </c>
      <c r="Y104" s="60">
        <f t="shared" si="41"/>
        <v>1</v>
      </c>
      <c r="Z104" s="60">
        <f t="shared" si="42"/>
        <v>4.7500000000000001E-2</v>
      </c>
      <c r="AA104" s="60">
        <f t="shared" si="43"/>
        <v>23.328600000000002</v>
      </c>
      <c r="AB104" s="60">
        <f t="shared" si="44"/>
        <v>23.281100000000002</v>
      </c>
      <c r="AC104" s="61" t="e">
        <f>VLOOKUP(A104,Enforcements!$C$3:$J$40,8,0)</f>
        <v>#N/A</v>
      </c>
      <c r="AD104" s="61" t="e">
        <f>VLOOKUP(A104,Enforcements!$C$3:$J$40,3,0)</f>
        <v>#N/A</v>
      </c>
    </row>
    <row r="105" spans="1:30" s="2" customFormat="1" x14ac:dyDescent="0.25">
      <c r="A105" s="66" t="s">
        <v>363</v>
      </c>
      <c r="B105" s="66">
        <v>4032</v>
      </c>
      <c r="C105" s="66" t="s">
        <v>448</v>
      </c>
      <c r="D105" s="66" t="s">
        <v>543</v>
      </c>
      <c r="E105" s="30">
        <v>42493.703819444447</v>
      </c>
      <c r="F105" s="30">
        <v>42493.716041666667</v>
      </c>
      <c r="G105" s="38">
        <v>1</v>
      </c>
      <c r="H105" s="30" t="s">
        <v>471</v>
      </c>
      <c r="I105" s="30">
        <v>42493.7424537037</v>
      </c>
      <c r="J105" s="66">
        <v>0</v>
      </c>
      <c r="K105" s="66" t="str">
        <f t="shared" si="37"/>
        <v>4031/4032</v>
      </c>
      <c r="L105" s="66" t="str">
        <f>VLOOKUP(A105,'Trips&amp;Operators'!$C$1:$E$9999,3,FALSE)</f>
        <v>JACKSON</v>
      </c>
      <c r="M105" s="12">
        <f t="shared" si="38"/>
        <v>2.6412037033878732E-2</v>
      </c>
      <c r="N105" s="13">
        <f t="shared" si="20"/>
        <v>38.033333328785375</v>
      </c>
      <c r="O105" s="13"/>
      <c r="P105" s="13"/>
      <c r="Q105" s="67"/>
      <c r="R105" s="67"/>
      <c r="S105" s="87">
        <f t="shared" si="26"/>
        <v>1</v>
      </c>
      <c r="T105" s="2" t="str">
        <f t="shared" si="27"/>
        <v>Southbound</v>
      </c>
      <c r="U105" s="74">
        <f>COUNTIFS([2]Variables!$M$2:$M$19,IF(T105="NorthBound","&gt;=","&lt;=")&amp;Z105,[2]Variables!$M$2:$M$19,IF(T105="NorthBound","&lt;=","&gt;=")&amp;AA105)</f>
        <v>12</v>
      </c>
      <c r="W105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16:52:30-0600',mode:absolute,to:'2016-05-03 17:50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5" s="60" t="str">
        <f t="shared" si="40"/>
        <v>N</v>
      </c>
      <c r="Y105" s="60">
        <f t="shared" si="41"/>
        <v>1</v>
      </c>
      <c r="Z105" s="60">
        <f t="shared" si="42"/>
        <v>23.2973</v>
      </c>
      <c r="AA105" s="60">
        <f t="shared" si="43"/>
        <v>1.5599999999999999E-2</v>
      </c>
      <c r="AB105" s="60">
        <f t="shared" si="44"/>
        <v>23.281700000000001</v>
      </c>
      <c r="AC105" s="61" t="e">
        <f>VLOOKUP(A105,Enforcements!$C$3:$J$40,8,0)</f>
        <v>#N/A</v>
      </c>
      <c r="AD105" s="61" t="e">
        <f>VLOOKUP(A105,Enforcements!$C$3:$J$40,3,0)</f>
        <v>#N/A</v>
      </c>
    </row>
    <row r="106" spans="1:30" s="2" customFormat="1" x14ac:dyDescent="0.25">
      <c r="A106" s="66" t="s">
        <v>362</v>
      </c>
      <c r="B106" s="66">
        <v>4038</v>
      </c>
      <c r="C106" s="66" t="s">
        <v>448</v>
      </c>
      <c r="D106" s="66" t="s">
        <v>572</v>
      </c>
      <c r="E106" s="30">
        <v>42493.685243055559</v>
      </c>
      <c r="F106" s="30">
        <v>42493.686215277776</v>
      </c>
      <c r="G106" s="38">
        <v>1</v>
      </c>
      <c r="H106" s="30" t="s">
        <v>454</v>
      </c>
      <c r="I106" s="30">
        <v>42493.714016203703</v>
      </c>
      <c r="J106" s="66">
        <v>0</v>
      </c>
      <c r="K106" s="66" t="str">
        <f t="shared" si="37"/>
        <v>4037/4038</v>
      </c>
      <c r="L106" s="66" t="str">
        <f>VLOOKUP(A106,'Trips&amp;Operators'!$C$1:$E$9999,3,FALSE)</f>
        <v>YORK</v>
      </c>
      <c r="M106" s="12">
        <f t="shared" si="38"/>
        <v>2.7800925927294884E-2</v>
      </c>
      <c r="N106" s="13">
        <f t="shared" si="20"/>
        <v>40.033333335304633</v>
      </c>
      <c r="O106" s="13"/>
      <c r="P106" s="13"/>
      <c r="Q106" s="67"/>
      <c r="R106" s="67"/>
      <c r="S106" s="87">
        <f t="shared" si="26"/>
        <v>1</v>
      </c>
      <c r="T106" s="2" t="str">
        <f t="shared" si="27"/>
        <v>NorthBound</v>
      </c>
      <c r="U106" s="74">
        <f>COUNTIFS([2]Variables!$M$2:$M$19,IF(T106="NorthBound","&gt;=","&lt;=")&amp;Z106,[2]Variables!$M$2:$M$19,IF(T106="NorthBound","&lt;=","&gt;=")&amp;AA106)</f>
        <v>12</v>
      </c>
      <c r="W106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16:25:45-0600',mode:absolute,to:'2016-05-03 17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6" s="60" t="str">
        <f t="shared" si="40"/>
        <v>N</v>
      </c>
      <c r="Y106" s="60">
        <f t="shared" si="41"/>
        <v>1</v>
      </c>
      <c r="Z106" s="60">
        <f t="shared" si="42"/>
        <v>4.4699999999999997E-2</v>
      </c>
      <c r="AA106" s="60">
        <f t="shared" si="43"/>
        <v>23.331700000000001</v>
      </c>
      <c r="AB106" s="60">
        <f t="shared" si="44"/>
        <v>23.287000000000003</v>
      </c>
      <c r="AC106" s="61" t="e">
        <f>VLOOKUP(A106,Enforcements!$C$3:$J$40,8,0)</f>
        <v>#N/A</v>
      </c>
      <c r="AD106" s="61" t="e">
        <f>VLOOKUP(A106,Enforcements!$C$3:$J$40,3,0)</f>
        <v>#N/A</v>
      </c>
    </row>
    <row r="107" spans="1:30" s="2" customFormat="1" x14ac:dyDescent="0.25">
      <c r="A107" s="66" t="s">
        <v>365</v>
      </c>
      <c r="B107" s="66">
        <v>4037</v>
      </c>
      <c r="C107" s="66" t="s">
        <v>448</v>
      </c>
      <c r="D107" s="66" t="s">
        <v>541</v>
      </c>
      <c r="E107" s="30">
        <v>42493.724097222221</v>
      </c>
      <c r="F107" s="30">
        <v>42493.725046296298</v>
      </c>
      <c r="G107" s="38">
        <v>1</v>
      </c>
      <c r="H107" s="30" t="s">
        <v>467</v>
      </c>
      <c r="I107" s="30">
        <v>42493.752604166664</v>
      </c>
      <c r="J107" s="66">
        <v>0</v>
      </c>
      <c r="K107" s="66" t="str">
        <f t="shared" si="37"/>
        <v>4037/4038</v>
      </c>
      <c r="L107" s="66" t="str">
        <f>VLOOKUP(A107,'Trips&amp;Operators'!$C$1:$E$9999,3,FALSE)</f>
        <v>YORK</v>
      </c>
      <c r="M107" s="12">
        <f t="shared" si="38"/>
        <v>2.7557870365853887E-2</v>
      </c>
      <c r="N107" s="13">
        <f t="shared" si="20"/>
        <v>39.683333326829597</v>
      </c>
      <c r="O107" s="13"/>
      <c r="P107" s="13"/>
      <c r="Q107" s="67"/>
      <c r="R107" s="67"/>
      <c r="S107" s="87">
        <f t="shared" si="26"/>
        <v>1</v>
      </c>
      <c r="T107" s="2" t="str">
        <f t="shared" si="27"/>
        <v>Southbound</v>
      </c>
      <c r="U107" s="74">
        <f>COUNTIFS([2]Variables!$M$2:$M$19,IF(T107="NorthBound","&gt;=","&lt;=")&amp;Z107,[2]Variables!$M$2:$M$19,IF(T107="NorthBound","&lt;=","&gt;=")&amp;AA107)</f>
        <v>12</v>
      </c>
      <c r="W107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17:21:42-0600',mode:absolute,to:'2016-05-03 18:04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7" s="60" t="str">
        <f t="shared" si="40"/>
        <v>N</v>
      </c>
      <c r="Y107" s="60">
        <f t="shared" si="41"/>
        <v>1</v>
      </c>
      <c r="Z107" s="60">
        <f t="shared" si="42"/>
        <v>23.300799999999999</v>
      </c>
      <c r="AA107" s="60">
        <f t="shared" si="43"/>
        <v>1.52E-2</v>
      </c>
      <c r="AB107" s="60">
        <f t="shared" si="44"/>
        <v>23.285599999999999</v>
      </c>
      <c r="AC107" s="61" t="e">
        <f>VLOOKUP(A107,Enforcements!$C$3:$J$40,8,0)</f>
        <v>#N/A</v>
      </c>
      <c r="AD107" s="61" t="e">
        <f>VLOOKUP(A107,Enforcements!$C$3:$J$40,3,0)</f>
        <v>#N/A</v>
      </c>
    </row>
    <row r="108" spans="1:30" s="2" customFormat="1" x14ac:dyDescent="0.25">
      <c r="A108" s="66" t="s">
        <v>352</v>
      </c>
      <c r="B108" s="66">
        <v>4025</v>
      </c>
      <c r="C108" s="66" t="s">
        <v>448</v>
      </c>
      <c r="D108" s="66" t="s">
        <v>501</v>
      </c>
      <c r="E108" s="30">
        <v>42493.69494212963</v>
      </c>
      <c r="F108" s="30">
        <v>42493.695798611108</v>
      </c>
      <c r="G108" s="38">
        <v>1</v>
      </c>
      <c r="H108" s="30" t="s">
        <v>537</v>
      </c>
      <c r="I108" s="30">
        <v>42493.722511574073</v>
      </c>
      <c r="J108" s="66">
        <v>0</v>
      </c>
      <c r="K108" s="66" t="str">
        <f t="shared" si="37"/>
        <v>4025/4026</v>
      </c>
      <c r="L108" s="66" t="str">
        <f>VLOOKUP(A108,'Trips&amp;Operators'!$C$1:$E$9999,3,FALSE)</f>
        <v>BEAM</v>
      </c>
      <c r="M108" s="12">
        <f t="shared" si="38"/>
        <v>2.6712962964666076E-2</v>
      </c>
      <c r="N108" s="13">
        <f t="shared" si="20"/>
        <v>38.466666669119149</v>
      </c>
      <c r="O108" s="13"/>
      <c r="P108" s="13"/>
      <c r="Q108" s="67"/>
      <c r="R108" s="67"/>
      <c r="S108" s="87">
        <f t="shared" si="26"/>
        <v>1</v>
      </c>
      <c r="T108" s="2" t="str">
        <f t="shared" si="27"/>
        <v>NorthBound</v>
      </c>
      <c r="U108" s="74">
        <f>COUNTIFS([2]Variables!$M$2:$M$19,IF(T108="NorthBound","&gt;=","&lt;=")&amp;Z108,[2]Variables!$M$2:$M$19,IF(T108="NorthBound","&lt;=","&gt;=")&amp;AA108)</f>
        <v>12</v>
      </c>
      <c r="W108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16:39:43-0600',mode:absolute,to:'2016-05-03 17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8" s="60" t="str">
        <f t="shared" si="40"/>
        <v>N</v>
      </c>
      <c r="Y108" s="60">
        <f t="shared" si="41"/>
        <v>1</v>
      </c>
      <c r="Z108" s="60">
        <f t="shared" si="42"/>
        <v>4.53E-2</v>
      </c>
      <c r="AA108" s="60">
        <f t="shared" si="43"/>
        <v>23.330100000000002</v>
      </c>
      <c r="AB108" s="60">
        <f t="shared" si="44"/>
        <v>23.284800000000001</v>
      </c>
      <c r="AC108" s="61" t="e">
        <f>VLOOKUP(A108,Enforcements!$C$3:$J$40,8,0)</f>
        <v>#N/A</v>
      </c>
      <c r="AD108" s="61" t="e">
        <f>VLOOKUP(A108,Enforcements!$C$3:$J$40,3,0)</f>
        <v>#N/A</v>
      </c>
    </row>
    <row r="109" spans="1:30" s="2" customFormat="1" x14ac:dyDescent="0.25">
      <c r="A109" s="66" t="s">
        <v>364</v>
      </c>
      <c r="B109" s="66">
        <v>4026</v>
      </c>
      <c r="C109" s="66" t="s">
        <v>448</v>
      </c>
      <c r="D109" s="66" t="s">
        <v>538</v>
      </c>
      <c r="E109" s="30">
        <v>42493.732916666668</v>
      </c>
      <c r="F109" s="30">
        <v>42493.733842592592</v>
      </c>
      <c r="G109" s="38">
        <v>1</v>
      </c>
      <c r="H109" s="30" t="s">
        <v>478</v>
      </c>
      <c r="I109" s="30">
        <v>42493.762962962966</v>
      </c>
      <c r="J109" s="66">
        <v>0</v>
      </c>
      <c r="K109" s="66" t="str">
        <f t="shared" si="37"/>
        <v>4025/4026</v>
      </c>
      <c r="L109" s="66" t="str">
        <f>VLOOKUP(A109,'Trips&amp;Operators'!$C$1:$E$9999,3,FALSE)</f>
        <v>BEAM</v>
      </c>
      <c r="M109" s="12">
        <f t="shared" si="38"/>
        <v>2.9120370374585036E-2</v>
      </c>
      <c r="N109" s="13">
        <f t="shared" si="20"/>
        <v>41.933333339402452</v>
      </c>
      <c r="O109" s="13"/>
      <c r="P109" s="13"/>
      <c r="Q109" s="67"/>
      <c r="R109" s="67"/>
      <c r="S109" s="87">
        <f t="shared" si="26"/>
        <v>1</v>
      </c>
      <c r="T109" s="2" t="str">
        <f t="shared" si="27"/>
        <v>Southbound</v>
      </c>
      <c r="U109" s="74">
        <f>COUNTIFS([2]Variables!$M$2:$M$19,IF(T109="NorthBound","&gt;=","&lt;=")&amp;Z109,[2]Variables!$M$2:$M$19,IF(T109="NorthBound","&lt;=","&gt;=")&amp;AA109)</f>
        <v>12</v>
      </c>
      <c r="W109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17:34:24-0600',mode:absolute,to:'2016-05-03 18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9" s="60" t="str">
        <f t="shared" si="40"/>
        <v>N</v>
      </c>
      <c r="Y109" s="60">
        <f t="shared" si="41"/>
        <v>1</v>
      </c>
      <c r="Z109" s="60">
        <f t="shared" si="42"/>
        <v>23.297799999999999</v>
      </c>
      <c r="AA109" s="60">
        <f t="shared" si="43"/>
        <v>1.47E-2</v>
      </c>
      <c r="AB109" s="60">
        <f t="shared" si="44"/>
        <v>23.283099999999997</v>
      </c>
      <c r="AC109" s="61" t="e">
        <f>VLOOKUP(A109,Enforcements!$C$3:$J$40,8,0)</f>
        <v>#N/A</v>
      </c>
      <c r="AD109" s="61" t="e">
        <f>VLOOKUP(A109,Enforcements!$C$3:$J$40,3,0)</f>
        <v>#N/A</v>
      </c>
    </row>
    <row r="110" spans="1:30" s="2" customFormat="1" x14ac:dyDescent="0.25">
      <c r="A110" s="66" t="s">
        <v>321</v>
      </c>
      <c r="B110" s="66">
        <v>4011</v>
      </c>
      <c r="C110" s="66" t="s">
        <v>448</v>
      </c>
      <c r="D110" s="66" t="s">
        <v>499</v>
      </c>
      <c r="E110" s="30">
        <v>42493.706076388888</v>
      </c>
      <c r="F110" s="30">
        <v>42493.707060185188</v>
      </c>
      <c r="G110" s="38">
        <v>1</v>
      </c>
      <c r="H110" s="30" t="s">
        <v>582</v>
      </c>
      <c r="I110" s="30">
        <v>42493.733356481483</v>
      </c>
      <c r="J110" s="66">
        <v>1</v>
      </c>
      <c r="K110" s="66" t="str">
        <f t="shared" si="37"/>
        <v>4011/4012</v>
      </c>
      <c r="L110" s="66" t="str">
        <f>VLOOKUP(A110,'Trips&amp;Operators'!$C$1:$E$9999,3,FALSE)</f>
        <v>ADANE</v>
      </c>
      <c r="M110" s="12">
        <f t="shared" si="38"/>
        <v>2.6296296295186039E-2</v>
      </c>
      <c r="N110" s="13">
        <f t="shared" si="20"/>
        <v>37.866666665067896</v>
      </c>
      <c r="O110" s="13"/>
      <c r="P110" s="13"/>
      <c r="Q110" s="67"/>
      <c r="R110" s="67"/>
      <c r="S110" s="87">
        <f t="shared" si="26"/>
        <v>1</v>
      </c>
      <c r="T110" s="2" t="str">
        <f t="shared" si="27"/>
        <v>NorthBound</v>
      </c>
      <c r="U110" s="74">
        <f>COUNTIFS([2]Variables!$M$2:$M$19,IF(T110="NorthBound","&gt;=","&lt;=")&amp;Z110,[2]Variables!$M$2:$M$19,IF(T110="NorthBound","&lt;=","&gt;=")&amp;AA110)</f>
        <v>12</v>
      </c>
      <c r="W110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16:55:45-0600',mode:absolute,to:'2016-05-03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0" s="60" t="str">
        <f t="shared" si="40"/>
        <v>N</v>
      </c>
      <c r="Y110" s="60">
        <f t="shared" si="41"/>
        <v>1</v>
      </c>
      <c r="Z110" s="60">
        <f t="shared" si="42"/>
        <v>4.3700000000000003E-2</v>
      </c>
      <c r="AA110" s="60">
        <f t="shared" si="43"/>
        <v>23.331</v>
      </c>
      <c r="AB110" s="60">
        <f t="shared" si="44"/>
        <v>23.287299999999998</v>
      </c>
      <c r="AC110" s="61" t="e">
        <f>VLOOKUP(A110,Enforcements!$C$3:$J$40,8,0)</f>
        <v>#N/A</v>
      </c>
      <c r="AD110" s="61" t="e">
        <f>VLOOKUP(A110,Enforcements!$C$3:$J$40,3,0)</f>
        <v>#N/A</v>
      </c>
    </row>
    <row r="111" spans="1:30" s="2" customFormat="1" x14ac:dyDescent="0.25">
      <c r="A111" s="66" t="s">
        <v>324</v>
      </c>
      <c r="B111" s="66">
        <v>4012</v>
      </c>
      <c r="C111" s="66" t="s">
        <v>448</v>
      </c>
      <c r="D111" s="66" t="s">
        <v>474</v>
      </c>
      <c r="E111" s="30">
        <v>42493.740300925929</v>
      </c>
      <c r="F111" s="30">
        <v>42493.741099537037</v>
      </c>
      <c r="G111" s="38">
        <v>1</v>
      </c>
      <c r="H111" s="30" t="s">
        <v>583</v>
      </c>
      <c r="I111" s="30">
        <v>42493.775520833333</v>
      </c>
      <c r="J111" s="66">
        <v>1</v>
      </c>
      <c r="K111" s="66" t="str">
        <f t="shared" si="37"/>
        <v>4011/4012</v>
      </c>
      <c r="L111" s="66" t="str">
        <f>VLOOKUP(A111,'Trips&amp;Operators'!$C$1:$E$9999,3,FALSE)</f>
        <v>ADANE</v>
      </c>
      <c r="M111" s="12">
        <f t="shared" si="38"/>
        <v>3.4421296295477077E-2</v>
      </c>
      <c r="N111" s="13">
        <f t="shared" si="20"/>
        <v>49.566666665486991</v>
      </c>
      <c r="O111" s="13"/>
      <c r="P111" s="13"/>
      <c r="Q111" s="67"/>
      <c r="R111" s="67"/>
      <c r="S111" s="87">
        <f t="shared" si="26"/>
        <v>1</v>
      </c>
      <c r="T111" s="2" t="str">
        <f t="shared" si="27"/>
        <v>Southbound</v>
      </c>
      <c r="U111" s="74">
        <f>COUNTIFS([2]Variables!$M$2:$M$19,IF(T111="NorthBound","&gt;=","&lt;=")&amp;Z111,[2]Variables!$M$2:$M$19,IF(T111="NorthBound","&lt;=","&gt;=")&amp;AA111)</f>
        <v>12</v>
      </c>
      <c r="W111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17:45:02-0600',mode:absolute,to:'2016-05-03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1" s="60" t="str">
        <f t="shared" si="40"/>
        <v>N</v>
      </c>
      <c r="Y111" s="60">
        <f t="shared" si="41"/>
        <v>1</v>
      </c>
      <c r="Z111" s="60">
        <f t="shared" si="42"/>
        <v>23.2989</v>
      </c>
      <c r="AA111" s="60">
        <f t="shared" si="43"/>
        <v>1.61E-2</v>
      </c>
      <c r="AB111" s="60">
        <f t="shared" si="44"/>
        <v>23.282799999999998</v>
      </c>
      <c r="AC111" s="61" t="e">
        <f>VLOOKUP(A111,Enforcements!$C$3:$J$40,8,0)</f>
        <v>#N/A</v>
      </c>
      <c r="AD111" s="61" t="e">
        <f>VLOOKUP(A111,Enforcements!$C$3:$J$40,3,0)</f>
        <v>#N/A</v>
      </c>
    </row>
    <row r="112" spans="1:30" s="2" customFormat="1" x14ac:dyDescent="0.25">
      <c r="A112" s="66" t="s">
        <v>435</v>
      </c>
      <c r="B112" s="66">
        <v>4027</v>
      </c>
      <c r="C112" s="66" t="s">
        <v>448</v>
      </c>
      <c r="D112" s="66" t="s">
        <v>584</v>
      </c>
      <c r="E112" s="30">
        <v>42493.714803240742</v>
      </c>
      <c r="F112" s="30">
        <v>42493.715868055559</v>
      </c>
      <c r="G112" s="38">
        <v>1</v>
      </c>
      <c r="H112" s="30" t="s">
        <v>581</v>
      </c>
      <c r="I112" s="30">
        <v>42493.744479166664</v>
      </c>
      <c r="J112" s="66">
        <v>0</v>
      </c>
      <c r="K112" s="66" t="str">
        <f t="shared" si="37"/>
        <v>4027/4028</v>
      </c>
      <c r="L112" s="66" t="str">
        <f>VLOOKUP(A112,'Trips&amp;Operators'!$C$1:$E$9999,3,FALSE)</f>
        <v>LEVERE</v>
      </c>
      <c r="M112" s="12">
        <f t="shared" si="38"/>
        <v>2.8611111105419695E-2</v>
      </c>
      <c r="N112" s="13">
        <f t="shared" si="20"/>
        <v>41.199999991804361</v>
      </c>
      <c r="O112" s="13"/>
      <c r="P112" s="13"/>
      <c r="Q112" s="67"/>
      <c r="R112" s="67"/>
      <c r="S112" s="87">
        <f t="shared" si="26"/>
        <v>1</v>
      </c>
      <c r="T112" s="2" t="str">
        <f t="shared" si="27"/>
        <v>NorthBound</v>
      </c>
      <c r="U112" s="74">
        <f>COUNTIFS([2]Variables!$M$2:$M$19,IF(T112="NorthBound","&gt;=","&lt;=")&amp;Z112,[2]Variables!$M$2:$M$19,IF(T112="NorthBound","&lt;=","&gt;=")&amp;AA112)</f>
        <v>12</v>
      </c>
      <c r="W112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17:08:19-0600',mode:absolute,to:'2016-05-03 17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12" s="60" t="str">
        <f t="shared" si="40"/>
        <v>N</v>
      </c>
      <c r="Y112" s="60">
        <f t="shared" si="41"/>
        <v>1</v>
      </c>
      <c r="Z112" s="60">
        <f t="shared" si="42"/>
        <v>4.1799999999999997E-2</v>
      </c>
      <c r="AA112" s="60">
        <f t="shared" si="43"/>
        <v>23.328600000000002</v>
      </c>
      <c r="AB112" s="60">
        <f t="shared" si="44"/>
        <v>23.286800000000003</v>
      </c>
      <c r="AC112" s="61" t="e">
        <f>VLOOKUP(A112,Enforcements!$C$3:$J$40,8,0)</f>
        <v>#N/A</v>
      </c>
      <c r="AD112" s="61" t="e">
        <f>VLOOKUP(A112,Enforcements!$C$3:$J$40,3,0)</f>
        <v>#N/A</v>
      </c>
    </row>
    <row r="113" spans="1:30" s="2" customFormat="1" x14ac:dyDescent="0.25">
      <c r="A113" s="66" t="s">
        <v>406</v>
      </c>
      <c r="B113" s="66">
        <v>4028</v>
      </c>
      <c r="C113" s="66" t="s">
        <v>448</v>
      </c>
      <c r="D113" s="66" t="s">
        <v>585</v>
      </c>
      <c r="E113" s="30">
        <v>42493.753576388888</v>
      </c>
      <c r="F113" s="30">
        <v>42493.754895833335</v>
      </c>
      <c r="G113" s="38">
        <v>1</v>
      </c>
      <c r="H113" s="30" t="s">
        <v>503</v>
      </c>
      <c r="I113" s="30">
        <v>42493.785046296296</v>
      </c>
      <c r="J113" s="66">
        <v>0</v>
      </c>
      <c r="K113" s="66" t="str">
        <f t="shared" si="37"/>
        <v>4027/4028</v>
      </c>
      <c r="L113" s="66" t="str">
        <f>VLOOKUP(A113,'Trips&amp;Operators'!$C$1:$E$9999,3,FALSE)</f>
        <v>LEVERE</v>
      </c>
      <c r="M113" s="12">
        <f t="shared" si="38"/>
        <v>3.015046296059154E-2</v>
      </c>
      <c r="N113" s="13">
        <f t="shared" si="20"/>
        <v>43.416666663251817</v>
      </c>
      <c r="O113" s="13"/>
      <c r="P113" s="13"/>
      <c r="Q113" s="67"/>
      <c r="R113" s="67"/>
      <c r="S113" s="87">
        <f t="shared" si="26"/>
        <v>1</v>
      </c>
      <c r="T113" s="2" t="str">
        <f t="shared" si="27"/>
        <v>Southbound</v>
      </c>
      <c r="U113" s="74">
        <f>COUNTIFS([2]Variables!$M$2:$M$19,IF(T113="NorthBound","&gt;=","&lt;=")&amp;Z113,[2]Variables!$M$2:$M$19,IF(T113="NorthBound","&lt;=","&gt;=")&amp;AA113)</f>
        <v>12</v>
      </c>
      <c r="W113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18:04:09-0600',mode:absolute,to:'2016-05-03 18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13" s="60" t="str">
        <f t="shared" si="40"/>
        <v>N</v>
      </c>
      <c r="Y113" s="60">
        <f t="shared" si="41"/>
        <v>1</v>
      </c>
      <c r="Z113" s="60">
        <f t="shared" si="42"/>
        <v>23.296900000000001</v>
      </c>
      <c r="AA113" s="60">
        <f t="shared" si="43"/>
        <v>1.41E-2</v>
      </c>
      <c r="AB113" s="60">
        <f t="shared" si="44"/>
        <v>23.282800000000002</v>
      </c>
      <c r="AC113" s="61" t="e">
        <f>VLOOKUP(A113,Enforcements!$C$3:$J$40,8,0)</f>
        <v>#N/A</v>
      </c>
      <c r="AD113" s="61" t="e">
        <f>VLOOKUP(A113,Enforcements!$C$3:$J$40,3,0)</f>
        <v>#N/A</v>
      </c>
    </row>
    <row r="114" spans="1:30" s="2" customFormat="1" x14ac:dyDescent="0.25">
      <c r="A114" s="66" t="s">
        <v>377</v>
      </c>
      <c r="B114" s="66">
        <v>4014</v>
      </c>
      <c r="C114" s="66"/>
      <c r="D114" s="66"/>
      <c r="E114" s="30"/>
      <c r="F114" s="30">
        <v>42493.727071759262</v>
      </c>
      <c r="G114" s="38"/>
      <c r="H114" s="30"/>
      <c r="I114" s="30">
        <v>42493.727083333331</v>
      </c>
      <c r="J114" s="66">
        <v>0</v>
      </c>
      <c r="K114" s="66" t="str">
        <f t="shared" si="37"/>
        <v>4013/4014</v>
      </c>
      <c r="L114" s="66" t="str">
        <f>VLOOKUP(A114,'Trips&amp;Operators'!$C$1:$E$9999,3,FALSE)</f>
        <v>YOUNG</v>
      </c>
      <c r="M114" s="12">
        <f t="shared" si="38"/>
        <v>1.1574069503694773E-5</v>
      </c>
      <c r="N114" s="13"/>
      <c r="O114" s="13"/>
      <c r="P114" s="13">
        <f t="shared" ref="P114" si="45">$M114*24*60</f>
        <v>1.6666660085320473E-2</v>
      </c>
      <c r="Q114" s="67" t="s">
        <v>618</v>
      </c>
      <c r="R114" s="67" t="s">
        <v>620</v>
      </c>
      <c r="S114" s="87">
        <f t="shared" si="26"/>
        <v>0</v>
      </c>
      <c r="T114" s="2" t="str">
        <f t="shared" si="27"/>
        <v>NorthBound</v>
      </c>
      <c r="U114" s="74">
        <f>COUNTIFS([2]Variables!$M$2:$M$19,IF(T114="NorthBound","&gt;=","&lt;=")&amp;Z114,[2]Variables!$M$2:$M$19,IF(T114="NorthBound","&lt;=","&gt;=")&amp;AA114)</f>
        <v>0</v>
      </c>
      <c r="W114" s="60" t="e">
        <f t="shared" ref="W114" si="46"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#VALUE!</v>
      </c>
      <c r="X114" s="60" t="e">
        <f t="shared" si="40"/>
        <v>#VALUE!</v>
      </c>
      <c r="Y114" s="60">
        <f t="shared" ref="Y114" si="47">VALUE(LEFT(A114,3))-VALUE(LEFT(A113,3))</f>
        <v>1</v>
      </c>
      <c r="Z114" s="60" t="e">
        <f t="shared" ref="Z114" si="48">RIGHT(D114,LEN(D114)-4)/10000</f>
        <v>#VALUE!</v>
      </c>
      <c r="AA114" s="60" t="e">
        <f t="shared" ref="AA114" si="49">RIGHT(H114,LEN(H114)-4)/10000</f>
        <v>#VALUE!</v>
      </c>
      <c r="AB114" s="60" t="e">
        <f t="shared" ref="AB114" si="50">ABS(AA114-Z114)</f>
        <v>#VALUE!</v>
      </c>
      <c r="AC114" s="61" t="e">
        <f>VLOOKUP(A114,Enforcements!$C$3:$J$40,8,0)</f>
        <v>#N/A</v>
      </c>
      <c r="AD114" s="61" t="e">
        <f>VLOOKUP(A114,Enforcements!$C$3:$J$40,3,0)</f>
        <v>#N/A</v>
      </c>
    </row>
    <row r="115" spans="1:30" s="2" customFormat="1" x14ac:dyDescent="0.25">
      <c r="A115" s="66" t="s">
        <v>325</v>
      </c>
      <c r="B115" s="66">
        <v>4013</v>
      </c>
      <c r="C115" s="66" t="s">
        <v>448</v>
      </c>
      <c r="D115" s="66" t="s">
        <v>509</v>
      </c>
      <c r="E115" s="30">
        <v>42493.764872685184</v>
      </c>
      <c r="F115" s="30">
        <v>42493.765868055554</v>
      </c>
      <c r="G115" s="38">
        <v>1</v>
      </c>
      <c r="H115" s="30" t="s">
        <v>586</v>
      </c>
      <c r="I115" s="30">
        <v>42493.795983796299</v>
      </c>
      <c r="J115" s="66">
        <v>2</v>
      </c>
      <c r="K115" s="66" t="str">
        <f t="shared" si="37"/>
        <v>4013/4014</v>
      </c>
      <c r="L115" s="66" t="str">
        <f>VLOOKUP(A115,'Trips&amp;Operators'!$C$1:$E$9999,3,FALSE)</f>
        <v>YOUNG</v>
      </c>
      <c r="M115" s="12">
        <f t="shared" si="38"/>
        <v>3.0115740744804498E-2</v>
      </c>
      <c r="N115" s="13">
        <f t="shared" si="20"/>
        <v>43.366666672518477</v>
      </c>
      <c r="O115" s="13"/>
      <c r="P115" s="13"/>
      <c r="Q115" s="67"/>
      <c r="R115" s="67"/>
      <c r="S115" s="87">
        <f t="shared" si="26"/>
        <v>1</v>
      </c>
      <c r="T115" s="2" t="str">
        <f t="shared" si="27"/>
        <v>Southbound</v>
      </c>
      <c r="U115" s="74">
        <f>COUNTIFS([2]Variables!$M$2:$M$19,IF(T115="NorthBound","&gt;=","&lt;=")&amp;Z115,[2]Variables!$M$2:$M$19,IF(T115="NorthBound","&lt;=","&gt;=")&amp;AA115)</f>
        <v>12</v>
      </c>
      <c r="W115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18:20:25-0600',mode:absolute,to:'2016-05-03 19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5" s="60" t="str">
        <f t="shared" si="40"/>
        <v>N</v>
      </c>
      <c r="Y115" s="60">
        <f>VALUE(LEFT(A115,3))-VALUE(LEFT(A113,3))</f>
        <v>2</v>
      </c>
      <c r="Z115" s="60">
        <f t="shared" si="42"/>
        <v>23.299399999999999</v>
      </c>
      <c r="AA115" s="60">
        <f t="shared" si="43"/>
        <v>1.54E-2</v>
      </c>
      <c r="AB115" s="60">
        <f t="shared" si="44"/>
        <v>23.283999999999999</v>
      </c>
      <c r="AC115" s="61">
        <f>VLOOKUP(A115,Enforcements!$C$3:$J$40,8,0)</f>
        <v>30562</v>
      </c>
      <c r="AD115" s="61" t="str">
        <f>VLOOKUP(A115,Enforcements!$C$3:$J$40,3,0)</f>
        <v>PERMANENT SPEED RESTRICTION</v>
      </c>
    </row>
    <row r="116" spans="1:30" s="2" customFormat="1" x14ac:dyDescent="0.25">
      <c r="A116" s="66" t="s">
        <v>323</v>
      </c>
      <c r="B116" s="66">
        <v>4024</v>
      </c>
      <c r="C116" s="66" t="s">
        <v>448</v>
      </c>
      <c r="D116" s="66" t="s">
        <v>587</v>
      </c>
      <c r="E116" s="30">
        <v>42493.73400462963</v>
      </c>
      <c r="F116" s="30">
        <v>42493.735601851855</v>
      </c>
      <c r="G116" s="38">
        <v>2</v>
      </c>
      <c r="H116" s="30" t="s">
        <v>563</v>
      </c>
      <c r="I116" s="30">
        <v>42493.765324074076</v>
      </c>
      <c r="J116" s="66">
        <v>1</v>
      </c>
      <c r="K116" s="66" t="str">
        <f t="shared" si="37"/>
        <v>4023/4024</v>
      </c>
      <c r="L116" s="66" t="str">
        <f>VLOOKUP(A116,'Trips&amp;Operators'!$C$1:$E$9999,3,FALSE)</f>
        <v>REBOLETTI</v>
      </c>
      <c r="M116" s="12">
        <f t="shared" si="38"/>
        <v>2.9722222221607808E-2</v>
      </c>
      <c r="N116" s="13">
        <f t="shared" si="20"/>
        <v>42.799999999115244</v>
      </c>
      <c r="O116" s="13"/>
      <c r="P116" s="13"/>
      <c r="Q116" s="67"/>
      <c r="R116" s="67"/>
      <c r="S116" s="87">
        <f t="shared" si="26"/>
        <v>1</v>
      </c>
      <c r="T116" s="2" t="str">
        <f t="shared" si="27"/>
        <v>NorthBound</v>
      </c>
      <c r="U116" s="74">
        <f>COUNTIFS([2]Variables!$M$2:$M$19,IF(T116="NorthBound","&gt;=","&lt;=")&amp;Z116,[2]Variables!$M$2:$M$19,IF(T116="NorthBound","&lt;=","&gt;=")&amp;AA116)</f>
        <v>12</v>
      </c>
      <c r="W116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17:35:58-0600',mode:absolute,to:'2016-05-03 18:23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6" s="60" t="str">
        <f t="shared" si="40"/>
        <v>N</v>
      </c>
      <c r="Y116" s="60">
        <f t="shared" si="41"/>
        <v>1</v>
      </c>
      <c r="Z116" s="60">
        <f t="shared" si="42"/>
        <v>4.3799999999999999E-2</v>
      </c>
      <c r="AA116" s="60">
        <f t="shared" si="43"/>
        <v>23.3307</v>
      </c>
      <c r="AB116" s="60">
        <f t="shared" si="44"/>
        <v>23.286899999999999</v>
      </c>
      <c r="AC116" s="61">
        <f>VLOOKUP(A116,Enforcements!$C$3:$J$40,8,0)</f>
        <v>149694</v>
      </c>
      <c r="AD116" s="61" t="str">
        <f>VLOOKUP(A116,Enforcements!$C$3:$J$40,3,0)</f>
        <v>SIGNAL</v>
      </c>
    </row>
    <row r="117" spans="1:30" s="2" customFormat="1" x14ac:dyDescent="0.25">
      <c r="A117" s="66" t="s">
        <v>414</v>
      </c>
      <c r="B117" s="66">
        <v>4023</v>
      </c>
      <c r="C117" s="66" t="s">
        <v>448</v>
      </c>
      <c r="D117" s="66" t="s">
        <v>543</v>
      </c>
      <c r="E117" s="30">
        <v>42493.774513888886</v>
      </c>
      <c r="F117" s="30">
        <v>42493.775740740741</v>
      </c>
      <c r="G117" s="38">
        <v>1</v>
      </c>
      <c r="H117" s="30" t="s">
        <v>467</v>
      </c>
      <c r="I117" s="30">
        <v>42493.804398148146</v>
      </c>
      <c r="J117" s="66">
        <v>0</v>
      </c>
      <c r="K117" s="66" t="str">
        <f t="shared" si="37"/>
        <v>4023/4024</v>
      </c>
      <c r="L117" s="66" t="str">
        <f>VLOOKUP(A117,'Trips&amp;Operators'!$C$1:$E$9999,3,FALSE)</f>
        <v>REBOLETTI</v>
      </c>
      <c r="M117" s="12">
        <f t="shared" si="38"/>
        <v>2.8657407405262347E-2</v>
      </c>
      <c r="N117" s="13">
        <f t="shared" si="20"/>
        <v>41.26666666357778</v>
      </c>
      <c r="O117" s="13"/>
      <c r="P117" s="13"/>
      <c r="Q117" s="67"/>
      <c r="R117" s="67"/>
      <c r="S117" s="87">
        <f t="shared" si="26"/>
        <v>1</v>
      </c>
      <c r="T117" s="2" t="str">
        <f t="shared" si="27"/>
        <v>Southbound</v>
      </c>
      <c r="U117" s="74">
        <f>COUNTIFS([2]Variables!$M$2:$M$19,IF(T117="NorthBound","&gt;=","&lt;=")&amp;Z117,[2]Variables!$M$2:$M$19,IF(T117="NorthBound","&lt;=","&gt;=")&amp;AA117)</f>
        <v>12</v>
      </c>
      <c r="W117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18:34:18-0600',mode:absolute,to:'2016-05-03 19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7" s="60" t="str">
        <f t="shared" si="40"/>
        <v>N</v>
      </c>
      <c r="Y117" s="60">
        <f t="shared" si="41"/>
        <v>1</v>
      </c>
      <c r="Z117" s="60">
        <f t="shared" si="42"/>
        <v>23.2973</v>
      </c>
      <c r="AA117" s="60">
        <f t="shared" si="43"/>
        <v>1.52E-2</v>
      </c>
      <c r="AB117" s="60">
        <f t="shared" si="44"/>
        <v>23.2821</v>
      </c>
      <c r="AC117" s="61" t="e">
        <f>VLOOKUP(A117,Enforcements!$C$3:$J$40,8,0)</f>
        <v>#N/A</v>
      </c>
      <c r="AD117" s="61" t="e">
        <f>VLOOKUP(A117,Enforcements!$C$3:$J$40,3,0)</f>
        <v>#N/A</v>
      </c>
    </row>
    <row r="118" spans="1:30" s="2" customFormat="1" x14ac:dyDescent="0.25">
      <c r="A118" s="66" t="s">
        <v>322</v>
      </c>
      <c r="B118" s="66">
        <v>4031</v>
      </c>
      <c r="C118" s="66" t="s">
        <v>448</v>
      </c>
      <c r="D118" s="66" t="s">
        <v>508</v>
      </c>
      <c r="E118" s="30">
        <v>42493.744756944441</v>
      </c>
      <c r="F118" s="30">
        <v>42493.745891203704</v>
      </c>
      <c r="G118" s="38">
        <v>1</v>
      </c>
      <c r="H118" s="30" t="s">
        <v>461</v>
      </c>
      <c r="I118" s="30">
        <v>42493.775208333333</v>
      </c>
      <c r="J118" s="66">
        <v>1</v>
      </c>
      <c r="K118" s="66" t="str">
        <f t="shared" si="37"/>
        <v>4031/4032</v>
      </c>
      <c r="L118" s="66" t="str">
        <f>VLOOKUP(A118,'Trips&amp;Operators'!$C$1:$E$9999,3,FALSE)</f>
        <v>JACKSON</v>
      </c>
      <c r="M118" s="12">
        <f t="shared" si="38"/>
        <v>2.9317129628907423E-2</v>
      </c>
      <c r="N118" s="13">
        <f t="shared" si="20"/>
        <v>42.21666666562669</v>
      </c>
      <c r="O118" s="13"/>
      <c r="P118" s="13"/>
      <c r="Q118" s="67"/>
      <c r="R118" s="67"/>
      <c r="S118" s="87">
        <f t="shared" si="26"/>
        <v>1</v>
      </c>
      <c r="T118" s="2" t="str">
        <f t="shared" si="27"/>
        <v>NorthBound</v>
      </c>
      <c r="U118" s="74">
        <f>COUNTIFS([2]Variables!$M$2:$M$19,IF(T118="NorthBound","&gt;=","&lt;=")&amp;Z118,[2]Variables!$M$2:$M$19,IF(T118="NorthBound","&lt;=","&gt;=")&amp;AA118)</f>
        <v>12</v>
      </c>
      <c r="W118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17:51:27-0600',mode:absolute,to:'2016-05-03 18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8" s="60" t="str">
        <f t="shared" si="40"/>
        <v>N</v>
      </c>
      <c r="Y118" s="60">
        <f t="shared" si="41"/>
        <v>1</v>
      </c>
      <c r="Z118" s="60">
        <f t="shared" si="42"/>
        <v>4.6600000000000003E-2</v>
      </c>
      <c r="AA118" s="60">
        <f t="shared" si="43"/>
        <v>23.3291</v>
      </c>
      <c r="AB118" s="60">
        <f t="shared" si="44"/>
        <v>23.282499999999999</v>
      </c>
      <c r="AC118" s="61">
        <f>VLOOKUP(A118,Enforcements!$C$3:$J$40,8,0)</f>
        <v>20338</v>
      </c>
      <c r="AD118" s="61" t="str">
        <f>VLOOKUP(A118,Enforcements!$C$3:$J$40,3,0)</f>
        <v>PERMANENT SPEED RESTRICTION</v>
      </c>
    </row>
    <row r="119" spans="1:30" s="2" customFormat="1" x14ac:dyDescent="0.25">
      <c r="A119" s="66" t="s">
        <v>354</v>
      </c>
      <c r="B119" s="66">
        <v>4032</v>
      </c>
      <c r="C119" s="66" t="s">
        <v>448</v>
      </c>
      <c r="D119" s="66" t="s">
        <v>588</v>
      </c>
      <c r="E119" s="30">
        <v>42493.784224537034</v>
      </c>
      <c r="F119" s="30">
        <v>42493.785000000003</v>
      </c>
      <c r="G119" s="38">
        <v>1</v>
      </c>
      <c r="H119" s="30" t="s">
        <v>586</v>
      </c>
      <c r="I119" s="30">
        <v>42493.815300925926</v>
      </c>
      <c r="J119" s="66">
        <v>0</v>
      </c>
      <c r="K119" s="66" t="str">
        <f t="shared" si="37"/>
        <v>4031/4032</v>
      </c>
      <c r="L119" s="66" t="str">
        <f>VLOOKUP(A119,'Trips&amp;Operators'!$C$1:$E$9999,3,FALSE)</f>
        <v>JACKSON</v>
      </c>
      <c r="M119" s="12">
        <f t="shared" si="38"/>
        <v>3.0300925922347233E-2</v>
      </c>
      <c r="N119" s="13">
        <f t="shared" si="20"/>
        <v>43.633333328180015</v>
      </c>
      <c r="O119" s="13"/>
      <c r="P119" s="13"/>
      <c r="Q119" s="67"/>
      <c r="R119" s="67"/>
      <c r="S119" s="87">
        <f t="shared" si="26"/>
        <v>1</v>
      </c>
      <c r="T119" s="2" t="str">
        <f t="shared" si="27"/>
        <v>Southbound</v>
      </c>
      <c r="U119" s="74">
        <f>COUNTIFS([2]Variables!$M$2:$M$19,IF(T119="NorthBound","&gt;=","&lt;=")&amp;Z119,[2]Variables!$M$2:$M$19,IF(T119="NorthBound","&lt;=","&gt;=")&amp;AA119)</f>
        <v>12</v>
      </c>
      <c r="W119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18:48:17-0600',mode:absolute,to:'2016-05-03 19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9" s="60" t="str">
        <f t="shared" si="40"/>
        <v>N</v>
      </c>
      <c r="Y119" s="60">
        <f t="shared" si="41"/>
        <v>1</v>
      </c>
      <c r="Z119" s="60">
        <f t="shared" si="42"/>
        <v>23.297899999999998</v>
      </c>
      <c r="AA119" s="60">
        <f t="shared" si="43"/>
        <v>1.54E-2</v>
      </c>
      <c r="AB119" s="60">
        <f t="shared" si="44"/>
        <v>23.282499999999999</v>
      </c>
      <c r="AC119" s="61" t="e">
        <f>VLOOKUP(A119,Enforcements!$C$3:$J$40,8,0)</f>
        <v>#N/A</v>
      </c>
      <c r="AD119" s="61" t="e">
        <f>VLOOKUP(A119,Enforcements!$C$3:$J$40,3,0)</f>
        <v>#N/A</v>
      </c>
    </row>
    <row r="120" spans="1:30" s="2" customFormat="1" x14ac:dyDescent="0.25">
      <c r="A120" s="66" t="s">
        <v>416</v>
      </c>
      <c r="B120" s="66">
        <v>4038</v>
      </c>
      <c r="C120" s="66" t="s">
        <v>448</v>
      </c>
      <c r="D120" s="66" t="s">
        <v>589</v>
      </c>
      <c r="E120" s="30">
        <v>42493.757256944446</v>
      </c>
      <c r="F120" s="30">
        <v>42493.758240740739</v>
      </c>
      <c r="G120" s="38">
        <v>1</v>
      </c>
      <c r="H120" s="30" t="s">
        <v>590</v>
      </c>
      <c r="I120" s="30">
        <v>42493.786446759259</v>
      </c>
      <c r="J120" s="66">
        <v>0</v>
      </c>
      <c r="K120" s="66" t="str">
        <f t="shared" si="37"/>
        <v>4037/4038</v>
      </c>
      <c r="L120" s="66" t="str">
        <f>VLOOKUP(A120,'Trips&amp;Operators'!$C$1:$E$9999,3,FALSE)</f>
        <v>RIVERA</v>
      </c>
      <c r="M120" s="12">
        <f t="shared" si="38"/>
        <v>2.8206018519995268E-2</v>
      </c>
      <c r="N120" s="13">
        <f t="shared" si="20"/>
        <v>40.616666668793187</v>
      </c>
      <c r="O120" s="13"/>
      <c r="P120" s="13"/>
      <c r="Q120" s="67"/>
      <c r="R120" s="67"/>
      <c r="S120" s="87">
        <f t="shared" si="26"/>
        <v>1</v>
      </c>
      <c r="T120" s="2" t="str">
        <f t="shared" si="27"/>
        <v>NorthBound</v>
      </c>
      <c r="U120" s="74">
        <f>COUNTIFS([2]Variables!$M$2:$M$19,IF(T120="NorthBound","&gt;=","&lt;=")&amp;Z120,[2]Variables!$M$2:$M$19,IF(T120="NorthBound","&lt;=","&gt;=")&amp;AA120)</f>
        <v>12</v>
      </c>
      <c r="W120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18:09:27-0600',mode:absolute,to:'2016-05-03 18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0" s="60" t="str">
        <f t="shared" si="40"/>
        <v>N</v>
      </c>
      <c r="Y120" s="60">
        <f t="shared" si="41"/>
        <v>1</v>
      </c>
      <c r="Z120" s="60">
        <f t="shared" si="42"/>
        <v>4.7699999999999999E-2</v>
      </c>
      <c r="AA120" s="60">
        <f t="shared" si="43"/>
        <v>23.332599999999999</v>
      </c>
      <c r="AB120" s="60">
        <f t="shared" si="44"/>
        <v>23.2849</v>
      </c>
      <c r="AC120" s="61" t="e">
        <f>VLOOKUP(A120,Enforcements!$C$3:$J$40,8,0)</f>
        <v>#N/A</v>
      </c>
      <c r="AD120" s="61" t="e">
        <f>VLOOKUP(A120,Enforcements!$C$3:$J$40,3,0)</f>
        <v>#N/A</v>
      </c>
    </row>
    <row r="121" spans="1:30" s="2" customFormat="1" x14ac:dyDescent="0.25">
      <c r="A121" s="66" t="s">
        <v>381</v>
      </c>
      <c r="B121" s="66">
        <v>4037</v>
      </c>
      <c r="C121" s="66" t="s">
        <v>448</v>
      </c>
      <c r="D121" s="66" t="s">
        <v>523</v>
      </c>
      <c r="E121" s="30">
        <v>42493.78875</v>
      </c>
      <c r="F121" s="30">
        <v>42493.799641203703</v>
      </c>
      <c r="G121" s="38">
        <v>1</v>
      </c>
      <c r="H121" s="30" t="s">
        <v>583</v>
      </c>
      <c r="I121" s="30">
        <v>42493.825682870367</v>
      </c>
      <c r="J121" s="66">
        <v>0</v>
      </c>
      <c r="K121" s="66" t="str">
        <f t="shared" si="37"/>
        <v>4037/4038</v>
      </c>
      <c r="L121" s="66" t="str">
        <f>VLOOKUP(A121,'Trips&amp;Operators'!$C$1:$E$9999,3,FALSE)</f>
        <v>STORY</v>
      </c>
      <c r="M121" s="12">
        <f t="shared" si="38"/>
        <v>2.6041666664241347E-2</v>
      </c>
      <c r="N121" s="13">
        <f t="shared" si="20"/>
        <v>37.49999999650754</v>
      </c>
      <c r="O121" s="13"/>
      <c r="P121" s="13"/>
      <c r="Q121" s="67"/>
      <c r="R121" s="67"/>
      <c r="S121" s="87">
        <f t="shared" si="26"/>
        <v>1</v>
      </c>
      <c r="T121" s="2" t="str">
        <f t="shared" si="27"/>
        <v>Southbound</v>
      </c>
      <c r="U121" s="74">
        <f>COUNTIFS([2]Variables!$M$2:$M$19,IF(T121="NorthBound","&gt;=","&lt;=")&amp;Z121,[2]Variables!$M$2:$M$19,IF(T121="NorthBound","&lt;=","&gt;=")&amp;AA121)</f>
        <v>12</v>
      </c>
      <c r="W121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18:54:48-0600',mode:absolute,to:'2016-05-03 19:49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1" s="60" t="str">
        <f t="shared" si="40"/>
        <v>N</v>
      </c>
      <c r="Y121" s="60">
        <f t="shared" si="41"/>
        <v>1</v>
      </c>
      <c r="Z121" s="60">
        <f t="shared" si="42"/>
        <v>23.3</v>
      </c>
      <c r="AA121" s="60">
        <f t="shared" si="43"/>
        <v>1.61E-2</v>
      </c>
      <c r="AB121" s="60">
        <f t="shared" si="44"/>
        <v>23.283899999999999</v>
      </c>
      <c r="AC121" s="61" t="e">
        <f>VLOOKUP(A121,Enforcements!$C$3:$J$40,8,0)</f>
        <v>#N/A</v>
      </c>
      <c r="AD121" s="61" t="e">
        <f>VLOOKUP(A121,Enforcements!$C$3:$J$40,3,0)</f>
        <v>#N/A</v>
      </c>
    </row>
    <row r="122" spans="1:30" s="2" customFormat="1" x14ac:dyDescent="0.25">
      <c r="A122" s="66" t="s">
        <v>415</v>
      </c>
      <c r="B122" s="66">
        <v>4025</v>
      </c>
      <c r="C122" s="66" t="s">
        <v>448</v>
      </c>
      <c r="D122" s="66" t="s">
        <v>591</v>
      </c>
      <c r="E122" s="30">
        <v>42493.768263888887</v>
      </c>
      <c r="F122" s="30">
        <v>42493.769606481481</v>
      </c>
      <c r="G122" s="38">
        <v>1</v>
      </c>
      <c r="H122" s="30" t="s">
        <v>560</v>
      </c>
      <c r="I122" s="30">
        <v>42493.796076388891</v>
      </c>
      <c r="J122" s="66">
        <v>0</v>
      </c>
      <c r="K122" s="66" t="str">
        <f t="shared" si="37"/>
        <v>4025/4026</v>
      </c>
      <c r="L122" s="66" t="str">
        <f>VLOOKUP(A122,'Trips&amp;Operators'!$C$1:$E$9999,3,FALSE)</f>
        <v>BARTLETT</v>
      </c>
      <c r="M122" s="12">
        <f t="shared" si="38"/>
        <v>2.6469907410501037E-2</v>
      </c>
      <c r="N122" s="13">
        <f t="shared" si="20"/>
        <v>38.116666671121493</v>
      </c>
      <c r="O122" s="13"/>
      <c r="P122" s="13"/>
      <c r="Q122" s="67"/>
      <c r="R122" s="67"/>
      <c r="S122" s="87">
        <f t="shared" si="26"/>
        <v>1</v>
      </c>
      <c r="T122" s="2" t="str">
        <f t="shared" si="27"/>
        <v>NorthBound</v>
      </c>
      <c r="U122" s="74">
        <f>COUNTIFS([2]Variables!$M$2:$M$19,IF(T122="NorthBound","&gt;=","&lt;=")&amp;Z122,[2]Variables!$M$2:$M$19,IF(T122="NorthBound","&lt;=","&gt;=")&amp;AA122)</f>
        <v>12</v>
      </c>
      <c r="W122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18:25:18-0600',mode:absolute,to:'2016-05-03 19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2" s="60" t="str">
        <f t="shared" si="40"/>
        <v>N</v>
      </c>
      <c r="Y122" s="60">
        <f t="shared" si="41"/>
        <v>1</v>
      </c>
      <c r="Z122" s="60">
        <f t="shared" si="42"/>
        <v>4.5100000000000001E-2</v>
      </c>
      <c r="AA122" s="60">
        <f t="shared" si="43"/>
        <v>23.331499999999998</v>
      </c>
      <c r="AB122" s="60">
        <f t="shared" si="44"/>
        <v>23.286399999999997</v>
      </c>
      <c r="AC122" s="61" t="e">
        <f>VLOOKUP(A122,Enforcements!$C$3:$J$40,8,0)</f>
        <v>#N/A</v>
      </c>
      <c r="AD122" s="61" t="e">
        <f>VLOOKUP(A122,Enforcements!$C$3:$J$40,3,0)</f>
        <v>#N/A</v>
      </c>
    </row>
    <row r="123" spans="1:30" s="2" customFormat="1" x14ac:dyDescent="0.25">
      <c r="A123" s="66" t="s">
        <v>328</v>
      </c>
      <c r="B123" s="66">
        <v>4026</v>
      </c>
      <c r="C123" s="66" t="s">
        <v>448</v>
      </c>
      <c r="D123" s="66" t="s">
        <v>509</v>
      </c>
      <c r="E123" s="30">
        <v>42493.805011574077</v>
      </c>
      <c r="F123" s="30">
        <v>42493.806134259263</v>
      </c>
      <c r="G123" s="38">
        <v>1</v>
      </c>
      <c r="H123" s="30" t="s">
        <v>524</v>
      </c>
      <c r="I123" s="30">
        <v>42493.836215277777</v>
      </c>
      <c r="J123" s="66">
        <v>1</v>
      </c>
      <c r="K123" s="66" t="str">
        <f t="shared" si="37"/>
        <v>4025/4026</v>
      </c>
      <c r="L123" s="66" t="str">
        <f>VLOOKUP(A123,'Trips&amp;Operators'!$C$1:$E$9999,3,FALSE)</f>
        <v>BARTLETT</v>
      </c>
      <c r="M123" s="12">
        <f t="shared" si="38"/>
        <v>3.0081018514465541E-2</v>
      </c>
      <c r="N123" s="13">
        <f t="shared" si="20"/>
        <v>43.316666660830379</v>
      </c>
      <c r="O123" s="13"/>
      <c r="P123" s="13"/>
      <c r="Q123" s="67"/>
      <c r="R123" s="67"/>
      <c r="S123" s="87">
        <f t="shared" si="26"/>
        <v>1</v>
      </c>
      <c r="T123" s="2" t="str">
        <f t="shared" si="27"/>
        <v>Southbound</v>
      </c>
      <c r="U123" s="74">
        <f>COUNTIFS([2]Variables!$M$2:$M$19,IF(T123="NorthBound","&gt;=","&lt;=")&amp;Z123,[2]Variables!$M$2:$M$19,IF(T123="NorthBound","&lt;=","&gt;=")&amp;AA123)</f>
        <v>12</v>
      </c>
      <c r="W123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19:18:13-0600',mode:absolute,to:'2016-05-03 20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3" s="60" t="str">
        <f t="shared" si="40"/>
        <v>N</v>
      </c>
      <c r="Y123" s="60">
        <f t="shared" si="41"/>
        <v>1</v>
      </c>
      <c r="Z123" s="60">
        <f t="shared" si="42"/>
        <v>23.299399999999999</v>
      </c>
      <c r="AA123" s="60">
        <f t="shared" si="43"/>
        <v>1.4999999999999999E-2</v>
      </c>
      <c r="AB123" s="60">
        <f t="shared" si="44"/>
        <v>23.284399999999998</v>
      </c>
      <c r="AC123" s="61" t="e">
        <f>VLOOKUP(A123,Enforcements!$C$3:$J$40,8,0)</f>
        <v>#N/A</v>
      </c>
      <c r="AD123" s="61" t="e">
        <f>VLOOKUP(A123,Enforcements!$C$3:$J$40,3,0)</f>
        <v>#N/A</v>
      </c>
    </row>
    <row r="124" spans="1:30" s="2" customFormat="1" x14ac:dyDescent="0.25">
      <c r="A124" s="66" t="s">
        <v>326</v>
      </c>
      <c r="B124" s="66">
        <v>4027</v>
      </c>
      <c r="C124" s="66" t="s">
        <v>448</v>
      </c>
      <c r="D124" s="66" t="s">
        <v>496</v>
      </c>
      <c r="E124" s="30">
        <v>42493.787916666668</v>
      </c>
      <c r="F124" s="30">
        <v>42493.791932870372</v>
      </c>
      <c r="G124" s="38">
        <v>5</v>
      </c>
      <c r="H124" s="30" t="s">
        <v>592</v>
      </c>
      <c r="I124" s="30">
        <v>42493.818090277775</v>
      </c>
      <c r="J124" s="66">
        <v>1</v>
      </c>
      <c r="K124" s="66" t="str">
        <f t="shared" si="37"/>
        <v>4027/4028</v>
      </c>
      <c r="L124" s="66" t="str">
        <f>VLOOKUP(A124,'Trips&amp;Operators'!$C$1:$E$9999,3,FALSE)</f>
        <v>LEVERE</v>
      </c>
      <c r="M124" s="12">
        <f t="shared" si="38"/>
        <v>2.6157407402934041E-2</v>
      </c>
      <c r="N124" s="13">
        <f t="shared" si="20"/>
        <v>37.666666660225019</v>
      </c>
      <c r="O124" s="13"/>
      <c r="P124" s="13"/>
      <c r="Q124" s="67"/>
      <c r="R124" s="67"/>
      <c r="S124" s="87">
        <f t="shared" si="26"/>
        <v>1</v>
      </c>
      <c r="T124" s="2" t="str">
        <f t="shared" si="27"/>
        <v>NorthBound</v>
      </c>
      <c r="U124" s="74">
        <f>COUNTIFS([2]Variables!$M$2:$M$19,IF(T124="NorthBound","&gt;=","&lt;=")&amp;Z124,[2]Variables!$M$2:$M$19,IF(T124="NorthBound","&lt;=","&gt;=")&amp;AA124)</f>
        <v>12</v>
      </c>
      <c r="W124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18:53:36-0600',mode:absolute,to:'2016-05-03 19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24" s="60" t="str">
        <f t="shared" si="40"/>
        <v>N</v>
      </c>
      <c r="Y124" s="60">
        <f t="shared" si="41"/>
        <v>1</v>
      </c>
      <c r="Z124" s="60">
        <f t="shared" si="42"/>
        <v>4.7300000000000002E-2</v>
      </c>
      <c r="AA124" s="60">
        <f t="shared" si="43"/>
        <v>23.327000000000002</v>
      </c>
      <c r="AB124" s="60">
        <f t="shared" si="44"/>
        <v>23.279700000000002</v>
      </c>
      <c r="AC124" s="61">
        <f>VLOOKUP(A124,Enforcements!$C$3:$J$40,8,0)</f>
        <v>4677</v>
      </c>
      <c r="AD124" s="61" t="str">
        <f>VLOOKUP(A124,Enforcements!$C$3:$J$40,3,0)</f>
        <v>PERMANENT SPEED RESTRICTION</v>
      </c>
    </row>
    <row r="125" spans="1:30" s="2" customFormat="1" x14ac:dyDescent="0.25">
      <c r="A125" s="66" t="s">
        <v>330</v>
      </c>
      <c r="B125" s="66">
        <v>4028</v>
      </c>
      <c r="C125" s="66" t="s">
        <v>448</v>
      </c>
      <c r="D125" s="66" t="s">
        <v>585</v>
      </c>
      <c r="E125" s="30">
        <v>42493.825208333335</v>
      </c>
      <c r="F125" s="30">
        <v>42493.826180555552</v>
      </c>
      <c r="G125" s="38">
        <v>1</v>
      </c>
      <c r="H125" s="30" t="s">
        <v>467</v>
      </c>
      <c r="I125" s="30">
        <v>42493.860011574077</v>
      </c>
      <c r="J125" s="66">
        <v>1</v>
      </c>
      <c r="K125" s="66" t="str">
        <f t="shared" si="37"/>
        <v>4027/4028</v>
      </c>
      <c r="L125" s="66" t="str">
        <f>VLOOKUP(A125,'Trips&amp;Operators'!$C$1:$E$9999,3,FALSE)</f>
        <v>LEVERE</v>
      </c>
      <c r="M125" s="12">
        <f t="shared" si="38"/>
        <v>3.3831018525233958E-2</v>
      </c>
      <c r="N125" s="13">
        <f t="shared" si="20"/>
        <v>48.716666676336899</v>
      </c>
      <c r="O125" s="13"/>
      <c r="P125" s="13"/>
      <c r="Q125" s="67"/>
      <c r="R125" s="67"/>
      <c r="S125" s="87">
        <f t="shared" si="26"/>
        <v>1</v>
      </c>
      <c r="T125" s="2" t="str">
        <f t="shared" si="27"/>
        <v>Southbound</v>
      </c>
      <c r="U125" s="74">
        <f>COUNTIFS([2]Variables!$M$2:$M$19,IF(T125="NorthBound","&gt;=","&lt;=")&amp;Z125,[2]Variables!$M$2:$M$19,IF(T125="NorthBound","&lt;=","&gt;=")&amp;AA125)</f>
        <v>12</v>
      </c>
      <c r="W125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19:47:18-0600',mode:absolute,to:'2016-05-03 20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25" s="60" t="str">
        <f t="shared" si="40"/>
        <v>N</v>
      </c>
      <c r="Y125" s="60">
        <f t="shared" si="41"/>
        <v>1</v>
      </c>
      <c r="Z125" s="60">
        <f t="shared" si="42"/>
        <v>23.296900000000001</v>
      </c>
      <c r="AA125" s="60">
        <f t="shared" si="43"/>
        <v>1.52E-2</v>
      </c>
      <c r="AB125" s="60">
        <f t="shared" si="44"/>
        <v>23.281700000000001</v>
      </c>
      <c r="AC125" s="61" t="e">
        <f>VLOOKUP(A125,Enforcements!$C$3:$J$40,8,0)</f>
        <v>#N/A</v>
      </c>
      <c r="AD125" s="61" t="e">
        <f>VLOOKUP(A125,Enforcements!$C$3:$J$40,3,0)</f>
        <v>#N/A</v>
      </c>
    </row>
    <row r="126" spans="1:30" s="2" customFormat="1" x14ac:dyDescent="0.25">
      <c r="A126" s="66" t="s">
        <v>327</v>
      </c>
      <c r="B126" s="66">
        <v>4024</v>
      </c>
      <c r="C126" s="66" t="s">
        <v>448</v>
      </c>
      <c r="D126" s="66" t="s">
        <v>508</v>
      </c>
      <c r="E126" s="30">
        <v>42493.80709490741</v>
      </c>
      <c r="F126" s="30">
        <v>42493.808206018519</v>
      </c>
      <c r="G126" s="38">
        <v>1</v>
      </c>
      <c r="H126" s="30" t="s">
        <v>537</v>
      </c>
      <c r="I126" s="30">
        <v>42493.83898148148</v>
      </c>
      <c r="J126" s="66">
        <v>1</v>
      </c>
      <c r="K126" s="66" t="str">
        <f t="shared" si="37"/>
        <v>4023/4024</v>
      </c>
      <c r="L126" s="66" t="str">
        <f>VLOOKUP(A126,'Trips&amp;Operators'!$C$1:$E$9999,3,FALSE)</f>
        <v>REBOLETTI</v>
      </c>
      <c r="M126" s="12">
        <f t="shared" si="38"/>
        <v>3.0775462961173616E-2</v>
      </c>
      <c r="N126" s="13">
        <f t="shared" si="20"/>
        <v>44.316666664090008</v>
      </c>
      <c r="O126" s="13"/>
      <c r="P126" s="13"/>
      <c r="Q126" s="67"/>
      <c r="R126" s="67"/>
      <c r="S126" s="87">
        <f t="shared" si="26"/>
        <v>1</v>
      </c>
      <c r="T126" s="2" t="str">
        <f t="shared" si="27"/>
        <v>NorthBound</v>
      </c>
      <c r="U126" s="74">
        <f>COUNTIFS([2]Variables!$M$2:$M$19,IF(T126="NorthBound","&gt;=","&lt;=")&amp;Z126,[2]Variables!$M$2:$M$19,IF(T126="NorthBound","&lt;=","&gt;=")&amp;AA126)</f>
        <v>12</v>
      </c>
      <c r="W126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19:21:13-0600',mode:absolute,to:'2016-05-03 20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6" s="60" t="str">
        <f t="shared" si="40"/>
        <v>N</v>
      </c>
      <c r="Y126" s="60">
        <f t="shared" si="41"/>
        <v>1</v>
      </c>
      <c r="Z126" s="60">
        <f t="shared" si="42"/>
        <v>4.6600000000000003E-2</v>
      </c>
      <c r="AA126" s="60">
        <f t="shared" si="43"/>
        <v>23.330100000000002</v>
      </c>
      <c r="AB126" s="60">
        <f t="shared" si="44"/>
        <v>23.2835</v>
      </c>
      <c r="AC126" s="61">
        <f>VLOOKUP(A126,Enforcements!$C$3:$J$40,8,0)</f>
        <v>149694</v>
      </c>
      <c r="AD126" s="61" t="str">
        <f>VLOOKUP(A126,Enforcements!$C$3:$J$40,3,0)</f>
        <v>SIGNAL</v>
      </c>
    </row>
    <row r="127" spans="1:30" s="2" customFormat="1" x14ac:dyDescent="0.25">
      <c r="A127" s="66" t="s">
        <v>356</v>
      </c>
      <c r="B127" s="66">
        <v>4023</v>
      </c>
      <c r="C127" s="66" t="s">
        <v>448</v>
      </c>
      <c r="D127" s="66" t="s">
        <v>593</v>
      </c>
      <c r="E127" s="30">
        <v>42493.847395833334</v>
      </c>
      <c r="F127" s="30">
        <v>42493.848425925928</v>
      </c>
      <c r="G127" s="38">
        <v>1</v>
      </c>
      <c r="H127" s="30" t="s">
        <v>471</v>
      </c>
      <c r="I127" s="30">
        <v>42493.878437500003</v>
      </c>
      <c r="J127" s="66">
        <v>0</v>
      </c>
      <c r="K127" s="66" t="str">
        <f t="shared" si="37"/>
        <v>4023/4024</v>
      </c>
      <c r="L127" s="66" t="str">
        <f>VLOOKUP(A127,'Trips&amp;Operators'!$C$1:$E$9999,3,FALSE)</f>
        <v>REBOLETTI</v>
      </c>
      <c r="M127" s="12">
        <f t="shared" si="38"/>
        <v>3.0011574075615499E-2</v>
      </c>
      <c r="N127" s="13">
        <f t="shared" si="20"/>
        <v>43.216666668886319</v>
      </c>
      <c r="O127" s="13"/>
      <c r="P127" s="13"/>
      <c r="Q127" s="67"/>
      <c r="R127" s="67"/>
      <c r="S127" s="87">
        <f t="shared" si="26"/>
        <v>1</v>
      </c>
      <c r="T127" s="2" t="str">
        <f t="shared" si="27"/>
        <v>Southbound</v>
      </c>
      <c r="U127" s="74">
        <f>COUNTIFS([2]Variables!$M$2:$M$19,IF(T127="NorthBound","&gt;=","&lt;=")&amp;Z127,[2]Variables!$M$2:$M$19,IF(T127="NorthBound","&lt;=","&gt;=")&amp;AA127)</f>
        <v>12</v>
      </c>
      <c r="W127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20:19:15-0600',mode:absolute,to:'2016-05-03 21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7" s="60" t="str">
        <f t="shared" si="40"/>
        <v>N</v>
      </c>
      <c r="Y127" s="60">
        <f t="shared" si="41"/>
        <v>1</v>
      </c>
      <c r="Z127" s="60">
        <f t="shared" si="42"/>
        <v>23.296299999999999</v>
      </c>
      <c r="AA127" s="60">
        <f t="shared" si="43"/>
        <v>1.5599999999999999E-2</v>
      </c>
      <c r="AB127" s="60">
        <f t="shared" si="44"/>
        <v>23.2807</v>
      </c>
      <c r="AC127" s="61" t="e">
        <f>VLOOKUP(A127,Enforcements!$C$3:$J$40,8,0)</f>
        <v>#N/A</v>
      </c>
      <c r="AD127" s="61" t="e">
        <f>VLOOKUP(A127,Enforcements!$C$3:$J$40,3,0)</f>
        <v>#N/A</v>
      </c>
    </row>
    <row r="128" spans="1:30" s="2" customFormat="1" x14ac:dyDescent="0.25">
      <c r="A128" s="66" t="s">
        <v>329</v>
      </c>
      <c r="B128" s="66">
        <v>4038</v>
      </c>
      <c r="C128" s="66" t="s">
        <v>448</v>
      </c>
      <c r="D128" s="66" t="s">
        <v>589</v>
      </c>
      <c r="E128" s="30">
        <v>42493.828692129631</v>
      </c>
      <c r="F128" s="30">
        <v>42493.829583333332</v>
      </c>
      <c r="G128" s="38">
        <v>1</v>
      </c>
      <c r="H128" s="30" t="s">
        <v>493</v>
      </c>
      <c r="I128" s="30">
        <v>42493.85800925926</v>
      </c>
      <c r="J128" s="66">
        <v>1</v>
      </c>
      <c r="K128" s="66" t="str">
        <f t="shared" si="37"/>
        <v>4037/4038</v>
      </c>
      <c r="L128" s="66" t="str">
        <f>VLOOKUP(A128,'Trips&amp;Operators'!$C$1:$E$9999,3,FALSE)</f>
        <v>RIVERA</v>
      </c>
      <c r="M128" s="12">
        <f t="shared" si="38"/>
        <v>2.842592592787696E-2</v>
      </c>
      <c r="N128" s="13">
        <f t="shared" si="20"/>
        <v>40.933333336142823</v>
      </c>
      <c r="O128" s="13"/>
      <c r="P128" s="13"/>
      <c r="Q128" s="67"/>
      <c r="R128" s="67"/>
      <c r="S128" s="87">
        <f t="shared" si="26"/>
        <v>1</v>
      </c>
      <c r="T128" s="2" t="str">
        <f t="shared" si="27"/>
        <v>NorthBound</v>
      </c>
      <c r="U128" s="74">
        <f>COUNTIFS([2]Variables!$M$2:$M$19,IF(T128="NorthBound","&gt;=","&lt;=")&amp;Z128,[2]Variables!$M$2:$M$19,IF(T128="NorthBound","&lt;=","&gt;=")&amp;AA128)</f>
        <v>12</v>
      </c>
      <c r="W128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19:52:19-0600',mode:absolute,to:'2016-05-03 20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8" s="60" t="str">
        <f t="shared" si="40"/>
        <v>N</v>
      </c>
      <c r="Y128" s="60">
        <f t="shared" si="41"/>
        <v>1</v>
      </c>
      <c r="Z128" s="60">
        <f t="shared" si="42"/>
        <v>4.7699999999999999E-2</v>
      </c>
      <c r="AA128" s="60">
        <f t="shared" si="43"/>
        <v>23.331600000000002</v>
      </c>
      <c r="AB128" s="60">
        <f t="shared" si="44"/>
        <v>23.283900000000003</v>
      </c>
      <c r="AC128" s="61" t="e">
        <f>VLOOKUP(A128,Enforcements!$C$3:$J$40,8,0)</f>
        <v>#N/A</v>
      </c>
      <c r="AD128" s="61" t="e">
        <f>VLOOKUP(A128,Enforcements!$C$3:$J$40,3,0)</f>
        <v>#N/A</v>
      </c>
    </row>
    <row r="129" spans="1:30" s="2" customFormat="1" x14ac:dyDescent="0.25">
      <c r="A129" s="66" t="s">
        <v>384</v>
      </c>
      <c r="B129" s="66">
        <v>4037</v>
      </c>
      <c r="C129" s="66" t="s">
        <v>448</v>
      </c>
      <c r="D129" s="66" t="s">
        <v>512</v>
      </c>
      <c r="E129" s="30">
        <v>42493.861909722225</v>
      </c>
      <c r="F129" s="30">
        <v>42493.872465277775</v>
      </c>
      <c r="G129" s="38">
        <v>1</v>
      </c>
      <c r="H129" s="30" t="s">
        <v>586</v>
      </c>
      <c r="I129" s="30">
        <v>42493.898136574076</v>
      </c>
      <c r="J129" s="66">
        <v>0</v>
      </c>
      <c r="K129" s="66" t="str">
        <f t="shared" si="37"/>
        <v>4037/4038</v>
      </c>
      <c r="L129" s="66" t="str">
        <f>VLOOKUP(A129,'Trips&amp;Operators'!$C$1:$E$9999,3,FALSE)</f>
        <v>STORY</v>
      </c>
      <c r="M129" s="12">
        <f t="shared" si="38"/>
        <v>2.567129630187992E-2</v>
      </c>
      <c r="N129" s="13">
        <f t="shared" si="20"/>
        <v>36.966666674707085</v>
      </c>
      <c r="O129" s="13"/>
      <c r="P129" s="13"/>
      <c r="Q129" s="67"/>
      <c r="R129" s="67"/>
      <c r="S129" s="87">
        <f t="shared" si="26"/>
        <v>1</v>
      </c>
      <c r="T129" s="2" t="str">
        <f t="shared" si="27"/>
        <v>Southbound</v>
      </c>
      <c r="U129" s="74">
        <f>COUNTIFS([2]Variables!$M$2:$M$19,IF(T129="NorthBound","&gt;=","&lt;=")&amp;Z129,[2]Variables!$M$2:$M$19,IF(T129="NorthBound","&lt;=","&gt;=")&amp;AA129)</f>
        <v>12</v>
      </c>
      <c r="W129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20:40:09-0600',mode:absolute,to:'2016-05-03 21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9" s="60" t="str">
        <f t="shared" si="40"/>
        <v>N</v>
      </c>
      <c r="Y129" s="60">
        <f t="shared" si="41"/>
        <v>1</v>
      </c>
      <c r="Z129" s="60">
        <f t="shared" si="42"/>
        <v>23.2988</v>
      </c>
      <c r="AA129" s="60">
        <f t="shared" si="43"/>
        <v>1.54E-2</v>
      </c>
      <c r="AB129" s="60">
        <f t="shared" si="44"/>
        <v>23.2834</v>
      </c>
      <c r="AC129" s="61" t="e">
        <f>VLOOKUP(A129,Enforcements!$C$3:$J$40,8,0)</f>
        <v>#N/A</v>
      </c>
      <c r="AD129" s="61" t="e">
        <f>VLOOKUP(A129,Enforcements!$C$3:$J$40,3,0)</f>
        <v>#N/A</v>
      </c>
    </row>
    <row r="130" spans="1:30" s="2" customFormat="1" x14ac:dyDescent="0.25">
      <c r="A130" s="66" t="s">
        <v>404</v>
      </c>
      <c r="B130" s="66">
        <v>4025</v>
      </c>
      <c r="C130" s="66" t="s">
        <v>448</v>
      </c>
      <c r="D130" s="66" t="s">
        <v>460</v>
      </c>
      <c r="E130" s="30">
        <v>42493.840810185182</v>
      </c>
      <c r="F130" s="30">
        <v>42493.854490740741</v>
      </c>
      <c r="G130" s="38">
        <v>1</v>
      </c>
      <c r="H130" s="30" t="s">
        <v>476</v>
      </c>
      <c r="I130" s="30">
        <v>42493.87972222222</v>
      </c>
      <c r="J130" s="66">
        <v>0</v>
      </c>
      <c r="K130" s="66" t="str">
        <f t="shared" si="37"/>
        <v>4025/4026</v>
      </c>
      <c r="L130" s="66" t="str">
        <f>VLOOKUP(A130,'Trips&amp;Operators'!$C$1:$E$9999,3,FALSE)</f>
        <v>BARTLETT</v>
      </c>
      <c r="M130" s="12">
        <f t="shared" si="38"/>
        <v>2.5231481478840578E-2</v>
      </c>
      <c r="N130" s="13">
        <f t="shared" si="20"/>
        <v>36.333333329530433</v>
      </c>
      <c r="O130" s="13"/>
      <c r="P130" s="13"/>
      <c r="Q130" s="67"/>
      <c r="R130" s="67"/>
      <c r="S130" s="87">
        <f t="shared" si="26"/>
        <v>1</v>
      </c>
      <c r="T130" s="2" t="str">
        <f t="shared" si="27"/>
        <v>NorthBound</v>
      </c>
      <c r="U130" s="74">
        <f>COUNTIFS([2]Variables!$M$2:$M$19,IF(T130="NorthBound","&gt;=","&lt;=")&amp;Z130,[2]Variables!$M$2:$M$19,IF(T130="NorthBound","&lt;=","&gt;=")&amp;AA130)</f>
        <v>12</v>
      </c>
      <c r="W130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20:09:46-0600',mode:absolute,to:'2016-05-03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0" s="60" t="str">
        <f t="shared" si="40"/>
        <v>N</v>
      </c>
      <c r="Y130" s="60">
        <f t="shared" si="41"/>
        <v>1</v>
      </c>
      <c r="Z130" s="60">
        <f t="shared" si="42"/>
        <v>4.58E-2</v>
      </c>
      <c r="AA130" s="60">
        <f t="shared" si="43"/>
        <v>23.329899999999999</v>
      </c>
      <c r="AB130" s="60">
        <f t="shared" si="44"/>
        <v>23.284099999999999</v>
      </c>
      <c r="AC130" s="61" t="e">
        <f>VLOOKUP(A130,Enforcements!$C$3:$J$40,8,0)</f>
        <v>#N/A</v>
      </c>
      <c r="AD130" s="61" t="e">
        <f>VLOOKUP(A130,Enforcements!$C$3:$J$40,3,0)</f>
        <v>#N/A</v>
      </c>
    </row>
    <row r="131" spans="1:30" s="2" customFormat="1" x14ac:dyDescent="0.25">
      <c r="A131" s="66" t="s">
        <v>380</v>
      </c>
      <c r="B131" s="66">
        <v>4026</v>
      </c>
      <c r="C131" s="66" t="s">
        <v>448</v>
      </c>
      <c r="D131" s="66" t="s">
        <v>494</v>
      </c>
      <c r="E131" s="30">
        <v>42493.889050925929</v>
      </c>
      <c r="F131" s="30">
        <v>42493.889918981484</v>
      </c>
      <c r="G131" s="38">
        <v>1</v>
      </c>
      <c r="H131" s="30" t="s">
        <v>478</v>
      </c>
      <c r="I131" s="30">
        <v>42493.919999999998</v>
      </c>
      <c r="J131" s="66">
        <v>0</v>
      </c>
      <c r="K131" s="66" t="str">
        <f t="shared" si="37"/>
        <v>4025/4026</v>
      </c>
      <c r="L131" s="66" t="str">
        <f>VLOOKUP(A131,'Trips&amp;Operators'!$C$1:$E$9999,3,FALSE)</f>
        <v>BARTLETT</v>
      </c>
      <c r="M131" s="12">
        <f t="shared" si="38"/>
        <v>3.0081018514465541E-2</v>
      </c>
      <c r="N131" s="13">
        <f t="shared" ref="N131:N147" si="51">$M131*24*60</f>
        <v>43.316666660830379</v>
      </c>
      <c r="O131" s="13"/>
      <c r="P131" s="13"/>
      <c r="Q131" s="67"/>
      <c r="R131" s="67"/>
      <c r="S131" s="87">
        <f t="shared" si="26"/>
        <v>1</v>
      </c>
      <c r="T131" s="2" t="str">
        <f t="shared" si="27"/>
        <v>Southbound</v>
      </c>
      <c r="U131" s="74">
        <f>COUNTIFS([2]Variables!$M$2:$M$19,IF(T131="NorthBound","&gt;=","&lt;=")&amp;Z131,[2]Variables!$M$2:$M$19,IF(T131="NorthBound","&lt;=","&gt;=")&amp;AA131)</f>
        <v>12</v>
      </c>
      <c r="W131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21:19:14-0600',mode:absolute,to:'2016-05-03 22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1" s="60" t="str">
        <f t="shared" si="40"/>
        <v>N</v>
      </c>
      <c r="Y131" s="60">
        <f t="shared" si="41"/>
        <v>1</v>
      </c>
      <c r="Z131" s="60">
        <f t="shared" si="42"/>
        <v>23.297699999999999</v>
      </c>
      <c r="AA131" s="60">
        <f t="shared" si="43"/>
        <v>1.47E-2</v>
      </c>
      <c r="AB131" s="60">
        <f t="shared" si="44"/>
        <v>23.282999999999998</v>
      </c>
      <c r="AC131" s="61" t="e">
        <f>VLOOKUP(A131,Enforcements!$C$3:$J$40,8,0)</f>
        <v>#N/A</v>
      </c>
      <c r="AD131" s="61" t="e">
        <f>VLOOKUP(A131,Enforcements!$C$3:$J$40,3,0)</f>
        <v>#N/A</v>
      </c>
    </row>
    <row r="132" spans="1:30" s="2" customFormat="1" x14ac:dyDescent="0.25">
      <c r="A132" s="66" t="s">
        <v>331</v>
      </c>
      <c r="B132" s="66">
        <v>4027</v>
      </c>
      <c r="C132" s="66" t="s">
        <v>448</v>
      </c>
      <c r="D132" s="66" t="s">
        <v>589</v>
      </c>
      <c r="E132" s="30">
        <v>42493.864085648151</v>
      </c>
      <c r="F132" s="30">
        <v>42493.875185185185</v>
      </c>
      <c r="G132" s="38">
        <v>1</v>
      </c>
      <c r="H132" s="30" t="s">
        <v>554</v>
      </c>
      <c r="I132" s="30">
        <v>42493.902291666665</v>
      </c>
      <c r="J132" s="66">
        <v>1</v>
      </c>
      <c r="K132" s="66" t="str">
        <f t="shared" si="37"/>
        <v>4027/4028</v>
      </c>
      <c r="L132" s="66" t="str">
        <f>VLOOKUP(A132,'Trips&amp;Operators'!$C$1:$E$9999,3,FALSE)</f>
        <v>LEVERE</v>
      </c>
      <c r="M132" s="12">
        <f t="shared" si="38"/>
        <v>2.7106481480586808E-2</v>
      </c>
      <c r="N132" s="13">
        <f t="shared" si="51"/>
        <v>39.033333332045004</v>
      </c>
      <c r="O132" s="13"/>
      <c r="P132" s="13"/>
      <c r="Q132" s="67"/>
      <c r="R132" s="67"/>
      <c r="S132" s="87">
        <f t="shared" ref="S132:S146" si="52">SUM(U132:U132)/12</f>
        <v>1</v>
      </c>
      <c r="T132" s="2" t="str">
        <f t="shared" ref="T132:T146" si="53">IF(ISEVEN(LEFT(A132,3)),"Southbound","NorthBound")</f>
        <v>NorthBound</v>
      </c>
      <c r="U132" s="74">
        <f>COUNTIFS([2]Variables!$M$2:$M$19,IF(T132="NorthBound","&gt;=","&lt;=")&amp;Z132,[2]Variables!$M$2:$M$19,IF(T132="NorthBound","&lt;=","&gt;=")&amp;AA132)</f>
        <v>12</v>
      </c>
      <c r="W132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20:43:17-0600',mode:absolute,to:'2016-05-03 21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32" s="60" t="str">
        <f t="shared" si="40"/>
        <v>N</v>
      </c>
      <c r="Y132" s="60">
        <f t="shared" si="41"/>
        <v>1</v>
      </c>
      <c r="Z132" s="60">
        <f t="shared" si="42"/>
        <v>4.7699999999999999E-2</v>
      </c>
      <c r="AA132" s="60">
        <f t="shared" si="43"/>
        <v>23.331399999999999</v>
      </c>
      <c r="AB132" s="60">
        <f t="shared" si="44"/>
        <v>23.2837</v>
      </c>
      <c r="AC132" s="61" t="e">
        <f>VLOOKUP(A132,Enforcements!$C$3:$J$40,8,0)</f>
        <v>#N/A</v>
      </c>
      <c r="AD132" s="61" t="e">
        <f>VLOOKUP(A132,Enforcements!$C$3:$J$40,3,0)</f>
        <v>#N/A</v>
      </c>
    </row>
    <row r="133" spans="1:30" s="2" customFormat="1" x14ac:dyDescent="0.25">
      <c r="A133" s="66" t="s">
        <v>333</v>
      </c>
      <c r="B133" s="66">
        <v>4028</v>
      </c>
      <c r="C133" s="66" t="s">
        <v>448</v>
      </c>
      <c r="D133" s="66" t="s">
        <v>509</v>
      </c>
      <c r="E133" s="30">
        <v>42493.907488425924</v>
      </c>
      <c r="F133" s="30">
        <v>42493.908807870372</v>
      </c>
      <c r="G133" s="38">
        <v>1</v>
      </c>
      <c r="H133" s="30" t="s">
        <v>552</v>
      </c>
      <c r="I133" s="30">
        <v>42493.942442129628</v>
      </c>
      <c r="J133" s="66">
        <v>2</v>
      </c>
      <c r="K133" s="66" t="str">
        <f t="shared" si="37"/>
        <v>4027/4028</v>
      </c>
      <c r="L133" s="66" t="str">
        <f>VLOOKUP(A133,'Trips&amp;Operators'!$C$1:$E$9999,3,FALSE)</f>
        <v>LEVERE</v>
      </c>
      <c r="M133" s="12">
        <f t="shared" si="38"/>
        <v>3.3634259256359655E-2</v>
      </c>
      <c r="N133" s="13">
        <f t="shared" si="51"/>
        <v>48.433333329157904</v>
      </c>
      <c r="O133" s="13"/>
      <c r="P133" s="13"/>
      <c r="Q133" s="67"/>
      <c r="R133" s="67"/>
      <c r="S133" s="87">
        <f t="shared" si="52"/>
        <v>1</v>
      </c>
      <c r="T133" s="2" t="str">
        <f t="shared" si="53"/>
        <v>Southbound</v>
      </c>
      <c r="U133" s="74">
        <f>COUNTIFS([2]Variables!$M$2:$M$19,IF(T133="NorthBound","&gt;=","&lt;=")&amp;Z133,[2]Variables!$M$2:$M$19,IF(T133="NorthBound","&lt;=","&gt;=")&amp;AA133)</f>
        <v>12</v>
      </c>
      <c r="W133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21:45:47-0600',mode:absolute,to:'2016-05-03 22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33" s="60" t="str">
        <f t="shared" si="40"/>
        <v>N</v>
      </c>
      <c r="Y133" s="60">
        <f t="shared" si="41"/>
        <v>1</v>
      </c>
      <c r="Z133" s="60">
        <f t="shared" si="42"/>
        <v>23.299399999999999</v>
      </c>
      <c r="AA133" s="60">
        <f t="shared" si="43"/>
        <v>1.6899999999999998E-2</v>
      </c>
      <c r="AB133" s="60">
        <f t="shared" si="44"/>
        <v>23.282499999999999</v>
      </c>
      <c r="AC133" s="61">
        <f>VLOOKUP(A133,Enforcements!$C$3:$J$40,8,0)</f>
        <v>4677</v>
      </c>
      <c r="AD133" s="61" t="str">
        <f>VLOOKUP(A133,Enforcements!$C$3:$J$40,3,0)</f>
        <v>PERMANENT SPEED RESTRICTION</v>
      </c>
    </row>
    <row r="134" spans="1:30" s="2" customFormat="1" x14ac:dyDescent="0.25">
      <c r="A134" s="66" t="s">
        <v>436</v>
      </c>
      <c r="B134" s="66">
        <v>4024</v>
      </c>
      <c r="C134" s="66" t="s">
        <v>448</v>
      </c>
      <c r="D134" s="66" t="s">
        <v>544</v>
      </c>
      <c r="E134" s="30">
        <v>42493.890833333331</v>
      </c>
      <c r="F134" s="30">
        <v>42493.892002314817</v>
      </c>
      <c r="G134" s="38">
        <v>1</v>
      </c>
      <c r="H134" s="30" t="s">
        <v>545</v>
      </c>
      <c r="I134" s="30">
        <v>42493.92460648148</v>
      </c>
      <c r="J134" s="66">
        <v>0</v>
      </c>
      <c r="K134" s="66" t="str">
        <f t="shared" si="37"/>
        <v>4023/4024</v>
      </c>
      <c r="L134" s="66" t="str">
        <f>VLOOKUP(A134,'Trips&amp;Operators'!$C$1:$E$9999,3,FALSE)</f>
        <v>REBOLETTI</v>
      </c>
      <c r="M134" s="12">
        <f t="shared" si="38"/>
        <v>3.2604166663077194E-2</v>
      </c>
      <c r="N134" s="13">
        <f t="shared" si="51"/>
        <v>46.94999999483116</v>
      </c>
      <c r="O134" s="13"/>
      <c r="P134" s="13"/>
      <c r="Q134" s="67"/>
      <c r="R134" s="67"/>
      <c r="S134" s="87">
        <f t="shared" si="52"/>
        <v>1</v>
      </c>
      <c r="T134" s="2" t="str">
        <f t="shared" si="53"/>
        <v>NorthBound</v>
      </c>
      <c r="U134" s="74">
        <f>COUNTIFS([2]Variables!$M$2:$M$19,IF(T134="NorthBound","&gt;=","&lt;=")&amp;Z134,[2]Variables!$M$2:$M$19,IF(T134="NorthBound","&lt;=","&gt;=")&amp;AA134)</f>
        <v>12</v>
      </c>
      <c r="W134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21:21:48-0600',mode:absolute,to:'2016-05-03 22:12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4" s="60" t="str">
        <f t="shared" si="40"/>
        <v>N</v>
      </c>
      <c r="Y134" s="60">
        <f t="shared" si="41"/>
        <v>1</v>
      </c>
      <c r="Z134" s="60">
        <f t="shared" si="42"/>
        <v>4.4600000000000001E-2</v>
      </c>
      <c r="AA134" s="60">
        <f t="shared" si="43"/>
        <v>23.328299999999999</v>
      </c>
      <c r="AB134" s="60">
        <f t="shared" si="44"/>
        <v>23.2837</v>
      </c>
      <c r="AC134" s="61" t="e">
        <f>VLOOKUP(A134,Enforcements!$C$3:$J$40,8,0)</f>
        <v>#N/A</v>
      </c>
      <c r="AD134" s="61" t="e">
        <f>VLOOKUP(A134,Enforcements!$C$3:$J$40,3,0)</f>
        <v>#N/A</v>
      </c>
    </row>
    <row r="135" spans="1:30" s="2" customFormat="1" x14ac:dyDescent="0.25">
      <c r="A135" s="66" t="s">
        <v>412</v>
      </c>
      <c r="B135" s="66">
        <v>4023</v>
      </c>
      <c r="C135" s="66" t="s">
        <v>448</v>
      </c>
      <c r="D135" s="66" t="s">
        <v>594</v>
      </c>
      <c r="E135" s="30">
        <v>42493.9299537037</v>
      </c>
      <c r="F135" s="30">
        <v>42493.930949074071</v>
      </c>
      <c r="G135" s="38">
        <v>1</v>
      </c>
      <c r="H135" s="30" t="s">
        <v>595</v>
      </c>
      <c r="I135" s="30">
        <v>42493.960231481484</v>
      </c>
      <c r="J135" s="66">
        <v>0</v>
      </c>
      <c r="K135" s="66" t="str">
        <f t="shared" si="37"/>
        <v>4023/4024</v>
      </c>
      <c r="L135" s="66" t="str">
        <f>VLOOKUP(A135,'Trips&amp;Operators'!$C$1:$E$9999,3,FALSE)</f>
        <v>REBOLETTI</v>
      </c>
      <c r="M135" s="12">
        <f t="shared" si="38"/>
        <v>2.9282407413120382E-2</v>
      </c>
      <c r="N135" s="13">
        <f t="shared" si="51"/>
        <v>42.166666674893349</v>
      </c>
      <c r="O135" s="13"/>
      <c r="P135" s="13"/>
      <c r="Q135" s="67"/>
      <c r="R135" s="67"/>
      <c r="S135" s="87">
        <f t="shared" si="52"/>
        <v>1</v>
      </c>
      <c r="T135" s="2" t="str">
        <f t="shared" si="53"/>
        <v>Southbound</v>
      </c>
      <c r="U135" s="74">
        <f>COUNTIFS([2]Variables!$M$2:$M$19,IF(T135="NorthBound","&gt;=","&lt;=")&amp;Z135,[2]Variables!$M$2:$M$19,IF(T135="NorthBound","&lt;=","&gt;=")&amp;AA135)</f>
        <v>12</v>
      </c>
      <c r="W135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22:18:08-0600',mode:absolute,to:'2016-05-03 23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5" s="60" t="str">
        <f t="shared" si="40"/>
        <v>N</v>
      </c>
      <c r="Y135" s="60">
        <f t="shared" si="41"/>
        <v>1</v>
      </c>
      <c r="Z135" s="60">
        <f t="shared" si="42"/>
        <v>23.297599999999999</v>
      </c>
      <c r="AA135" s="60">
        <f t="shared" si="43"/>
        <v>1.5800000000000002E-2</v>
      </c>
      <c r="AB135" s="60">
        <f t="shared" si="44"/>
        <v>23.2818</v>
      </c>
      <c r="AC135" s="61" t="e">
        <f>VLOOKUP(A135,Enforcements!$C$3:$J$40,8,0)</f>
        <v>#N/A</v>
      </c>
      <c r="AD135" s="61" t="e">
        <f>VLOOKUP(A135,Enforcements!$C$3:$J$40,3,0)</f>
        <v>#N/A</v>
      </c>
    </row>
    <row r="136" spans="1:30" s="2" customFormat="1" x14ac:dyDescent="0.25">
      <c r="A136" s="66" t="s">
        <v>332</v>
      </c>
      <c r="B136" s="66">
        <v>4038</v>
      </c>
      <c r="C136" s="66" t="s">
        <v>448</v>
      </c>
      <c r="D136" s="66" t="s">
        <v>501</v>
      </c>
      <c r="E136" s="30">
        <v>42493.901018518518</v>
      </c>
      <c r="F136" s="30">
        <v>42493.916770833333</v>
      </c>
      <c r="G136" s="38">
        <v>1</v>
      </c>
      <c r="H136" s="30" t="s">
        <v>457</v>
      </c>
      <c r="I136" s="30">
        <v>42493.94222222222</v>
      </c>
      <c r="J136" s="66">
        <v>1</v>
      </c>
      <c r="K136" s="66" t="str">
        <f t="shared" si="37"/>
        <v>4037/4038</v>
      </c>
      <c r="L136" s="66" t="str">
        <f>VLOOKUP(A136,'Trips&amp;Operators'!$C$1:$E$9999,3,FALSE)</f>
        <v>STORY</v>
      </c>
      <c r="M136" s="12">
        <f t="shared" si="38"/>
        <v>2.545138888672227E-2</v>
      </c>
      <c r="N136" s="13">
        <f t="shared" si="51"/>
        <v>36.649999996880069</v>
      </c>
      <c r="O136" s="13"/>
      <c r="P136" s="13"/>
      <c r="Q136" s="67"/>
      <c r="R136" s="67"/>
      <c r="S136" s="87">
        <f t="shared" si="52"/>
        <v>1</v>
      </c>
      <c r="T136" s="2" t="str">
        <f t="shared" si="53"/>
        <v>NorthBound</v>
      </c>
      <c r="U136" s="74">
        <f>COUNTIFS([2]Variables!$M$2:$M$19,IF(T136="NorthBound","&gt;=","&lt;=")&amp;Z136,[2]Variables!$M$2:$M$19,IF(T136="NorthBound","&lt;=","&gt;=")&amp;AA136)</f>
        <v>12</v>
      </c>
      <c r="W136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21:36:28-0600',mode:absolute,to:'2016-05-03 22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6" s="60" t="str">
        <f t="shared" si="40"/>
        <v>N</v>
      </c>
      <c r="Y136" s="60">
        <f t="shared" si="41"/>
        <v>1</v>
      </c>
      <c r="Z136" s="60">
        <f t="shared" si="42"/>
        <v>4.53E-2</v>
      </c>
      <c r="AA136" s="60">
        <f t="shared" si="43"/>
        <v>23.329799999999999</v>
      </c>
      <c r="AB136" s="60">
        <f t="shared" si="44"/>
        <v>23.284499999999998</v>
      </c>
      <c r="AC136" s="61">
        <f>VLOOKUP(A136,Enforcements!$C$3:$J$40,8,0)</f>
        <v>116838</v>
      </c>
      <c r="AD136" s="61" t="str">
        <f>VLOOKUP(A136,Enforcements!$C$3:$J$40,3,0)</f>
        <v>PERMANENT SPEED RESTRICTION</v>
      </c>
    </row>
    <row r="137" spans="1:30" s="2" customFormat="1" x14ac:dyDescent="0.25">
      <c r="A137" s="66" t="s">
        <v>335</v>
      </c>
      <c r="B137" s="66">
        <v>4037</v>
      </c>
      <c r="C137" s="66" t="s">
        <v>448</v>
      </c>
      <c r="D137" s="66" t="s">
        <v>596</v>
      </c>
      <c r="E137" s="30">
        <v>42493.945856481485</v>
      </c>
      <c r="F137" s="30">
        <v>42493.946805555555</v>
      </c>
      <c r="G137" s="38">
        <v>1</v>
      </c>
      <c r="H137" s="30" t="s">
        <v>597</v>
      </c>
      <c r="I137" s="30">
        <v>42493.981423611112</v>
      </c>
      <c r="J137" s="66">
        <v>1</v>
      </c>
      <c r="K137" s="66" t="str">
        <f t="shared" si="37"/>
        <v>4037/4038</v>
      </c>
      <c r="L137" s="66" t="str">
        <f>VLOOKUP(A137,'Trips&amp;Operators'!$C$1:$E$9999,3,FALSE)</f>
        <v>STORY</v>
      </c>
      <c r="M137" s="12">
        <f t="shared" si="38"/>
        <v>3.4618055557075422E-2</v>
      </c>
      <c r="N137" s="13">
        <f t="shared" si="51"/>
        <v>49.850000002188608</v>
      </c>
      <c r="O137" s="13"/>
      <c r="P137" s="13"/>
      <c r="Q137" s="67"/>
      <c r="R137" s="67"/>
      <c r="S137" s="87">
        <f t="shared" si="52"/>
        <v>1</v>
      </c>
      <c r="T137" s="2" t="str">
        <f t="shared" si="53"/>
        <v>Southbound</v>
      </c>
      <c r="U137" s="74">
        <f>COUNTIFS([2]Variables!$M$2:$M$19,IF(T137="NorthBound","&gt;=","&lt;=")&amp;Z137,[2]Variables!$M$2:$M$19,IF(T137="NorthBound","&lt;=","&gt;=")&amp;AA137)</f>
        <v>12</v>
      </c>
      <c r="W137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22:41:02-0600',mode:absolute,to:'2016-05-03 23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7" s="60" t="str">
        <f t="shared" si="40"/>
        <v>N</v>
      </c>
      <c r="Y137" s="60">
        <f t="shared" si="41"/>
        <v>1</v>
      </c>
      <c r="Z137" s="60">
        <f t="shared" si="42"/>
        <v>23.2974</v>
      </c>
      <c r="AA137" s="60">
        <f t="shared" si="43"/>
        <v>2.47E-2</v>
      </c>
      <c r="AB137" s="60">
        <f t="shared" si="44"/>
        <v>23.2727</v>
      </c>
      <c r="AC137" s="61" t="e">
        <f>VLOOKUP(A137,Enforcements!$C$3:$J$40,8,0)</f>
        <v>#N/A</v>
      </c>
      <c r="AD137" s="61" t="e">
        <f>VLOOKUP(A137,Enforcements!$C$3:$J$40,3,0)</f>
        <v>#N/A</v>
      </c>
    </row>
    <row r="138" spans="1:30" s="2" customFormat="1" x14ac:dyDescent="0.25">
      <c r="A138" s="66" t="s">
        <v>407</v>
      </c>
      <c r="B138" s="66">
        <v>4025</v>
      </c>
      <c r="C138" s="66" t="s">
        <v>448</v>
      </c>
      <c r="D138" s="66" t="s">
        <v>587</v>
      </c>
      <c r="E138" s="30">
        <v>42493.926354166666</v>
      </c>
      <c r="F138" s="30">
        <v>42493.931655092594</v>
      </c>
      <c r="G138" s="38">
        <v>7</v>
      </c>
      <c r="H138" s="30" t="s">
        <v>598</v>
      </c>
      <c r="I138" s="30">
        <v>42493.963206018518</v>
      </c>
      <c r="J138" s="66">
        <v>0</v>
      </c>
      <c r="K138" s="66" t="str">
        <f t="shared" si="37"/>
        <v>4025/4026</v>
      </c>
      <c r="L138" s="66" t="str">
        <f>VLOOKUP(A138,'Trips&amp;Operators'!$C$1:$E$9999,3,FALSE)</f>
        <v>BARTLETT</v>
      </c>
      <c r="M138" s="12">
        <f t="shared" si="38"/>
        <v>3.1550925923511386E-2</v>
      </c>
      <c r="N138" s="13">
        <f t="shared" si="51"/>
        <v>45.433333329856396</v>
      </c>
      <c r="O138" s="13"/>
      <c r="P138" s="13"/>
      <c r="Q138" s="67"/>
      <c r="R138" s="67"/>
      <c r="S138" s="87">
        <f t="shared" si="52"/>
        <v>1</v>
      </c>
      <c r="T138" s="2" t="str">
        <f t="shared" si="53"/>
        <v>NorthBound</v>
      </c>
      <c r="U138" s="74">
        <f>COUNTIFS([2]Variables!$M$2:$M$19,IF(T138="NorthBound","&gt;=","&lt;=")&amp;Z138,[2]Variables!$M$2:$M$19,IF(T138="NorthBound","&lt;=","&gt;=")&amp;AA138)</f>
        <v>12</v>
      </c>
      <c r="W138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22:12:57-0600',mode:absolute,to:'2016-05-03 23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8" s="60" t="str">
        <f t="shared" si="40"/>
        <v>N</v>
      </c>
      <c r="Y138" s="60">
        <f t="shared" si="41"/>
        <v>1</v>
      </c>
      <c r="Z138" s="60">
        <f t="shared" si="42"/>
        <v>4.3799999999999999E-2</v>
      </c>
      <c r="AA138" s="60">
        <f t="shared" si="43"/>
        <v>23.330400000000001</v>
      </c>
      <c r="AB138" s="60">
        <f t="shared" si="44"/>
        <v>23.2866</v>
      </c>
      <c r="AC138" s="61" t="e">
        <f>VLOOKUP(A138,Enforcements!$C$3:$J$40,8,0)</f>
        <v>#N/A</v>
      </c>
      <c r="AD138" s="61" t="e">
        <f>VLOOKUP(A138,Enforcements!$C$3:$J$40,3,0)</f>
        <v>#N/A</v>
      </c>
    </row>
    <row r="139" spans="1:30" s="2" customFormat="1" x14ac:dyDescent="0.25">
      <c r="A139" s="66" t="s">
        <v>413</v>
      </c>
      <c r="B139" s="66">
        <v>4026</v>
      </c>
      <c r="C139" s="66" t="s">
        <v>448</v>
      </c>
      <c r="D139" s="66" t="s">
        <v>490</v>
      </c>
      <c r="E139" s="30">
        <v>42493.969317129631</v>
      </c>
      <c r="F139" s="30">
        <v>42493.970405092594</v>
      </c>
      <c r="G139" s="38">
        <v>1</v>
      </c>
      <c r="H139" s="30" t="s">
        <v>524</v>
      </c>
      <c r="I139" s="30">
        <v>42494.003159722219</v>
      </c>
      <c r="J139" s="66">
        <v>0</v>
      </c>
      <c r="K139" s="66" t="str">
        <f t="shared" si="37"/>
        <v>4025/4026</v>
      </c>
      <c r="L139" s="66" t="str">
        <f>VLOOKUP(A139,'Trips&amp;Operators'!$C$1:$E$9999,3,FALSE)</f>
        <v>BARTLETT</v>
      </c>
      <c r="M139" s="12">
        <f t="shared" si="38"/>
        <v>3.2754629624832887E-2</v>
      </c>
      <c r="N139" s="13">
        <f t="shared" si="51"/>
        <v>47.166666659759358</v>
      </c>
      <c r="O139" s="13"/>
      <c r="P139" s="13"/>
      <c r="Q139" s="67"/>
      <c r="R139" s="67"/>
      <c r="S139" s="87">
        <f t="shared" si="52"/>
        <v>1</v>
      </c>
      <c r="T139" s="2" t="str">
        <f t="shared" si="53"/>
        <v>Southbound</v>
      </c>
      <c r="U139" s="74">
        <f>COUNTIFS([2]Variables!$M$2:$M$19,IF(T139="NorthBound","&gt;=","&lt;=")&amp;Z139,[2]Variables!$M$2:$M$19,IF(T139="NorthBound","&lt;=","&gt;=")&amp;AA139)</f>
        <v>12</v>
      </c>
      <c r="W139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23:14:49-0600',mode:absolute,to:'2016-05-04 00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9" s="60" t="str">
        <f t="shared" si="40"/>
        <v>N</v>
      </c>
      <c r="Y139" s="60">
        <f t="shared" si="41"/>
        <v>1</v>
      </c>
      <c r="Z139" s="60">
        <f t="shared" si="42"/>
        <v>23.299299999999999</v>
      </c>
      <c r="AA139" s="60">
        <f t="shared" si="43"/>
        <v>1.4999999999999999E-2</v>
      </c>
      <c r="AB139" s="60">
        <f t="shared" si="44"/>
        <v>23.284299999999998</v>
      </c>
      <c r="AC139" s="61" t="e">
        <f>VLOOKUP(A139,Enforcements!$C$3:$J$40,8,0)</f>
        <v>#N/A</v>
      </c>
      <c r="AD139" s="61" t="e">
        <f>VLOOKUP(A139,Enforcements!$C$3:$J$40,3,0)</f>
        <v>#N/A</v>
      </c>
    </row>
    <row r="140" spans="1:30" s="2" customFormat="1" x14ac:dyDescent="0.25">
      <c r="A140" s="66" t="s">
        <v>334</v>
      </c>
      <c r="B140" s="66">
        <v>4027</v>
      </c>
      <c r="C140" s="66" t="s">
        <v>448</v>
      </c>
      <c r="D140" s="66" t="s">
        <v>599</v>
      </c>
      <c r="E140" s="30">
        <v>42493.95071759259</v>
      </c>
      <c r="F140" s="30">
        <v>42493.952326388891</v>
      </c>
      <c r="G140" s="38">
        <v>2</v>
      </c>
      <c r="H140" s="30" t="s">
        <v>473</v>
      </c>
      <c r="I140" s="30">
        <v>42493.985486111109</v>
      </c>
      <c r="J140" s="66">
        <v>1</v>
      </c>
      <c r="K140" s="66" t="str">
        <f t="shared" si="37"/>
        <v>4027/4028</v>
      </c>
      <c r="L140" s="66" t="str">
        <f>VLOOKUP(A140,'Trips&amp;Operators'!$C$1:$E$9999,3,FALSE)</f>
        <v>LEVERE</v>
      </c>
      <c r="M140" s="12">
        <f t="shared" si="38"/>
        <v>3.3159722217533272E-2</v>
      </c>
      <c r="N140" s="13">
        <f t="shared" si="51"/>
        <v>47.749999993247911</v>
      </c>
      <c r="O140" s="13"/>
      <c r="P140" s="13"/>
      <c r="Q140" s="67"/>
      <c r="R140" s="67"/>
      <c r="S140" s="87">
        <f t="shared" si="52"/>
        <v>1</v>
      </c>
      <c r="T140" s="2" t="str">
        <f t="shared" si="53"/>
        <v>NorthBound</v>
      </c>
      <c r="U140" s="74">
        <f>COUNTIFS([2]Variables!$M$2:$M$19,IF(T140="NorthBound","&gt;=","&lt;=")&amp;Z140,[2]Variables!$M$2:$M$19,IF(T140="NorthBound","&lt;=","&gt;=")&amp;AA140)</f>
        <v>12</v>
      </c>
      <c r="W140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22:48:02-0600',mode:absolute,to:'2016-05-03 23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40" s="60" t="str">
        <f t="shared" si="40"/>
        <v>N</v>
      </c>
      <c r="Y140" s="60">
        <f t="shared" si="41"/>
        <v>1</v>
      </c>
      <c r="Z140" s="60">
        <f t="shared" si="42"/>
        <v>4.7100000000000003E-2</v>
      </c>
      <c r="AA140" s="60">
        <f t="shared" si="43"/>
        <v>23.3306</v>
      </c>
      <c r="AB140" s="60">
        <f t="shared" si="44"/>
        <v>23.2835</v>
      </c>
      <c r="AC140" s="61">
        <f>VLOOKUP(A140,Enforcements!$C$3:$J$40,8,0)</f>
        <v>20338</v>
      </c>
      <c r="AD140" s="61" t="str">
        <f>VLOOKUP(A140,Enforcements!$C$3:$J$40,3,0)</f>
        <v>PERMANENT SPEED RESTRICTION</v>
      </c>
    </row>
    <row r="141" spans="1:30" s="2" customFormat="1" x14ac:dyDescent="0.25">
      <c r="A141" s="66" t="s">
        <v>402</v>
      </c>
      <c r="B141" s="66">
        <v>4028</v>
      </c>
      <c r="C141" s="66" t="s">
        <v>448</v>
      </c>
      <c r="D141" s="66" t="s">
        <v>536</v>
      </c>
      <c r="E141" s="30">
        <v>42493.990949074076</v>
      </c>
      <c r="F141" s="30">
        <v>42493.991990740738</v>
      </c>
      <c r="G141" s="38">
        <v>1</v>
      </c>
      <c r="H141" s="30" t="s">
        <v>600</v>
      </c>
      <c r="I141" s="30">
        <v>42494.024398148147</v>
      </c>
      <c r="J141" s="66">
        <v>0</v>
      </c>
      <c r="K141" s="66" t="str">
        <f t="shared" si="37"/>
        <v>4027/4028</v>
      </c>
      <c r="L141" s="66" t="str">
        <f>VLOOKUP(A141,'Trips&amp;Operators'!$C$1:$E$9999,3,FALSE)</f>
        <v>LEVERE</v>
      </c>
      <c r="M141" s="12">
        <f t="shared" si="38"/>
        <v>3.2407407408754807E-2</v>
      </c>
      <c r="N141" s="13">
        <f t="shared" si="51"/>
        <v>46.666666668606922</v>
      </c>
      <c r="O141" s="13"/>
      <c r="P141" s="13"/>
      <c r="Q141" s="67"/>
      <c r="R141" s="67"/>
      <c r="S141" s="87">
        <f t="shared" si="52"/>
        <v>1</v>
      </c>
      <c r="T141" s="2" t="str">
        <f t="shared" si="53"/>
        <v>Southbound</v>
      </c>
      <c r="U141" s="74">
        <f>COUNTIFS([2]Variables!$M$2:$M$19,IF(T141="NorthBound","&gt;=","&lt;=")&amp;Z141,[2]Variables!$M$2:$M$19,IF(T141="NorthBound","&lt;=","&gt;=")&amp;AA141)</f>
        <v>12</v>
      </c>
      <c r="W141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23:45:58-0600',mode:absolute,to:'2016-05-04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41" s="60" t="str">
        <f t="shared" si="40"/>
        <v>N</v>
      </c>
      <c r="Y141" s="60">
        <f t="shared" si="41"/>
        <v>1</v>
      </c>
      <c r="Z141" s="60">
        <f t="shared" si="42"/>
        <v>23.298100000000002</v>
      </c>
      <c r="AA141" s="60">
        <f t="shared" si="43"/>
        <v>1.89E-2</v>
      </c>
      <c r="AB141" s="60">
        <f t="shared" si="44"/>
        <v>23.279200000000003</v>
      </c>
      <c r="AC141" s="61" t="e">
        <f>VLOOKUP(A141,Enforcements!$C$3:$J$40,8,0)</f>
        <v>#N/A</v>
      </c>
      <c r="AD141" s="61" t="e">
        <f>VLOOKUP(A141,Enforcements!$C$3:$J$40,3,0)</f>
        <v>#N/A</v>
      </c>
    </row>
    <row r="142" spans="1:30" s="2" customFormat="1" x14ac:dyDescent="0.25">
      <c r="A142" s="66" t="s">
        <v>336</v>
      </c>
      <c r="B142" s="66">
        <v>4024</v>
      </c>
      <c r="C142" s="66" t="s">
        <v>448</v>
      </c>
      <c r="D142" s="66" t="s">
        <v>601</v>
      </c>
      <c r="E142" s="30">
        <v>42493.97556712963</v>
      </c>
      <c r="F142" s="30">
        <v>42493.976620370369</v>
      </c>
      <c r="G142" s="38">
        <v>1</v>
      </c>
      <c r="H142" s="30" t="s">
        <v>551</v>
      </c>
      <c r="I142" s="30">
        <v>42494.004537037035</v>
      </c>
      <c r="J142" s="66">
        <v>1</v>
      </c>
      <c r="K142" s="66" t="str">
        <f t="shared" si="37"/>
        <v>4023/4024</v>
      </c>
      <c r="L142" s="66" t="str">
        <f>VLOOKUP(A142,'Trips&amp;Operators'!$C$1:$E$9999,3,FALSE)</f>
        <v>REBOLETTI</v>
      </c>
      <c r="M142" s="12">
        <f t="shared" si="38"/>
        <v>2.7916666665987577E-2</v>
      </c>
      <c r="N142" s="13">
        <f t="shared" si="51"/>
        <v>40.199999999022111</v>
      </c>
      <c r="O142" s="13"/>
      <c r="P142" s="13"/>
      <c r="Q142" s="67"/>
      <c r="R142" s="67"/>
      <c r="S142" s="87">
        <f t="shared" si="52"/>
        <v>1</v>
      </c>
      <c r="T142" s="2" t="str">
        <f t="shared" si="53"/>
        <v>NorthBound</v>
      </c>
      <c r="U142" s="74">
        <f>COUNTIFS([2]Variables!$M$2:$M$19,IF(T142="NorthBound","&gt;=","&lt;=")&amp;Z142,[2]Variables!$M$2:$M$19,IF(T142="NorthBound","&lt;=","&gt;=")&amp;AA142)</f>
        <v>12</v>
      </c>
      <c r="W142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23:23:49-0600',mode:absolute,to:'2016-05-04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2" s="60" t="str">
        <f t="shared" si="40"/>
        <v>N</v>
      </c>
      <c r="Y142" s="60">
        <f t="shared" si="41"/>
        <v>1</v>
      </c>
      <c r="Z142" s="60">
        <f t="shared" si="42"/>
        <v>4.6399999999999997E-2</v>
      </c>
      <c r="AA142" s="60">
        <f t="shared" si="43"/>
        <v>23.33</v>
      </c>
      <c r="AB142" s="60">
        <f t="shared" si="44"/>
        <v>23.2836</v>
      </c>
      <c r="AC142" s="61">
        <f>VLOOKUP(A142,Enforcements!$C$3:$J$40,8,0)</f>
        <v>217106</v>
      </c>
      <c r="AD142" s="61" t="str">
        <f>VLOOKUP(A142,Enforcements!$C$3:$J$40,3,0)</f>
        <v>SIGNAL</v>
      </c>
    </row>
    <row r="143" spans="1:30" s="2" customFormat="1" x14ac:dyDescent="0.25">
      <c r="A143" s="66" t="s">
        <v>372</v>
      </c>
      <c r="B143" s="66">
        <v>4023</v>
      </c>
      <c r="C143" s="66" t="s">
        <v>448</v>
      </c>
      <c r="D143" s="66" t="s">
        <v>474</v>
      </c>
      <c r="E143" s="30">
        <v>42494.013703703706</v>
      </c>
      <c r="F143" s="30">
        <v>42494.014780092592</v>
      </c>
      <c r="G143" s="38">
        <v>1</v>
      </c>
      <c r="H143" s="30" t="s">
        <v>586</v>
      </c>
      <c r="I143" s="30">
        <v>42494.044374999998</v>
      </c>
      <c r="J143" s="66">
        <v>0</v>
      </c>
      <c r="K143" s="66" t="str">
        <f t="shared" si="37"/>
        <v>4023/4024</v>
      </c>
      <c r="L143" s="66" t="str">
        <f>VLOOKUP(A143,'Trips&amp;Operators'!$C$1:$E$9999,3,FALSE)</f>
        <v>REBOLETTI</v>
      </c>
      <c r="M143" s="12">
        <f t="shared" si="38"/>
        <v>2.9594907406135462E-2</v>
      </c>
      <c r="N143" s="13">
        <f t="shared" si="51"/>
        <v>42.616666664835066</v>
      </c>
      <c r="O143" s="13"/>
      <c r="P143" s="13"/>
      <c r="Q143" s="67"/>
      <c r="R143" s="67"/>
      <c r="S143" s="87">
        <f t="shared" si="52"/>
        <v>1</v>
      </c>
      <c r="T143" s="2" t="str">
        <f t="shared" si="53"/>
        <v>Southbound</v>
      </c>
      <c r="U143" s="74">
        <f>COUNTIFS([2]Variables!$M$2:$M$19,IF(T143="NorthBound","&gt;=","&lt;=")&amp;Z143,[2]Variables!$M$2:$M$19,IF(T143="NorthBound","&lt;=","&gt;=")&amp;AA143)</f>
        <v>12</v>
      </c>
      <c r="W143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https://search-rtdc-monitor-bjffxe2xuh6vdkpspy63sjmuny.us-east-1.es.amazonaws.com/_plugin/kibana/#/discover/Steve-Slow-Train-Analysis-(2080s-and-2083s)?_g=(refreshInterval:(display:Off,section:0,value:0),time:(from:'2016-05-04 00:18:44-0600',mode:absolute,to:'2016-05-04 01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3" s="60" t="str">
        <f t="shared" si="40"/>
        <v>N</v>
      </c>
      <c r="Y143" s="60">
        <f t="shared" si="41"/>
        <v>1</v>
      </c>
      <c r="Z143" s="60">
        <f t="shared" si="42"/>
        <v>23.2989</v>
      </c>
      <c r="AA143" s="60">
        <f t="shared" si="43"/>
        <v>1.54E-2</v>
      </c>
      <c r="AB143" s="60">
        <f t="shared" si="44"/>
        <v>23.2835</v>
      </c>
      <c r="AC143" s="61" t="e">
        <f>VLOOKUP(A143,Enforcements!$C$3:$J$40,8,0)</f>
        <v>#N/A</v>
      </c>
      <c r="AD143" s="61" t="e">
        <f>VLOOKUP(A143,Enforcements!$C$3:$J$40,3,0)</f>
        <v>#N/A</v>
      </c>
    </row>
    <row r="144" spans="1:30" s="2" customFormat="1" x14ac:dyDescent="0.25">
      <c r="A144" s="66" t="s">
        <v>358</v>
      </c>
      <c r="B144" s="66">
        <v>4038</v>
      </c>
      <c r="C144" s="66" t="s">
        <v>448</v>
      </c>
      <c r="D144" s="66" t="s">
        <v>602</v>
      </c>
      <c r="E144" s="30">
        <v>42493.993993055556</v>
      </c>
      <c r="F144" s="30">
        <v>42493.995150462964</v>
      </c>
      <c r="G144" s="38">
        <v>1</v>
      </c>
      <c r="H144" s="30" t="s">
        <v>603</v>
      </c>
      <c r="I144" s="30">
        <v>42494.02480324074</v>
      </c>
      <c r="J144" s="66">
        <v>0</v>
      </c>
      <c r="K144" s="66" t="str">
        <f t="shared" si="37"/>
        <v>4037/4038</v>
      </c>
      <c r="L144" s="66" t="str">
        <f>VLOOKUP(A144,'Trips&amp;Operators'!$C$1:$E$9999,3,FALSE)</f>
        <v>STORY</v>
      </c>
      <c r="M144" s="12">
        <f t="shared" si="38"/>
        <v>2.9652777775481809E-2</v>
      </c>
      <c r="N144" s="13">
        <f t="shared" si="51"/>
        <v>42.699999996693805</v>
      </c>
      <c r="O144" s="13"/>
      <c r="P144" s="13"/>
      <c r="Q144" s="67"/>
      <c r="R144" s="67"/>
      <c r="S144" s="87">
        <f t="shared" si="52"/>
        <v>1</v>
      </c>
      <c r="T144" s="2" t="str">
        <f t="shared" si="53"/>
        <v>NorthBound</v>
      </c>
      <c r="U144" s="74">
        <f>COUNTIFS([2]Variables!$M$2:$M$19,IF(T144="NorthBound","&gt;=","&lt;=")&amp;Z144,[2]Variables!$M$2:$M$19,IF(T144="NorthBound","&lt;=","&gt;=")&amp;AA144)</f>
        <v>12</v>
      </c>
      <c r="W144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https://search-rtdc-monitor-bjffxe2xuh6vdkpspy63sjmuny.us-east-1.es.amazonaws.com/_plugin/kibana/#/discover/Steve-Slow-Train-Analysis-(2080s-and-2083s)?_g=(refreshInterval:(display:Off,section:0,value:0),time:(from:'2016-05-03 23:50:21-0600',mode:absolute,to:'2016-05-04 00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4" s="60" t="str">
        <f t="shared" si="40"/>
        <v>N</v>
      </c>
      <c r="Y144" s="60">
        <f t="shared" si="41"/>
        <v>1</v>
      </c>
      <c r="Z144" s="60">
        <f t="shared" si="42"/>
        <v>5.5899999999999998E-2</v>
      </c>
      <c r="AA144" s="60">
        <f t="shared" si="43"/>
        <v>23.331199999999999</v>
      </c>
      <c r="AB144" s="60">
        <f t="shared" si="44"/>
        <v>23.275299999999998</v>
      </c>
      <c r="AC144" s="61" t="e">
        <f>VLOOKUP(A144,Enforcements!$C$3:$J$40,8,0)</f>
        <v>#N/A</v>
      </c>
      <c r="AD144" s="61" t="e">
        <f>VLOOKUP(A144,Enforcements!$C$3:$J$40,3,0)</f>
        <v>#N/A</v>
      </c>
    </row>
    <row r="145" spans="1:30" s="2" customFormat="1" x14ac:dyDescent="0.25">
      <c r="A145" s="66" t="s">
        <v>437</v>
      </c>
      <c r="B145" s="66">
        <v>4037</v>
      </c>
      <c r="C145" s="66" t="s">
        <v>448</v>
      </c>
      <c r="D145" s="66" t="s">
        <v>498</v>
      </c>
      <c r="E145" s="30">
        <v>42494.02857638889</v>
      </c>
      <c r="F145" s="30">
        <v>42494.039039351854</v>
      </c>
      <c r="G145" s="38">
        <v>1</v>
      </c>
      <c r="H145" s="30" t="s">
        <v>467</v>
      </c>
      <c r="I145" s="30">
        <v>42494.064965277779</v>
      </c>
      <c r="J145" s="66">
        <v>0</v>
      </c>
      <c r="K145" s="66" t="str">
        <f t="shared" si="37"/>
        <v>4037/4038</v>
      </c>
      <c r="L145" s="66" t="str">
        <f>VLOOKUP(A145,'Trips&amp;Operators'!$C$1:$E$9999,3,FALSE)</f>
        <v>STORY</v>
      </c>
      <c r="M145" s="12">
        <f t="shared" si="38"/>
        <v>2.5925925925548654E-2</v>
      </c>
      <c r="N145" s="13">
        <f t="shared" si="51"/>
        <v>37.333333332790062</v>
      </c>
      <c r="O145" s="13"/>
      <c r="P145" s="13"/>
      <c r="Q145" s="67"/>
      <c r="R145" s="67"/>
      <c r="S145" s="87">
        <f t="shared" ref="S145:S147" si="54">SUM(U145:U145)/12</f>
        <v>1</v>
      </c>
      <c r="T145" s="2" t="str">
        <f t="shared" ref="T145:T147" si="55">IF(ISEVEN(LEFT(A145,3)),"Southbound","NorthBound")</f>
        <v>Southbound</v>
      </c>
      <c r="U145" s="74">
        <f>COUNTIFS([2]Variables!$M$2:$M$19,IF(T145="NorthBound","&gt;=","&lt;=")&amp;Z145,[2]Variables!$M$2:$M$19,IF(T145="NorthBound","&lt;=","&gt;=")&amp;AA145)</f>
        <v>12</v>
      </c>
      <c r="W145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https://search-rtdc-monitor-bjffxe2xuh6vdkpspy63sjmuny.us-east-1.es.amazonaws.com/_plugin/kibana/#/discover/Steve-Slow-Train-Analysis-(2080s-and-2083s)?_g=(refreshInterval:(display:Off,section:0,value:0),time:(from:'2016-05-04 00:40:09-0600',mode:absolute,to:'2016-05-04 01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5" s="60" t="str">
        <f t="shared" si="40"/>
        <v>N</v>
      </c>
      <c r="Y145" s="60">
        <f t="shared" si="41"/>
        <v>1</v>
      </c>
      <c r="Z145" s="60">
        <f t="shared" si="42"/>
        <v>23.299600000000002</v>
      </c>
      <c r="AA145" s="60">
        <f t="shared" si="43"/>
        <v>1.52E-2</v>
      </c>
      <c r="AB145" s="60">
        <f t="shared" si="44"/>
        <v>23.284400000000002</v>
      </c>
      <c r="AC145" s="61" t="e">
        <f>VLOOKUP(A145,Enforcements!$C$3:$J$40,8,0)</f>
        <v>#N/A</v>
      </c>
      <c r="AD145" s="61" t="e">
        <f>VLOOKUP(A145,Enforcements!$C$3:$J$40,3,0)</f>
        <v>#N/A</v>
      </c>
    </row>
    <row r="146" spans="1:30" s="2" customFormat="1" x14ac:dyDescent="0.25">
      <c r="A146" s="66" t="s">
        <v>408</v>
      </c>
      <c r="B146" s="66">
        <v>4025</v>
      </c>
      <c r="C146" s="66" t="s">
        <v>448</v>
      </c>
      <c r="D146" s="66" t="s">
        <v>496</v>
      </c>
      <c r="E146" s="30">
        <v>42494.007789351854</v>
      </c>
      <c r="F146" s="30">
        <v>42494.020937499998</v>
      </c>
      <c r="G146" s="38">
        <v>2</v>
      </c>
      <c r="H146" s="30" t="s">
        <v>604</v>
      </c>
      <c r="I146" s="30">
        <v>42494.047453703701</v>
      </c>
      <c r="J146" s="66">
        <v>0</v>
      </c>
      <c r="K146" s="66" t="str">
        <f t="shared" si="37"/>
        <v>4025/4026</v>
      </c>
      <c r="L146" s="66" t="str">
        <f>VLOOKUP(A146,'Trips&amp;Operators'!$C$1:$E$9999,3,FALSE)</f>
        <v>BARTLETT</v>
      </c>
      <c r="M146" s="12">
        <f t="shared" si="38"/>
        <v>2.6516203703067731E-2</v>
      </c>
      <c r="N146" s="13">
        <f t="shared" si="51"/>
        <v>38.183333332417533</v>
      </c>
      <c r="O146" s="13"/>
      <c r="P146" s="13"/>
      <c r="Q146" s="67"/>
      <c r="R146" s="67"/>
      <c r="S146" s="87">
        <f t="shared" si="54"/>
        <v>1</v>
      </c>
      <c r="T146" s="2" t="str">
        <f t="shared" si="55"/>
        <v>NorthBound</v>
      </c>
      <c r="U146" s="74">
        <f>COUNTIFS([2]Variables!$M$2:$M$19,IF(T146="NorthBound","&gt;=","&lt;=")&amp;Z146,[2]Variables!$M$2:$M$19,IF(T146="NorthBound","&lt;=","&gt;=")&amp;AA146)</f>
        <v>12</v>
      </c>
      <c r="W146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https://search-rtdc-monitor-bjffxe2xuh6vdkpspy63sjmuny.us-east-1.es.amazonaws.com/_plugin/kibana/#/discover/Steve-Slow-Train-Analysis-(2080s-and-2083s)?_g=(refreshInterval:(display:Off,section:0,value:0),time:(from:'2016-05-04 00:10:13-0600',mode:absolute,to:'2016-05-04 01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46" s="60" t="str">
        <f t="shared" si="40"/>
        <v>N</v>
      </c>
      <c r="Y146" s="60">
        <f t="shared" si="41"/>
        <v>1</v>
      </c>
      <c r="Z146" s="60">
        <f t="shared" si="42"/>
        <v>4.7300000000000002E-2</v>
      </c>
      <c r="AA146" s="60">
        <f t="shared" si="43"/>
        <v>23.329499999999999</v>
      </c>
      <c r="AB146" s="60">
        <f t="shared" si="44"/>
        <v>23.2822</v>
      </c>
      <c r="AC146" s="61" t="e">
        <f>VLOOKUP(A146,Enforcements!$C$3:$J$40,8,0)</f>
        <v>#N/A</v>
      </c>
      <c r="AD146" s="61" t="e">
        <f>VLOOKUP(A146,Enforcements!$C$3:$J$40,3,0)</f>
        <v>#N/A</v>
      </c>
    </row>
    <row r="147" spans="1:30" s="2" customFormat="1" x14ac:dyDescent="0.25">
      <c r="A147" s="66" t="s">
        <v>438</v>
      </c>
      <c r="B147" s="66">
        <v>4026</v>
      </c>
      <c r="C147" s="66" t="s">
        <v>448</v>
      </c>
      <c r="D147" s="66" t="s">
        <v>605</v>
      </c>
      <c r="E147" s="30">
        <v>42494.055081018516</v>
      </c>
      <c r="F147" s="30">
        <v>42494.056863425925</v>
      </c>
      <c r="G147" s="38">
        <v>2</v>
      </c>
      <c r="H147" s="30" t="s">
        <v>606</v>
      </c>
      <c r="I147" s="30">
        <v>42494.085879629631</v>
      </c>
      <c r="J147" s="66">
        <v>0</v>
      </c>
      <c r="K147" s="66" t="str">
        <f t="shared" si="37"/>
        <v>4025/4026</v>
      </c>
      <c r="L147" s="66" t="str">
        <f>VLOOKUP(A147,'Trips&amp;Operators'!$C$1:$E$9999,3,FALSE)</f>
        <v>BARTLETT</v>
      </c>
      <c r="M147" s="12">
        <f t="shared" si="38"/>
        <v>2.9016203705396038E-2</v>
      </c>
      <c r="N147" s="13">
        <f t="shared" si="51"/>
        <v>41.783333335770294</v>
      </c>
      <c r="O147" s="13"/>
      <c r="P147" s="13"/>
      <c r="Q147" s="67"/>
      <c r="R147" s="67"/>
      <c r="S147" s="87">
        <f t="shared" si="54"/>
        <v>1</v>
      </c>
      <c r="T147" s="2" t="str">
        <f t="shared" si="55"/>
        <v>Southbound</v>
      </c>
      <c r="U147" s="74">
        <f>COUNTIFS([2]Variables!$M$2:$M$19,IF(T147="NorthBound","&gt;=","&lt;=")&amp;Z147,[2]Variables!$M$2:$M$19,IF(T147="NorthBound","&lt;=","&gt;=")&amp;AA147)</f>
        <v>12</v>
      </c>
      <c r="W147" s="60" t="str">
        <f t="shared" si="39"/>
        <v>https://search-rtdc-monitor-bjffxe2xuh6vdkpspy63sjmuny.us-east-1.es.amazonaws.com/_plugin/kibana/#/discover/Steve-Slow-Train-Analysis-(2080s-and-2083s)?_g=(refreshInterval:(display:Off,section:0,value:0),time:(from:'2016-05-04 01:18:19-0600',mode:absolute,to:'2016-05-04 02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47" s="60" t="str">
        <f t="shared" si="40"/>
        <v>N</v>
      </c>
      <c r="Y147" s="60">
        <f t="shared" si="41"/>
        <v>1</v>
      </c>
      <c r="Z147" s="60">
        <f t="shared" si="42"/>
        <v>23.298300000000001</v>
      </c>
      <c r="AA147" s="60">
        <f t="shared" si="43"/>
        <v>0.21779999999999999</v>
      </c>
      <c r="AB147" s="60">
        <f t="shared" si="44"/>
        <v>23.080500000000001</v>
      </c>
      <c r="AC147" s="61" t="e">
        <f>VLOOKUP(A147,Enforcements!$C$3:$J$40,8,0)</f>
        <v>#N/A</v>
      </c>
      <c r="AD147" s="61" t="e">
        <f>VLOOKUP(A147,Enforcements!$C$3:$J$40,3,0)</f>
        <v>#N/A</v>
      </c>
    </row>
    <row r="148" spans="1:30" s="2" customFormat="1" x14ac:dyDescent="0.25">
      <c r="A148" s="69"/>
      <c r="B148" s="69"/>
      <c r="C148" s="69"/>
      <c r="D148" s="69"/>
      <c r="E148" s="70"/>
      <c r="F148" s="70"/>
      <c r="G148" s="71"/>
      <c r="H148" s="70"/>
      <c r="I148" s="70"/>
      <c r="J148" s="69"/>
      <c r="K148" s="69"/>
      <c r="L148" s="69"/>
      <c r="M148" s="72"/>
      <c r="N148" s="73"/>
      <c r="O148" s="73"/>
      <c r="P148" s="73"/>
      <c r="Q148" s="74"/>
      <c r="R148" s="74"/>
      <c r="S148" s="87"/>
      <c r="U148" s="74"/>
      <c r="W148" s="75"/>
      <c r="X148" s="75"/>
      <c r="Y148" s="75"/>
      <c r="Z148" s="75"/>
      <c r="AA148" s="75"/>
      <c r="AB148" s="75"/>
      <c r="AC148" s="76"/>
      <c r="AD148" s="76"/>
    </row>
    <row r="149" spans="1:30" s="2" customFormat="1" ht="15.75" thickBot="1" x14ac:dyDescent="0.3">
      <c r="E149" s="31"/>
      <c r="F149" s="31"/>
      <c r="G149" s="39"/>
      <c r="H149" s="31"/>
      <c r="I149" s="78">
        <f>Variables!A2</f>
        <v>42493</v>
      </c>
      <c r="J149" s="79"/>
      <c r="K149" s="41"/>
      <c r="L149" s="41"/>
      <c r="M149" s="80" t="s">
        <v>8</v>
      </c>
      <c r="N149" s="81"/>
      <c r="O149" s="82"/>
      <c r="P149" s="5"/>
      <c r="S149" s="87"/>
      <c r="U149" s="74"/>
      <c r="W149" s="62"/>
      <c r="X149" s="62"/>
      <c r="Y149" s="62"/>
      <c r="Z149" s="62"/>
      <c r="AA149" s="62"/>
      <c r="AB149" s="62"/>
      <c r="AC149" s="63"/>
      <c r="AD149" s="63"/>
    </row>
    <row r="150" spans="1:30" s="2" customFormat="1" ht="15.75" thickBot="1" x14ac:dyDescent="0.3">
      <c r="E150" s="31"/>
      <c r="F150" s="31"/>
      <c r="G150" s="39"/>
      <c r="H150" s="31"/>
      <c r="I150" s="83" t="s">
        <v>10</v>
      </c>
      <c r="J150" s="84"/>
      <c r="K150" s="35"/>
      <c r="L150" s="64"/>
      <c r="M150" s="9" t="s">
        <v>11</v>
      </c>
      <c r="N150" s="6" t="s">
        <v>12</v>
      </c>
      <c r="O150" s="7" t="s">
        <v>13</v>
      </c>
      <c r="P150" s="5"/>
      <c r="S150" s="87"/>
      <c r="U150" s="74"/>
      <c r="W150" s="62"/>
      <c r="X150" s="62"/>
      <c r="Y150" s="62"/>
      <c r="Z150" s="62"/>
      <c r="AA150" s="62"/>
      <c r="AB150" s="62"/>
      <c r="AC150" s="63"/>
      <c r="AD150" s="63"/>
    </row>
    <row r="151" spans="1:30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COUNT(N3:P147)</f>
        <v>144</v>
      </c>
      <c r="K151" s="3"/>
      <c r="L151" s="3"/>
      <c r="M151" s="77" t="s">
        <v>15</v>
      </c>
      <c r="N151" s="6" t="s">
        <v>15</v>
      </c>
      <c r="O151" s="7" t="s">
        <v>15</v>
      </c>
      <c r="P151" s="5"/>
      <c r="S151" s="87"/>
      <c r="T151" s="65"/>
      <c r="U151" s="74"/>
      <c r="W151" s="62"/>
      <c r="X151" s="62"/>
      <c r="Y151" s="62"/>
      <c r="Z151" s="62"/>
      <c r="AA151" s="62"/>
      <c r="AB151" s="62"/>
      <c r="AC151" s="63"/>
      <c r="AD151" s="63"/>
    </row>
    <row r="152" spans="1:30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COUNT(N3:N147)</f>
        <v>141</v>
      </c>
      <c r="K152" s="3"/>
      <c r="L152" s="3"/>
      <c r="M152" s="77">
        <f>AVERAGE(N3:N147)</f>
        <v>42.292316784200437</v>
      </c>
      <c r="N152" s="6">
        <f>MIN(N3:N147)</f>
        <v>35.883333329111338</v>
      </c>
      <c r="O152" s="7">
        <f>MAX(N3:N147)</f>
        <v>53.433333324501291</v>
      </c>
      <c r="P152" s="5"/>
      <c r="S152" s="87"/>
      <c r="T152" s="65"/>
      <c r="U152" s="74"/>
      <c r="W152" s="62"/>
      <c r="X152" s="62"/>
      <c r="Y152" s="62"/>
      <c r="Z152" s="62"/>
      <c r="AA152" s="62"/>
      <c r="AB152" s="62"/>
      <c r="AC152" s="63"/>
      <c r="AD152" s="63"/>
    </row>
    <row r="153" spans="1:30" s="2" customFormat="1" ht="15.75" thickBot="1" x14ac:dyDescent="0.3">
      <c r="B153"/>
      <c r="C153"/>
      <c r="D153"/>
      <c r="E153" s="14"/>
      <c r="F153" s="14"/>
      <c r="G153" s="40"/>
      <c r="H153" s="14"/>
      <c r="I153" s="33" t="s">
        <v>45</v>
      </c>
      <c r="J153" s="3">
        <f>COUNT(O3:O147)</f>
        <v>0</v>
      </c>
      <c r="K153" s="3"/>
      <c r="L153" s="3"/>
      <c r="M153" s="77">
        <f>IFERROR(AVERAGE(O3:O147),0)</f>
        <v>0</v>
      </c>
      <c r="N153" s="6">
        <f>MIN(O3:O147)</f>
        <v>0</v>
      </c>
      <c r="O153" s="7">
        <f>MAX(O3:O147)</f>
        <v>0</v>
      </c>
      <c r="P153" s="4"/>
      <c r="Q153"/>
      <c r="R153"/>
      <c r="S153" s="87"/>
      <c r="U153" s="74"/>
      <c r="V153"/>
      <c r="W153" s="56"/>
      <c r="X153" s="56"/>
      <c r="Y153" s="56"/>
      <c r="Z153" s="56"/>
      <c r="AA153" s="56"/>
      <c r="AB153" s="56"/>
      <c r="AC153" s="57"/>
      <c r="AD153" s="57"/>
    </row>
    <row r="154" spans="1:30" s="2" customFormat="1" ht="15.75" thickBot="1" x14ac:dyDescent="0.3">
      <c r="B154"/>
      <c r="C154"/>
      <c r="D154"/>
      <c r="E154" s="14"/>
      <c r="F154" s="14"/>
      <c r="G154" s="40"/>
      <c r="H154" s="14"/>
      <c r="I154" s="34" t="s">
        <v>9</v>
      </c>
      <c r="J154" s="3">
        <f>COUNT(P3:P147)</f>
        <v>3</v>
      </c>
      <c r="K154" s="3"/>
      <c r="L154" s="3"/>
      <c r="M154" s="77" t="s">
        <v>15</v>
      </c>
      <c r="N154" s="6" t="s">
        <v>15</v>
      </c>
      <c r="O154" s="7" t="s">
        <v>15</v>
      </c>
      <c r="P154" s="4"/>
      <c r="Q154"/>
      <c r="R154"/>
      <c r="S154" s="87"/>
      <c r="T154" s="65"/>
      <c r="U154" s="74"/>
      <c r="V154"/>
      <c r="W154" s="56"/>
      <c r="X154" s="56"/>
      <c r="Y154" s="56"/>
      <c r="Z154" s="56"/>
      <c r="AA154" s="56"/>
      <c r="AB154" s="56"/>
      <c r="AC154" s="57"/>
      <c r="AD154" s="57"/>
    </row>
    <row r="155" spans="1:30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COUNT(N3:O147)</f>
        <v>141</v>
      </c>
      <c r="K155" s="3"/>
      <c r="L155" s="3"/>
      <c r="M155" s="77">
        <f>AVERAGE(N3:P147)</f>
        <v>42.004050925243064</v>
      </c>
      <c r="N155" s="6">
        <f>MIN(N3:O147)</f>
        <v>35.883333329111338</v>
      </c>
      <c r="O155" s="7">
        <f>MAX(N3:O147)</f>
        <v>53.433333324501291</v>
      </c>
      <c r="P155" s="5"/>
      <c r="S155" s="65"/>
      <c r="T155" s="65"/>
      <c r="U155" s="65"/>
      <c r="W155" s="62"/>
      <c r="X155" s="62"/>
      <c r="Y155" s="62"/>
      <c r="Z155" s="62"/>
      <c r="AA155" s="62"/>
      <c r="AB155" s="62"/>
      <c r="AC155" s="63"/>
      <c r="AD155" s="63"/>
    </row>
    <row r="156" spans="1:30" s="2" customFormat="1" ht="30.75" thickBot="1" x14ac:dyDescent="0.3">
      <c r="B156"/>
      <c r="C156"/>
      <c r="D156"/>
      <c r="E156" s="14"/>
      <c r="F156" s="14"/>
      <c r="G156" s="40"/>
      <c r="H156" s="14"/>
      <c r="I156" s="32" t="s">
        <v>19</v>
      </c>
      <c r="J156" s="8">
        <f>J155/J151</f>
        <v>0.97916666666666663</v>
      </c>
      <c r="K156" s="8"/>
      <c r="L156" s="8"/>
      <c r="M156" s="1"/>
      <c r="N156" s="4"/>
      <c r="O156" s="4"/>
      <c r="P156" s="4"/>
      <c r="Q156"/>
      <c r="R156"/>
      <c r="S156" s="65"/>
      <c r="T156" s="65"/>
      <c r="U156" s="65"/>
      <c r="V156"/>
      <c r="W156" s="56"/>
      <c r="X156" s="56"/>
      <c r="Y156" s="56"/>
      <c r="Z156" s="56"/>
      <c r="AA156" s="56"/>
      <c r="AB156" s="56"/>
      <c r="AC156" s="57"/>
      <c r="AD156" s="57"/>
    </row>
    <row r="157" spans="1:30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5"/>
      <c r="M157" s="1"/>
      <c r="N157" s="4"/>
      <c r="O157" s="4"/>
      <c r="P157" s="4"/>
      <c r="Q157"/>
      <c r="R157"/>
      <c r="S157" s="65"/>
      <c r="T157" s="65"/>
      <c r="U157" s="65"/>
      <c r="V157"/>
      <c r="W157" s="56"/>
      <c r="X157" s="56"/>
      <c r="Y157" s="56"/>
      <c r="Z157" s="56"/>
      <c r="AA157" s="56"/>
      <c r="AB157" s="56"/>
      <c r="AC157" s="57"/>
      <c r="AD157" s="57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5"/>
      <c r="M158" s="1"/>
      <c r="N158" s="4"/>
      <c r="O158" s="4"/>
      <c r="P158" s="4"/>
      <c r="Q158"/>
      <c r="R158"/>
      <c r="S158" s="65"/>
      <c r="T158" s="65"/>
      <c r="U158" s="65"/>
      <c r="V158"/>
      <c r="W158" s="56"/>
      <c r="X158" s="56"/>
      <c r="Y158" s="56"/>
      <c r="Z158" s="56"/>
      <c r="AA158" s="56"/>
      <c r="AB158" s="56"/>
      <c r="AC158" s="57"/>
      <c r="AD158" s="57"/>
    </row>
    <row r="159" spans="1:30" s="2" customFormat="1" ht="120" x14ac:dyDescent="0.25">
      <c r="B159"/>
      <c r="C159"/>
      <c r="D159"/>
      <c r="E159" s="14"/>
      <c r="F159" s="14"/>
      <c r="G159" s="40"/>
      <c r="H159" s="14"/>
      <c r="M159" s="1"/>
      <c r="N159" s="4"/>
      <c r="O159" s="4"/>
      <c r="P159" s="4"/>
      <c r="Q159"/>
      <c r="R159"/>
      <c r="S159" s="88" t="s">
        <v>625</v>
      </c>
      <c r="T159" s="89" t="s">
        <v>626</v>
      </c>
      <c r="U159" s="89" t="s">
        <v>627</v>
      </c>
      <c r="V159" s="90" t="s">
        <v>628</v>
      </c>
      <c r="W159" s="56"/>
      <c r="X159" s="56"/>
      <c r="Y159" s="56"/>
      <c r="Z159" s="56"/>
      <c r="AA159" s="56"/>
      <c r="AB159" s="56"/>
      <c r="AC159" s="57"/>
      <c r="AD159" s="57"/>
    </row>
    <row r="160" spans="1:30" s="2" customFormat="1" x14ac:dyDescent="0.25">
      <c r="B160"/>
      <c r="C160"/>
      <c r="D160"/>
      <c r="E160" s="14"/>
      <c r="F160" s="14"/>
      <c r="G160" s="40"/>
      <c r="H160" s="14"/>
      <c r="M160" s="1"/>
      <c r="N160" s="4"/>
      <c r="O160" s="4"/>
      <c r="P160" s="4"/>
      <c r="Q160"/>
      <c r="R160"/>
      <c r="S160" s="40">
        <f>J155</f>
        <v>141</v>
      </c>
      <c r="T160" s="65">
        <f>J154</f>
        <v>3</v>
      </c>
      <c r="U160" s="91">
        <f>J156</f>
        <v>0.97916666666666663</v>
      </c>
      <c r="V160" s="92">
        <f>AVERAGE(S5:S148)</f>
        <v>0.97902097902097907</v>
      </c>
      <c r="W160" s="56"/>
      <c r="X160" s="56"/>
      <c r="Y160" s="56"/>
      <c r="Z160" s="56"/>
      <c r="AA160" s="56"/>
      <c r="AB160" s="56"/>
      <c r="AC160" s="57"/>
      <c r="AD160" s="57"/>
    </row>
    <row r="161" spans="2:30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5"/>
      <c r="M161" s="1"/>
      <c r="N161" s="4"/>
      <c r="O161" s="4"/>
      <c r="P161" s="4"/>
      <c r="Q161"/>
      <c r="R161"/>
      <c r="S161" s="65"/>
      <c r="T161" s="65"/>
      <c r="U161" s="65"/>
      <c r="V161"/>
      <c r="W161" s="56"/>
      <c r="X161" s="56"/>
      <c r="Y161" s="56"/>
      <c r="Z161" s="56"/>
      <c r="AA161" s="56"/>
      <c r="AB161" s="56"/>
      <c r="AC161" s="57"/>
      <c r="AD161" s="57"/>
    </row>
    <row r="164" spans="2:30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5"/>
      <c r="M164" s="1"/>
      <c r="N164" s="4"/>
      <c r="O164" s="4"/>
      <c r="P164" s="4"/>
      <c r="Q164"/>
      <c r="R164"/>
      <c r="S164" s="65"/>
      <c r="T164" s="65"/>
      <c r="U164" s="65"/>
      <c r="V164"/>
      <c r="W164" s="56"/>
      <c r="X164" s="56"/>
      <c r="Y164" s="56"/>
      <c r="Z164" s="56"/>
      <c r="AA164" s="56"/>
      <c r="AB164" s="56"/>
      <c r="AC164" s="57"/>
      <c r="AD164" s="57"/>
    </row>
  </sheetData>
  <sortState ref="A3:Y144">
    <sortCondition ref="A3:A144"/>
  </sortState>
  <mergeCells count="4">
    <mergeCell ref="I149:J149"/>
    <mergeCell ref="M149:O149"/>
    <mergeCell ref="I150:J150"/>
    <mergeCell ref="A1:P1"/>
  </mergeCells>
  <conditionalFormatting sqref="X1:Y1 X2 X3:Y1048576">
    <cfRule type="cellIs" dxfId="14" priority="24" operator="equal">
      <formula>"Y"</formula>
    </cfRule>
  </conditionalFormatting>
  <conditionalFormatting sqref="Y1 Y3:Y1048576">
    <cfRule type="cellIs" dxfId="13" priority="7" operator="greaterThan">
      <formula>1</formula>
    </cfRule>
  </conditionalFormatting>
  <conditionalFormatting sqref="A148:P148 A3:R147">
    <cfRule type="expression" dxfId="12" priority="38">
      <formula>$P3&gt;0</formula>
    </cfRule>
    <cfRule type="expression" dxfId="11" priority="39">
      <formula>$O3&gt;0</formula>
    </cfRule>
  </conditionalFormatting>
  <conditionalFormatting sqref="Q148:R148">
    <cfRule type="expression" dxfId="10" priority="78">
      <formula>$P148&gt;0</formula>
    </cfRule>
    <cfRule type="expression" dxfId="9" priority="79">
      <formula>$O165&gt;0</formula>
    </cfRule>
  </conditionalFormatting>
  <conditionalFormatting sqref="S3:S154">
    <cfRule type="expression" dxfId="7" priority="3">
      <formula>$O3&gt;0</formula>
    </cfRule>
  </conditionalFormatting>
  <conditionalFormatting sqref="S3:S154">
    <cfRule type="expression" dxfId="6" priority="2">
      <formula>$P3&gt;0</formula>
    </cfRule>
  </conditionalFormatting>
  <conditionalFormatting sqref="U3:U154">
    <cfRule type="expression" dxfId="4" priority="4">
      <formula>$M3&gt;$AE$2</formula>
    </cfRule>
    <cfRule type="expression" dxfId="3" priority="5">
      <formula>$O3&gt;0</formula>
    </cfRule>
    <cfRule type="expression" dxfId="2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  <x14:conditionalFormatting xmlns:xm="http://schemas.microsoft.com/office/excel/2006/main">
          <x14:cfRule type="expression" priority="1" id="{9E2BA711-C2B2-489C-A143-2E4CB1A58F2C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showGridLines="0" zoomScale="85" zoomScaleNormal="85" workbookViewId="0">
      <selection activeCell="E31" sqref="E3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42578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90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122</v>
      </c>
      <c r="M2" s="24" t="s">
        <v>29</v>
      </c>
      <c r="N2" s="24" t="s">
        <v>24</v>
      </c>
    </row>
    <row r="3" spans="1:14" s="19" customFormat="1" x14ac:dyDescent="0.25">
      <c r="A3" s="23">
        <v>42493.331828703704</v>
      </c>
      <c r="B3" s="22" t="s">
        <v>164</v>
      </c>
      <c r="C3" s="22" t="s">
        <v>285</v>
      </c>
      <c r="D3" s="22" t="s">
        <v>337</v>
      </c>
      <c r="E3" s="22" t="s">
        <v>346</v>
      </c>
      <c r="F3" s="22">
        <v>690</v>
      </c>
      <c r="G3" s="22">
        <v>782</v>
      </c>
      <c r="H3" s="22">
        <v>55295</v>
      </c>
      <c r="I3" s="22" t="s">
        <v>347</v>
      </c>
      <c r="J3" s="22">
        <v>58118</v>
      </c>
      <c r="K3" s="21" t="s">
        <v>339</v>
      </c>
      <c r="L3" s="21" t="str">
        <f>VLOOKUP(C3,'Trips&amp;Operators'!$C$1:$E$9999,3,FALSE)</f>
        <v>CHANDLER</v>
      </c>
      <c r="M3" s="20" t="s">
        <v>607</v>
      </c>
      <c r="N3" s="21" t="s">
        <v>608</v>
      </c>
    </row>
    <row r="4" spans="1:14" s="19" customFormat="1" x14ac:dyDescent="0.25">
      <c r="A4" s="23">
        <v>42493.337650462963</v>
      </c>
      <c r="B4" s="22" t="s">
        <v>164</v>
      </c>
      <c r="C4" s="22" t="s">
        <v>285</v>
      </c>
      <c r="D4" s="22" t="s">
        <v>337</v>
      </c>
      <c r="E4" s="22" t="s">
        <v>346</v>
      </c>
      <c r="F4" s="22">
        <v>610</v>
      </c>
      <c r="G4" s="22">
        <v>754</v>
      </c>
      <c r="H4" s="22">
        <v>105750</v>
      </c>
      <c r="I4" s="22" t="s">
        <v>347</v>
      </c>
      <c r="J4" s="22">
        <v>108954</v>
      </c>
      <c r="K4" s="21" t="s">
        <v>339</v>
      </c>
      <c r="L4" s="21" t="str">
        <f>VLOOKUP(C4,'Trips&amp;Operators'!$C$1:$E$9999,3,FALSE)</f>
        <v>CHANDLER</v>
      </c>
      <c r="M4" s="20" t="s">
        <v>607</v>
      </c>
      <c r="N4" s="21" t="s">
        <v>608</v>
      </c>
    </row>
    <row r="5" spans="1:14" s="19" customFormat="1" x14ac:dyDescent="0.25">
      <c r="A5" s="23">
        <v>42493.206446759257</v>
      </c>
      <c r="B5" s="22" t="s">
        <v>238</v>
      </c>
      <c r="C5" s="22" t="s">
        <v>239</v>
      </c>
      <c r="D5" s="22" t="s">
        <v>337</v>
      </c>
      <c r="E5" s="22" t="s">
        <v>340</v>
      </c>
      <c r="F5" s="22">
        <v>400</v>
      </c>
      <c r="G5" s="22">
        <v>417</v>
      </c>
      <c r="H5" s="22">
        <v>120248</v>
      </c>
      <c r="I5" s="22" t="s">
        <v>341</v>
      </c>
      <c r="J5" s="22">
        <v>119716</v>
      </c>
      <c r="K5" s="21" t="s">
        <v>342</v>
      </c>
      <c r="L5" s="21" t="str">
        <f>VLOOKUP(C5,'Trips&amp;Operators'!$C$1:$E$9999,3,FALSE)</f>
        <v>STARKS</v>
      </c>
      <c r="M5" s="20" t="s">
        <v>607</v>
      </c>
      <c r="N5" s="21" t="s">
        <v>610</v>
      </c>
    </row>
    <row r="6" spans="1:14" s="19" customFormat="1" x14ac:dyDescent="0.25">
      <c r="A6" s="23">
        <v>42493.251886574071</v>
      </c>
      <c r="B6" s="22" t="s">
        <v>139</v>
      </c>
      <c r="C6" s="22" t="s">
        <v>253</v>
      </c>
      <c r="D6" s="22" t="s">
        <v>337</v>
      </c>
      <c r="E6" s="22" t="s">
        <v>340</v>
      </c>
      <c r="F6" s="22">
        <v>150</v>
      </c>
      <c r="G6" s="22">
        <v>105</v>
      </c>
      <c r="H6" s="22">
        <v>1784</v>
      </c>
      <c r="I6" s="22" t="s">
        <v>341</v>
      </c>
      <c r="J6" s="22">
        <v>2096</v>
      </c>
      <c r="K6" s="21" t="s">
        <v>339</v>
      </c>
      <c r="L6" s="21" t="str">
        <f>VLOOKUP(C6,'Trips&amp;Operators'!$C$1:$E$9999,3,FALSE)</f>
        <v>CHANDLER</v>
      </c>
      <c r="M6" s="20" t="s">
        <v>607</v>
      </c>
      <c r="N6" s="21" t="s">
        <v>610</v>
      </c>
    </row>
    <row r="7" spans="1:14" s="19" customFormat="1" x14ac:dyDescent="0.25">
      <c r="A7" s="23">
        <v>42493.254872685182</v>
      </c>
      <c r="B7" s="22" t="s">
        <v>154</v>
      </c>
      <c r="C7" s="22" t="s">
        <v>214</v>
      </c>
      <c r="D7" s="22" t="s">
        <v>345</v>
      </c>
      <c r="E7" s="22" t="s">
        <v>340</v>
      </c>
      <c r="F7" s="22">
        <v>350</v>
      </c>
      <c r="G7" s="22">
        <v>402</v>
      </c>
      <c r="H7" s="22">
        <v>227406</v>
      </c>
      <c r="I7" s="22" t="s">
        <v>341</v>
      </c>
      <c r="J7" s="22">
        <v>224578</v>
      </c>
      <c r="K7" s="21" t="s">
        <v>339</v>
      </c>
      <c r="L7" s="21" t="str">
        <f>VLOOKUP(C7,'Trips&amp;Operators'!$C$1:$E$9999,3,FALSE)</f>
        <v>SPECTOR</v>
      </c>
      <c r="M7" s="20" t="s">
        <v>607</v>
      </c>
      <c r="N7" s="21" t="s">
        <v>610</v>
      </c>
    </row>
    <row r="8" spans="1:14" s="19" customFormat="1" x14ac:dyDescent="0.25">
      <c r="A8" s="23">
        <v>42493.280624999999</v>
      </c>
      <c r="B8" s="22" t="s">
        <v>238</v>
      </c>
      <c r="C8" s="22" t="s">
        <v>283</v>
      </c>
      <c r="D8" s="22" t="s">
        <v>345</v>
      </c>
      <c r="E8" s="22" t="s">
        <v>340</v>
      </c>
      <c r="F8" s="22">
        <v>350</v>
      </c>
      <c r="G8" s="22">
        <v>400</v>
      </c>
      <c r="H8" s="22">
        <v>224770</v>
      </c>
      <c r="I8" s="22" t="s">
        <v>341</v>
      </c>
      <c r="J8" s="22">
        <v>232107</v>
      </c>
      <c r="K8" s="21" t="s">
        <v>342</v>
      </c>
      <c r="L8" s="21" t="str">
        <f>VLOOKUP(C8,'Trips&amp;Operators'!$C$1:$E$9999,3,FALSE)</f>
        <v>STARKS</v>
      </c>
      <c r="M8" s="20" t="s">
        <v>607</v>
      </c>
      <c r="N8" s="21" t="s">
        <v>610</v>
      </c>
    </row>
    <row r="9" spans="1:14" s="19" customFormat="1" x14ac:dyDescent="0.25">
      <c r="A9" s="23">
        <v>42493.291701388887</v>
      </c>
      <c r="B9" s="22" t="s">
        <v>148</v>
      </c>
      <c r="C9" s="22" t="s">
        <v>251</v>
      </c>
      <c r="D9" s="22" t="s">
        <v>337</v>
      </c>
      <c r="E9" s="22" t="s">
        <v>340</v>
      </c>
      <c r="F9" s="22">
        <v>150</v>
      </c>
      <c r="G9" s="22">
        <v>202</v>
      </c>
      <c r="H9" s="22">
        <v>5164</v>
      </c>
      <c r="I9" s="22" t="s">
        <v>341</v>
      </c>
      <c r="J9" s="22">
        <v>4677</v>
      </c>
      <c r="K9" s="21" t="s">
        <v>342</v>
      </c>
      <c r="L9" s="21" t="str">
        <f>VLOOKUP(C9,'Trips&amp;Operators'!$C$1:$E$9999,3,FALSE)</f>
        <v>SPECTOR</v>
      </c>
      <c r="M9" s="20" t="s">
        <v>607</v>
      </c>
      <c r="N9" s="21" t="s">
        <v>610</v>
      </c>
    </row>
    <row r="10" spans="1:14" s="19" customFormat="1" x14ac:dyDescent="0.25">
      <c r="A10" s="23">
        <v>42493.358194444445</v>
      </c>
      <c r="B10" s="22" t="s">
        <v>238</v>
      </c>
      <c r="C10" s="22" t="s">
        <v>288</v>
      </c>
      <c r="D10" s="22" t="s">
        <v>337</v>
      </c>
      <c r="E10" s="22" t="s">
        <v>340</v>
      </c>
      <c r="F10" s="22">
        <v>450</v>
      </c>
      <c r="G10" s="22">
        <v>631</v>
      </c>
      <c r="H10" s="22">
        <v>159578</v>
      </c>
      <c r="I10" s="22" t="s">
        <v>341</v>
      </c>
      <c r="J10" s="22">
        <v>156300</v>
      </c>
      <c r="K10" s="21" t="s">
        <v>342</v>
      </c>
      <c r="L10" s="21" t="str">
        <f>VLOOKUP(C10,'Trips&amp;Operators'!$C$1:$E$9999,3,FALSE)</f>
        <v>STARKS</v>
      </c>
      <c r="M10" s="20" t="s">
        <v>607</v>
      </c>
      <c r="N10" s="21" t="s">
        <v>610</v>
      </c>
    </row>
    <row r="11" spans="1:14" s="19" customFormat="1" x14ac:dyDescent="0.25">
      <c r="A11" s="23">
        <v>42493.384594907409</v>
      </c>
      <c r="B11" s="22" t="s">
        <v>164</v>
      </c>
      <c r="C11" s="22" t="s">
        <v>291</v>
      </c>
      <c r="D11" s="22" t="s">
        <v>337</v>
      </c>
      <c r="E11" s="22" t="s">
        <v>340</v>
      </c>
      <c r="F11" s="22">
        <v>600</v>
      </c>
      <c r="G11" s="22">
        <v>657</v>
      </c>
      <c r="H11" s="22">
        <v>12800</v>
      </c>
      <c r="I11" s="22" t="s">
        <v>341</v>
      </c>
      <c r="J11" s="22">
        <v>10694</v>
      </c>
      <c r="K11" s="21" t="s">
        <v>342</v>
      </c>
      <c r="L11" s="21" t="str">
        <f>VLOOKUP(C11,'Trips&amp;Operators'!$C$1:$E$9999,3,FALSE)</f>
        <v>CHANDLER</v>
      </c>
      <c r="M11" s="20" t="s">
        <v>607</v>
      </c>
      <c r="N11" s="21" t="s">
        <v>610</v>
      </c>
    </row>
    <row r="12" spans="1:14" s="19" customFormat="1" x14ac:dyDescent="0.25">
      <c r="A12" s="23">
        <v>42493.409155092595</v>
      </c>
      <c r="B12" s="22" t="s">
        <v>245</v>
      </c>
      <c r="C12" s="22" t="s">
        <v>294</v>
      </c>
      <c r="D12" s="22" t="s">
        <v>337</v>
      </c>
      <c r="E12" s="22" t="s">
        <v>340</v>
      </c>
      <c r="F12" s="22">
        <v>150</v>
      </c>
      <c r="G12" s="22">
        <v>238</v>
      </c>
      <c r="H12" s="22">
        <v>229412</v>
      </c>
      <c r="I12" s="22" t="s">
        <v>341</v>
      </c>
      <c r="J12" s="22">
        <v>230436</v>
      </c>
      <c r="K12" s="21" t="s">
        <v>339</v>
      </c>
      <c r="L12" s="21" t="str">
        <f>VLOOKUP(C12,'Trips&amp;Operators'!$C$1:$E$9999,3,FALSE)</f>
        <v>STARKS</v>
      </c>
      <c r="M12" s="20" t="s">
        <v>607</v>
      </c>
      <c r="N12" s="21" t="s">
        <v>610</v>
      </c>
    </row>
    <row r="13" spans="1:14" s="19" customFormat="1" x14ac:dyDescent="0.25">
      <c r="A13" s="23">
        <v>42493.464999999997</v>
      </c>
      <c r="B13" s="22" t="s">
        <v>245</v>
      </c>
      <c r="C13" s="22" t="s">
        <v>299</v>
      </c>
      <c r="D13" s="22" t="s">
        <v>337</v>
      </c>
      <c r="E13" s="22" t="s">
        <v>340</v>
      </c>
      <c r="F13" s="22">
        <v>300</v>
      </c>
      <c r="G13" s="22">
        <v>277</v>
      </c>
      <c r="H13" s="22">
        <v>20292</v>
      </c>
      <c r="I13" s="22" t="s">
        <v>341</v>
      </c>
      <c r="J13" s="22">
        <v>20338</v>
      </c>
      <c r="K13" s="21" t="s">
        <v>339</v>
      </c>
      <c r="L13" s="21" t="str">
        <f>VLOOKUP(C13,'Trips&amp;Operators'!$C$1:$E$9999,3,FALSE)</f>
        <v>SPECTOR</v>
      </c>
      <c r="M13" s="20" t="s">
        <v>607</v>
      </c>
      <c r="N13" s="21" t="s">
        <v>610</v>
      </c>
    </row>
    <row r="14" spans="1:14" s="19" customFormat="1" x14ac:dyDescent="0.25">
      <c r="A14" s="23">
        <v>42493.533020833333</v>
      </c>
      <c r="B14" s="22" t="s">
        <v>278</v>
      </c>
      <c r="C14" s="22" t="s">
        <v>303</v>
      </c>
      <c r="D14" s="22" t="s">
        <v>337</v>
      </c>
      <c r="E14" s="22" t="s">
        <v>340</v>
      </c>
      <c r="F14" s="22">
        <v>450</v>
      </c>
      <c r="G14" s="22">
        <v>436</v>
      </c>
      <c r="H14" s="22">
        <v>191898</v>
      </c>
      <c r="I14" s="22" t="s">
        <v>341</v>
      </c>
      <c r="J14" s="22">
        <v>191108</v>
      </c>
      <c r="K14" s="21" t="s">
        <v>342</v>
      </c>
      <c r="L14" s="21" t="str">
        <f>VLOOKUP(C14,'Trips&amp;Operators'!$C$1:$E$9999,3,FALSE)</f>
        <v>ADANE</v>
      </c>
      <c r="M14" s="20" t="s">
        <v>607</v>
      </c>
      <c r="N14" s="21" t="s">
        <v>610</v>
      </c>
    </row>
    <row r="15" spans="1:14" s="19" customFormat="1" x14ac:dyDescent="0.25">
      <c r="A15" s="23">
        <v>42493.552824074075</v>
      </c>
      <c r="B15" s="22" t="s">
        <v>278</v>
      </c>
      <c r="C15" s="22" t="s">
        <v>303</v>
      </c>
      <c r="D15" s="22" t="s">
        <v>337</v>
      </c>
      <c r="E15" s="22" t="s">
        <v>340</v>
      </c>
      <c r="F15" s="22">
        <v>450</v>
      </c>
      <c r="G15" s="22">
        <v>458</v>
      </c>
      <c r="H15" s="22">
        <v>17381</v>
      </c>
      <c r="I15" s="22" t="s">
        <v>341</v>
      </c>
      <c r="J15" s="22">
        <v>15167</v>
      </c>
      <c r="K15" s="21" t="s">
        <v>342</v>
      </c>
      <c r="L15" s="21" t="str">
        <f>VLOOKUP(C15,'Trips&amp;Operators'!$C$1:$E$9999,3,FALSE)</f>
        <v>ADANE</v>
      </c>
      <c r="M15" s="20" t="s">
        <v>607</v>
      </c>
      <c r="N15" s="21" t="s">
        <v>610</v>
      </c>
    </row>
    <row r="16" spans="1:14" s="19" customFormat="1" x14ac:dyDescent="0.25">
      <c r="A16" s="23">
        <v>42493.576273148145</v>
      </c>
      <c r="B16" s="22" t="s">
        <v>238</v>
      </c>
      <c r="C16" s="22" t="s">
        <v>307</v>
      </c>
      <c r="D16" s="22" t="s">
        <v>345</v>
      </c>
      <c r="E16" s="22" t="s">
        <v>340</v>
      </c>
      <c r="F16" s="22">
        <v>700</v>
      </c>
      <c r="G16" s="22">
        <v>754</v>
      </c>
      <c r="H16" s="22">
        <v>165602</v>
      </c>
      <c r="I16" s="22" t="s">
        <v>341</v>
      </c>
      <c r="J16" s="22">
        <v>183829</v>
      </c>
      <c r="K16" s="21" t="s">
        <v>342</v>
      </c>
      <c r="L16" s="21" t="str">
        <f>VLOOKUP(C16,'Trips&amp;Operators'!$C$1:$E$9999,3,FALSE)</f>
        <v>JACKSON</v>
      </c>
      <c r="M16" s="20" t="s">
        <v>607</v>
      </c>
      <c r="N16" s="21" t="s">
        <v>610</v>
      </c>
    </row>
    <row r="17" spans="1:14" s="19" customFormat="1" x14ac:dyDescent="0.25">
      <c r="A17" s="23">
        <v>42493.623576388891</v>
      </c>
      <c r="B17" s="22" t="s">
        <v>146</v>
      </c>
      <c r="C17" s="22" t="s">
        <v>312</v>
      </c>
      <c r="D17" s="22" t="s">
        <v>337</v>
      </c>
      <c r="E17" s="22" t="s">
        <v>340</v>
      </c>
      <c r="F17" s="22">
        <v>150</v>
      </c>
      <c r="G17" s="22">
        <v>180</v>
      </c>
      <c r="H17" s="22">
        <v>229237</v>
      </c>
      <c r="I17" s="22" t="s">
        <v>341</v>
      </c>
      <c r="J17" s="22">
        <v>229055</v>
      </c>
      <c r="K17" s="21" t="s">
        <v>342</v>
      </c>
      <c r="L17" s="21" t="str">
        <f>VLOOKUP(C17,'Trips&amp;Operators'!$C$1:$E$9999,3,FALSE)</f>
        <v>YOUNG</v>
      </c>
      <c r="M17" s="20" t="s">
        <v>607</v>
      </c>
      <c r="N17" s="21" t="s">
        <v>610</v>
      </c>
    </row>
    <row r="18" spans="1:14" s="19" customFormat="1" x14ac:dyDescent="0.25">
      <c r="A18" s="23">
        <v>42493.629629629628</v>
      </c>
      <c r="B18" s="22" t="s">
        <v>146</v>
      </c>
      <c r="C18" s="22" t="s">
        <v>312</v>
      </c>
      <c r="D18" s="22" t="s">
        <v>337</v>
      </c>
      <c r="E18" s="22" t="s">
        <v>340</v>
      </c>
      <c r="F18" s="22">
        <v>450</v>
      </c>
      <c r="G18" s="22">
        <v>483</v>
      </c>
      <c r="H18" s="22">
        <v>157994</v>
      </c>
      <c r="I18" s="22" t="s">
        <v>341</v>
      </c>
      <c r="J18" s="22">
        <v>156300</v>
      </c>
      <c r="K18" s="21" t="s">
        <v>342</v>
      </c>
      <c r="L18" s="21" t="str">
        <f>VLOOKUP(C18,'Trips&amp;Operators'!$C$1:$E$9999,3,FALSE)</f>
        <v>YOUNG</v>
      </c>
      <c r="M18" s="20" t="s">
        <v>607</v>
      </c>
      <c r="N18" s="21" t="s">
        <v>610</v>
      </c>
    </row>
    <row r="19" spans="1:14" s="19" customFormat="1" x14ac:dyDescent="0.25">
      <c r="A19" s="23">
        <v>42493.639537037037</v>
      </c>
      <c r="B19" s="22" t="s">
        <v>218</v>
      </c>
      <c r="C19" s="22" t="s">
        <v>313</v>
      </c>
      <c r="D19" s="22" t="s">
        <v>337</v>
      </c>
      <c r="E19" s="22" t="s">
        <v>340</v>
      </c>
      <c r="F19" s="22">
        <v>300</v>
      </c>
      <c r="G19" s="22">
        <v>250</v>
      </c>
      <c r="H19" s="22">
        <v>19801</v>
      </c>
      <c r="I19" s="22" t="s">
        <v>341</v>
      </c>
      <c r="J19" s="22">
        <v>20338</v>
      </c>
      <c r="K19" s="21" t="s">
        <v>339</v>
      </c>
      <c r="L19" s="21" t="str">
        <f>VLOOKUP(C19,'Trips&amp;Operators'!$C$1:$E$9999,3,FALSE)</f>
        <v>ADANE</v>
      </c>
      <c r="M19" s="20" t="s">
        <v>607</v>
      </c>
      <c r="N19" s="21" t="s">
        <v>610</v>
      </c>
    </row>
    <row r="20" spans="1:14" s="19" customFormat="1" x14ac:dyDescent="0.25">
      <c r="A20" s="23">
        <v>42493.698113425926</v>
      </c>
      <c r="B20" s="22" t="s">
        <v>278</v>
      </c>
      <c r="C20" s="22" t="s">
        <v>319</v>
      </c>
      <c r="D20" s="22" t="s">
        <v>337</v>
      </c>
      <c r="E20" s="22" t="s">
        <v>340</v>
      </c>
      <c r="F20" s="22">
        <v>300</v>
      </c>
      <c r="G20" s="22">
        <v>349</v>
      </c>
      <c r="H20" s="22">
        <v>22512</v>
      </c>
      <c r="I20" s="22" t="s">
        <v>341</v>
      </c>
      <c r="J20" s="22">
        <v>21848</v>
      </c>
      <c r="K20" s="21" t="s">
        <v>342</v>
      </c>
      <c r="L20" s="21" t="str">
        <f>VLOOKUP(C20,'Trips&amp;Operators'!$C$1:$E$9999,3,FALSE)</f>
        <v>ADANE</v>
      </c>
      <c r="M20" s="20" t="s">
        <v>607</v>
      </c>
      <c r="N20" s="21" t="s">
        <v>610</v>
      </c>
    </row>
    <row r="21" spans="1:14" s="19" customFormat="1" x14ac:dyDescent="0.25">
      <c r="A21" s="23">
        <v>42493.753842592596</v>
      </c>
      <c r="B21" s="22" t="s">
        <v>245</v>
      </c>
      <c r="C21" s="22" t="s">
        <v>322</v>
      </c>
      <c r="D21" s="22" t="s">
        <v>337</v>
      </c>
      <c r="E21" s="22" t="s">
        <v>340</v>
      </c>
      <c r="F21" s="22">
        <v>300</v>
      </c>
      <c r="G21" s="22">
        <v>253</v>
      </c>
      <c r="H21" s="22">
        <v>19756</v>
      </c>
      <c r="I21" s="22" t="s">
        <v>341</v>
      </c>
      <c r="J21" s="22">
        <v>20338</v>
      </c>
      <c r="K21" s="21" t="s">
        <v>339</v>
      </c>
      <c r="L21" s="21" t="str">
        <f>VLOOKUP(C21,'Trips&amp;Operators'!$C$1:$E$9999,3,FALSE)</f>
        <v>JACKSON</v>
      </c>
      <c r="M21" s="20" t="s">
        <v>607</v>
      </c>
      <c r="N21" s="21" t="s">
        <v>610</v>
      </c>
    </row>
    <row r="22" spans="1:14" s="19" customFormat="1" x14ac:dyDescent="0.25">
      <c r="A22" s="23">
        <v>42493.788993055554</v>
      </c>
      <c r="B22" s="22" t="s">
        <v>146</v>
      </c>
      <c r="C22" s="22" t="s">
        <v>325</v>
      </c>
      <c r="D22" s="22" t="s">
        <v>337</v>
      </c>
      <c r="E22" s="22" t="s">
        <v>340</v>
      </c>
      <c r="F22" s="22">
        <v>200</v>
      </c>
      <c r="G22" s="22">
        <v>241</v>
      </c>
      <c r="H22" s="22">
        <v>30657</v>
      </c>
      <c r="I22" s="22" t="s">
        <v>341</v>
      </c>
      <c r="J22" s="22">
        <v>30562</v>
      </c>
      <c r="K22" s="21" t="s">
        <v>342</v>
      </c>
      <c r="L22" s="21" t="str">
        <f>VLOOKUP(C22,'Trips&amp;Operators'!$C$1:$E$9999,3,FALSE)</f>
        <v>YOUNG</v>
      </c>
      <c r="M22" s="20" t="s">
        <v>607</v>
      </c>
      <c r="N22" s="21" t="s">
        <v>610</v>
      </c>
    </row>
    <row r="23" spans="1:14" s="19" customFormat="1" x14ac:dyDescent="0.25">
      <c r="A23" s="23">
        <v>42493.79351851852</v>
      </c>
      <c r="B23" s="22" t="s">
        <v>50</v>
      </c>
      <c r="C23" s="22" t="s">
        <v>326</v>
      </c>
      <c r="D23" s="22" t="s">
        <v>345</v>
      </c>
      <c r="E23" s="22" t="s">
        <v>340</v>
      </c>
      <c r="F23" s="22">
        <v>200</v>
      </c>
      <c r="G23" s="22">
        <v>250</v>
      </c>
      <c r="H23" s="22">
        <v>5199</v>
      </c>
      <c r="I23" s="22" t="s">
        <v>341</v>
      </c>
      <c r="J23" s="22">
        <v>4677</v>
      </c>
      <c r="K23" s="21" t="s">
        <v>339</v>
      </c>
      <c r="L23" s="21" t="str">
        <f>VLOOKUP(C23,'Trips&amp;Operators'!$C$1:$E$9999,3,FALSE)</f>
        <v>LEVERE</v>
      </c>
      <c r="M23" s="20" t="s">
        <v>607</v>
      </c>
      <c r="N23" s="21" t="s">
        <v>610</v>
      </c>
    </row>
    <row r="24" spans="1:14" s="19" customFormat="1" x14ac:dyDescent="0.25">
      <c r="A24" s="23">
        <v>42493.931250000001</v>
      </c>
      <c r="B24" s="22" t="s">
        <v>139</v>
      </c>
      <c r="C24" s="22" t="s">
        <v>332</v>
      </c>
      <c r="D24" s="22" t="s">
        <v>345</v>
      </c>
      <c r="E24" s="22" t="s">
        <v>340</v>
      </c>
      <c r="F24" s="22">
        <v>400</v>
      </c>
      <c r="G24" s="22">
        <v>451</v>
      </c>
      <c r="H24" s="22">
        <v>119711</v>
      </c>
      <c r="I24" s="22" t="s">
        <v>341</v>
      </c>
      <c r="J24" s="22">
        <v>116838</v>
      </c>
      <c r="K24" s="21" t="s">
        <v>339</v>
      </c>
      <c r="L24" s="21" t="str">
        <f>VLOOKUP(C24,'Trips&amp;Operators'!$C$1:$E$9999,3,FALSE)</f>
        <v>STORY</v>
      </c>
      <c r="M24" s="20" t="s">
        <v>607</v>
      </c>
      <c r="N24" s="21" t="s">
        <v>610</v>
      </c>
    </row>
    <row r="25" spans="1:14" s="19" customFormat="1" x14ac:dyDescent="0.25">
      <c r="A25" s="23">
        <v>42493.94017361111</v>
      </c>
      <c r="B25" s="22" t="s">
        <v>63</v>
      </c>
      <c r="C25" s="22" t="s">
        <v>333</v>
      </c>
      <c r="D25" s="22" t="s">
        <v>337</v>
      </c>
      <c r="E25" s="22" t="s">
        <v>340</v>
      </c>
      <c r="F25" s="22">
        <v>150</v>
      </c>
      <c r="G25" s="22">
        <v>197</v>
      </c>
      <c r="H25" s="22">
        <v>5218</v>
      </c>
      <c r="I25" s="22" t="s">
        <v>341</v>
      </c>
      <c r="J25" s="22">
        <v>4677</v>
      </c>
      <c r="K25" s="21" t="s">
        <v>342</v>
      </c>
      <c r="L25" s="21" t="str">
        <f>VLOOKUP(C25,'Trips&amp;Operators'!$C$1:$E$9999,3,FALSE)</f>
        <v>LEVERE</v>
      </c>
      <c r="M25" s="20" t="s">
        <v>607</v>
      </c>
      <c r="N25" s="21" t="s">
        <v>610</v>
      </c>
    </row>
    <row r="26" spans="1:14" s="19" customFormat="1" x14ac:dyDescent="0.25">
      <c r="A26" s="23">
        <v>42493.962638888886</v>
      </c>
      <c r="B26" s="22" t="s">
        <v>50</v>
      </c>
      <c r="C26" s="22" t="s">
        <v>334</v>
      </c>
      <c r="D26" s="22" t="s">
        <v>337</v>
      </c>
      <c r="E26" s="22" t="s">
        <v>340</v>
      </c>
      <c r="F26" s="22">
        <v>300</v>
      </c>
      <c r="G26" s="22">
        <v>305</v>
      </c>
      <c r="H26" s="22">
        <v>20279</v>
      </c>
      <c r="I26" s="22" t="s">
        <v>341</v>
      </c>
      <c r="J26" s="22">
        <v>20338</v>
      </c>
      <c r="K26" s="21" t="s">
        <v>339</v>
      </c>
      <c r="L26" s="21" t="str">
        <f>VLOOKUP(C26,'Trips&amp;Operators'!$C$1:$E$9999,3,FALSE)</f>
        <v>LEVERE</v>
      </c>
      <c r="M26" s="20" t="s">
        <v>607</v>
      </c>
      <c r="N26" s="21" t="s">
        <v>610</v>
      </c>
    </row>
    <row r="27" spans="1:14" s="19" customFormat="1" x14ac:dyDescent="0.25">
      <c r="A27" s="23">
        <v>42493.174537037034</v>
      </c>
      <c r="B27" s="22" t="s">
        <v>154</v>
      </c>
      <c r="C27" s="22" t="s">
        <v>276</v>
      </c>
      <c r="D27" s="22" t="s">
        <v>337</v>
      </c>
      <c r="E27" s="22" t="s">
        <v>282</v>
      </c>
      <c r="F27" s="22">
        <v>0</v>
      </c>
      <c r="G27" s="22">
        <v>675</v>
      </c>
      <c r="H27" s="22">
        <v>148782</v>
      </c>
      <c r="I27" s="22" t="s">
        <v>338</v>
      </c>
      <c r="J27" s="22">
        <v>149694</v>
      </c>
      <c r="K27" s="21" t="s">
        <v>339</v>
      </c>
      <c r="L27" s="21" t="str">
        <f>VLOOKUP(C27,'Trips&amp;Operators'!$C$1:$E$9999,3,FALSE)</f>
        <v>STARKS</v>
      </c>
      <c r="M27" s="20" t="s">
        <v>609</v>
      </c>
      <c r="N27" s="21" t="s">
        <v>613</v>
      </c>
    </row>
    <row r="28" spans="1:14" s="19" customFormat="1" x14ac:dyDescent="0.25">
      <c r="A28" s="23">
        <v>42493.240810185183</v>
      </c>
      <c r="B28" s="22" t="s">
        <v>245</v>
      </c>
      <c r="C28" s="22" t="s">
        <v>246</v>
      </c>
      <c r="D28" s="22" t="s">
        <v>345</v>
      </c>
      <c r="E28" s="22" t="s">
        <v>282</v>
      </c>
      <c r="F28" s="22">
        <v>0</v>
      </c>
      <c r="G28" s="22">
        <v>170</v>
      </c>
      <c r="H28" s="22">
        <v>1969</v>
      </c>
      <c r="I28" s="22" t="s">
        <v>338</v>
      </c>
      <c r="J28" s="22">
        <v>1692</v>
      </c>
      <c r="K28" s="21" t="s">
        <v>339</v>
      </c>
      <c r="L28" s="21" t="str">
        <f>VLOOKUP(C28,'Trips&amp;Operators'!$C$1:$E$9999,3,FALSE)</f>
        <v>STARKS</v>
      </c>
      <c r="M28" s="20" t="s">
        <v>607</v>
      </c>
      <c r="N28" s="21" t="s">
        <v>614</v>
      </c>
    </row>
    <row r="29" spans="1:14" s="19" customFormat="1" x14ac:dyDescent="0.25">
      <c r="A29" s="23">
        <v>42493.329131944447</v>
      </c>
      <c r="B29" s="22" t="s">
        <v>63</v>
      </c>
      <c r="C29" s="22" t="s">
        <v>284</v>
      </c>
      <c r="D29" s="22" t="s">
        <v>337</v>
      </c>
      <c r="E29" s="22" t="s">
        <v>282</v>
      </c>
      <c r="F29" s="22">
        <v>0</v>
      </c>
      <c r="G29" s="22">
        <v>370</v>
      </c>
      <c r="H29" s="22">
        <v>129227</v>
      </c>
      <c r="I29" s="22" t="s">
        <v>338</v>
      </c>
      <c r="J29" s="22">
        <v>127587</v>
      </c>
      <c r="K29" s="21" t="s">
        <v>342</v>
      </c>
      <c r="L29" s="21" t="str">
        <f>VLOOKUP(C29,'Trips&amp;Operators'!$C$1:$E$9999,3,FALSE)</f>
        <v>NEWELL</v>
      </c>
      <c r="M29" s="20" t="s">
        <v>607</v>
      </c>
      <c r="N29" s="21" t="s">
        <v>615</v>
      </c>
    </row>
    <row r="30" spans="1:14" s="19" customFormat="1" x14ac:dyDescent="0.25">
      <c r="A30" s="23">
        <v>42493.4140162037</v>
      </c>
      <c r="B30" s="22" t="s">
        <v>139</v>
      </c>
      <c r="C30" s="22" t="s">
        <v>295</v>
      </c>
      <c r="D30" s="22" t="s">
        <v>337</v>
      </c>
      <c r="E30" s="22" t="s">
        <v>282</v>
      </c>
      <c r="F30" s="22">
        <v>0</v>
      </c>
      <c r="G30" s="22">
        <v>793</v>
      </c>
      <c r="H30" s="22">
        <v>141337</v>
      </c>
      <c r="I30" s="22" t="s">
        <v>338</v>
      </c>
      <c r="J30" s="22">
        <v>144300</v>
      </c>
      <c r="K30" s="21" t="s">
        <v>339</v>
      </c>
      <c r="L30" s="21" t="str">
        <f>VLOOKUP(C30,'Trips&amp;Operators'!$C$1:$E$9999,3,FALSE)</f>
        <v>CHANDLER</v>
      </c>
      <c r="M30" s="20" t="s">
        <v>609</v>
      </c>
      <c r="N30" s="21" t="s">
        <v>613</v>
      </c>
    </row>
    <row r="31" spans="1:14" s="19" customFormat="1" x14ac:dyDescent="0.25">
      <c r="A31" s="23">
        <v>42493.658680555556</v>
      </c>
      <c r="B31" s="22" t="s">
        <v>145</v>
      </c>
      <c r="C31" s="22" t="s">
        <v>315</v>
      </c>
      <c r="D31" s="22" t="s">
        <v>337</v>
      </c>
      <c r="E31" s="22" t="s">
        <v>282</v>
      </c>
      <c r="F31" s="22">
        <v>0</v>
      </c>
      <c r="G31" s="22">
        <v>41</v>
      </c>
      <c r="H31" s="22">
        <v>673</v>
      </c>
      <c r="I31" s="22" t="s">
        <v>338</v>
      </c>
      <c r="J31" s="22">
        <v>63995</v>
      </c>
      <c r="K31" s="21" t="s">
        <v>339</v>
      </c>
      <c r="L31" s="21" t="str">
        <f>VLOOKUP(C31,'Trips&amp;Operators'!$C$1:$E$9999,3,FALSE)</f>
        <v>YOUNG</v>
      </c>
      <c r="M31" s="20" t="s">
        <v>609</v>
      </c>
      <c r="N31" s="21" t="s">
        <v>616</v>
      </c>
    </row>
    <row r="32" spans="1:14" s="19" customFormat="1" x14ac:dyDescent="0.25">
      <c r="A32" s="23">
        <v>42493.676458333335</v>
      </c>
      <c r="B32" s="22" t="s">
        <v>145</v>
      </c>
      <c r="C32" s="22" t="s">
        <v>315</v>
      </c>
      <c r="D32" s="22" t="s">
        <v>337</v>
      </c>
      <c r="E32" s="22" t="s">
        <v>282</v>
      </c>
      <c r="F32" s="22">
        <v>0</v>
      </c>
      <c r="G32" s="22">
        <v>726</v>
      </c>
      <c r="H32" s="22">
        <v>146319</v>
      </c>
      <c r="I32" s="22" t="s">
        <v>338</v>
      </c>
      <c r="J32" s="22">
        <v>149694</v>
      </c>
      <c r="K32" s="21" t="s">
        <v>339</v>
      </c>
      <c r="L32" s="21" t="str">
        <f>VLOOKUP(C32,'Trips&amp;Operators'!$C$1:$E$9999,3,FALSE)</f>
        <v>YOUNG</v>
      </c>
      <c r="M32" s="20" t="s">
        <v>609</v>
      </c>
      <c r="N32" s="21" t="s">
        <v>613</v>
      </c>
    </row>
    <row r="33" spans="1:14" s="19" customFormat="1" x14ac:dyDescent="0.25">
      <c r="A33" s="23">
        <v>42493.757418981484</v>
      </c>
      <c r="B33" s="22" t="s">
        <v>154</v>
      </c>
      <c r="C33" s="22" t="s">
        <v>323</v>
      </c>
      <c r="D33" s="22" t="s">
        <v>337</v>
      </c>
      <c r="E33" s="22" t="s">
        <v>282</v>
      </c>
      <c r="F33" s="22">
        <v>0</v>
      </c>
      <c r="G33" s="22">
        <v>719</v>
      </c>
      <c r="H33" s="22">
        <v>148532</v>
      </c>
      <c r="I33" s="22" t="s">
        <v>338</v>
      </c>
      <c r="J33" s="22">
        <v>149694</v>
      </c>
      <c r="K33" s="21" t="s">
        <v>339</v>
      </c>
      <c r="L33" s="21" t="str">
        <f>VLOOKUP(C33,'Trips&amp;Operators'!$C$1:$E$9999,3,FALSE)</f>
        <v>REBOLETTI</v>
      </c>
      <c r="M33" s="20" t="s">
        <v>609</v>
      </c>
      <c r="N33" s="21" t="s">
        <v>613</v>
      </c>
    </row>
    <row r="34" spans="1:14" s="19" customFormat="1" x14ac:dyDescent="0.25">
      <c r="A34" s="23">
        <v>42493.830694444441</v>
      </c>
      <c r="B34" s="22" t="s">
        <v>154</v>
      </c>
      <c r="C34" s="22" t="s">
        <v>327</v>
      </c>
      <c r="D34" s="22" t="s">
        <v>337</v>
      </c>
      <c r="E34" s="22" t="s">
        <v>282</v>
      </c>
      <c r="F34" s="22">
        <v>0</v>
      </c>
      <c r="G34" s="22">
        <v>705</v>
      </c>
      <c r="H34" s="22">
        <v>148578</v>
      </c>
      <c r="I34" s="22" t="s">
        <v>338</v>
      </c>
      <c r="J34" s="22">
        <v>149694</v>
      </c>
      <c r="K34" s="21" t="s">
        <v>339</v>
      </c>
      <c r="L34" s="21" t="str">
        <f>VLOOKUP(C34,'Trips&amp;Operators'!$C$1:$E$9999,3,FALSE)</f>
        <v>REBOLETTI</v>
      </c>
      <c r="M34" s="20" t="s">
        <v>609</v>
      </c>
      <c r="N34" s="21" t="s">
        <v>613</v>
      </c>
    </row>
    <row r="35" spans="1:14" s="19" customFormat="1" x14ac:dyDescent="0.25">
      <c r="A35" s="23">
        <v>42494.001238425924</v>
      </c>
      <c r="B35" s="22" t="s">
        <v>154</v>
      </c>
      <c r="C35" s="22" t="s">
        <v>336</v>
      </c>
      <c r="D35" s="22" t="s">
        <v>337</v>
      </c>
      <c r="E35" s="22" t="s">
        <v>282</v>
      </c>
      <c r="F35" s="22">
        <v>0</v>
      </c>
      <c r="G35" s="22">
        <v>777</v>
      </c>
      <c r="H35" s="22">
        <v>211754</v>
      </c>
      <c r="I35" s="22" t="s">
        <v>338</v>
      </c>
      <c r="J35" s="22">
        <v>217106</v>
      </c>
      <c r="K35" s="21" t="s">
        <v>339</v>
      </c>
      <c r="L35" s="21" t="str">
        <f>VLOOKUP(C35,'Trips&amp;Operators'!$C$1:$E$9999,3,FALSE)</f>
        <v>REBOLETTI</v>
      </c>
      <c r="M35" s="20" t="s">
        <v>609</v>
      </c>
      <c r="N35" s="21" t="s">
        <v>613</v>
      </c>
    </row>
    <row r="36" spans="1:14" s="19" customFormat="1" x14ac:dyDescent="0.25">
      <c r="A36" s="23">
        <v>42493.501747685186</v>
      </c>
      <c r="B36" s="22" t="s">
        <v>238</v>
      </c>
      <c r="C36" s="22" t="s">
        <v>302</v>
      </c>
      <c r="D36" s="22" t="s">
        <v>345</v>
      </c>
      <c r="E36" s="22" t="s">
        <v>348</v>
      </c>
      <c r="F36" s="22">
        <v>0</v>
      </c>
      <c r="G36" s="22">
        <v>420</v>
      </c>
      <c r="H36" s="22">
        <v>190936</v>
      </c>
      <c r="I36" s="22" t="s">
        <v>349</v>
      </c>
      <c r="J36" s="22">
        <v>191723</v>
      </c>
      <c r="K36" s="21" t="s">
        <v>342</v>
      </c>
      <c r="L36" s="21" t="str">
        <f>VLOOKUP(C36,'Trips&amp;Operators'!$C$1:$E$9999,3,FALSE)</f>
        <v>SPECTOR</v>
      </c>
      <c r="M36" s="20" t="s">
        <v>609</v>
      </c>
      <c r="N36" s="21" t="s">
        <v>613</v>
      </c>
    </row>
    <row r="37" spans="1:14" s="19" customFormat="1" x14ac:dyDescent="0.25">
      <c r="A37" s="23">
        <v>42493.544236111113</v>
      </c>
      <c r="B37" s="22" t="s">
        <v>154</v>
      </c>
      <c r="C37" s="22" t="s">
        <v>305</v>
      </c>
      <c r="D37" s="22" t="s">
        <v>337</v>
      </c>
      <c r="E37" s="22" t="s">
        <v>348</v>
      </c>
      <c r="F37" s="22">
        <v>0</v>
      </c>
      <c r="G37" s="22">
        <v>745</v>
      </c>
      <c r="H37" s="22">
        <v>212955</v>
      </c>
      <c r="I37" s="22" t="s">
        <v>349</v>
      </c>
      <c r="J37" s="22">
        <v>217106</v>
      </c>
      <c r="K37" s="21" t="s">
        <v>339</v>
      </c>
      <c r="L37" s="21" t="str">
        <f>VLOOKUP(C37,'Trips&amp;Operators'!$C$1:$E$9999,3,FALSE)</f>
        <v>CANFIELD</v>
      </c>
      <c r="M37" s="20" t="s">
        <v>609</v>
      </c>
      <c r="N37" s="21" t="s">
        <v>613</v>
      </c>
    </row>
    <row r="38" spans="1:14" s="19" customFormat="1" x14ac:dyDescent="0.25">
      <c r="A38" s="23">
        <v>42493.213020833333</v>
      </c>
      <c r="B38" s="22" t="s">
        <v>206</v>
      </c>
      <c r="C38" s="22" t="s">
        <v>237</v>
      </c>
      <c r="D38" s="22" t="s">
        <v>337</v>
      </c>
      <c r="E38" s="22" t="s">
        <v>343</v>
      </c>
      <c r="F38" s="22">
        <v>0</v>
      </c>
      <c r="G38" s="22">
        <v>9</v>
      </c>
      <c r="H38" s="22">
        <v>233322</v>
      </c>
      <c r="I38" s="22" t="s">
        <v>344</v>
      </c>
      <c r="J38" s="22">
        <v>233491</v>
      </c>
      <c r="K38" s="21" t="s">
        <v>339</v>
      </c>
      <c r="L38" s="21" t="str">
        <f>VLOOKUP(C38,'Trips&amp;Operators'!$C$1:$E$9999,3,FALSE)</f>
        <v>DE LA ROSA</v>
      </c>
      <c r="M38" s="20" t="s">
        <v>607</v>
      </c>
      <c r="N38" s="21" t="s">
        <v>611</v>
      </c>
    </row>
    <row r="39" spans="1:14" s="19" customFormat="1" x14ac:dyDescent="0.25">
      <c r="A39" s="23">
        <v>42493.222037037034</v>
      </c>
      <c r="B39" s="22" t="s">
        <v>238</v>
      </c>
      <c r="C39" s="22" t="s">
        <v>239</v>
      </c>
      <c r="D39" s="22" t="s">
        <v>337</v>
      </c>
      <c r="E39" s="22" t="s">
        <v>343</v>
      </c>
      <c r="F39" s="22">
        <v>0</v>
      </c>
      <c r="G39" s="22">
        <v>5</v>
      </c>
      <c r="H39" s="22">
        <v>243</v>
      </c>
      <c r="I39" s="22" t="s">
        <v>344</v>
      </c>
      <c r="J39" s="22">
        <v>1</v>
      </c>
      <c r="K39" s="21" t="s">
        <v>342</v>
      </c>
      <c r="L39" s="21" t="str">
        <f>VLOOKUP(C39,'Trips&amp;Operators'!$C$1:$E$9999,3,FALSE)</f>
        <v>STARKS</v>
      </c>
      <c r="M39" s="20" t="s">
        <v>607</v>
      </c>
      <c r="N39" s="21" t="s">
        <v>611</v>
      </c>
    </row>
    <row r="40" spans="1:14" s="19" customFormat="1" x14ac:dyDescent="0.25">
      <c r="A40" s="23">
        <v>42493.265370370369</v>
      </c>
      <c r="B40" s="22" t="s">
        <v>245</v>
      </c>
      <c r="C40" s="22" t="s">
        <v>246</v>
      </c>
      <c r="D40" s="22" t="s">
        <v>337</v>
      </c>
      <c r="E40" s="22" t="s">
        <v>343</v>
      </c>
      <c r="F40" s="22">
        <v>0</v>
      </c>
      <c r="G40" s="22">
        <v>102</v>
      </c>
      <c r="H40" s="22">
        <v>232981</v>
      </c>
      <c r="I40" s="22" t="s">
        <v>344</v>
      </c>
      <c r="J40" s="22">
        <v>233491</v>
      </c>
      <c r="K40" s="21" t="s">
        <v>339</v>
      </c>
      <c r="L40" s="21" t="str">
        <f>VLOOKUP(C40,'Trips&amp;Operators'!$C$1:$E$9999,3,FALSE)</f>
        <v>STARKS</v>
      </c>
      <c r="M40" s="20" t="s">
        <v>607</v>
      </c>
      <c r="N40" s="21" t="s">
        <v>611</v>
      </c>
    </row>
    <row r="41" spans="1:14" s="19" customFormat="1" x14ac:dyDescent="0.25">
      <c r="A41" s="23">
        <v>42493.305636574078</v>
      </c>
      <c r="B41" s="22" t="s">
        <v>238</v>
      </c>
      <c r="C41" s="22" t="s">
        <v>283</v>
      </c>
      <c r="D41" s="22" t="s">
        <v>337</v>
      </c>
      <c r="E41" s="22" t="s">
        <v>343</v>
      </c>
      <c r="F41" s="22">
        <v>0</v>
      </c>
      <c r="G41" s="22">
        <v>52</v>
      </c>
      <c r="H41" s="22">
        <v>223</v>
      </c>
      <c r="I41" s="22" t="s">
        <v>344</v>
      </c>
      <c r="J41" s="22">
        <v>1</v>
      </c>
      <c r="K41" s="21" t="s">
        <v>342</v>
      </c>
      <c r="L41" s="21" t="str">
        <f>VLOOKUP(C41,'Trips&amp;Operators'!$C$1:$E$9999,3,FALSE)</f>
        <v>STARKS</v>
      </c>
      <c r="M41" s="20" t="s">
        <v>607</v>
      </c>
      <c r="N41" s="21" t="s">
        <v>611</v>
      </c>
    </row>
    <row r="42" spans="1:14" s="19" customFormat="1" x14ac:dyDescent="0.25">
      <c r="A42" s="23">
        <v>42493.348437499997</v>
      </c>
      <c r="B42" s="22" t="s">
        <v>164</v>
      </c>
      <c r="C42" s="22" t="s">
        <v>285</v>
      </c>
      <c r="D42" s="22" t="s">
        <v>337</v>
      </c>
      <c r="E42" s="22" t="s">
        <v>343</v>
      </c>
      <c r="F42" s="22">
        <v>0</v>
      </c>
      <c r="G42" s="22">
        <v>5</v>
      </c>
      <c r="H42" s="22">
        <v>233349</v>
      </c>
      <c r="I42" s="22" t="s">
        <v>344</v>
      </c>
      <c r="J42" s="22">
        <v>233491</v>
      </c>
      <c r="K42" s="21" t="s">
        <v>339</v>
      </c>
      <c r="L42" s="21" t="str">
        <f>VLOOKUP(C42,'Trips&amp;Operators'!$C$1:$E$9999,3,FALSE)</f>
        <v>CHANDLER</v>
      </c>
      <c r="M42" s="20" t="s">
        <v>607</v>
      </c>
      <c r="N42" s="21" t="s">
        <v>611</v>
      </c>
    </row>
    <row r="43" spans="1:14" s="19" customFormat="1" x14ac:dyDescent="0.25">
      <c r="A43" s="23">
        <v>42493.348449074074</v>
      </c>
      <c r="B43" s="22" t="s">
        <v>139</v>
      </c>
      <c r="C43" s="22" t="s">
        <v>286</v>
      </c>
      <c r="D43" s="22" t="s">
        <v>337</v>
      </c>
      <c r="E43" s="22" t="s">
        <v>343</v>
      </c>
      <c r="F43" s="22">
        <v>0</v>
      </c>
      <c r="G43" s="22">
        <v>5</v>
      </c>
      <c r="H43" s="22">
        <v>233349</v>
      </c>
      <c r="I43" s="22" t="s">
        <v>344</v>
      </c>
      <c r="J43" s="22">
        <v>233491</v>
      </c>
      <c r="K43" s="21" t="s">
        <v>339</v>
      </c>
      <c r="L43" s="21" t="str">
        <f>VLOOKUP(C43,'Trips&amp;Operators'!$C$1:$E$9999,3,FALSE)</f>
        <v>CHANDLER</v>
      </c>
      <c r="M43" s="20" t="s">
        <v>607</v>
      </c>
      <c r="N43" s="21" t="s">
        <v>611</v>
      </c>
    </row>
    <row r="44" spans="1:14" s="19" customFormat="1" x14ac:dyDescent="0.25">
      <c r="A44" s="23">
        <v>42493.357083333336</v>
      </c>
      <c r="B44" s="22" t="s">
        <v>146</v>
      </c>
      <c r="C44" s="22" t="s">
        <v>287</v>
      </c>
      <c r="D44" s="22" t="s">
        <v>337</v>
      </c>
      <c r="E44" s="22" t="s">
        <v>343</v>
      </c>
      <c r="F44" s="22">
        <v>0</v>
      </c>
      <c r="G44" s="22">
        <v>6</v>
      </c>
      <c r="H44" s="22">
        <v>129</v>
      </c>
      <c r="I44" s="22" t="s">
        <v>344</v>
      </c>
      <c r="J44" s="22">
        <v>1</v>
      </c>
      <c r="K44" s="21" t="s">
        <v>342</v>
      </c>
      <c r="L44" s="21" t="str">
        <f>VLOOKUP(C44,'Trips&amp;Operators'!$C$1:$E$9999,3,FALSE)</f>
        <v>BRUDER</v>
      </c>
      <c r="M44" s="20" t="s">
        <v>607</v>
      </c>
      <c r="N44" s="21" t="s">
        <v>611</v>
      </c>
    </row>
    <row r="45" spans="1:14" s="19" customFormat="1" x14ac:dyDescent="0.25">
      <c r="A45" s="23">
        <v>42493.366041666668</v>
      </c>
      <c r="B45" s="22" t="s">
        <v>148</v>
      </c>
      <c r="C45" s="22" t="s">
        <v>289</v>
      </c>
      <c r="D45" s="22" t="s">
        <v>337</v>
      </c>
      <c r="E45" s="22" t="s">
        <v>343</v>
      </c>
      <c r="F45" s="22">
        <v>0</v>
      </c>
      <c r="G45" s="22">
        <v>44</v>
      </c>
      <c r="H45" s="22">
        <v>156</v>
      </c>
      <c r="I45" s="22" t="s">
        <v>344</v>
      </c>
      <c r="J45" s="22">
        <v>1</v>
      </c>
      <c r="K45" s="21" t="s">
        <v>342</v>
      </c>
      <c r="L45" s="21" t="str">
        <f>VLOOKUP(C45,'Trips&amp;Operators'!$C$1:$E$9999,3,FALSE)</f>
        <v>SPECTOR</v>
      </c>
      <c r="M45" s="20" t="s">
        <v>607</v>
      </c>
      <c r="N45" s="21" t="s">
        <v>611</v>
      </c>
    </row>
    <row r="46" spans="1:14" s="19" customFormat="1" x14ac:dyDescent="0.25">
      <c r="A46" s="23">
        <v>42493.377881944441</v>
      </c>
      <c r="B46" s="22" t="s">
        <v>238</v>
      </c>
      <c r="C46" s="22" t="s">
        <v>288</v>
      </c>
      <c r="D46" s="22" t="s">
        <v>337</v>
      </c>
      <c r="E46" s="22" t="s">
        <v>343</v>
      </c>
      <c r="F46" s="22">
        <v>0</v>
      </c>
      <c r="G46" s="22">
        <v>32</v>
      </c>
      <c r="H46" s="22">
        <v>163</v>
      </c>
      <c r="I46" s="22" t="s">
        <v>344</v>
      </c>
      <c r="J46" s="22">
        <v>1</v>
      </c>
      <c r="K46" s="21" t="s">
        <v>342</v>
      </c>
      <c r="L46" s="21" t="str">
        <f>VLOOKUP(C46,'Trips&amp;Operators'!$C$1:$E$9999,3,FALSE)</f>
        <v>STARKS</v>
      </c>
      <c r="M46" s="20" t="s">
        <v>607</v>
      </c>
      <c r="N46" s="21" t="s">
        <v>611</v>
      </c>
    </row>
    <row r="47" spans="1:14" s="19" customFormat="1" x14ac:dyDescent="0.25">
      <c r="A47" s="23">
        <v>42493.378622685188</v>
      </c>
      <c r="B47" s="22" t="s">
        <v>50</v>
      </c>
      <c r="C47" s="22" t="s">
        <v>290</v>
      </c>
      <c r="D47" s="22" t="s">
        <v>337</v>
      </c>
      <c r="E47" s="22" t="s">
        <v>343</v>
      </c>
      <c r="F47" s="22">
        <v>0</v>
      </c>
      <c r="G47" s="22">
        <v>9</v>
      </c>
      <c r="H47" s="22">
        <v>233328</v>
      </c>
      <c r="I47" s="22" t="s">
        <v>344</v>
      </c>
      <c r="J47" s="22">
        <v>233491</v>
      </c>
      <c r="K47" s="21" t="s">
        <v>339</v>
      </c>
      <c r="L47" s="21" t="str">
        <f>VLOOKUP(C47,'Trips&amp;Operators'!$C$1:$E$9999,3,FALSE)</f>
        <v>NEWELL</v>
      </c>
      <c r="M47" s="20" t="s">
        <v>607</v>
      </c>
      <c r="N47" s="21" t="s">
        <v>611</v>
      </c>
    </row>
    <row r="48" spans="1:14" s="19" customFormat="1" x14ac:dyDescent="0.25">
      <c r="A48" s="23">
        <v>42493.402060185188</v>
      </c>
      <c r="B48" s="22" t="s">
        <v>134</v>
      </c>
      <c r="C48" s="22" t="s">
        <v>292</v>
      </c>
      <c r="D48" s="22" t="s">
        <v>337</v>
      </c>
      <c r="E48" s="22" t="s">
        <v>343</v>
      </c>
      <c r="F48" s="22">
        <v>0</v>
      </c>
      <c r="G48" s="22">
        <v>9</v>
      </c>
      <c r="H48" s="22">
        <v>1779</v>
      </c>
      <c r="I48" s="22" t="s">
        <v>344</v>
      </c>
      <c r="J48" s="22">
        <v>839</v>
      </c>
      <c r="K48" s="21" t="s">
        <v>342</v>
      </c>
      <c r="L48" s="21" t="str">
        <f>VLOOKUP(C48,'Trips&amp;Operators'!$C$1:$E$9999,3,FALSE)</f>
        <v>DE LA ROSA</v>
      </c>
      <c r="M48" s="20" t="s">
        <v>607</v>
      </c>
      <c r="N48" s="21" t="s">
        <v>611</v>
      </c>
    </row>
    <row r="49" spans="1:14" s="19" customFormat="1" x14ac:dyDescent="0.25">
      <c r="A49" s="23">
        <v>42493.402662037035</v>
      </c>
      <c r="B49" s="22" t="s">
        <v>134</v>
      </c>
      <c r="C49" s="22" t="s">
        <v>292</v>
      </c>
      <c r="D49" s="22" t="s">
        <v>337</v>
      </c>
      <c r="E49" s="22" t="s">
        <v>343</v>
      </c>
      <c r="F49" s="22">
        <v>0</v>
      </c>
      <c r="G49" s="22">
        <v>8</v>
      </c>
      <c r="H49" s="22">
        <v>1749</v>
      </c>
      <c r="I49" s="22" t="s">
        <v>344</v>
      </c>
      <c r="J49" s="22">
        <v>839</v>
      </c>
      <c r="K49" s="21" t="s">
        <v>342</v>
      </c>
      <c r="L49" s="21" t="str">
        <f>VLOOKUP(C49,'Trips&amp;Operators'!$C$1:$E$9999,3,FALSE)</f>
        <v>DE LA ROSA</v>
      </c>
      <c r="M49" s="20" t="s">
        <v>607</v>
      </c>
      <c r="N49" s="21" t="s">
        <v>611</v>
      </c>
    </row>
    <row r="50" spans="1:14" s="19" customFormat="1" x14ac:dyDescent="0.25">
      <c r="A50" s="23">
        <v>42493.408877314818</v>
      </c>
      <c r="B50" s="22" t="s">
        <v>278</v>
      </c>
      <c r="C50" s="22" t="s">
        <v>293</v>
      </c>
      <c r="D50" s="22" t="s">
        <v>337</v>
      </c>
      <c r="E50" s="22" t="s">
        <v>343</v>
      </c>
      <c r="F50" s="22">
        <v>0</v>
      </c>
      <c r="G50" s="22">
        <v>57</v>
      </c>
      <c r="H50" s="22">
        <v>240</v>
      </c>
      <c r="I50" s="22" t="s">
        <v>344</v>
      </c>
      <c r="J50" s="22">
        <v>1</v>
      </c>
      <c r="K50" s="21" t="s">
        <v>342</v>
      </c>
      <c r="L50" s="21" t="str">
        <f>VLOOKUP(C50,'Trips&amp;Operators'!$C$1:$E$9999,3,FALSE)</f>
        <v>ACKERMAN</v>
      </c>
      <c r="M50" s="20" t="s">
        <v>607</v>
      </c>
      <c r="N50" s="21" t="s">
        <v>611</v>
      </c>
    </row>
    <row r="51" spans="1:14" s="19" customFormat="1" x14ac:dyDescent="0.25">
      <c r="A51" s="23">
        <v>42493.418437499997</v>
      </c>
      <c r="B51" s="22" t="s">
        <v>63</v>
      </c>
      <c r="C51" s="22" t="s">
        <v>296</v>
      </c>
      <c r="D51" s="22" t="s">
        <v>337</v>
      </c>
      <c r="E51" s="22" t="s">
        <v>343</v>
      </c>
      <c r="F51" s="22">
        <v>0</v>
      </c>
      <c r="G51" s="22">
        <v>5</v>
      </c>
      <c r="H51" s="22">
        <v>114</v>
      </c>
      <c r="I51" s="22" t="s">
        <v>344</v>
      </c>
      <c r="J51" s="22">
        <v>1</v>
      </c>
      <c r="K51" s="21" t="s">
        <v>342</v>
      </c>
      <c r="L51" s="21" t="str">
        <f>VLOOKUP(C51,'Trips&amp;Operators'!$C$1:$E$9999,3,FALSE)</f>
        <v>NEWELL</v>
      </c>
      <c r="M51" s="20" t="s">
        <v>607</v>
      </c>
      <c r="N51" s="21" t="s">
        <v>611</v>
      </c>
    </row>
    <row r="52" spans="1:14" s="19" customFormat="1" x14ac:dyDescent="0.25">
      <c r="A52" s="23">
        <v>42493.442453703705</v>
      </c>
      <c r="B52" s="22" t="s">
        <v>148</v>
      </c>
      <c r="C52" s="22" t="s">
        <v>297</v>
      </c>
      <c r="D52" s="22" t="s">
        <v>337</v>
      </c>
      <c r="E52" s="22" t="s">
        <v>343</v>
      </c>
      <c r="F52" s="22">
        <v>0</v>
      </c>
      <c r="G52" s="22">
        <v>89</v>
      </c>
      <c r="H52" s="22">
        <v>340</v>
      </c>
      <c r="I52" s="22" t="s">
        <v>344</v>
      </c>
      <c r="J52" s="22">
        <v>1</v>
      </c>
      <c r="K52" s="21" t="s">
        <v>342</v>
      </c>
      <c r="L52" s="21" t="str">
        <f>VLOOKUP(C52,'Trips&amp;Operators'!$C$1:$E$9999,3,FALSE)</f>
        <v>SPECTOR</v>
      </c>
      <c r="M52" s="20" t="s">
        <v>607</v>
      </c>
      <c r="N52" s="21" t="s">
        <v>611</v>
      </c>
    </row>
    <row r="53" spans="1:14" s="19" customFormat="1" x14ac:dyDescent="0.25">
      <c r="A53" s="23">
        <v>42493.462581018517</v>
      </c>
      <c r="B53" s="22" t="s">
        <v>164</v>
      </c>
      <c r="C53" s="22" t="s">
        <v>298</v>
      </c>
      <c r="D53" s="22" t="s">
        <v>337</v>
      </c>
      <c r="E53" s="22" t="s">
        <v>343</v>
      </c>
      <c r="F53" s="22">
        <v>0</v>
      </c>
      <c r="G53" s="22">
        <v>58</v>
      </c>
      <c r="H53" s="22">
        <v>183</v>
      </c>
      <c r="I53" s="22" t="s">
        <v>344</v>
      </c>
      <c r="J53" s="22">
        <v>1</v>
      </c>
      <c r="K53" s="21" t="s">
        <v>342</v>
      </c>
      <c r="L53" s="21" t="str">
        <f>VLOOKUP(C53,'Trips&amp;Operators'!$C$1:$E$9999,3,FALSE)</f>
        <v>CHANDLER</v>
      </c>
      <c r="M53" s="20" t="s">
        <v>607</v>
      </c>
      <c r="N53" s="21" t="s">
        <v>611</v>
      </c>
    </row>
    <row r="54" spans="1:14" s="19" customFormat="1" x14ac:dyDescent="0.25">
      <c r="A54" s="23">
        <v>42493.495358796295</v>
      </c>
      <c r="B54" s="22" t="s">
        <v>139</v>
      </c>
      <c r="C54" s="22" t="s">
        <v>300</v>
      </c>
      <c r="D54" s="22" t="s">
        <v>337</v>
      </c>
      <c r="E54" s="22" t="s">
        <v>343</v>
      </c>
      <c r="F54" s="22">
        <v>0</v>
      </c>
      <c r="G54" s="22">
        <v>36</v>
      </c>
      <c r="H54" s="22">
        <v>233340</v>
      </c>
      <c r="I54" s="22" t="s">
        <v>344</v>
      </c>
      <c r="J54" s="22">
        <v>233491</v>
      </c>
      <c r="K54" s="21" t="s">
        <v>339</v>
      </c>
      <c r="L54" s="21" t="str">
        <f>VLOOKUP(C54,'Trips&amp;Operators'!$C$1:$E$9999,3,FALSE)</f>
        <v>YORK</v>
      </c>
      <c r="M54" s="20" t="s">
        <v>607</v>
      </c>
      <c r="N54" s="21" t="s">
        <v>611</v>
      </c>
    </row>
    <row r="55" spans="1:14" s="19" customFormat="1" x14ac:dyDescent="0.25">
      <c r="A55" s="23">
        <v>42493.49590277778</v>
      </c>
      <c r="B55" s="22" t="s">
        <v>63</v>
      </c>
      <c r="C55" s="22" t="s">
        <v>301</v>
      </c>
      <c r="D55" s="22" t="s">
        <v>337</v>
      </c>
      <c r="E55" s="22" t="s">
        <v>343</v>
      </c>
      <c r="F55" s="22">
        <v>0</v>
      </c>
      <c r="G55" s="22">
        <v>119</v>
      </c>
      <c r="H55" s="22">
        <v>424</v>
      </c>
      <c r="I55" s="22" t="s">
        <v>344</v>
      </c>
      <c r="J55" s="22">
        <v>1</v>
      </c>
      <c r="K55" s="21" t="s">
        <v>342</v>
      </c>
      <c r="L55" s="21" t="str">
        <f>VLOOKUP(C55,'Trips&amp;Operators'!$C$1:$E$9999,3,FALSE)</f>
        <v>COOLAHAN</v>
      </c>
      <c r="M55" s="20" t="s">
        <v>607</v>
      </c>
      <c r="N55" s="21" t="s">
        <v>611</v>
      </c>
    </row>
    <row r="56" spans="1:14" s="19" customFormat="1" x14ac:dyDescent="0.25">
      <c r="A56" s="23">
        <v>42493.52679398148</v>
      </c>
      <c r="B56" s="22" t="s">
        <v>238</v>
      </c>
      <c r="C56" s="22" t="s">
        <v>302</v>
      </c>
      <c r="D56" s="22" t="s">
        <v>337</v>
      </c>
      <c r="E56" s="22" t="s">
        <v>343</v>
      </c>
      <c r="F56" s="22">
        <v>0</v>
      </c>
      <c r="G56" s="22">
        <v>67</v>
      </c>
      <c r="H56" s="22">
        <v>214</v>
      </c>
      <c r="I56" s="22" t="s">
        <v>344</v>
      </c>
      <c r="J56" s="22">
        <v>1</v>
      </c>
      <c r="K56" s="21" t="s">
        <v>342</v>
      </c>
      <c r="L56" s="21" t="str">
        <f>VLOOKUP(C56,'Trips&amp;Operators'!$C$1:$E$9999,3,FALSE)</f>
        <v>SPECTOR</v>
      </c>
      <c r="M56" s="20" t="s">
        <v>607</v>
      </c>
      <c r="N56" s="21" t="s">
        <v>611</v>
      </c>
    </row>
    <row r="57" spans="1:14" s="19" customFormat="1" x14ac:dyDescent="0.25">
      <c r="A57" s="23">
        <v>42493.536249999997</v>
      </c>
      <c r="B57" s="22" t="s">
        <v>145</v>
      </c>
      <c r="C57" s="22" t="s">
        <v>304</v>
      </c>
      <c r="D57" s="22" t="s">
        <v>337</v>
      </c>
      <c r="E57" s="22" t="s">
        <v>343</v>
      </c>
      <c r="F57" s="22">
        <v>0</v>
      </c>
      <c r="G57" s="22">
        <v>49</v>
      </c>
      <c r="H57" s="22">
        <v>233287</v>
      </c>
      <c r="I57" s="22" t="s">
        <v>344</v>
      </c>
      <c r="J57" s="22">
        <v>233491</v>
      </c>
      <c r="K57" s="21" t="s">
        <v>339</v>
      </c>
      <c r="L57" s="21" t="str">
        <f>VLOOKUP(C57,'Trips&amp;Operators'!$C$1:$E$9999,3,FALSE)</f>
        <v>YOUNG</v>
      </c>
      <c r="M57" s="20" t="s">
        <v>607</v>
      </c>
      <c r="N57" s="21" t="s">
        <v>611</v>
      </c>
    </row>
    <row r="58" spans="1:14" s="19" customFormat="1" x14ac:dyDescent="0.25">
      <c r="A58" s="23">
        <v>42493.545856481483</v>
      </c>
      <c r="B58" s="22" t="s">
        <v>153</v>
      </c>
      <c r="C58" s="22" t="s">
        <v>306</v>
      </c>
      <c r="D58" s="22" t="s">
        <v>337</v>
      </c>
      <c r="E58" s="22" t="s">
        <v>343</v>
      </c>
      <c r="F58" s="22">
        <v>0</v>
      </c>
      <c r="G58" s="22">
        <v>66</v>
      </c>
      <c r="H58" s="22">
        <v>232</v>
      </c>
      <c r="I58" s="22" t="s">
        <v>344</v>
      </c>
      <c r="J58" s="22">
        <v>1</v>
      </c>
      <c r="K58" s="21" t="s">
        <v>342</v>
      </c>
      <c r="L58" s="21" t="str">
        <f>VLOOKUP(C58,'Trips&amp;Operators'!$C$1:$E$9999,3,FALSE)</f>
        <v>BEAM</v>
      </c>
      <c r="M58" s="20" t="s">
        <v>607</v>
      </c>
      <c r="N58" s="21" t="s">
        <v>611</v>
      </c>
    </row>
    <row r="59" spans="1:14" s="19" customFormat="1" x14ac:dyDescent="0.25">
      <c r="A59" s="23">
        <v>42493.578819444447</v>
      </c>
      <c r="B59" s="22" t="s">
        <v>146</v>
      </c>
      <c r="C59" s="22" t="s">
        <v>308</v>
      </c>
      <c r="D59" s="22" t="s">
        <v>337</v>
      </c>
      <c r="E59" s="22" t="s">
        <v>343</v>
      </c>
      <c r="F59" s="22">
        <v>0</v>
      </c>
      <c r="G59" s="22">
        <v>5</v>
      </c>
      <c r="H59" s="22">
        <v>138</v>
      </c>
      <c r="I59" s="22" t="s">
        <v>344</v>
      </c>
      <c r="J59" s="22">
        <v>1</v>
      </c>
      <c r="K59" s="21" t="s">
        <v>342</v>
      </c>
      <c r="L59" s="21" t="str">
        <f>VLOOKUP(C59,'Trips&amp;Operators'!$C$1:$E$9999,3,FALSE)</f>
        <v>YOUNG</v>
      </c>
      <c r="M59" s="20" t="s">
        <v>607</v>
      </c>
      <c r="N59" s="21" t="s">
        <v>611</v>
      </c>
    </row>
    <row r="60" spans="1:14" s="19" customFormat="1" x14ac:dyDescent="0.25">
      <c r="A60" s="23">
        <v>42493.587210648147</v>
      </c>
      <c r="B60" s="22" t="s">
        <v>218</v>
      </c>
      <c r="C60" s="22" t="s">
        <v>309</v>
      </c>
      <c r="D60" s="22" t="s">
        <v>337</v>
      </c>
      <c r="E60" s="22" t="s">
        <v>343</v>
      </c>
      <c r="F60" s="22">
        <v>0</v>
      </c>
      <c r="G60" s="22">
        <v>8</v>
      </c>
      <c r="H60" s="22">
        <v>233332</v>
      </c>
      <c r="I60" s="22" t="s">
        <v>344</v>
      </c>
      <c r="J60" s="22">
        <v>233491</v>
      </c>
      <c r="K60" s="21" t="s">
        <v>339</v>
      </c>
      <c r="L60" s="21" t="str">
        <f>VLOOKUP(C60,'Trips&amp;Operators'!$C$1:$E$9999,3,FALSE)</f>
        <v>ADANE</v>
      </c>
      <c r="M60" s="20" t="s">
        <v>607</v>
      </c>
      <c r="N60" s="21" t="s">
        <v>611</v>
      </c>
    </row>
    <row r="61" spans="1:14" s="19" customFormat="1" x14ac:dyDescent="0.25">
      <c r="A61" s="23">
        <v>42493.597696759258</v>
      </c>
      <c r="B61" s="22" t="s">
        <v>50</v>
      </c>
      <c r="C61" s="22" t="s">
        <v>310</v>
      </c>
      <c r="D61" s="22" t="s">
        <v>337</v>
      </c>
      <c r="E61" s="22" t="s">
        <v>343</v>
      </c>
      <c r="F61" s="22">
        <v>0</v>
      </c>
      <c r="G61" s="22">
        <v>54</v>
      </c>
      <c r="H61" s="22">
        <v>233304</v>
      </c>
      <c r="I61" s="22" t="s">
        <v>344</v>
      </c>
      <c r="J61" s="22">
        <v>233491</v>
      </c>
      <c r="K61" s="21" t="s">
        <v>339</v>
      </c>
      <c r="L61" s="21" t="str">
        <f>VLOOKUP(C61,'Trips&amp;Operators'!$C$1:$E$9999,3,FALSE)</f>
        <v>COOLAHAN</v>
      </c>
      <c r="M61" s="20" t="s">
        <v>607</v>
      </c>
      <c r="N61" s="21" t="s">
        <v>611</v>
      </c>
    </row>
    <row r="62" spans="1:14" s="19" customFormat="1" x14ac:dyDescent="0.25">
      <c r="A62" s="23">
        <v>42493.606296296297</v>
      </c>
      <c r="B62" s="22" t="s">
        <v>164</v>
      </c>
      <c r="C62" s="22" t="s">
        <v>311</v>
      </c>
      <c r="D62" s="22" t="s">
        <v>337</v>
      </c>
      <c r="E62" s="22" t="s">
        <v>343</v>
      </c>
      <c r="F62" s="22">
        <v>0</v>
      </c>
      <c r="G62" s="22">
        <v>4</v>
      </c>
      <c r="H62" s="22">
        <v>154</v>
      </c>
      <c r="I62" s="22" t="s">
        <v>344</v>
      </c>
      <c r="J62" s="22">
        <v>1</v>
      </c>
      <c r="K62" s="21" t="s">
        <v>342</v>
      </c>
      <c r="L62" s="21" t="str">
        <f>VLOOKUP(C62,'Trips&amp;Operators'!$C$1:$E$9999,3,FALSE)</f>
        <v>YORK</v>
      </c>
      <c r="M62" s="20" t="s">
        <v>607</v>
      </c>
      <c r="N62" s="21" t="s">
        <v>611</v>
      </c>
    </row>
    <row r="63" spans="1:14" s="19" customFormat="1" x14ac:dyDescent="0.25">
      <c r="A63" s="23">
        <v>42493.649259259262</v>
      </c>
      <c r="B63" s="22" t="s">
        <v>142</v>
      </c>
      <c r="C63" s="22" t="s">
        <v>314</v>
      </c>
      <c r="D63" s="22" t="s">
        <v>337</v>
      </c>
      <c r="E63" s="22" t="s">
        <v>343</v>
      </c>
      <c r="F63" s="22">
        <v>0</v>
      </c>
      <c r="G63" s="22">
        <v>8</v>
      </c>
      <c r="H63" s="22">
        <v>233332</v>
      </c>
      <c r="I63" s="22" t="s">
        <v>344</v>
      </c>
      <c r="J63" s="22">
        <v>233491</v>
      </c>
      <c r="K63" s="21" t="s">
        <v>339</v>
      </c>
      <c r="L63" s="21" t="str">
        <f>VLOOKUP(C63,'Trips&amp;Operators'!$C$1:$E$9999,3,FALSE)</f>
        <v>BEAM</v>
      </c>
      <c r="M63" s="20" t="s">
        <v>607</v>
      </c>
      <c r="N63" s="21" t="s">
        <v>611</v>
      </c>
    </row>
    <row r="64" spans="1:14" s="19" customFormat="1" x14ac:dyDescent="0.25">
      <c r="A64" s="23">
        <v>42493.650902777779</v>
      </c>
      <c r="B64" s="22" t="s">
        <v>146</v>
      </c>
      <c r="C64" s="22" t="s">
        <v>312</v>
      </c>
      <c r="D64" s="22" t="s">
        <v>337</v>
      </c>
      <c r="E64" s="22" t="s">
        <v>343</v>
      </c>
      <c r="F64" s="22">
        <v>0</v>
      </c>
      <c r="G64" s="22">
        <v>62</v>
      </c>
      <c r="H64" s="22">
        <v>247</v>
      </c>
      <c r="I64" s="22" t="s">
        <v>344</v>
      </c>
      <c r="J64" s="22">
        <v>1</v>
      </c>
      <c r="K64" s="21" t="s">
        <v>342</v>
      </c>
      <c r="L64" s="21" t="str">
        <f>VLOOKUP(C64,'Trips&amp;Operators'!$C$1:$E$9999,3,FALSE)</f>
        <v>YOUNG</v>
      </c>
      <c r="M64" s="20" t="s">
        <v>607</v>
      </c>
      <c r="N64" s="21" t="s">
        <v>611</v>
      </c>
    </row>
    <row r="65" spans="1:14" s="19" customFormat="1" x14ac:dyDescent="0.25">
      <c r="A65" s="23">
        <v>42493.669351851851</v>
      </c>
      <c r="B65" s="22" t="s">
        <v>238</v>
      </c>
      <c r="C65" s="22" t="s">
        <v>316</v>
      </c>
      <c r="D65" s="22" t="s">
        <v>337</v>
      </c>
      <c r="E65" s="22" t="s">
        <v>343</v>
      </c>
      <c r="F65" s="22">
        <v>0</v>
      </c>
      <c r="G65" s="22">
        <v>6</v>
      </c>
      <c r="H65" s="22">
        <v>127</v>
      </c>
      <c r="I65" s="22" t="s">
        <v>344</v>
      </c>
      <c r="J65" s="22">
        <v>1</v>
      </c>
      <c r="K65" s="21" t="s">
        <v>342</v>
      </c>
      <c r="L65" s="21" t="str">
        <f>VLOOKUP(C65,'Trips&amp;Operators'!$C$1:$E$9999,3,FALSE)</f>
        <v>JACKSON</v>
      </c>
      <c r="M65" s="20" t="s">
        <v>607</v>
      </c>
      <c r="N65" s="21" t="s">
        <v>611</v>
      </c>
    </row>
    <row r="66" spans="1:14" s="19" customFormat="1" x14ac:dyDescent="0.25">
      <c r="A66" s="23">
        <v>42493.678784722222</v>
      </c>
      <c r="B66" s="22" t="s">
        <v>164</v>
      </c>
      <c r="C66" s="22" t="s">
        <v>317</v>
      </c>
      <c r="D66" s="22" t="s">
        <v>337</v>
      </c>
      <c r="E66" s="22" t="s">
        <v>343</v>
      </c>
      <c r="F66" s="22">
        <v>0</v>
      </c>
      <c r="G66" s="22">
        <v>9</v>
      </c>
      <c r="H66" s="22">
        <v>116</v>
      </c>
      <c r="I66" s="22" t="s">
        <v>344</v>
      </c>
      <c r="J66" s="22">
        <v>1</v>
      </c>
      <c r="K66" s="21" t="s">
        <v>342</v>
      </c>
      <c r="L66" s="21" t="str">
        <f>VLOOKUP(C66,'Trips&amp;Operators'!$C$1:$E$9999,3,FALSE)</f>
        <v>YORK</v>
      </c>
      <c r="M66" s="20" t="s">
        <v>607</v>
      </c>
      <c r="N66" s="21" t="s">
        <v>611</v>
      </c>
    </row>
    <row r="67" spans="1:14" s="19" customFormat="1" x14ac:dyDescent="0.25">
      <c r="A67" s="23">
        <v>42493.690416666665</v>
      </c>
      <c r="B67" s="22" t="s">
        <v>153</v>
      </c>
      <c r="C67" s="22" t="s">
        <v>318</v>
      </c>
      <c r="D67" s="22" t="s">
        <v>337</v>
      </c>
      <c r="E67" s="22" t="s">
        <v>343</v>
      </c>
      <c r="F67" s="22">
        <v>0</v>
      </c>
      <c r="G67" s="22">
        <v>8</v>
      </c>
      <c r="H67" s="22">
        <v>109</v>
      </c>
      <c r="I67" s="22" t="s">
        <v>344</v>
      </c>
      <c r="J67" s="22">
        <v>1</v>
      </c>
      <c r="K67" s="21" t="s">
        <v>342</v>
      </c>
      <c r="L67" s="21" t="str">
        <f>VLOOKUP(C67,'Trips&amp;Operators'!$C$1:$E$9999,3,FALSE)</f>
        <v>BEAM</v>
      </c>
      <c r="M67" s="20" t="s">
        <v>607</v>
      </c>
      <c r="N67" s="21" t="s">
        <v>611</v>
      </c>
    </row>
    <row r="68" spans="1:14" s="19" customFormat="1" x14ac:dyDescent="0.25">
      <c r="A68" s="23">
        <v>42493.723958333336</v>
      </c>
      <c r="B68" s="22" t="s">
        <v>146</v>
      </c>
      <c r="C68" s="22" t="s">
        <v>320</v>
      </c>
      <c r="D68" s="22" t="s">
        <v>337</v>
      </c>
      <c r="E68" s="22" t="s">
        <v>343</v>
      </c>
      <c r="F68" s="22">
        <v>0</v>
      </c>
      <c r="G68" s="22">
        <v>6</v>
      </c>
      <c r="H68" s="22">
        <v>207</v>
      </c>
      <c r="I68" s="22" t="s">
        <v>344</v>
      </c>
      <c r="J68" s="22">
        <v>1</v>
      </c>
      <c r="K68" s="21" t="s">
        <v>342</v>
      </c>
      <c r="L68" s="21" t="str">
        <f>VLOOKUP(C68,'Trips&amp;Operators'!$C$1:$E$9999,3,FALSE)</f>
        <v>YOUNG</v>
      </c>
      <c r="M68" s="20" t="s">
        <v>607</v>
      </c>
      <c r="N68" s="21" t="s">
        <v>611</v>
      </c>
    </row>
    <row r="69" spans="1:14" s="19" customFormat="1" x14ac:dyDescent="0.25">
      <c r="A69" s="23">
        <v>42493.733240740738</v>
      </c>
      <c r="B69" s="22" t="s">
        <v>218</v>
      </c>
      <c r="C69" s="22" t="s">
        <v>321</v>
      </c>
      <c r="D69" s="22" t="s">
        <v>337</v>
      </c>
      <c r="E69" s="22" t="s">
        <v>343</v>
      </c>
      <c r="F69" s="22">
        <v>0</v>
      </c>
      <c r="G69" s="22">
        <v>2</v>
      </c>
      <c r="H69" s="22">
        <v>233336</v>
      </c>
      <c r="I69" s="22" t="s">
        <v>344</v>
      </c>
      <c r="J69" s="22">
        <v>233491</v>
      </c>
      <c r="K69" s="21" t="s">
        <v>339</v>
      </c>
      <c r="L69" s="21" t="str">
        <f>VLOOKUP(C69,'Trips&amp;Operators'!$C$1:$E$9999,3,FALSE)</f>
        <v>ADANE</v>
      </c>
      <c r="M69" s="20" t="s">
        <v>607</v>
      </c>
      <c r="N69" s="21" t="s">
        <v>611</v>
      </c>
    </row>
    <row r="70" spans="1:14" s="19" customFormat="1" x14ac:dyDescent="0.25">
      <c r="A70" s="23">
        <v>42493.775289351855</v>
      </c>
      <c r="B70" s="22" t="s">
        <v>278</v>
      </c>
      <c r="C70" s="22" t="s">
        <v>324</v>
      </c>
      <c r="D70" s="22" t="s">
        <v>337</v>
      </c>
      <c r="E70" s="22" t="s">
        <v>343</v>
      </c>
      <c r="F70" s="22">
        <v>0</v>
      </c>
      <c r="G70" s="22">
        <v>6</v>
      </c>
      <c r="H70" s="22">
        <v>123</v>
      </c>
      <c r="I70" s="22" t="s">
        <v>344</v>
      </c>
      <c r="J70" s="22">
        <v>1</v>
      </c>
      <c r="K70" s="21" t="s">
        <v>342</v>
      </c>
      <c r="L70" s="21" t="str">
        <f>VLOOKUP(C70,'Trips&amp;Operators'!$C$1:$E$9999,3,FALSE)</f>
        <v>ADANE</v>
      </c>
      <c r="M70" s="20" t="s">
        <v>607</v>
      </c>
      <c r="N70" s="21" t="s">
        <v>611</v>
      </c>
    </row>
    <row r="71" spans="1:14" s="19" customFormat="1" x14ac:dyDescent="0.25">
      <c r="A71" s="23">
        <v>42493.795891203707</v>
      </c>
      <c r="B71" s="22" t="s">
        <v>146</v>
      </c>
      <c r="C71" s="22" t="s">
        <v>325</v>
      </c>
      <c r="D71" s="22" t="s">
        <v>337</v>
      </c>
      <c r="E71" s="22" t="s">
        <v>343</v>
      </c>
      <c r="F71" s="22">
        <v>0</v>
      </c>
      <c r="G71" s="22">
        <v>8</v>
      </c>
      <c r="H71" s="22">
        <v>125</v>
      </c>
      <c r="I71" s="22" t="s">
        <v>344</v>
      </c>
      <c r="J71" s="22">
        <v>1</v>
      </c>
      <c r="K71" s="21" t="s">
        <v>342</v>
      </c>
      <c r="L71" s="21" t="str">
        <f>VLOOKUP(C71,'Trips&amp;Operators'!$C$1:$E$9999,3,FALSE)</f>
        <v>YOUNG</v>
      </c>
      <c r="M71" s="20" t="s">
        <v>607</v>
      </c>
      <c r="N71" s="21" t="s">
        <v>611</v>
      </c>
    </row>
    <row r="72" spans="1:14" s="19" customFormat="1" x14ac:dyDescent="0.25">
      <c r="A72" s="23">
        <v>42493.835995370369</v>
      </c>
      <c r="B72" s="22" t="s">
        <v>153</v>
      </c>
      <c r="C72" s="22" t="s">
        <v>328</v>
      </c>
      <c r="D72" s="22" t="s">
        <v>337</v>
      </c>
      <c r="E72" s="22" t="s">
        <v>343</v>
      </c>
      <c r="F72" s="22">
        <v>0</v>
      </c>
      <c r="G72" s="22">
        <v>42</v>
      </c>
      <c r="H72" s="22">
        <v>152</v>
      </c>
      <c r="I72" s="22" t="s">
        <v>344</v>
      </c>
      <c r="J72" s="22">
        <v>1</v>
      </c>
      <c r="K72" s="21" t="s">
        <v>342</v>
      </c>
      <c r="L72" s="21" t="str">
        <f>VLOOKUP(C72,'Trips&amp;Operators'!$C$1:$E$9999,3,FALSE)</f>
        <v>BARTLETT</v>
      </c>
      <c r="M72" s="20" t="s">
        <v>607</v>
      </c>
      <c r="N72" s="21" t="s">
        <v>611</v>
      </c>
    </row>
    <row r="73" spans="1:14" s="19" customFormat="1" x14ac:dyDescent="0.25">
      <c r="A73" s="23">
        <v>42493.857905092591</v>
      </c>
      <c r="B73" s="22" t="s">
        <v>139</v>
      </c>
      <c r="C73" s="22" t="s">
        <v>329</v>
      </c>
      <c r="D73" s="22" t="s">
        <v>337</v>
      </c>
      <c r="E73" s="22" t="s">
        <v>343</v>
      </c>
      <c r="F73" s="22">
        <v>0</v>
      </c>
      <c r="G73" s="22">
        <v>7</v>
      </c>
      <c r="H73" s="22">
        <v>233347</v>
      </c>
      <c r="I73" s="22" t="s">
        <v>344</v>
      </c>
      <c r="J73" s="22">
        <v>233491</v>
      </c>
      <c r="K73" s="21" t="s">
        <v>339</v>
      </c>
      <c r="L73" s="21" t="str">
        <f>VLOOKUP(C73,'Trips&amp;Operators'!$C$1:$E$9999,3,FALSE)</f>
        <v>RIVERA</v>
      </c>
      <c r="M73" s="20" t="s">
        <v>607</v>
      </c>
      <c r="N73" s="21" t="s">
        <v>611</v>
      </c>
    </row>
    <row r="74" spans="1:14" s="19" customFormat="1" x14ac:dyDescent="0.25">
      <c r="A74" s="23">
        <v>42493.859895833331</v>
      </c>
      <c r="B74" s="22" t="s">
        <v>63</v>
      </c>
      <c r="C74" s="22" t="s">
        <v>330</v>
      </c>
      <c r="D74" s="22" t="s">
        <v>337</v>
      </c>
      <c r="E74" s="22" t="s">
        <v>343</v>
      </c>
      <c r="F74" s="22">
        <v>0</v>
      </c>
      <c r="G74" s="22">
        <v>7</v>
      </c>
      <c r="H74" s="22">
        <v>130</v>
      </c>
      <c r="I74" s="22" t="s">
        <v>344</v>
      </c>
      <c r="J74" s="22">
        <v>1</v>
      </c>
      <c r="K74" s="21" t="s">
        <v>342</v>
      </c>
      <c r="L74" s="21" t="str">
        <f>VLOOKUP(C74,'Trips&amp;Operators'!$C$1:$E$9999,3,FALSE)</f>
        <v>LEVERE</v>
      </c>
      <c r="M74" s="20" t="s">
        <v>607</v>
      </c>
      <c r="N74" s="21" t="s">
        <v>611</v>
      </c>
    </row>
    <row r="75" spans="1:14" s="19" customFormat="1" x14ac:dyDescent="0.25">
      <c r="A75" s="23">
        <v>42493.901284722226</v>
      </c>
      <c r="B75" s="22" t="s">
        <v>50</v>
      </c>
      <c r="C75" s="22" t="s">
        <v>331</v>
      </c>
      <c r="D75" s="22" t="s">
        <v>337</v>
      </c>
      <c r="E75" s="22" t="s">
        <v>343</v>
      </c>
      <c r="F75" s="22">
        <v>0</v>
      </c>
      <c r="G75" s="22">
        <v>9</v>
      </c>
      <c r="H75" s="22">
        <v>233339</v>
      </c>
      <c r="I75" s="22" t="s">
        <v>344</v>
      </c>
      <c r="J75" s="22">
        <v>233491</v>
      </c>
      <c r="K75" s="21" t="s">
        <v>339</v>
      </c>
      <c r="L75" s="21" t="str">
        <f>VLOOKUP(C75,'Trips&amp;Operators'!$C$1:$E$9999,3,FALSE)</f>
        <v>LEVERE</v>
      </c>
      <c r="M75" s="20" t="s">
        <v>607</v>
      </c>
      <c r="N75" s="21" t="s">
        <v>611</v>
      </c>
    </row>
    <row r="76" spans="1:14" s="19" customFormat="1" x14ac:dyDescent="0.25">
      <c r="A76" s="23">
        <v>42493.942152777781</v>
      </c>
      <c r="B76" s="22" t="s">
        <v>63</v>
      </c>
      <c r="C76" s="22" t="s">
        <v>333</v>
      </c>
      <c r="D76" s="22" t="s">
        <v>337</v>
      </c>
      <c r="E76" s="22" t="s">
        <v>343</v>
      </c>
      <c r="F76" s="22">
        <v>0</v>
      </c>
      <c r="G76" s="22">
        <v>7</v>
      </c>
      <c r="H76" s="22">
        <v>139</v>
      </c>
      <c r="I76" s="22" t="s">
        <v>344</v>
      </c>
      <c r="J76" s="22">
        <v>1</v>
      </c>
      <c r="K76" s="21" t="s">
        <v>342</v>
      </c>
      <c r="L76" s="21" t="str">
        <f>VLOOKUP(C76,'Trips&amp;Operators'!$C$1:$E$9999,3,FALSE)</f>
        <v>LEVERE</v>
      </c>
      <c r="M76" s="20" t="s">
        <v>607</v>
      </c>
      <c r="N76" s="21" t="s">
        <v>611</v>
      </c>
    </row>
    <row r="77" spans="1:14" s="19" customFormat="1" x14ac:dyDescent="0.25">
      <c r="A77" s="23">
        <v>42493.981307870374</v>
      </c>
      <c r="B77" s="22" t="s">
        <v>164</v>
      </c>
      <c r="C77" s="22" t="s">
        <v>335</v>
      </c>
      <c r="D77" s="22" t="s">
        <v>337</v>
      </c>
      <c r="E77" s="22" t="s">
        <v>343</v>
      </c>
      <c r="F77" s="22">
        <v>0</v>
      </c>
      <c r="G77" s="22">
        <v>86</v>
      </c>
      <c r="H77" s="22">
        <v>294</v>
      </c>
      <c r="I77" s="22" t="s">
        <v>344</v>
      </c>
      <c r="J77" s="22">
        <v>1</v>
      </c>
      <c r="K77" s="21" t="s">
        <v>342</v>
      </c>
      <c r="L77" s="21" t="str">
        <f>VLOOKUP(C77,'Trips&amp;Operators'!$C$1:$E$9999,3,FALSE)</f>
        <v>STORY</v>
      </c>
      <c r="M77" s="20" t="s">
        <v>607</v>
      </c>
      <c r="N77" s="21" t="s">
        <v>611</v>
      </c>
    </row>
    <row r="78" spans="1:14" s="19" customFormat="1" ht="15.75" thickBot="1" x14ac:dyDescent="0.3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4"/>
      <c r="L78" s="44"/>
      <c r="M78" s="45"/>
      <c r="N78" s="44"/>
    </row>
    <row r="79" spans="1:14" ht="30" x14ac:dyDescent="0.25">
      <c r="K79" s="18" t="s">
        <v>28</v>
      </c>
      <c r="L79" s="54"/>
      <c r="M79" s="17">
        <f>COUNTIF(M3:M77,"=Y")</f>
        <v>9</v>
      </c>
    </row>
    <row r="80" spans="1:14" ht="15.75" thickBot="1" x14ac:dyDescent="0.3">
      <c r="K80" s="16" t="s">
        <v>27</v>
      </c>
      <c r="L80" s="55"/>
      <c r="M80" s="15">
        <f>COUNTA(M3:M77)-M79</f>
        <v>66</v>
      </c>
    </row>
  </sheetData>
  <autoFilter ref="A2:N2">
    <sortState ref="A3:N77">
      <sortCondition ref="E2"/>
    </sortState>
  </autoFilter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78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s="65" customFormat="1" x14ac:dyDescent="0.25">
      <c r="A1" s="68" t="str">
        <f>"Trips that did not appear in PTC Data "&amp;TEXT(Variables!$A$2,"YYYY-mm-dd")</f>
        <v>Trips that did not appear in PTC Data 2016-05-03</v>
      </c>
    </row>
    <row r="2" spans="1:1" x14ac:dyDescent="0.25">
      <c r="A2" t="s">
        <v>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87"/>
  <sheetViews>
    <sheetView topLeftCell="A199" workbookViewId="0">
      <selection sqref="A1:E222"/>
    </sheetView>
  </sheetViews>
  <sheetFormatPr defaultRowHeight="15" x14ac:dyDescent="0.25"/>
  <cols>
    <col min="1" max="1" width="18.28515625" style="14" bestFit="1" customWidth="1"/>
  </cols>
  <sheetData>
    <row r="1" spans="1:5" x14ac:dyDescent="0.25">
      <c r="A1" s="14">
        <v>42492.842314814814</v>
      </c>
      <c r="B1" t="s">
        <v>56</v>
      </c>
      <c r="C1" t="s">
        <v>203</v>
      </c>
      <c r="D1">
        <v>1760000</v>
      </c>
      <c r="E1" t="s">
        <v>224</v>
      </c>
    </row>
    <row r="2" spans="1:5" x14ac:dyDescent="0.25">
      <c r="A2" s="14">
        <v>42493.334768518522</v>
      </c>
      <c r="B2" t="s">
        <v>148</v>
      </c>
      <c r="C2" t="s">
        <v>289</v>
      </c>
      <c r="D2">
        <v>1090000</v>
      </c>
      <c r="E2" t="s">
        <v>144</v>
      </c>
    </row>
    <row r="3" spans="1:5" x14ac:dyDescent="0.25">
      <c r="A3" s="14">
        <v>42493.368263888886</v>
      </c>
      <c r="B3" t="s">
        <v>134</v>
      </c>
      <c r="C3" t="s">
        <v>292</v>
      </c>
      <c r="D3">
        <v>1780000</v>
      </c>
      <c r="E3" t="s">
        <v>150</v>
      </c>
    </row>
    <row r="4" spans="1:5" x14ac:dyDescent="0.25">
      <c r="A4" s="14">
        <v>42493.421770833331</v>
      </c>
      <c r="B4" t="s">
        <v>50</v>
      </c>
      <c r="C4" t="s">
        <v>350</v>
      </c>
      <c r="D4">
        <v>1290000</v>
      </c>
      <c r="E4" t="s">
        <v>156</v>
      </c>
    </row>
    <row r="5" spans="1:5" x14ac:dyDescent="0.25">
      <c r="A5" s="14">
        <v>42493.429178240738</v>
      </c>
      <c r="B5" t="s">
        <v>164</v>
      </c>
      <c r="C5" t="s">
        <v>298</v>
      </c>
      <c r="D5">
        <v>1800000</v>
      </c>
      <c r="E5" t="s">
        <v>140</v>
      </c>
    </row>
    <row r="6" spans="1:5" x14ac:dyDescent="0.25">
      <c r="A6" s="14">
        <v>42493.319490740738</v>
      </c>
      <c r="B6" t="s">
        <v>139</v>
      </c>
      <c r="C6" t="s">
        <v>286</v>
      </c>
      <c r="D6">
        <v>1800000</v>
      </c>
      <c r="E6" t="s">
        <v>140</v>
      </c>
    </row>
    <row r="7" spans="1:5" x14ac:dyDescent="0.25">
      <c r="A7" s="14">
        <v>42493.577835648146</v>
      </c>
      <c r="B7" t="s">
        <v>164</v>
      </c>
      <c r="C7" t="s">
        <v>311</v>
      </c>
      <c r="D7">
        <v>1830000</v>
      </c>
      <c r="E7" t="s">
        <v>220</v>
      </c>
    </row>
    <row r="8" spans="1:5" x14ac:dyDescent="0.25">
      <c r="A8" s="14">
        <v>42493.621712962966</v>
      </c>
      <c r="B8" t="s">
        <v>142</v>
      </c>
      <c r="C8" t="s">
        <v>314</v>
      </c>
      <c r="D8">
        <v>1340000</v>
      </c>
      <c r="E8" t="s">
        <v>235</v>
      </c>
    </row>
    <row r="9" spans="1:5" x14ac:dyDescent="0.25">
      <c r="A9" s="14">
        <v>42493.66138888889</v>
      </c>
      <c r="B9" t="s">
        <v>154</v>
      </c>
      <c r="C9" t="s">
        <v>351</v>
      </c>
      <c r="D9">
        <v>1840000</v>
      </c>
      <c r="E9" t="s">
        <v>216</v>
      </c>
    </row>
    <row r="10" spans="1:5" x14ac:dyDescent="0.25">
      <c r="A10" s="14">
        <v>42493.6953587963</v>
      </c>
      <c r="B10" t="s">
        <v>142</v>
      </c>
      <c r="C10" t="s">
        <v>352</v>
      </c>
      <c r="D10">
        <v>1340000</v>
      </c>
      <c r="E10" t="s">
        <v>235</v>
      </c>
    </row>
    <row r="11" spans="1:5" x14ac:dyDescent="0.25">
      <c r="A11" s="14">
        <v>42493.696793981479</v>
      </c>
      <c r="B11" t="s">
        <v>146</v>
      </c>
      <c r="C11" t="s">
        <v>320</v>
      </c>
      <c r="D11">
        <v>1140000</v>
      </c>
      <c r="E11" t="s">
        <v>136</v>
      </c>
    </row>
    <row r="12" spans="1:5" x14ac:dyDescent="0.25">
      <c r="A12" s="14">
        <v>42493.312557870369</v>
      </c>
      <c r="B12" t="s">
        <v>63</v>
      </c>
      <c r="C12" t="s">
        <v>284</v>
      </c>
      <c r="D12">
        <v>1810000</v>
      </c>
      <c r="E12" t="s">
        <v>152</v>
      </c>
    </row>
    <row r="13" spans="1:5" x14ac:dyDescent="0.25">
      <c r="A13" s="14">
        <v>42493.734895833331</v>
      </c>
      <c r="B13" t="s">
        <v>154</v>
      </c>
      <c r="C13" t="s">
        <v>323</v>
      </c>
      <c r="D13">
        <v>1750000</v>
      </c>
      <c r="E13" t="s">
        <v>230</v>
      </c>
    </row>
    <row r="14" spans="1:5" x14ac:dyDescent="0.25">
      <c r="A14" s="14">
        <v>42493.310347222221</v>
      </c>
      <c r="B14" t="s">
        <v>245</v>
      </c>
      <c r="C14" t="s">
        <v>353</v>
      </c>
      <c r="D14">
        <v>1110000</v>
      </c>
      <c r="E14" t="s">
        <v>240</v>
      </c>
    </row>
    <row r="15" spans="1:5" x14ac:dyDescent="0.25">
      <c r="A15" s="14">
        <v>42493.78465277778</v>
      </c>
      <c r="B15" t="s">
        <v>238</v>
      </c>
      <c r="C15" t="s">
        <v>354</v>
      </c>
      <c r="D15">
        <v>970000</v>
      </c>
      <c r="E15" t="s">
        <v>149</v>
      </c>
    </row>
    <row r="16" spans="1:5" x14ac:dyDescent="0.25">
      <c r="A16" s="14">
        <v>42493.305451388886</v>
      </c>
      <c r="B16" t="s">
        <v>278</v>
      </c>
      <c r="C16" t="s">
        <v>355</v>
      </c>
      <c r="D16">
        <v>1260000</v>
      </c>
      <c r="E16" t="s">
        <v>132</v>
      </c>
    </row>
    <row r="17" spans="1:5" x14ac:dyDescent="0.25">
      <c r="A17" s="14">
        <v>42493.847893518519</v>
      </c>
      <c r="B17" t="s">
        <v>148</v>
      </c>
      <c r="C17" t="s">
        <v>356</v>
      </c>
      <c r="D17">
        <v>1750000</v>
      </c>
      <c r="E17" t="s">
        <v>230</v>
      </c>
    </row>
    <row r="18" spans="1:5" x14ac:dyDescent="0.25">
      <c r="A18" s="14">
        <v>42493.218252314815</v>
      </c>
      <c r="B18" t="s">
        <v>134</v>
      </c>
      <c r="C18" t="s">
        <v>241</v>
      </c>
      <c r="D18">
        <v>1780000</v>
      </c>
      <c r="E18" t="s">
        <v>150</v>
      </c>
    </row>
    <row r="19" spans="1:5" x14ac:dyDescent="0.25">
      <c r="A19" s="14">
        <v>42493.864490740743</v>
      </c>
      <c r="B19" t="s">
        <v>50</v>
      </c>
      <c r="C19" t="s">
        <v>331</v>
      </c>
      <c r="D19">
        <v>1180000</v>
      </c>
      <c r="E19" t="s">
        <v>357</v>
      </c>
    </row>
    <row r="20" spans="1:5" x14ac:dyDescent="0.25">
      <c r="A20" s="14">
        <v>42493.195231481484</v>
      </c>
      <c r="B20" t="s">
        <v>238</v>
      </c>
      <c r="C20" t="s">
        <v>239</v>
      </c>
      <c r="D20">
        <v>1110000</v>
      </c>
      <c r="E20" t="s">
        <v>240</v>
      </c>
    </row>
    <row r="21" spans="1:5" x14ac:dyDescent="0.25">
      <c r="A21" s="14">
        <v>42493.901550925926</v>
      </c>
      <c r="B21" t="s">
        <v>139</v>
      </c>
      <c r="C21" t="s">
        <v>332</v>
      </c>
      <c r="D21">
        <v>1740000</v>
      </c>
      <c r="E21" t="s">
        <v>226</v>
      </c>
    </row>
    <row r="22" spans="1:5" x14ac:dyDescent="0.25">
      <c r="A22" s="14">
        <v>42493.182442129626</v>
      </c>
      <c r="B22" t="s">
        <v>206</v>
      </c>
      <c r="C22" t="s">
        <v>237</v>
      </c>
      <c r="D22">
        <v>1780000</v>
      </c>
      <c r="E22" t="s">
        <v>150</v>
      </c>
    </row>
    <row r="23" spans="1:5" x14ac:dyDescent="0.25">
      <c r="A23" s="14">
        <v>42493.946226851855</v>
      </c>
      <c r="B23" t="s">
        <v>164</v>
      </c>
      <c r="C23" t="s">
        <v>335</v>
      </c>
      <c r="D23">
        <v>1740000</v>
      </c>
      <c r="E23" t="s">
        <v>226</v>
      </c>
    </row>
    <row r="24" spans="1:5" x14ac:dyDescent="0.25">
      <c r="A24" s="14">
        <v>42493.167013888888</v>
      </c>
      <c r="B24" t="s">
        <v>146</v>
      </c>
      <c r="C24" t="s">
        <v>221</v>
      </c>
      <c r="D24">
        <v>1770000</v>
      </c>
      <c r="E24" t="s">
        <v>143</v>
      </c>
    </row>
    <row r="25" spans="1:5" x14ac:dyDescent="0.25">
      <c r="A25" s="14">
        <v>42493.994525462964</v>
      </c>
      <c r="B25" t="s">
        <v>139</v>
      </c>
      <c r="C25" t="s">
        <v>358</v>
      </c>
      <c r="D25">
        <v>1740000</v>
      </c>
      <c r="E25" t="s">
        <v>226</v>
      </c>
    </row>
    <row r="26" spans="1:5" x14ac:dyDescent="0.25">
      <c r="A26" s="14">
        <v>42493.126273148147</v>
      </c>
      <c r="B26" t="s">
        <v>50</v>
      </c>
      <c r="C26" t="s">
        <v>236</v>
      </c>
      <c r="D26">
        <v>1770000</v>
      </c>
      <c r="E26" t="s">
        <v>143</v>
      </c>
    </row>
    <row r="27" spans="1:5" x14ac:dyDescent="0.25">
      <c r="A27" s="14">
        <v>42494.157268518517</v>
      </c>
      <c r="B27" t="s">
        <v>145</v>
      </c>
      <c r="C27" t="s">
        <v>359</v>
      </c>
      <c r="D27">
        <v>1110000</v>
      </c>
      <c r="E27" t="s">
        <v>240</v>
      </c>
    </row>
    <row r="28" spans="1:5" x14ac:dyDescent="0.25">
      <c r="A28" s="14">
        <v>42493.006874999999</v>
      </c>
      <c r="B28" t="s">
        <v>56</v>
      </c>
      <c r="C28" t="s">
        <v>211</v>
      </c>
      <c r="D28">
        <v>1760000</v>
      </c>
      <c r="E28" t="s">
        <v>224</v>
      </c>
    </row>
    <row r="29" spans="1:5" x14ac:dyDescent="0.25">
      <c r="A29" s="14">
        <v>42494.171377314815</v>
      </c>
      <c r="B29" t="s">
        <v>59</v>
      </c>
      <c r="C29" t="s">
        <v>360</v>
      </c>
      <c r="D29">
        <v>1770000</v>
      </c>
      <c r="E29" t="s">
        <v>143</v>
      </c>
    </row>
    <row r="30" spans="1:5" x14ac:dyDescent="0.25">
      <c r="A30" s="14">
        <v>42492.988703703704</v>
      </c>
      <c r="B30" t="s">
        <v>64</v>
      </c>
      <c r="C30" t="s">
        <v>234</v>
      </c>
      <c r="D30">
        <v>1740000</v>
      </c>
      <c r="E30" t="s">
        <v>226</v>
      </c>
    </row>
    <row r="31" spans="1:5" x14ac:dyDescent="0.25">
      <c r="A31" s="14">
        <v>42493.600162037037</v>
      </c>
      <c r="B31" t="s">
        <v>245</v>
      </c>
      <c r="C31" t="s">
        <v>361</v>
      </c>
      <c r="D31">
        <v>970000</v>
      </c>
      <c r="E31" t="s">
        <v>149</v>
      </c>
    </row>
    <row r="32" spans="1:5" x14ac:dyDescent="0.25">
      <c r="A32" s="14">
        <v>42492.951006944444</v>
      </c>
      <c r="B32" t="s">
        <v>76</v>
      </c>
      <c r="C32" t="s">
        <v>233</v>
      </c>
      <c r="D32">
        <v>1140000</v>
      </c>
      <c r="E32" t="s">
        <v>136</v>
      </c>
    </row>
    <row r="33" spans="1:5" x14ac:dyDescent="0.25">
      <c r="A33" s="14">
        <v>42493.685624999998</v>
      </c>
      <c r="B33" t="s">
        <v>139</v>
      </c>
      <c r="C33" t="s">
        <v>362</v>
      </c>
      <c r="D33">
        <v>1830000</v>
      </c>
      <c r="E33" t="s">
        <v>220</v>
      </c>
    </row>
    <row r="34" spans="1:5" x14ac:dyDescent="0.25">
      <c r="A34" s="14">
        <v>42492.908680555556</v>
      </c>
      <c r="B34" t="s">
        <v>51</v>
      </c>
      <c r="C34" t="s">
        <v>232</v>
      </c>
      <c r="D34">
        <v>1140000</v>
      </c>
      <c r="E34" t="s">
        <v>136</v>
      </c>
    </row>
    <row r="35" spans="1:5" x14ac:dyDescent="0.25">
      <c r="A35" s="14">
        <v>42493.704317129632</v>
      </c>
      <c r="B35" t="s">
        <v>238</v>
      </c>
      <c r="C35" t="s">
        <v>363</v>
      </c>
      <c r="D35">
        <v>970000</v>
      </c>
      <c r="E35" t="s">
        <v>149</v>
      </c>
    </row>
    <row r="36" spans="1:5" x14ac:dyDescent="0.25">
      <c r="A36" s="14">
        <v>42492.892141203702</v>
      </c>
      <c r="B36" t="s">
        <v>206</v>
      </c>
      <c r="C36" t="s">
        <v>207</v>
      </c>
      <c r="D36">
        <v>970000</v>
      </c>
      <c r="E36" t="s">
        <v>149</v>
      </c>
    </row>
    <row r="37" spans="1:5" x14ac:dyDescent="0.25">
      <c r="A37" s="14">
        <v>42493.733206018522</v>
      </c>
      <c r="B37" t="s">
        <v>153</v>
      </c>
      <c r="C37" t="s">
        <v>364</v>
      </c>
      <c r="D37">
        <v>1340000</v>
      </c>
      <c r="E37" t="s">
        <v>235</v>
      </c>
    </row>
    <row r="38" spans="1:5" x14ac:dyDescent="0.25">
      <c r="A38" s="14">
        <v>42492.868587962963</v>
      </c>
      <c r="B38" t="s">
        <v>76</v>
      </c>
      <c r="C38" t="s">
        <v>231</v>
      </c>
      <c r="D38">
        <v>1140000</v>
      </c>
      <c r="E38" t="s">
        <v>136</v>
      </c>
    </row>
    <row r="39" spans="1:5" x14ac:dyDescent="0.25">
      <c r="A39" s="14">
        <v>42493.805509259262</v>
      </c>
      <c r="B39" t="s">
        <v>153</v>
      </c>
      <c r="C39" t="s">
        <v>328</v>
      </c>
      <c r="D39">
        <v>1280000</v>
      </c>
      <c r="E39" t="s">
        <v>138</v>
      </c>
    </row>
    <row r="40" spans="1:5" x14ac:dyDescent="0.25">
      <c r="A40" s="14">
        <v>42493.724699074075</v>
      </c>
      <c r="B40" t="s">
        <v>164</v>
      </c>
      <c r="C40" t="s">
        <v>365</v>
      </c>
      <c r="D40">
        <v>1830000</v>
      </c>
      <c r="E40" t="s">
        <v>220</v>
      </c>
    </row>
    <row r="41" spans="1:5" x14ac:dyDescent="0.25">
      <c r="A41" s="14">
        <v>42493.818854166668</v>
      </c>
      <c r="B41" t="s">
        <v>245</v>
      </c>
      <c r="C41" t="s">
        <v>366</v>
      </c>
      <c r="D41">
        <v>970000</v>
      </c>
      <c r="E41" t="s">
        <v>149</v>
      </c>
    </row>
    <row r="42" spans="1:5" x14ac:dyDescent="0.25">
      <c r="A42" s="14">
        <v>42493.681018518517</v>
      </c>
      <c r="B42" t="s">
        <v>63</v>
      </c>
      <c r="C42" t="s">
        <v>367</v>
      </c>
      <c r="D42">
        <v>1290000</v>
      </c>
      <c r="E42" t="s">
        <v>156</v>
      </c>
    </row>
    <row r="43" spans="1:5" x14ac:dyDescent="0.25">
      <c r="A43" s="14">
        <v>42493.951539351852</v>
      </c>
      <c r="B43" t="s">
        <v>50</v>
      </c>
      <c r="C43" t="s">
        <v>334</v>
      </c>
      <c r="D43">
        <v>1180000</v>
      </c>
      <c r="E43" t="s">
        <v>357</v>
      </c>
    </row>
    <row r="44" spans="1:5" x14ac:dyDescent="0.25">
      <c r="A44" s="14">
        <v>42493.609803240739</v>
      </c>
      <c r="B44" t="s">
        <v>139</v>
      </c>
      <c r="C44" t="s">
        <v>368</v>
      </c>
      <c r="D44">
        <v>1830000</v>
      </c>
      <c r="E44" t="s">
        <v>220</v>
      </c>
    </row>
    <row r="45" spans="1:5" x14ac:dyDescent="0.25">
      <c r="A45" s="14">
        <v>42494.139803240738</v>
      </c>
      <c r="B45" t="s">
        <v>218</v>
      </c>
      <c r="C45" t="s">
        <v>369</v>
      </c>
      <c r="D45">
        <v>1770000</v>
      </c>
      <c r="E45" t="s">
        <v>143</v>
      </c>
    </row>
    <row r="46" spans="1:5" x14ac:dyDescent="0.25">
      <c r="A46" s="14">
        <v>42494.206979166665</v>
      </c>
      <c r="B46" t="s">
        <v>218</v>
      </c>
      <c r="C46" t="s">
        <v>370</v>
      </c>
      <c r="D46">
        <v>1830000</v>
      </c>
      <c r="E46" t="s">
        <v>220</v>
      </c>
    </row>
    <row r="47" spans="1:5" x14ac:dyDescent="0.25">
      <c r="A47" s="14">
        <v>42494.170289351852</v>
      </c>
      <c r="B47" t="s">
        <v>245</v>
      </c>
      <c r="C47" t="s">
        <v>371</v>
      </c>
      <c r="D47">
        <v>1100000</v>
      </c>
      <c r="E47" t="s">
        <v>129</v>
      </c>
    </row>
    <row r="48" spans="1:5" x14ac:dyDescent="0.25">
      <c r="A48" s="14">
        <v>42494.014178240737</v>
      </c>
      <c r="B48" t="s">
        <v>148</v>
      </c>
      <c r="C48" t="s">
        <v>372</v>
      </c>
      <c r="D48">
        <v>1750000</v>
      </c>
      <c r="E48" t="s">
        <v>230</v>
      </c>
    </row>
    <row r="49" spans="1:5" x14ac:dyDescent="0.25">
      <c r="A49" s="14">
        <v>42494.207777777781</v>
      </c>
      <c r="B49" t="s">
        <v>74</v>
      </c>
      <c r="C49" t="s">
        <v>373</v>
      </c>
      <c r="D49">
        <v>1770000</v>
      </c>
      <c r="E49" t="s">
        <v>143</v>
      </c>
    </row>
    <row r="50" spans="1:5" x14ac:dyDescent="0.25">
      <c r="A50" s="14">
        <v>42493.745300925926</v>
      </c>
      <c r="B50" t="s">
        <v>245</v>
      </c>
      <c r="C50" t="s">
        <v>322</v>
      </c>
      <c r="D50">
        <v>970000</v>
      </c>
      <c r="E50" t="s">
        <v>149</v>
      </c>
    </row>
    <row r="51" spans="1:5" x14ac:dyDescent="0.25">
      <c r="A51" s="14">
        <v>42494.228587962964</v>
      </c>
      <c r="B51" t="s">
        <v>145</v>
      </c>
      <c r="C51" t="s">
        <v>374</v>
      </c>
      <c r="D51">
        <v>1810000</v>
      </c>
      <c r="E51" t="s">
        <v>152</v>
      </c>
    </row>
    <row r="52" spans="1:5" x14ac:dyDescent="0.25">
      <c r="A52" s="14">
        <v>42493.740729166668</v>
      </c>
      <c r="B52" t="s">
        <v>278</v>
      </c>
      <c r="C52" t="s">
        <v>324</v>
      </c>
      <c r="D52">
        <v>1820000</v>
      </c>
      <c r="E52" t="s">
        <v>375</v>
      </c>
    </row>
    <row r="53" spans="1:5" x14ac:dyDescent="0.25">
      <c r="A53" s="14">
        <v>42494.255706018521</v>
      </c>
      <c r="B53" t="s">
        <v>245</v>
      </c>
      <c r="C53" t="s">
        <v>376</v>
      </c>
      <c r="D53">
        <v>1800000</v>
      </c>
      <c r="E53" t="s">
        <v>140</v>
      </c>
    </row>
    <row r="54" spans="1:5" x14ac:dyDescent="0.25">
      <c r="A54" s="14">
        <v>42493.729386574072</v>
      </c>
      <c r="B54" t="s">
        <v>145</v>
      </c>
      <c r="C54" t="s">
        <v>377</v>
      </c>
      <c r="D54">
        <v>1140000</v>
      </c>
      <c r="E54" t="s">
        <v>136</v>
      </c>
    </row>
    <row r="55" spans="1:5" x14ac:dyDescent="0.25">
      <c r="A55" s="14">
        <v>42492.788842592592</v>
      </c>
      <c r="B55" t="s">
        <v>76</v>
      </c>
      <c r="C55" t="s">
        <v>247</v>
      </c>
      <c r="D55">
        <v>1140000</v>
      </c>
      <c r="E55" t="s">
        <v>136</v>
      </c>
    </row>
    <row r="56" spans="1:5" x14ac:dyDescent="0.25">
      <c r="A56" s="14">
        <v>42493.727071759262</v>
      </c>
      <c r="B56" t="s">
        <v>145</v>
      </c>
      <c r="C56" t="s">
        <v>377</v>
      </c>
      <c r="D56">
        <v>1140000</v>
      </c>
      <c r="E56" t="s">
        <v>136</v>
      </c>
    </row>
    <row r="57" spans="1:5" x14ac:dyDescent="0.25">
      <c r="A57" s="14">
        <v>42492.827222222222</v>
      </c>
      <c r="B57" t="s">
        <v>51</v>
      </c>
      <c r="C57" t="s">
        <v>248</v>
      </c>
      <c r="D57">
        <v>1140000</v>
      </c>
      <c r="E57" t="s">
        <v>136</v>
      </c>
    </row>
    <row r="58" spans="1:5" x14ac:dyDescent="0.25">
      <c r="A58" s="14">
        <v>42493.650972222225</v>
      </c>
      <c r="B58" t="s">
        <v>164</v>
      </c>
      <c r="C58" t="s">
        <v>317</v>
      </c>
      <c r="D58">
        <v>1830000</v>
      </c>
      <c r="E58" t="s">
        <v>220</v>
      </c>
    </row>
    <row r="59" spans="1:5" x14ac:dyDescent="0.25">
      <c r="A59" s="14">
        <v>42492.829861111109</v>
      </c>
      <c r="B59" t="s">
        <v>64</v>
      </c>
      <c r="C59" t="s">
        <v>202</v>
      </c>
      <c r="D59">
        <v>1740000</v>
      </c>
      <c r="E59" t="s">
        <v>226</v>
      </c>
    </row>
    <row r="60" spans="1:5" x14ac:dyDescent="0.25">
      <c r="A60" s="14">
        <v>42494.249062499999</v>
      </c>
      <c r="B60" t="s">
        <v>59</v>
      </c>
      <c r="C60" t="s">
        <v>378</v>
      </c>
      <c r="D60">
        <v>1770000</v>
      </c>
      <c r="E60" t="s">
        <v>143</v>
      </c>
    </row>
    <row r="61" spans="1:5" x14ac:dyDescent="0.25">
      <c r="A61" s="14">
        <v>42492.846331018518</v>
      </c>
      <c r="B61" t="s">
        <v>146</v>
      </c>
      <c r="C61" t="s">
        <v>204</v>
      </c>
      <c r="D61">
        <v>970000</v>
      </c>
      <c r="E61" t="s">
        <v>149</v>
      </c>
    </row>
    <row r="62" spans="1:5" x14ac:dyDescent="0.25">
      <c r="A62" s="14">
        <v>42494.217650462961</v>
      </c>
      <c r="B62" t="s">
        <v>148</v>
      </c>
      <c r="C62" t="s">
        <v>379</v>
      </c>
      <c r="D62">
        <v>1780000</v>
      </c>
      <c r="E62" t="s">
        <v>150</v>
      </c>
    </row>
    <row r="63" spans="1:5" x14ac:dyDescent="0.25">
      <c r="A63" s="14">
        <v>42492.893541666665</v>
      </c>
      <c r="B63" t="s">
        <v>206</v>
      </c>
      <c r="C63" t="s">
        <v>207</v>
      </c>
      <c r="D63">
        <v>970000</v>
      </c>
      <c r="E63" t="s">
        <v>149</v>
      </c>
    </row>
    <row r="64" spans="1:5" x14ac:dyDescent="0.25">
      <c r="A64" s="14">
        <v>42493.889467592591</v>
      </c>
      <c r="B64" t="s">
        <v>153</v>
      </c>
      <c r="C64" t="s">
        <v>380</v>
      </c>
      <c r="D64">
        <v>1280000</v>
      </c>
      <c r="E64" t="s">
        <v>138</v>
      </c>
    </row>
    <row r="65" spans="1:5" x14ac:dyDescent="0.25">
      <c r="A65" s="14">
        <v>42492.978819444441</v>
      </c>
      <c r="B65" t="s">
        <v>206</v>
      </c>
      <c r="C65" t="s">
        <v>210</v>
      </c>
      <c r="D65">
        <v>970000</v>
      </c>
      <c r="E65" t="s">
        <v>149</v>
      </c>
    </row>
    <row r="66" spans="1:5" x14ac:dyDescent="0.25">
      <c r="A66" s="14">
        <v>42493.789421296293</v>
      </c>
      <c r="B66" t="s">
        <v>164</v>
      </c>
      <c r="C66" t="s">
        <v>381</v>
      </c>
      <c r="D66">
        <v>1740000</v>
      </c>
      <c r="E66" t="s">
        <v>226</v>
      </c>
    </row>
    <row r="67" spans="1:5" x14ac:dyDescent="0.25">
      <c r="A67" s="14">
        <v>42493.031539351854</v>
      </c>
      <c r="B67" t="s">
        <v>53</v>
      </c>
      <c r="C67" t="s">
        <v>252</v>
      </c>
      <c r="D67">
        <v>1740000</v>
      </c>
      <c r="E67" t="s">
        <v>226</v>
      </c>
    </row>
    <row r="68" spans="1:5" x14ac:dyDescent="0.25">
      <c r="A68" s="14">
        <v>42493.700335648151</v>
      </c>
      <c r="B68" t="s">
        <v>148</v>
      </c>
      <c r="C68" t="s">
        <v>382</v>
      </c>
      <c r="D68">
        <v>1840000</v>
      </c>
      <c r="E68" t="s">
        <v>216</v>
      </c>
    </row>
    <row r="69" spans="1:5" x14ac:dyDescent="0.25">
      <c r="A69" s="14">
        <v>42493.23678240741</v>
      </c>
      <c r="B69" t="s">
        <v>245</v>
      </c>
      <c r="C69" t="s">
        <v>246</v>
      </c>
      <c r="D69">
        <v>1110000</v>
      </c>
      <c r="E69" t="s">
        <v>240</v>
      </c>
    </row>
    <row r="70" spans="1:5" x14ac:dyDescent="0.25">
      <c r="A70" s="14">
        <v>42493.630231481482</v>
      </c>
      <c r="B70" t="s">
        <v>218</v>
      </c>
      <c r="C70" t="s">
        <v>313</v>
      </c>
      <c r="D70">
        <v>1820000</v>
      </c>
      <c r="E70" t="s">
        <v>375</v>
      </c>
    </row>
    <row r="71" spans="1:5" x14ac:dyDescent="0.25">
      <c r="A71" s="14">
        <v>42493.247407407405</v>
      </c>
      <c r="B71" t="s">
        <v>139</v>
      </c>
      <c r="C71" t="s">
        <v>253</v>
      </c>
      <c r="D71">
        <v>1800000</v>
      </c>
      <c r="E71" t="s">
        <v>140</v>
      </c>
    </row>
    <row r="72" spans="1:5" x14ac:dyDescent="0.25">
      <c r="A72" s="14">
        <v>42494.245173611111</v>
      </c>
      <c r="B72" t="s">
        <v>278</v>
      </c>
      <c r="C72" t="s">
        <v>383</v>
      </c>
      <c r="D72">
        <v>1830000</v>
      </c>
      <c r="E72" t="s">
        <v>220</v>
      </c>
    </row>
    <row r="73" spans="1:5" x14ac:dyDescent="0.25">
      <c r="A73" s="14">
        <v>42493.249814814815</v>
      </c>
      <c r="B73" t="s">
        <v>146</v>
      </c>
      <c r="C73" t="s">
        <v>254</v>
      </c>
      <c r="D73">
        <v>1770000</v>
      </c>
      <c r="E73" t="s">
        <v>143</v>
      </c>
    </row>
    <row r="74" spans="1:5" x14ac:dyDescent="0.25">
      <c r="A74" s="14">
        <v>42493.86246527778</v>
      </c>
      <c r="B74" t="s">
        <v>164</v>
      </c>
      <c r="C74" t="s">
        <v>384</v>
      </c>
      <c r="D74">
        <v>1740000</v>
      </c>
      <c r="E74" t="s">
        <v>226</v>
      </c>
    </row>
    <row r="75" spans="1:5" x14ac:dyDescent="0.25">
      <c r="A75" s="14">
        <v>42493.298645833333</v>
      </c>
      <c r="B75" t="s">
        <v>154</v>
      </c>
      <c r="C75" t="s">
        <v>385</v>
      </c>
      <c r="D75">
        <v>1090000</v>
      </c>
      <c r="E75" t="s">
        <v>144</v>
      </c>
    </row>
    <row r="76" spans="1:5" x14ac:dyDescent="0.25">
      <c r="A76" s="14">
        <v>42493.706493055557</v>
      </c>
      <c r="B76" t="s">
        <v>218</v>
      </c>
      <c r="C76" t="s">
        <v>321</v>
      </c>
      <c r="D76">
        <v>1820000</v>
      </c>
      <c r="E76" t="s">
        <v>375</v>
      </c>
    </row>
    <row r="77" spans="1:5" x14ac:dyDescent="0.25">
      <c r="A77" s="14">
        <v>42493.349953703706</v>
      </c>
      <c r="B77" t="s">
        <v>238</v>
      </c>
      <c r="C77" t="s">
        <v>288</v>
      </c>
      <c r="D77">
        <v>1110000</v>
      </c>
      <c r="E77" t="s">
        <v>240</v>
      </c>
    </row>
    <row r="78" spans="1:5" x14ac:dyDescent="0.25">
      <c r="A78" s="14">
        <v>42493.581446759257</v>
      </c>
      <c r="B78" t="s">
        <v>145</v>
      </c>
      <c r="C78" t="s">
        <v>386</v>
      </c>
      <c r="D78">
        <v>1140000</v>
      </c>
      <c r="E78" t="s">
        <v>136</v>
      </c>
    </row>
    <row r="79" spans="1:5" x14ac:dyDescent="0.25">
      <c r="A79" s="14">
        <v>42493.359537037039</v>
      </c>
      <c r="B79" t="s">
        <v>145</v>
      </c>
      <c r="C79" t="s">
        <v>387</v>
      </c>
      <c r="D79">
        <v>1770000</v>
      </c>
      <c r="E79" t="s">
        <v>143</v>
      </c>
    </row>
    <row r="80" spans="1:5" x14ac:dyDescent="0.25">
      <c r="A80" s="14">
        <v>42493.552858796298</v>
      </c>
      <c r="B80" t="s">
        <v>148</v>
      </c>
      <c r="C80" t="s">
        <v>388</v>
      </c>
      <c r="D80">
        <v>1840000</v>
      </c>
      <c r="E80" t="s">
        <v>216</v>
      </c>
    </row>
    <row r="81" spans="1:5" x14ac:dyDescent="0.25">
      <c r="A81" s="14">
        <v>42493.371724537035</v>
      </c>
      <c r="B81" t="s">
        <v>154</v>
      </c>
      <c r="C81" t="s">
        <v>389</v>
      </c>
      <c r="D81">
        <v>1090000</v>
      </c>
      <c r="E81" t="s">
        <v>144</v>
      </c>
    </row>
    <row r="82" spans="1:5" x14ac:dyDescent="0.25">
      <c r="A82" s="14">
        <v>42493.498391203706</v>
      </c>
      <c r="B82" t="s">
        <v>50</v>
      </c>
      <c r="C82" t="s">
        <v>390</v>
      </c>
      <c r="D82">
        <v>1230000</v>
      </c>
      <c r="E82" t="s">
        <v>391</v>
      </c>
    </row>
    <row r="83" spans="1:5" x14ac:dyDescent="0.25">
      <c r="A83" s="14">
        <v>42493.407847222225</v>
      </c>
      <c r="B83" t="s">
        <v>142</v>
      </c>
      <c r="C83" t="s">
        <v>392</v>
      </c>
      <c r="D83">
        <v>1780000</v>
      </c>
      <c r="E83" t="s">
        <v>150</v>
      </c>
    </row>
    <row r="84" spans="1:5" x14ac:dyDescent="0.25">
      <c r="A84" s="14">
        <v>42493.4684375</v>
      </c>
      <c r="B84" t="s">
        <v>139</v>
      </c>
      <c r="C84" t="s">
        <v>300</v>
      </c>
      <c r="D84">
        <v>1830000</v>
      </c>
      <c r="E84" t="s">
        <v>220</v>
      </c>
    </row>
    <row r="85" spans="1:5" x14ac:dyDescent="0.25">
      <c r="A85" s="14">
        <v>42493.408217592594</v>
      </c>
      <c r="B85" t="s">
        <v>148</v>
      </c>
      <c r="C85" t="s">
        <v>297</v>
      </c>
      <c r="D85">
        <v>1090000</v>
      </c>
      <c r="E85" t="s">
        <v>144</v>
      </c>
    </row>
    <row r="86" spans="1:5" x14ac:dyDescent="0.25">
      <c r="A86" s="14">
        <v>42493.45107638889</v>
      </c>
      <c r="B86" t="s">
        <v>278</v>
      </c>
      <c r="C86" t="s">
        <v>393</v>
      </c>
      <c r="D86">
        <v>1260000</v>
      </c>
      <c r="E86" t="s">
        <v>132</v>
      </c>
    </row>
    <row r="87" spans="1:5" x14ac:dyDescent="0.25">
      <c r="A87" s="14">
        <v>42493.413472222222</v>
      </c>
      <c r="B87" t="s">
        <v>218</v>
      </c>
      <c r="C87" t="s">
        <v>394</v>
      </c>
      <c r="D87">
        <v>1260000</v>
      </c>
      <c r="E87" t="s">
        <v>132</v>
      </c>
    </row>
    <row r="88" spans="1:5" x14ac:dyDescent="0.25">
      <c r="A88" s="14">
        <v>42493.445034722223</v>
      </c>
      <c r="B88" t="s">
        <v>153</v>
      </c>
      <c r="C88" t="s">
        <v>395</v>
      </c>
      <c r="D88">
        <v>1780000</v>
      </c>
      <c r="E88" t="s">
        <v>150</v>
      </c>
    </row>
    <row r="89" spans="1:5" x14ac:dyDescent="0.25">
      <c r="A89" s="14">
        <v>42493.443402777775</v>
      </c>
      <c r="B89" t="s">
        <v>153</v>
      </c>
      <c r="C89" t="s">
        <v>395</v>
      </c>
      <c r="D89">
        <v>1780000</v>
      </c>
      <c r="E89" t="s">
        <v>150</v>
      </c>
    </row>
    <row r="90" spans="1:5" x14ac:dyDescent="0.25">
      <c r="A90" s="14">
        <v>42493.434687499997</v>
      </c>
      <c r="B90" t="s">
        <v>145</v>
      </c>
      <c r="C90" t="s">
        <v>396</v>
      </c>
      <c r="D90">
        <v>1810000</v>
      </c>
      <c r="E90" t="s">
        <v>152</v>
      </c>
    </row>
    <row r="91" spans="1:5" x14ac:dyDescent="0.25">
      <c r="A91" s="14">
        <v>42493.47210648148</v>
      </c>
      <c r="B91" t="s">
        <v>146</v>
      </c>
      <c r="C91" t="s">
        <v>397</v>
      </c>
      <c r="D91">
        <v>1810000</v>
      </c>
      <c r="E91" t="s">
        <v>152</v>
      </c>
    </row>
    <row r="92" spans="1:5" x14ac:dyDescent="0.25">
      <c r="A92" s="14">
        <v>42493.42355324074</v>
      </c>
      <c r="B92" t="s">
        <v>238</v>
      </c>
      <c r="C92" t="s">
        <v>398</v>
      </c>
      <c r="D92">
        <v>1110000</v>
      </c>
      <c r="E92" t="s">
        <v>240</v>
      </c>
    </row>
    <row r="93" spans="1:5" x14ac:dyDescent="0.25">
      <c r="A93" s="14">
        <v>42493.477581018517</v>
      </c>
      <c r="B93" t="s">
        <v>399</v>
      </c>
      <c r="C93" t="s">
        <v>447</v>
      </c>
      <c r="D93">
        <v>0</v>
      </c>
      <c r="E93" t="s">
        <v>177</v>
      </c>
    </row>
    <row r="94" spans="1:5" x14ac:dyDescent="0.25">
      <c r="A94" s="14">
        <v>42493.390104166669</v>
      </c>
      <c r="B94" t="s">
        <v>139</v>
      </c>
      <c r="C94" t="s">
        <v>295</v>
      </c>
      <c r="D94">
        <v>1800000</v>
      </c>
      <c r="E94" t="s">
        <v>140</v>
      </c>
    </row>
    <row r="95" spans="1:5" x14ac:dyDescent="0.25">
      <c r="A95" s="14">
        <v>42493.484456018516</v>
      </c>
      <c r="B95" t="s">
        <v>400</v>
      </c>
      <c r="C95" t="s">
        <v>447</v>
      </c>
      <c r="D95">
        <v>0</v>
      </c>
      <c r="E95" t="s">
        <v>177</v>
      </c>
    </row>
    <row r="96" spans="1:5" x14ac:dyDescent="0.25">
      <c r="A96" s="14">
        <v>42493.384293981479</v>
      </c>
      <c r="B96" t="s">
        <v>245</v>
      </c>
      <c r="C96" t="s">
        <v>294</v>
      </c>
      <c r="D96">
        <v>1110000</v>
      </c>
      <c r="E96" t="s">
        <v>240</v>
      </c>
    </row>
    <row r="97" spans="1:5" x14ac:dyDescent="0.25">
      <c r="A97" s="14">
        <v>42493.50885416667</v>
      </c>
      <c r="B97" t="s">
        <v>145</v>
      </c>
      <c r="C97" t="s">
        <v>304</v>
      </c>
      <c r="D97">
        <v>1140000</v>
      </c>
      <c r="E97" t="s">
        <v>136</v>
      </c>
    </row>
    <row r="98" spans="1:5" x14ac:dyDescent="0.25">
      <c r="A98" s="14">
        <v>42493.380497685182</v>
      </c>
      <c r="B98" t="s">
        <v>63</v>
      </c>
      <c r="C98" t="s">
        <v>296</v>
      </c>
      <c r="D98">
        <v>1810000</v>
      </c>
      <c r="E98" t="s">
        <v>152</v>
      </c>
    </row>
    <row r="99" spans="1:5" x14ac:dyDescent="0.25">
      <c r="A99" s="14">
        <v>42493.610381944447</v>
      </c>
      <c r="B99" t="s">
        <v>63</v>
      </c>
      <c r="C99" t="s">
        <v>401</v>
      </c>
      <c r="D99">
        <v>1290000</v>
      </c>
      <c r="E99" t="s">
        <v>156</v>
      </c>
    </row>
    <row r="100" spans="1:5" x14ac:dyDescent="0.25">
      <c r="A100" s="14">
        <v>42493.36078703704</v>
      </c>
      <c r="B100" t="s">
        <v>164</v>
      </c>
      <c r="C100" t="s">
        <v>291</v>
      </c>
      <c r="D100">
        <v>1800000</v>
      </c>
      <c r="E100" t="s">
        <v>140</v>
      </c>
    </row>
    <row r="101" spans="1:5" x14ac:dyDescent="0.25">
      <c r="A101" s="14">
        <v>42493.636018518519</v>
      </c>
      <c r="B101" t="s">
        <v>238</v>
      </c>
      <c r="C101" t="s">
        <v>316</v>
      </c>
      <c r="D101">
        <v>970000</v>
      </c>
      <c r="E101" t="s">
        <v>149</v>
      </c>
    </row>
    <row r="102" spans="1:5" x14ac:dyDescent="0.25">
      <c r="A102" s="14">
        <v>42493.255810185183</v>
      </c>
      <c r="B102" t="s">
        <v>206</v>
      </c>
      <c r="C102" t="s">
        <v>213</v>
      </c>
      <c r="D102">
        <v>1780000</v>
      </c>
      <c r="E102" t="s">
        <v>150</v>
      </c>
    </row>
    <row r="103" spans="1:5" x14ac:dyDescent="0.25">
      <c r="A103" s="14">
        <v>42493.667858796296</v>
      </c>
      <c r="B103" t="s">
        <v>278</v>
      </c>
      <c r="C103" t="s">
        <v>319</v>
      </c>
      <c r="D103">
        <v>1820000</v>
      </c>
      <c r="E103" t="s">
        <v>375</v>
      </c>
    </row>
    <row r="104" spans="1:5" x14ac:dyDescent="0.25">
      <c r="A104" s="14">
        <v>42493.230347222219</v>
      </c>
      <c r="B104" t="s">
        <v>154</v>
      </c>
      <c r="C104" t="s">
        <v>214</v>
      </c>
      <c r="D104">
        <v>1090000</v>
      </c>
      <c r="E104" t="s">
        <v>144</v>
      </c>
    </row>
    <row r="105" spans="1:5" x14ac:dyDescent="0.25">
      <c r="A105" s="14">
        <v>42493.991585648146</v>
      </c>
      <c r="B105" t="s">
        <v>63</v>
      </c>
      <c r="C105" t="s">
        <v>402</v>
      </c>
      <c r="D105">
        <v>1180000</v>
      </c>
      <c r="E105" t="s">
        <v>357</v>
      </c>
    </row>
    <row r="106" spans="1:5" x14ac:dyDescent="0.25">
      <c r="A106" s="14">
        <v>42493.21365740741</v>
      </c>
      <c r="B106" t="s">
        <v>153</v>
      </c>
      <c r="C106" t="s">
        <v>215</v>
      </c>
      <c r="D106">
        <v>1800000</v>
      </c>
      <c r="E106" t="s">
        <v>140</v>
      </c>
    </row>
    <row r="107" spans="1:5" x14ac:dyDescent="0.25">
      <c r="A107" s="14">
        <v>42494.212037037039</v>
      </c>
      <c r="B107" t="s">
        <v>73</v>
      </c>
      <c r="C107" t="s">
        <v>403</v>
      </c>
      <c r="D107">
        <v>1100000</v>
      </c>
      <c r="E107" t="s">
        <v>129</v>
      </c>
    </row>
    <row r="108" spans="1:5" x14ac:dyDescent="0.25">
      <c r="A108" s="14">
        <v>42493.212048611109</v>
      </c>
      <c r="B108" t="s">
        <v>153</v>
      </c>
      <c r="C108" t="s">
        <v>215</v>
      </c>
      <c r="D108">
        <v>1800000</v>
      </c>
      <c r="E108" t="s">
        <v>140</v>
      </c>
    </row>
    <row r="109" spans="1:5" x14ac:dyDescent="0.25">
      <c r="A109" s="14">
        <v>42494.234803240739</v>
      </c>
      <c r="B109" t="s">
        <v>145</v>
      </c>
      <c r="C109" t="s">
        <v>374</v>
      </c>
      <c r="D109">
        <v>1810000</v>
      </c>
      <c r="E109" t="s">
        <v>152</v>
      </c>
    </row>
    <row r="110" spans="1:5" x14ac:dyDescent="0.25">
      <c r="A110" s="14">
        <v>42493.209039351852</v>
      </c>
      <c r="B110" t="s">
        <v>50</v>
      </c>
      <c r="C110" t="s">
        <v>217</v>
      </c>
      <c r="D110">
        <v>1810000</v>
      </c>
      <c r="E110" t="s">
        <v>152</v>
      </c>
    </row>
    <row r="111" spans="1:5" x14ac:dyDescent="0.25">
      <c r="A111" s="14">
        <v>42493.841226851851</v>
      </c>
      <c r="B111" t="s">
        <v>142</v>
      </c>
      <c r="C111" t="s">
        <v>404</v>
      </c>
      <c r="D111">
        <v>1280000</v>
      </c>
      <c r="E111" t="s">
        <v>138</v>
      </c>
    </row>
    <row r="112" spans="1:5" x14ac:dyDescent="0.25">
      <c r="A112" s="14">
        <v>42493.191122685188</v>
      </c>
      <c r="B112" t="s">
        <v>218</v>
      </c>
      <c r="C112" t="s">
        <v>219</v>
      </c>
      <c r="D112">
        <v>1260000</v>
      </c>
      <c r="E112" t="s">
        <v>132</v>
      </c>
    </row>
    <row r="113" spans="1:5" x14ac:dyDescent="0.25">
      <c r="A113" s="14">
        <v>42494.195636574077</v>
      </c>
      <c r="B113" t="s">
        <v>50</v>
      </c>
      <c r="C113" t="s">
        <v>405</v>
      </c>
      <c r="D113">
        <v>1260000</v>
      </c>
      <c r="E113" t="s">
        <v>132</v>
      </c>
    </row>
    <row r="114" spans="1:5" x14ac:dyDescent="0.25">
      <c r="A114" s="14">
        <v>42493.169027777774</v>
      </c>
      <c r="B114" t="s">
        <v>146</v>
      </c>
      <c r="C114" t="s">
        <v>221</v>
      </c>
      <c r="D114">
        <v>1770000</v>
      </c>
      <c r="E114" t="s">
        <v>143</v>
      </c>
    </row>
    <row r="115" spans="1:5" x14ac:dyDescent="0.25">
      <c r="A115" s="14">
        <v>42493.754305555558</v>
      </c>
      <c r="B115" t="s">
        <v>63</v>
      </c>
      <c r="C115" t="s">
        <v>406</v>
      </c>
      <c r="D115">
        <v>1180000</v>
      </c>
      <c r="E115" t="s">
        <v>357</v>
      </c>
    </row>
    <row r="116" spans="1:5" x14ac:dyDescent="0.25">
      <c r="A116" s="14">
        <v>42493.011921296296</v>
      </c>
      <c r="B116" t="s">
        <v>134</v>
      </c>
      <c r="C116" t="s">
        <v>222</v>
      </c>
      <c r="D116">
        <v>970000</v>
      </c>
      <c r="E116" t="s">
        <v>149</v>
      </c>
    </row>
    <row r="117" spans="1:5" x14ac:dyDescent="0.25">
      <c r="A117" s="14">
        <v>42493.931087962963</v>
      </c>
      <c r="B117" t="s">
        <v>142</v>
      </c>
      <c r="C117" t="s">
        <v>407</v>
      </c>
      <c r="D117">
        <v>1280000</v>
      </c>
      <c r="E117" t="s">
        <v>138</v>
      </c>
    </row>
    <row r="118" spans="1:5" x14ac:dyDescent="0.25">
      <c r="A118" s="14">
        <v>42492.97084490741</v>
      </c>
      <c r="B118" t="s">
        <v>72</v>
      </c>
      <c r="C118" t="s">
        <v>223</v>
      </c>
      <c r="D118">
        <v>1760000</v>
      </c>
      <c r="E118" t="s">
        <v>224</v>
      </c>
    </row>
    <row r="119" spans="1:5" x14ac:dyDescent="0.25">
      <c r="A119" s="14">
        <v>42494.169965277775</v>
      </c>
      <c r="B119" t="s">
        <v>59</v>
      </c>
      <c r="C119" t="s">
        <v>360</v>
      </c>
      <c r="D119">
        <v>1770000</v>
      </c>
      <c r="E119" t="s">
        <v>143</v>
      </c>
    </row>
    <row r="120" spans="1:5" x14ac:dyDescent="0.25">
      <c r="A120" s="14">
        <v>42492.946539351855</v>
      </c>
      <c r="B120" t="s">
        <v>53</v>
      </c>
      <c r="C120" t="s">
        <v>225</v>
      </c>
      <c r="D120">
        <v>1740000</v>
      </c>
      <c r="E120" t="s">
        <v>226</v>
      </c>
    </row>
    <row r="121" spans="1:5" x14ac:dyDescent="0.25">
      <c r="A121" s="14">
        <v>42493.731053240743</v>
      </c>
      <c r="B121" t="s">
        <v>145</v>
      </c>
      <c r="C121" t="s">
        <v>377</v>
      </c>
      <c r="D121">
        <v>1140000</v>
      </c>
      <c r="E121" t="s">
        <v>136</v>
      </c>
    </row>
    <row r="122" spans="1:5" x14ac:dyDescent="0.25">
      <c r="A122" s="14">
        <v>42492.927824074075</v>
      </c>
      <c r="B122" t="s">
        <v>134</v>
      </c>
      <c r="C122" t="s">
        <v>208</v>
      </c>
      <c r="D122">
        <v>970000</v>
      </c>
      <c r="E122" t="s">
        <v>149</v>
      </c>
    </row>
    <row r="123" spans="1:5" x14ac:dyDescent="0.25">
      <c r="A123" s="14">
        <v>42494.009062500001</v>
      </c>
      <c r="B123" t="s">
        <v>142</v>
      </c>
      <c r="C123" t="s">
        <v>408</v>
      </c>
      <c r="D123">
        <v>1280000</v>
      </c>
      <c r="E123" t="s">
        <v>138</v>
      </c>
    </row>
    <row r="124" spans="1:5" x14ac:dyDescent="0.25">
      <c r="A124" s="14">
        <v>42492.925949074073</v>
      </c>
      <c r="B124" t="s">
        <v>56</v>
      </c>
      <c r="C124" t="s">
        <v>228</v>
      </c>
      <c r="D124">
        <v>1760000</v>
      </c>
      <c r="E124" t="s">
        <v>224</v>
      </c>
    </row>
    <row r="125" spans="1:5" x14ac:dyDescent="0.25">
      <c r="A125" s="14">
        <v>42494.263078703705</v>
      </c>
      <c r="B125" t="s">
        <v>146</v>
      </c>
      <c r="C125" t="s">
        <v>409</v>
      </c>
      <c r="D125">
        <v>1810000</v>
      </c>
      <c r="E125" t="s">
        <v>152</v>
      </c>
    </row>
    <row r="126" spans="1:5" x14ac:dyDescent="0.25">
      <c r="A126" s="14">
        <v>42492.847986111112</v>
      </c>
      <c r="B126" t="s">
        <v>146</v>
      </c>
      <c r="C126" t="s">
        <v>204</v>
      </c>
      <c r="D126">
        <v>970000</v>
      </c>
      <c r="E126" t="s">
        <v>149</v>
      </c>
    </row>
    <row r="127" spans="1:5" x14ac:dyDescent="0.25">
      <c r="A127" s="14">
        <v>42493.673217592594</v>
      </c>
      <c r="B127" t="s">
        <v>245</v>
      </c>
      <c r="C127" t="s">
        <v>410</v>
      </c>
      <c r="D127">
        <v>970000</v>
      </c>
      <c r="E127" t="s">
        <v>149</v>
      </c>
    </row>
    <row r="128" spans="1:5" x14ac:dyDescent="0.25">
      <c r="A128" s="14">
        <v>42492.792685185188</v>
      </c>
      <c r="B128" t="s">
        <v>53</v>
      </c>
      <c r="C128" t="s">
        <v>229</v>
      </c>
      <c r="D128">
        <v>1740000</v>
      </c>
      <c r="E128" t="s">
        <v>226</v>
      </c>
    </row>
    <row r="129" spans="1:5" x14ac:dyDescent="0.25">
      <c r="A129" s="14">
        <v>42493.728229166663</v>
      </c>
      <c r="B129" t="s">
        <v>145</v>
      </c>
      <c r="C129" t="s">
        <v>377</v>
      </c>
      <c r="D129">
        <v>1140000</v>
      </c>
      <c r="E129" t="s">
        <v>136</v>
      </c>
    </row>
    <row r="130" spans="1:5" x14ac:dyDescent="0.25">
      <c r="A130" s="14">
        <v>42493.829074074078</v>
      </c>
      <c r="B130" t="s">
        <v>139</v>
      </c>
      <c r="C130" t="s">
        <v>329</v>
      </c>
      <c r="D130">
        <v>1470000</v>
      </c>
      <c r="E130" t="s">
        <v>411</v>
      </c>
    </row>
    <row r="131" spans="1:5" x14ac:dyDescent="0.25">
      <c r="A131" s="14">
        <v>42493.807592592595</v>
      </c>
      <c r="B131" t="s">
        <v>154</v>
      </c>
      <c r="C131" t="s">
        <v>327</v>
      </c>
      <c r="D131">
        <v>1750000</v>
      </c>
      <c r="E131" t="s">
        <v>230</v>
      </c>
    </row>
    <row r="132" spans="1:5" x14ac:dyDescent="0.25">
      <c r="A132" s="14">
        <v>42493.804120370369</v>
      </c>
      <c r="B132" t="s">
        <v>153</v>
      </c>
      <c r="C132" t="s">
        <v>328</v>
      </c>
      <c r="D132">
        <v>1280000</v>
      </c>
      <c r="E132" t="s">
        <v>138</v>
      </c>
    </row>
    <row r="133" spans="1:5" x14ac:dyDescent="0.25">
      <c r="A133" s="14">
        <v>42493.930300925924</v>
      </c>
      <c r="B133" t="s">
        <v>148</v>
      </c>
      <c r="C133" t="s">
        <v>412</v>
      </c>
      <c r="D133">
        <v>1750000</v>
      </c>
      <c r="E133" t="s">
        <v>230</v>
      </c>
    </row>
    <row r="134" spans="1:5" x14ac:dyDescent="0.25">
      <c r="A134" s="14">
        <v>42493.789039351854</v>
      </c>
      <c r="B134" t="s">
        <v>50</v>
      </c>
      <c r="C134" t="s">
        <v>326</v>
      </c>
      <c r="D134">
        <v>1180000</v>
      </c>
      <c r="E134" t="s">
        <v>357</v>
      </c>
    </row>
    <row r="135" spans="1:5" x14ac:dyDescent="0.25">
      <c r="A135" s="14">
        <v>42493.969884259262</v>
      </c>
      <c r="B135" t="s">
        <v>153</v>
      </c>
      <c r="C135" t="s">
        <v>413</v>
      </c>
      <c r="D135">
        <v>1280000</v>
      </c>
      <c r="E135" t="s">
        <v>138</v>
      </c>
    </row>
    <row r="136" spans="1:5" x14ac:dyDescent="0.25">
      <c r="A136" s="14">
        <v>42493.775081018517</v>
      </c>
      <c r="B136" t="s">
        <v>148</v>
      </c>
      <c r="C136" t="s">
        <v>414</v>
      </c>
      <c r="D136">
        <v>1750000</v>
      </c>
      <c r="E136" t="s">
        <v>230</v>
      </c>
    </row>
    <row r="137" spans="1:5" x14ac:dyDescent="0.25">
      <c r="A137" s="14">
        <v>42492.868125000001</v>
      </c>
      <c r="B137" t="s">
        <v>53</v>
      </c>
      <c r="C137" t="s">
        <v>209</v>
      </c>
      <c r="D137">
        <v>1740000</v>
      </c>
      <c r="E137" t="s">
        <v>226</v>
      </c>
    </row>
    <row r="138" spans="1:5" x14ac:dyDescent="0.25">
      <c r="A138" s="14">
        <v>42493.768888888888</v>
      </c>
      <c r="B138" t="s">
        <v>142</v>
      </c>
      <c r="C138" t="s">
        <v>415</v>
      </c>
      <c r="D138">
        <v>1280000</v>
      </c>
      <c r="E138" t="s">
        <v>138</v>
      </c>
    </row>
    <row r="139" spans="1:5" x14ac:dyDescent="0.25">
      <c r="A139" s="14">
        <v>42492.869189814817</v>
      </c>
      <c r="B139" t="s">
        <v>53</v>
      </c>
      <c r="C139" t="s">
        <v>209</v>
      </c>
      <c r="D139">
        <v>1740000</v>
      </c>
      <c r="E139" t="s">
        <v>226</v>
      </c>
    </row>
    <row r="140" spans="1:5" x14ac:dyDescent="0.25">
      <c r="A140" s="14">
        <v>42493.7653125</v>
      </c>
      <c r="B140" t="s">
        <v>146</v>
      </c>
      <c r="C140" t="s">
        <v>325</v>
      </c>
      <c r="D140">
        <v>1140000</v>
      </c>
      <c r="E140" t="s">
        <v>136</v>
      </c>
    </row>
    <row r="141" spans="1:5" x14ac:dyDescent="0.25">
      <c r="A141" s="14">
        <v>42493.15452546296</v>
      </c>
      <c r="B141" t="s">
        <v>154</v>
      </c>
      <c r="C141" t="s">
        <v>276</v>
      </c>
      <c r="D141">
        <v>1110000</v>
      </c>
      <c r="E141" t="s">
        <v>240</v>
      </c>
    </row>
    <row r="142" spans="1:5" x14ac:dyDescent="0.25">
      <c r="A142" s="14">
        <v>42493.7578587963</v>
      </c>
      <c r="B142" t="s">
        <v>139</v>
      </c>
      <c r="C142" t="s">
        <v>416</v>
      </c>
      <c r="D142">
        <v>1470000</v>
      </c>
      <c r="E142" t="s">
        <v>411</v>
      </c>
    </row>
    <row r="143" spans="1:5" x14ac:dyDescent="0.25">
      <c r="A143" s="14">
        <v>42493.210416666669</v>
      </c>
      <c r="B143" t="s">
        <v>145</v>
      </c>
      <c r="C143" t="s">
        <v>277</v>
      </c>
      <c r="D143">
        <v>1770000</v>
      </c>
      <c r="E143" t="s">
        <v>143</v>
      </c>
    </row>
    <row r="144" spans="1:5" x14ac:dyDescent="0.25">
      <c r="A144" s="14">
        <v>42493.660104166665</v>
      </c>
      <c r="B144" t="s">
        <v>153</v>
      </c>
      <c r="C144" t="s">
        <v>318</v>
      </c>
      <c r="D144">
        <v>1340000</v>
      </c>
      <c r="E144" t="s">
        <v>235</v>
      </c>
    </row>
    <row r="145" spans="1:5" x14ac:dyDescent="0.25">
      <c r="A145" s="14">
        <v>42493.232523148145</v>
      </c>
      <c r="B145" t="s">
        <v>278</v>
      </c>
      <c r="C145" t="s">
        <v>279</v>
      </c>
      <c r="D145">
        <v>1260000</v>
      </c>
      <c r="E145" t="s">
        <v>132</v>
      </c>
    </row>
    <row r="146" spans="1:5" x14ac:dyDescent="0.25">
      <c r="A146" s="14">
        <v>42493.641250000001</v>
      </c>
      <c r="B146" t="s">
        <v>50</v>
      </c>
      <c r="C146" t="s">
        <v>417</v>
      </c>
      <c r="D146">
        <v>1290000</v>
      </c>
      <c r="E146" t="s">
        <v>156</v>
      </c>
    </row>
    <row r="147" spans="1:5" x14ac:dyDescent="0.25">
      <c r="A147" s="14">
        <v>42493.243125000001</v>
      </c>
      <c r="B147" t="s">
        <v>63</v>
      </c>
      <c r="C147" t="s">
        <v>280</v>
      </c>
      <c r="D147">
        <v>1810000</v>
      </c>
      <c r="E147" t="s">
        <v>152</v>
      </c>
    </row>
    <row r="148" spans="1:5" x14ac:dyDescent="0.25">
      <c r="A148" s="14">
        <v>42493.615358796298</v>
      </c>
      <c r="B148" t="s">
        <v>146</v>
      </c>
      <c r="C148" t="s">
        <v>312</v>
      </c>
      <c r="D148">
        <v>1140000</v>
      </c>
      <c r="E148" t="s">
        <v>136</v>
      </c>
    </row>
    <row r="149" spans="1:5" x14ac:dyDescent="0.25">
      <c r="A149" s="14">
        <v>42493.396111111113</v>
      </c>
      <c r="B149" t="s">
        <v>146</v>
      </c>
      <c r="C149" t="s">
        <v>418</v>
      </c>
      <c r="D149">
        <v>1770000</v>
      </c>
      <c r="E149" t="s">
        <v>143</v>
      </c>
    </row>
    <row r="150" spans="1:5" x14ac:dyDescent="0.25">
      <c r="A150" s="14">
        <v>42493.587314814817</v>
      </c>
      <c r="B150" t="s">
        <v>153</v>
      </c>
      <c r="C150" t="s">
        <v>419</v>
      </c>
      <c r="D150">
        <v>1340000</v>
      </c>
      <c r="E150" t="s">
        <v>235</v>
      </c>
    </row>
    <row r="151" spans="1:5" x14ac:dyDescent="0.25">
      <c r="A151" s="14">
        <v>42492.828611111108</v>
      </c>
      <c r="B151" t="s">
        <v>64</v>
      </c>
      <c r="C151" t="s">
        <v>202</v>
      </c>
      <c r="D151">
        <v>1740000</v>
      </c>
      <c r="E151" t="s">
        <v>226</v>
      </c>
    </row>
    <row r="152" spans="1:5" x14ac:dyDescent="0.25">
      <c r="A152" s="14">
        <v>42493.587465277778</v>
      </c>
      <c r="B152" t="s">
        <v>154</v>
      </c>
      <c r="C152" t="s">
        <v>420</v>
      </c>
      <c r="D152">
        <v>1840000</v>
      </c>
      <c r="E152" t="s">
        <v>216</v>
      </c>
    </row>
    <row r="153" spans="1:5" x14ac:dyDescent="0.25">
      <c r="A153" s="14">
        <v>42492.907071759262</v>
      </c>
      <c r="B153" t="s">
        <v>64</v>
      </c>
      <c r="C153" t="s">
        <v>250</v>
      </c>
      <c r="D153">
        <v>1740000</v>
      </c>
      <c r="E153" t="s">
        <v>226</v>
      </c>
    </row>
    <row r="154" spans="1:5" x14ac:dyDescent="0.25">
      <c r="A154" s="14">
        <v>42493.568078703705</v>
      </c>
      <c r="B154" t="s">
        <v>50</v>
      </c>
      <c r="C154" t="s">
        <v>310</v>
      </c>
      <c r="D154">
        <v>1290000</v>
      </c>
      <c r="E154" t="s">
        <v>156</v>
      </c>
    </row>
    <row r="155" spans="1:5" x14ac:dyDescent="0.25">
      <c r="A155" s="14">
        <v>42492.988229166665</v>
      </c>
      <c r="B155" t="s">
        <v>51</v>
      </c>
      <c r="C155" t="s">
        <v>272</v>
      </c>
      <c r="D155">
        <v>1140000</v>
      </c>
      <c r="E155" t="s">
        <v>136</v>
      </c>
    </row>
    <row r="156" spans="1:5" x14ac:dyDescent="0.25">
      <c r="A156" s="14">
        <v>42493.565370370372</v>
      </c>
      <c r="B156" t="s">
        <v>238</v>
      </c>
      <c r="C156" t="s">
        <v>307</v>
      </c>
      <c r="D156">
        <v>970000</v>
      </c>
      <c r="E156" t="s">
        <v>149</v>
      </c>
    </row>
    <row r="157" spans="1:5" x14ac:dyDescent="0.25">
      <c r="A157" s="14">
        <v>42493.057071759256</v>
      </c>
      <c r="B157" t="s">
        <v>72</v>
      </c>
      <c r="C157" t="s">
        <v>212</v>
      </c>
      <c r="D157">
        <v>1760000</v>
      </c>
      <c r="E157" t="s">
        <v>224</v>
      </c>
    </row>
    <row r="158" spans="1:5" x14ac:dyDescent="0.25">
      <c r="A158" s="14">
        <v>42493.548958333333</v>
      </c>
      <c r="B158" t="s">
        <v>142</v>
      </c>
      <c r="C158" t="s">
        <v>421</v>
      </c>
      <c r="D158">
        <v>1340000</v>
      </c>
      <c r="E158" t="s">
        <v>235</v>
      </c>
    </row>
    <row r="159" spans="1:5" x14ac:dyDescent="0.25">
      <c r="A159" s="14">
        <v>42493.170856481483</v>
      </c>
      <c r="B159" t="s">
        <v>139</v>
      </c>
      <c r="C159" t="s">
        <v>273</v>
      </c>
      <c r="D159">
        <v>1800000</v>
      </c>
      <c r="E159" t="s">
        <v>140</v>
      </c>
    </row>
    <row r="160" spans="1:5" x14ac:dyDescent="0.25">
      <c r="A160" s="14">
        <v>42493.538518518515</v>
      </c>
      <c r="B160" t="s">
        <v>139</v>
      </c>
      <c r="C160" t="s">
        <v>422</v>
      </c>
      <c r="D160">
        <v>1830000</v>
      </c>
      <c r="E160" t="s">
        <v>220</v>
      </c>
    </row>
    <row r="161" spans="1:5" x14ac:dyDescent="0.25">
      <c r="A161" s="14">
        <v>42493.323587962965</v>
      </c>
      <c r="B161" t="s">
        <v>146</v>
      </c>
      <c r="C161" t="s">
        <v>287</v>
      </c>
      <c r="D161">
        <v>1770000</v>
      </c>
      <c r="E161" t="s">
        <v>143</v>
      </c>
    </row>
    <row r="162" spans="1:5" x14ac:dyDescent="0.25">
      <c r="A162" s="14">
        <v>42493.535567129627</v>
      </c>
      <c r="B162" t="s">
        <v>63</v>
      </c>
      <c r="C162" t="s">
        <v>423</v>
      </c>
      <c r="D162">
        <v>1230000</v>
      </c>
      <c r="E162" t="s">
        <v>391</v>
      </c>
    </row>
    <row r="163" spans="1:5" x14ac:dyDescent="0.25">
      <c r="A163" s="14">
        <v>42493.327523148146</v>
      </c>
      <c r="B163" t="s">
        <v>206</v>
      </c>
      <c r="C163" t="s">
        <v>424</v>
      </c>
      <c r="D163">
        <v>1780000</v>
      </c>
      <c r="E163" t="s">
        <v>150</v>
      </c>
    </row>
    <row r="164" spans="1:5" x14ac:dyDescent="0.25">
      <c r="A164" s="14">
        <v>42493.51766203704</v>
      </c>
      <c r="B164" t="s">
        <v>153</v>
      </c>
      <c r="C164" t="s">
        <v>306</v>
      </c>
      <c r="D164">
        <v>1340000</v>
      </c>
      <c r="E164" t="s">
        <v>235</v>
      </c>
    </row>
    <row r="165" spans="1:5" x14ac:dyDescent="0.25">
      <c r="A165" s="14">
        <v>42493.459976851853</v>
      </c>
      <c r="B165" t="s">
        <v>245</v>
      </c>
      <c r="C165" t="s">
        <v>299</v>
      </c>
      <c r="D165">
        <v>1090000</v>
      </c>
      <c r="E165" t="s">
        <v>144</v>
      </c>
    </row>
    <row r="166" spans="1:5" x14ac:dyDescent="0.25">
      <c r="A166" s="14">
        <v>42493.505914351852</v>
      </c>
      <c r="B166" t="s">
        <v>164</v>
      </c>
      <c r="C166" t="s">
        <v>425</v>
      </c>
      <c r="D166">
        <v>1830000</v>
      </c>
      <c r="E166" t="s">
        <v>220</v>
      </c>
    </row>
    <row r="167" spans="1:5" x14ac:dyDescent="0.25">
      <c r="A167" s="14">
        <v>42493.490370370368</v>
      </c>
      <c r="B167" t="s">
        <v>218</v>
      </c>
      <c r="C167" t="s">
        <v>426</v>
      </c>
      <c r="D167">
        <v>1820000</v>
      </c>
      <c r="E167" t="s">
        <v>375</v>
      </c>
    </row>
    <row r="168" spans="1:5" x14ac:dyDescent="0.25">
      <c r="A168" s="14">
        <v>42493.504490740743</v>
      </c>
      <c r="B168" t="s">
        <v>206</v>
      </c>
      <c r="C168" t="s">
        <v>447</v>
      </c>
      <c r="D168">
        <v>0</v>
      </c>
      <c r="E168" t="s">
        <v>177</v>
      </c>
    </row>
    <row r="169" spans="1:5" x14ac:dyDescent="0.25">
      <c r="A169" s="14">
        <v>42493.49496527778</v>
      </c>
      <c r="B169" t="s">
        <v>238</v>
      </c>
      <c r="C169" t="s">
        <v>302</v>
      </c>
      <c r="D169">
        <v>1090000</v>
      </c>
      <c r="E169" t="s">
        <v>144</v>
      </c>
    </row>
    <row r="170" spans="1:5" x14ac:dyDescent="0.25">
      <c r="A170" s="14">
        <v>42493.485127314816</v>
      </c>
      <c r="B170" t="s">
        <v>142</v>
      </c>
      <c r="C170" t="s">
        <v>427</v>
      </c>
      <c r="D170">
        <v>1340000</v>
      </c>
      <c r="E170" t="s">
        <v>235</v>
      </c>
    </row>
    <row r="171" spans="1:5" x14ac:dyDescent="0.25">
      <c r="A171" s="14">
        <v>42493.515381944446</v>
      </c>
      <c r="B171" t="s">
        <v>154</v>
      </c>
      <c r="C171" t="s">
        <v>305</v>
      </c>
      <c r="D171">
        <v>1840000</v>
      </c>
      <c r="E171" t="s">
        <v>216</v>
      </c>
    </row>
    <row r="172" spans="1:5" x14ac:dyDescent="0.25">
      <c r="A172" s="14">
        <v>42493.48333333333</v>
      </c>
      <c r="B172" t="s">
        <v>148</v>
      </c>
      <c r="C172" t="s">
        <v>428</v>
      </c>
      <c r="D172">
        <v>1840000</v>
      </c>
      <c r="E172" t="s">
        <v>216</v>
      </c>
    </row>
    <row r="173" spans="1:5" x14ac:dyDescent="0.25">
      <c r="A173" s="14">
        <v>42493.52447916667</v>
      </c>
      <c r="B173" t="s">
        <v>278</v>
      </c>
      <c r="C173" t="s">
        <v>303</v>
      </c>
      <c r="D173">
        <v>1820000</v>
      </c>
      <c r="E173" t="s">
        <v>375</v>
      </c>
    </row>
    <row r="174" spans="1:5" x14ac:dyDescent="0.25">
      <c r="A174" s="14">
        <v>42493.476574074077</v>
      </c>
      <c r="B174" t="s">
        <v>399</v>
      </c>
      <c r="C174" t="s">
        <v>447</v>
      </c>
      <c r="D174">
        <v>0</v>
      </c>
      <c r="E174" t="s">
        <v>177</v>
      </c>
    </row>
    <row r="175" spans="1:5" x14ac:dyDescent="0.25">
      <c r="A175" s="14">
        <v>42493.532453703701</v>
      </c>
      <c r="B175" t="s">
        <v>245</v>
      </c>
      <c r="C175" t="s">
        <v>429</v>
      </c>
      <c r="D175">
        <v>970000</v>
      </c>
      <c r="E175" t="s">
        <v>149</v>
      </c>
    </row>
    <row r="176" spans="1:5" x14ac:dyDescent="0.25">
      <c r="A176" s="14">
        <v>42493.468263888892</v>
      </c>
      <c r="B176" t="s">
        <v>63</v>
      </c>
      <c r="C176" t="s">
        <v>301</v>
      </c>
      <c r="D176">
        <v>1290000</v>
      </c>
      <c r="E176" t="s">
        <v>156</v>
      </c>
    </row>
    <row r="177" spans="1:5" x14ac:dyDescent="0.25">
      <c r="A177" s="14">
        <v>42493.54246527778</v>
      </c>
      <c r="B177" t="s">
        <v>146</v>
      </c>
      <c r="C177" t="s">
        <v>308</v>
      </c>
      <c r="D177">
        <v>1140000</v>
      </c>
      <c r="E177" t="s">
        <v>136</v>
      </c>
    </row>
    <row r="178" spans="1:5" x14ac:dyDescent="0.25">
      <c r="A178" s="14">
        <v>42493.444953703707</v>
      </c>
      <c r="B178" t="s">
        <v>154</v>
      </c>
      <c r="C178" t="s">
        <v>430</v>
      </c>
      <c r="D178">
        <v>1840000</v>
      </c>
      <c r="E178" t="s">
        <v>216</v>
      </c>
    </row>
    <row r="179" spans="1:5" x14ac:dyDescent="0.25">
      <c r="A179" s="14">
        <v>42493.560150462959</v>
      </c>
      <c r="B179" t="s">
        <v>218</v>
      </c>
      <c r="C179" t="s">
        <v>309</v>
      </c>
      <c r="D179">
        <v>1820000</v>
      </c>
      <c r="E179" t="s">
        <v>375</v>
      </c>
    </row>
    <row r="180" spans="1:5" x14ac:dyDescent="0.25">
      <c r="A180" s="14">
        <v>42493.442094907405</v>
      </c>
      <c r="B180" t="s">
        <v>153</v>
      </c>
      <c r="C180" t="s">
        <v>395</v>
      </c>
      <c r="D180">
        <v>1780000</v>
      </c>
      <c r="E180" t="s">
        <v>150</v>
      </c>
    </row>
    <row r="181" spans="1:5" x14ac:dyDescent="0.25">
      <c r="A181" s="14">
        <v>42493.597685185188</v>
      </c>
      <c r="B181" t="s">
        <v>278</v>
      </c>
      <c r="C181" t="s">
        <v>431</v>
      </c>
      <c r="D181">
        <v>1820000</v>
      </c>
      <c r="E181" t="s">
        <v>375</v>
      </c>
    </row>
    <row r="182" spans="1:5" x14ac:dyDescent="0.25">
      <c r="A182" s="14">
        <v>42493.348287037035</v>
      </c>
      <c r="B182" t="s">
        <v>50</v>
      </c>
      <c r="C182" t="s">
        <v>290</v>
      </c>
      <c r="D182">
        <v>1810000</v>
      </c>
      <c r="E182" t="s">
        <v>152</v>
      </c>
    </row>
    <row r="183" spans="1:5" x14ac:dyDescent="0.25">
      <c r="A183" s="14">
        <v>42493.62699074074</v>
      </c>
      <c r="B183" t="s">
        <v>148</v>
      </c>
      <c r="C183" t="s">
        <v>432</v>
      </c>
      <c r="D183">
        <v>1840000</v>
      </c>
      <c r="E183" t="s">
        <v>216</v>
      </c>
    </row>
    <row r="184" spans="1:5" x14ac:dyDescent="0.25">
      <c r="A184" s="14">
        <v>42493.339247685188</v>
      </c>
      <c r="B184" t="s">
        <v>218</v>
      </c>
      <c r="C184" t="s">
        <v>433</v>
      </c>
      <c r="D184">
        <v>1260000</v>
      </c>
      <c r="E184" t="s">
        <v>132</v>
      </c>
    </row>
    <row r="185" spans="1:5" x14ac:dyDescent="0.25">
      <c r="A185" s="14">
        <v>42493.654733796298</v>
      </c>
      <c r="B185" t="s">
        <v>145</v>
      </c>
      <c r="C185" t="s">
        <v>315</v>
      </c>
      <c r="D185">
        <v>1140000</v>
      </c>
      <c r="E185" t="s">
        <v>136</v>
      </c>
    </row>
    <row r="186" spans="1:5" x14ac:dyDescent="0.25">
      <c r="A186" s="14">
        <v>42493.286157407405</v>
      </c>
      <c r="B186" t="s">
        <v>145</v>
      </c>
      <c r="C186" t="s">
        <v>434</v>
      </c>
      <c r="D186">
        <v>1770000</v>
      </c>
      <c r="E186" t="s">
        <v>143</v>
      </c>
    </row>
    <row r="187" spans="1:5" x14ac:dyDescent="0.25">
      <c r="A187" s="14">
        <v>42493.71533564815</v>
      </c>
      <c r="B187" t="s">
        <v>50</v>
      </c>
      <c r="C187" t="s">
        <v>435</v>
      </c>
      <c r="D187">
        <v>1180000</v>
      </c>
      <c r="E187" t="s">
        <v>357</v>
      </c>
    </row>
    <row r="188" spans="1:5" x14ac:dyDescent="0.25">
      <c r="A188" s="14">
        <v>42493.264120370368</v>
      </c>
      <c r="B188" t="s">
        <v>148</v>
      </c>
      <c r="C188" t="s">
        <v>251</v>
      </c>
      <c r="D188">
        <v>1090000</v>
      </c>
      <c r="E188" t="s">
        <v>144</v>
      </c>
    </row>
    <row r="189" spans="1:5" x14ac:dyDescent="0.25">
      <c r="A189" s="14">
        <v>42493.825543981482</v>
      </c>
      <c r="B189" t="s">
        <v>63</v>
      </c>
      <c r="C189" t="s">
        <v>330</v>
      </c>
      <c r="D189">
        <v>1180000</v>
      </c>
      <c r="E189" t="s">
        <v>357</v>
      </c>
    </row>
    <row r="190" spans="1:5" x14ac:dyDescent="0.25">
      <c r="A190" s="14">
        <v>42493.049039351848</v>
      </c>
      <c r="B190" t="s">
        <v>206</v>
      </c>
      <c r="C190" t="s">
        <v>249</v>
      </c>
      <c r="D190">
        <v>970000</v>
      </c>
      <c r="E190" t="s">
        <v>149</v>
      </c>
    </row>
    <row r="191" spans="1:5" x14ac:dyDescent="0.25">
      <c r="A191" s="14">
        <v>42493.891365740739</v>
      </c>
      <c r="B191" t="s">
        <v>154</v>
      </c>
      <c r="C191" t="s">
        <v>436</v>
      </c>
      <c r="D191">
        <v>1750000</v>
      </c>
      <c r="E191" t="s">
        <v>230</v>
      </c>
    </row>
    <row r="192" spans="1:5" x14ac:dyDescent="0.25">
      <c r="A192" s="14">
        <v>42492.979814814818</v>
      </c>
      <c r="B192" t="s">
        <v>206</v>
      </c>
      <c r="C192" t="s">
        <v>210</v>
      </c>
      <c r="D192">
        <v>970000</v>
      </c>
      <c r="E192" t="s">
        <v>149</v>
      </c>
    </row>
    <row r="193" spans="1:5" x14ac:dyDescent="0.25">
      <c r="A193" s="14">
        <v>42493.908148148148</v>
      </c>
      <c r="B193" t="s">
        <v>63</v>
      </c>
      <c r="C193" t="s">
        <v>333</v>
      </c>
      <c r="D193">
        <v>1180000</v>
      </c>
      <c r="E193" t="s">
        <v>357</v>
      </c>
    </row>
    <row r="194" spans="1:5" x14ac:dyDescent="0.25">
      <c r="A194" s="14">
        <v>42492.808182870373</v>
      </c>
      <c r="B194" t="s">
        <v>145</v>
      </c>
      <c r="C194" t="s">
        <v>201</v>
      </c>
      <c r="D194">
        <v>970000</v>
      </c>
      <c r="E194" t="s">
        <v>149</v>
      </c>
    </row>
    <row r="195" spans="1:5" x14ac:dyDescent="0.25">
      <c r="A195" s="14">
        <v>42493.944224537037</v>
      </c>
      <c r="B195" t="s">
        <v>164</v>
      </c>
      <c r="C195" t="s">
        <v>335</v>
      </c>
      <c r="D195">
        <v>1740000</v>
      </c>
      <c r="E195" t="s">
        <v>226</v>
      </c>
    </row>
    <row r="196" spans="1:5" x14ac:dyDescent="0.25">
      <c r="A196" s="14">
        <v>42492.799768518518</v>
      </c>
      <c r="B196" t="s">
        <v>72</v>
      </c>
      <c r="C196" t="s">
        <v>255</v>
      </c>
      <c r="D196">
        <v>1760000</v>
      </c>
      <c r="E196" t="s">
        <v>224</v>
      </c>
    </row>
    <row r="197" spans="1:5" x14ac:dyDescent="0.25">
      <c r="A197" s="14">
        <v>42493.975937499999</v>
      </c>
      <c r="B197" t="s">
        <v>154</v>
      </c>
      <c r="C197" t="s">
        <v>336</v>
      </c>
      <c r="D197">
        <v>1750000</v>
      </c>
      <c r="E197" t="s">
        <v>230</v>
      </c>
    </row>
    <row r="198" spans="1:5" x14ac:dyDescent="0.25">
      <c r="A198" s="14">
        <v>42492.774305555555</v>
      </c>
      <c r="B198" t="s">
        <v>146</v>
      </c>
      <c r="C198" t="s">
        <v>256</v>
      </c>
      <c r="D198">
        <v>970000</v>
      </c>
      <c r="E198" t="s">
        <v>149</v>
      </c>
    </row>
    <row r="199" spans="1:5" x14ac:dyDescent="0.25">
      <c r="A199" s="14">
        <v>42494.029039351852</v>
      </c>
      <c r="B199" t="s">
        <v>164</v>
      </c>
      <c r="C199" t="s">
        <v>437</v>
      </c>
      <c r="D199">
        <v>1740000</v>
      </c>
      <c r="E199" t="s">
        <v>226</v>
      </c>
    </row>
    <row r="200" spans="1:5" x14ac:dyDescent="0.25">
      <c r="A200" s="14">
        <v>42493.377233796295</v>
      </c>
      <c r="B200" t="s">
        <v>278</v>
      </c>
      <c r="C200" t="s">
        <v>293</v>
      </c>
      <c r="D200">
        <v>1260000</v>
      </c>
      <c r="E200" t="s">
        <v>132</v>
      </c>
    </row>
    <row r="201" spans="1:5" x14ac:dyDescent="0.25">
      <c r="A201" s="14">
        <v>42494.056157407409</v>
      </c>
      <c r="B201" t="s">
        <v>153</v>
      </c>
      <c r="C201" t="s">
        <v>438</v>
      </c>
      <c r="D201">
        <v>1280000</v>
      </c>
      <c r="E201" t="s">
        <v>138</v>
      </c>
    </row>
    <row r="202" spans="1:5" x14ac:dyDescent="0.25">
      <c r="A202" s="14">
        <v>42493.292592592596</v>
      </c>
      <c r="B202" t="s">
        <v>134</v>
      </c>
      <c r="C202" t="s">
        <v>439</v>
      </c>
      <c r="D202">
        <v>1780000</v>
      </c>
      <c r="E202" t="s">
        <v>150</v>
      </c>
    </row>
    <row r="203" spans="1:5" x14ac:dyDescent="0.25">
      <c r="A203" s="14">
        <v>42494.254861111112</v>
      </c>
      <c r="B203" t="s">
        <v>154</v>
      </c>
      <c r="C203" t="s">
        <v>440</v>
      </c>
      <c r="D203">
        <v>1780000</v>
      </c>
      <c r="E203" t="s">
        <v>150</v>
      </c>
    </row>
    <row r="204" spans="1:5" x14ac:dyDescent="0.25">
      <c r="A204" s="14">
        <v>42493.285358796296</v>
      </c>
      <c r="B204" t="s">
        <v>164</v>
      </c>
      <c r="C204" t="s">
        <v>285</v>
      </c>
      <c r="D204">
        <v>1800000</v>
      </c>
      <c r="E204" t="s">
        <v>140</v>
      </c>
    </row>
    <row r="205" spans="1:5" x14ac:dyDescent="0.25">
      <c r="A205" s="14">
        <v>42494.178796296299</v>
      </c>
      <c r="B205" t="s">
        <v>154</v>
      </c>
      <c r="C205" t="s">
        <v>441</v>
      </c>
      <c r="D205">
        <v>1780000</v>
      </c>
      <c r="E205" t="s">
        <v>150</v>
      </c>
    </row>
    <row r="206" spans="1:5" x14ac:dyDescent="0.25">
      <c r="A206" s="14">
        <v>42493.277569444443</v>
      </c>
      <c r="B206" t="s">
        <v>238</v>
      </c>
      <c r="C206" t="s">
        <v>283</v>
      </c>
      <c r="D206">
        <v>1110000</v>
      </c>
      <c r="E206" t="s">
        <v>240</v>
      </c>
    </row>
    <row r="207" spans="1:5" x14ac:dyDescent="0.25">
      <c r="A207" s="14">
        <v>42494.233217592591</v>
      </c>
      <c r="B207" t="s">
        <v>63</v>
      </c>
      <c r="C207" t="s">
        <v>442</v>
      </c>
      <c r="D207">
        <v>1260000</v>
      </c>
      <c r="E207" t="s">
        <v>132</v>
      </c>
    </row>
    <row r="208" spans="1:5" x14ac:dyDescent="0.25">
      <c r="A208" s="14">
        <v>42493.277731481481</v>
      </c>
      <c r="B208" t="s">
        <v>50</v>
      </c>
      <c r="C208" t="s">
        <v>443</v>
      </c>
      <c r="D208">
        <v>1810000</v>
      </c>
      <c r="E208" t="s">
        <v>152</v>
      </c>
    </row>
    <row r="209" spans="1:5" x14ac:dyDescent="0.25">
      <c r="A209" s="14">
        <v>42494.140601851854</v>
      </c>
      <c r="B209" t="s">
        <v>218</v>
      </c>
      <c r="C209" t="s">
        <v>369</v>
      </c>
      <c r="D209">
        <v>1770000</v>
      </c>
      <c r="E209" t="s">
        <v>143</v>
      </c>
    </row>
    <row r="210" spans="1:5" x14ac:dyDescent="0.25">
      <c r="A210" s="14">
        <v>42493.266250000001</v>
      </c>
      <c r="B210" t="s">
        <v>218</v>
      </c>
      <c r="C210" t="s">
        <v>243</v>
      </c>
      <c r="D210">
        <v>1260000</v>
      </c>
      <c r="E210" t="s">
        <v>132</v>
      </c>
    </row>
    <row r="211" spans="1:5" x14ac:dyDescent="0.25">
      <c r="A211" s="14">
        <v>42494.24796296296</v>
      </c>
      <c r="B211" t="s">
        <v>59</v>
      </c>
      <c r="C211" t="s">
        <v>378</v>
      </c>
      <c r="D211">
        <v>1770000</v>
      </c>
      <c r="E211" t="s">
        <v>143</v>
      </c>
    </row>
    <row r="212" spans="1:5" x14ac:dyDescent="0.25">
      <c r="A212" s="14">
        <v>42493.244189814817</v>
      </c>
      <c r="B212" t="s">
        <v>245</v>
      </c>
      <c r="C212" t="s">
        <v>246</v>
      </c>
      <c r="D212">
        <v>1110000</v>
      </c>
      <c r="E212" t="s">
        <v>240</v>
      </c>
    </row>
    <row r="213" spans="1:5" x14ac:dyDescent="0.25">
      <c r="A213" s="14">
        <v>42494.194074074076</v>
      </c>
      <c r="B213" t="s">
        <v>61</v>
      </c>
      <c r="C213" t="s">
        <v>444</v>
      </c>
      <c r="D213">
        <v>1110000</v>
      </c>
      <c r="E213" t="s">
        <v>240</v>
      </c>
    </row>
    <row r="214" spans="1:5" x14ac:dyDescent="0.25">
      <c r="A214" s="14">
        <v>42493.058206018519</v>
      </c>
      <c r="B214" t="s">
        <v>72</v>
      </c>
      <c r="C214" t="s">
        <v>212</v>
      </c>
      <c r="D214">
        <v>1760000</v>
      </c>
      <c r="E214" t="s">
        <v>224</v>
      </c>
    </row>
    <row r="215" spans="1:5" x14ac:dyDescent="0.25">
      <c r="A215" s="14">
        <v>42494.210231481484</v>
      </c>
      <c r="B215" t="s">
        <v>74</v>
      </c>
      <c r="C215" t="s">
        <v>373</v>
      </c>
      <c r="D215">
        <v>1770000</v>
      </c>
      <c r="E215" t="s">
        <v>143</v>
      </c>
    </row>
    <row r="216" spans="1:5" x14ac:dyDescent="0.25">
      <c r="A216" s="14">
        <v>42493.05028935185</v>
      </c>
      <c r="B216" t="s">
        <v>206</v>
      </c>
      <c r="C216" t="s">
        <v>249</v>
      </c>
      <c r="D216">
        <v>970000</v>
      </c>
      <c r="E216" t="s">
        <v>149</v>
      </c>
    </row>
    <row r="217" spans="1:5" x14ac:dyDescent="0.25">
      <c r="A217" s="14">
        <v>42494.237476851849</v>
      </c>
      <c r="B217" t="s">
        <v>54</v>
      </c>
      <c r="C217" t="s">
        <v>445</v>
      </c>
      <c r="D217">
        <v>1110000</v>
      </c>
      <c r="E217" t="s">
        <v>240</v>
      </c>
    </row>
    <row r="218" spans="1:5" x14ac:dyDescent="0.25">
      <c r="A218" s="14">
        <v>42492.905925925923</v>
      </c>
      <c r="B218" t="s">
        <v>64</v>
      </c>
      <c r="C218" t="s">
        <v>250</v>
      </c>
      <c r="D218">
        <v>1740000</v>
      </c>
      <c r="E218" t="s">
        <v>226</v>
      </c>
    </row>
    <row r="219" spans="1:5" x14ac:dyDescent="0.25">
      <c r="A219" s="14">
        <v>42494.247662037036</v>
      </c>
      <c r="B219" t="s">
        <v>245</v>
      </c>
      <c r="C219" t="s">
        <v>376</v>
      </c>
      <c r="D219">
        <v>1800000</v>
      </c>
      <c r="E219" t="s">
        <v>140</v>
      </c>
    </row>
    <row r="220" spans="1:5" x14ac:dyDescent="0.25">
      <c r="A220" s="14">
        <v>42492.888101851851</v>
      </c>
      <c r="B220" t="s">
        <v>72</v>
      </c>
      <c r="C220" t="s">
        <v>205</v>
      </c>
      <c r="D220">
        <v>1760000</v>
      </c>
      <c r="E220" t="s">
        <v>224</v>
      </c>
    </row>
    <row r="221" spans="1:5" x14ac:dyDescent="0.25">
      <c r="A221" s="14">
        <v>42494.266979166663</v>
      </c>
      <c r="B221" t="s">
        <v>50</v>
      </c>
      <c r="C221" t="s">
        <v>446</v>
      </c>
      <c r="D221">
        <v>1260000</v>
      </c>
      <c r="E221" t="s">
        <v>132</v>
      </c>
    </row>
    <row r="222" spans="1:5" x14ac:dyDescent="0.25">
      <c r="A222" s="14">
        <v>42493.516562500001</v>
      </c>
      <c r="B222" t="s">
        <v>153</v>
      </c>
      <c r="C222" t="s">
        <v>306</v>
      </c>
      <c r="D222">
        <v>1340000</v>
      </c>
      <c r="E222" t="s">
        <v>235</v>
      </c>
    </row>
    <row r="223" spans="1:5" x14ac:dyDescent="0.25">
      <c r="A223" s="14">
        <v>42487.955104166664</v>
      </c>
      <c r="B223" t="s">
        <v>154</v>
      </c>
      <c r="C223" t="s">
        <v>162</v>
      </c>
      <c r="D223">
        <v>1450000</v>
      </c>
      <c r="E223" t="s">
        <v>163</v>
      </c>
    </row>
    <row r="224" spans="1:5" x14ac:dyDescent="0.25">
      <c r="A224" s="14">
        <v>42492.718668981484</v>
      </c>
      <c r="B224" t="s">
        <v>53</v>
      </c>
      <c r="C224" t="s">
        <v>242</v>
      </c>
      <c r="D224">
        <v>1840000</v>
      </c>
      <c r="E224" t="s">
        <v>216</v>
      </c>
    </row>
    <row r="225" spans="1:5" x14ac:dyDescent="0.25">
      <c r="A225" s="14">
        <v>42493.266250000001</v>
      </c>
      <c r="B225" t="s">
        <v>218</v>
      </c>
      <c r="C225" t="s">
        <v>243</v>
      </c>
      <c r="D225">
        <v>1260000</v>
      </c>
      <c r="E225" t="s">
        <v>132</v>
      </c>
    </row>
    <row r="226" spans="1:5" x14ac:dyDescent="0.25">
      <c r="A226" s="14">
        <v>42492.733148148145</v>
      </c>
      <c r="B226" t="s">
        <v>72</v>
      </c>
      <c r="C226" t="s">
        <v>244</v>
      </c>
      <c r="D226">
        <v>1290000</v>
      </c>
      <c r="E226" t="s">
        <v>156</v>
      </c>
    </row>
    <row r="227" spans="1:5" x14ac:dyDescent="0.25">
      <c r="A227" s="14">
        <v>42493.244189814817</v>
      </c>
      <c r="B227" t="s">
        <v>245</v>
      </c>
      <c r="C227" t="s">
        <v>246</v>
      </c>
      <c r="D227">
        <v>1110000</v>
      </c>
      <c r="E227" t="s">
        <v>240</v>
      </c>
    </row>
    <row r="228" spans="1:5" x14ac:dyDescent="0.25">
      <c r="A228" s="14">
        <v>42492.788842592592</v>
      </c>
      <c r="B228" t="s">
        <v>76</v>
      </c>
      <c r="C228" t="s">
        <v>247</v>
      </c>
      <c r="D228">
        <v>1140000</v>
      </c>
      <c r="E228" t="s">
        <v>136</v>
      </c>
    </row>
    <row r="229" spans="1:5" x14ac:dyDescent="0.25">
      <c r="A229" s="14">
        <v>42493.058206018519</v>
      </c>
      <c r="B229" t="s">
        <v>72</v>
      </c>
      <c r="C229" t="s">
        <v>212</v>
      </c>
      <c r="D229">
        <v>1760000</v>
      </c>
      <c r="E229" t="s">
        <v>224</v>
      </c>
    </row>
    <row r="230" spans="1:5" x14ac:dyDescent="0.25">
      <c r="A230" s="14">
        <v>42492.827222222222</v>
      </c>
      <c r="B230" t="s">
        <v>51</v>
      </c>
      <c r="C230" t="s">
        <v>248</v>
      </c>
      <c r="D230">
        <v>1140000</v>
      </c>
      <c r="E230" t="s">
        <v>136</v>
      </c>
    </row>
    <row r="231" spans="1:5" x14ac:dyDescent="0.25">
      <c r="A231" s="14">
        <v>42493.05028935185</v>
      </c>
      <c r="B231" t="s">
        <v>206</v>
      </c>
      <c r="C231" t="s">
        <v>249</v>
      </c>
      <c r="D231">
        <v>970000</v>
      </c>
      <c r="E231" t="s">
        <v>149</v>
      </c>
    </row>
    <row r="232" spans="1:5" x14ac:dyDescent="0.25">
      <c r="A232" s="14">
        <v>42492.829861111109</v>
      </c>
      <c r="B232" t="s">
        <v>64</v>
      </c>
      <c r="C232" t="s">
        <v>202</v>
      </c>
      <c r="D232">
        <v>1740000</v>
      </c>
      <c r="E232" t="s">
        <v>226</v>
      </c>
    </row>
    <row r="233" spans="1:5" x14ac:dyDescent="0.25">
      <c r="A233" s="14">
        <v>42492.905925925923</v>
      </c>
      <c r="B233" t="s">
        <v>64</v>
      </c>
      <c r="C233" t="s">
        <v>250</v>
      </c>
      <c r="D233">
        <v>1740000</v>
      </c>
      <c r="E233" t="s">
        <v>226</v>
      </c>
    </row>
    <row r="234" spans="1:5" x14ac:dyDescent="0.25">
      <c r="A234" s="14">
        <v>42492.846331018518</v>
      </c>
      <c r="B234" t="s">
        <v>146</v>
      </c>
      <c r="C234" t="s">
        <v>204</v>
      </c>
      <c r="D234">
        <v>970000</v>
      </c>
      <c r="E234" t="s">
        <v>149</v>
      </c>
    </row>
    <row r="235" spans="1:5" x14ac:dyDescent="0.25">
      <c r="A235" s="14">
        <v>42492.888101851851</v>
      </c>
      <c r="B235" t="s">
        <v>72</v>
      </c>
      <c r="C235" t="s">
        <v>205</v>
      </c>
      <c r="D235">
        <v>1760000</v>
      </c>
      <c r="E235" t="s">
        <v>224</v>
      </c>
    </row>
    <row r="236" spans="1:5" x14ac:dyDescent="0.25">
      <c r="A236" s="14">
        <v>42492.893541666665</v>
      </c>
      <c r="B236" t="s">
        <v>206</v>
      </c>
      <c r="C236" t="s">
        <v>207</v>
      </c>
      <c r="D236">
        <v>970000</v>
      </c>
      <c r="E236" t="s">
        <v>149</v>
      </c>
    </row>
    <row r="237" spans="1:5" x14ac:dyDescent="0.25">
      <c r="A237" s="14">
        <v>42492.842314814814</v>
      </c>
      <c r="B237" t="s">
        <v>56</v>
      </c>
      <c r="C237" t="s">
        <v>203</v>
      </c>
      <c r="D237">
        <v>1760000</v>
      </c>
      <c r="E237" t="s">
        <v>224</v>
      </c>
    </row>
    <row r="238" spans="1:5" x14ac:dyDescent="0.25">
      <c r="A238" s="14">
        <v>42492.978819444441</v>
      </c>
      <c r="B238" t="s">
        <v>206</v>
      </c>
      <c r="C238" t="s">
        <v>210</v>
      </c>
      <c r="D238">
        <v>970000</v>
      </c>
      <c r="E238" t="s">
        <v>149</v>
      </c>
    </row>
    <row r="239" spans="1:5" x14ac:dyDescent="0.25">
      <c r="A239" s="14">
        <v>42493.264120370368</v>
      </c>
      <c r="B239" t="s">
        <v>148</v>
      </c>
      <c r="C239" t="s">
        <v>251</v>
      </c>
      <c r="D239">
        <v>1090000</v>
      </c>
      <c r="E239" t="s">
        <v>144</v>
      </c>
    </row>
    <row r="240" spans="1:5" x14ac:dyDescent="0.25">
      <c r="A240" s="14">
        <v>42493.031539351854</v>
      </c>
      <c r="B240" t="s">
        <v>53</v>
      </c>
      <c r="C240" t="s">
        <v>252</v>
      </c>
      <c r="D240">
        <v>1740000</v>
      </c>
      <c r="E240" t="s">
        <v>226</v>
      </c>
    </row>
    <row r="241" spans="1:5" x14ac:dyDescent="0.25">
      <c r="A241" s="14">
        <v>42493.049039351848</v>
      </c>
      <c r="B241" t="s">
        <v>206</v>
      </c>
      <c r="C241" t="s">
        <v>249</v>
      </c>
      <c r="D241">
        <v>970000</v>
      </c>
      <c r="E241" t="s">
        <v>149</v>
      </c>
    </row>
    <row r="242" spans="1:5" x14ac:dyDescent="0.25">
      <c r="A242" s="14">
        <v>42493.23678240741</v>
      </c>
      <c r="B242" t="s">
        <v>245</v>
      </c>
      <c r="C242" t="s">
        <v>246</v>
      </c>
      <c r="D242">
        <v>1110000</v>
      </c>
      <c r="E242" t="s">
        <v>240</v>
      </c>
    </row>
    <row r="243" spans="1:5" x14ac:dyDescent="0.25">
      <c r="A243" s="14">
        <v>42492.979814814818</v>
      </c>
      <c r="B243" t="s">
        <v>206</v>
      </c>
      <c r="C243" t="s">
        <v>210</v>
      </c>
      <c r="D243">
        <v>970000</v>
      </c>
      <c r="E243" t="s">
        <v>149</v>
      </c>
    </row>
    <row r="244" spans="1:5" x14ac:dyDescent="0.25">
      <c r="A244" s="14">
        <v>42493.247407407405</v>
      </c>
      <c r="B244" t="s">
        <v>139</v>
      </c>
      <c r="C244" t="s">
        <v>253</v>
      </c>
      <c r="D244">
        <v>1800000</v>
      </c>
      <c r="E244" t="s">
        <v>140</v>
      </c>
    </row>
    <row r="245" spans="1:5" x14ac:dyDescent="0.25">
      <c r="A245" s="14">
        <v>42492.808182870373</v>
      </c>
      <c r="B245" t="s">
        <v>145</v>
      </c>
      <c r="C245" t="s">
        <v>201</v>
      </c>
      <c r="D245">
        <v>970000</v>
      </c>
      <c r="E245" t="s">
        <v>149</v>
      </c>
    </row>
    <row r="246" spans="1:5" x14ac:dyDescent="0.25">
      <c r="A246" s="14">
        <v>42493.249814814815</v>
      </c>
      <c r="B246" t="s">
        <v>146</v>
      </c>
      <c r="C246" t="s">
        <v>254</v>
      </c>
      <c r="D246">
        <v>1770000</v>
      </c>
      <c r="E246" t="s">
        <v>143</v>
      </c>
    </row>
    <row r="247" spans="1:5" x14ac:dyDescent="0.25">
      <c r="A247" s="14">
        <v>42492.799768518518</v>
      </c>
      <c r="B247" t="s">
        <v>72</v>
      </c>
      <c r="C247" t="s">
        <v>255</v>
      </c>
      <c r="D247">
        <v>1760000</v>
      </c>
      <c r="E247" t="s">
        <v>224</v>
      </c>
    </row>
    <row r="248" spans="1:5" x14ac:dyDescent="0.25">
      <c r="A248" s="14">
        <v>42489.423715277779</v>
      </c>
      <c r="B248" t="s">
        <v>72</v>
      </c>
      <c r="C248" t="s">
        <v>170</v>
      </c>
      <c r="D248">
        <v>1200000</v>
      </c>
      <c r="E248" t="s">
        <v>161</v>
      </c>
    </row>
    <row r="249" spans="1:5" x14ac:dyDescent="0.25">
      <c r="A249" s="14">
        <v>42492.774305555555</v>
      </c>
      <c r="B249" t="s">
        <v>146</v>
      </c>
      <c r="C249" t="s">
        <v>256</v>
      </c>
      <c r="D249">
        <v>970000</v>
      </c>
      <c r="E249" t="s">
        <v>149</v>
      </c>
    </row>
    <row r="250" spans="1:5" x14ac:dyDescent="0.25">
      <c r="A250" s="14">
        <v>42488.816053240742</v>
      </c>
      <c r="B250" t="s">
        <v>63</v>
      </c>
      <c r="C250" t="s">
        <v>127</v>
      </c>
      <c r="D250">
        <v>530000</v>
      </c>
      <c r="E250" t="s">
        <v>128</v>
      </c>
    </row>
    <row r="251" spans="1:5" x14ac:dyDescent="0.25">
      <c r="A251" s="14">
        <v>42492.7425</v>
      </c>
      <c r="B251" t="s">
        <v>63</v>
      </c>
      <c r="C251" t="s">
        <v>199</v>
      </c>
      <c r="D251">
        <v>1340000</v>
      </c>
      <c r="E251" t="s">
        <v>235</v>
      </c>
    </row>
    <row r="252" spans="1:5" x14ac:dyDescent="0.25">
      <c r="A252" s="14">
        <v>42489.067569444444</v>
      </c>
      <c r="B252" t="s">
        <v>63</v>
      </c>
      <c r="C252" t="s">
        <v>127</v>
      </c>
      <c r="D252">
        <v>530000</v>
      </c>
      <c r="E252" t="s">
        <v>128</v>
      </c>
    </row>
    <row r="253" spans="1:5" x14ac:dyDescent="0.25">
      <c r="A253" s="14">
        <v>42492.684398148151</v>
      </c>
      <c r="B253" t="s">
        <v>64</v>
      </c>
      <c r="C253" t="s">
        <v>196</v>
      </c>
      <c r="D253">
        <v>1840000</v>
      </c>
      <c r="E253" t="s">
        <v>216</v>
      </c>
    </row>
    <row r="254" spans="1:5" x14ac:dyDescent="0.25">
      <c r="A254" s="14">
        <v>42491.252430555556</v>
      </c>
      <c r="B254" t="s">
        <v>67</v>
      </c>
      <c r="C254" t="s">
        <v>105</v>
      </c>
      <c r="D254">
        <v>1300000</v>
      </c>
      <c r="E254" t="s">
        <v>147</v>
      </c>
    </row>
    <row r="255" spans="1:5" x14ac:dyDescent="0.25">
      <c r="A255" s="14">
        <v>42492.424351851849</v>
      </c>
      <c r="B255" t="s">
        <v>76</v>
      </c>
      <c r="C255" t="s">
        <v>257</v>
      </c>
      <c r="D255">
        <v>1260000</v>
      </c>
      <c r="E255" t="s">
        <v>132</v>
      </c>
    </row>
    <row r="256" spans="1:5" x14ac:dyDescent="0.25">
      <c r="A256" s="14">
        <v>42491.397499999999</v>
      </c>
      <c r="B256" t="s">
        <v>67</v>
      </c>
      <c r="C256" t="s">
        <v>94</v>
      </c>
      <c r="D256">
        <v>1300000</v>
      </c>
      <c r="E256" t="s">
        <v>147</v>
      </c>
    </row>
    <row r="257" spans="1:5" x14ac:dyDescent="0.25">
      <c r="A257" s="14">
        <v>42492.287835648145</v>
      </c>
      <c r="B257" t="s">
        <v>62</v>
      </c>
      <c r="C257" t="s">
        <v>166</v>
      </c>
      <c r="D257">
        <v>1300000</v>
      </c>
      <c r="E257" t="s">
        <v>147</v>
      </c>
    </row>
    <row r="258" spans="1:5" x14ac:dyDescent="0.25">
      <c r="A258" s="14">
        <v>42491.405150462961</v>
      </c>
      <c r="B258" t="s">
        <v>74</v>
      </c>
      <c r="C258" t="s">
        <v>93</v>
      </c>
      <c r="D258">
        <v>1360000</v>
      </c>
      <c r="E258" t="s">
        <v>126</v>
      </c>
    </row>
    <row r="259" spans="1:5" x14ac:dyDescent="0.25">
      <c r="A259" s="14">
        <v>42492.28224537037</v>
      </c>
      <c r="B259" t="s">
        <v>164</v>
      </c>
      <c r="C259" t="s">
        <v>171</v>
      </c>
      <c r="D259">
        <v>1800000</v>
      </c>
      <c r="E259" t="s">
        <v>140</v>
      </c>
    </row>
    <row r="260" spans="1:5" x14ac:dyDescent="0.25">
      <c r="A260" s="14">
        <v>42491.441203703704</v>
      </c>
      <c r="B260" t="s">
        <v>59</v>
      </c>
      <c r="C260" t="s">
        <v>60</v>
      </c>
      <c r="D260">
        <v>1360000</v>
      </c>
      <c r="E260" t="s">
        <v>126</v>
      </c>
    </row>
    <row r="261" spans="1:5" x14ac:dyDescent="0.25">
      <c r="A261" s="14">
        <v>42492.204351851855</v>
      </c>
      <c r="B261" t="s">
        <v>76</v>
      </c>
      <c r="C261" t="s">
        <v>172</v>
      </c>
      <c r="D261">
        <v>1410000</v>
      </c>
      <c r="E261" t="s">
        <v>173</v>
      </c>
    </row>
    <row r="262" spans="1:5" x14ac:dyDescent="0.25">
      <c r="A262" s="14">
        <v>42491.52983796296</v>
      </c>
      <c r="B262" t="s">
        <v>50</v>
      </c>
      <c r="C262" t="s">
        <v>66</v>
      </c>
      <c r="D262">
        <v>950000</v>
      </c>
      <c r="E262" t="s">
        <v>157</v>
      </c>
    </row>
    <row r="263" spans="1:5" x14ac:dyDescent="0.25">
      <c r="A263" s="14">
        <v>42492.056064814817</v>
      </c>
      <c r="B263" t="s">
        <v>73</v>
      </c>
      <c r="C263" t="s">
        <v>111</v>
      </c>
      <c r="D263">
        <v>1280000</v>
      </c>
      <c r="E263" t="s">
        <v>138</v>
      </c>
    </row>
    <row r="264" spans="1:5" x14ac:dyDescent="0.25">
      <c r="A264" s="14">
        <v>42491.568842592591</v>
      </c>
      <c r="B264" t="s">
        <v>64</v>
      </c>
      <c r="C264" t="s">
        <v>70</v>
      </c>
      <c r="D264">
        <v>1260000</v>
      </c>
      <c r="E264" t="s">
        <v>132</v>
      </c>
    </row>
    <row r="265" spans="1:5" x14ac:dyDescent="0.25">
      <c r="A265" s="14">
        <v>42492.029675925929</v>
      </c>
      <c r="B265" t="s">
        <v>61</v>
      </c>
      <c r="C265" t="s">
        <v>112</v>
      </c>
      <c r="D265">
        <v>1440000</v>
      </c>
      <c r="E265" t="s">
        <v>135</v>
      </c>
    </row>
    <row r="266" spans="1:5" x14ac:dyDescent="0.25">
      <c r="A266" s="14">
        <v>42491.581226851849</v>
      </c>
      <c r="B266" t="s">
        <v>73</v>
      </c>
      <c r="C266" t="s">
        <v>86</v>
      </c>
      <c r="D266">
        <v>940000</v>
      </c>
      <c r="E266" t="s">
        <v>141</v>
      </c>
    </row>
    <row r="267" spans="1:5" x14ac:dyDescent="0.25">
      <c r="A267" s="14">
        <v>42492.760046296295</v>
      </c>
      <c r="B267" t="s">
        <v>64</v>
      </c>
      <c r="C267" t="s">
        <v>200</v>
      </c>
      <c r="D267">
        <v>1740000</v>
      </c>
      <c r="E267" t="s">
        <v>226</v>
      </c>
    </row>
    <row r="268" spans="1:5" x14ac:dyDescent="0.25">
      <c r="A268" s="14">
        <v>42491.641759259262</v>
      </c>
      <c r="B268" t="s">
        <v>61</v>
      </c>
      <c r="C268" t="s">
        <v>84</v>
      </c>
      <c r="D268">
        <v>1460000</v>
      </c>
      <c r="E268" t="s">
        <v>133</v>
      </c>
    </row>
    <row r="269" spans="1:5" x14ac:dyDescent="0.25">
      <c r="A269" s="14">
        <v>42492.727141203701</v>
      </c>
      <c r="B269" t="s">
        <v>139</v>
      </c>
      <c r="C269" t="s">
        <v>198</v>
      </c>
      <c r="D269">
        <v>1750000</v>
      </c>
      <c r="E269" t="s">
        <v>230</v>
      </c>
    </row>
    <row r="270" spans="1:5" x14ac:dyDescent="0.25">
      <c r="A270" s="14">
        <v>42491.717268518521</v>
      </c>
      <c r="B270" t="s">
        <v>64</v>
      </c>
      <c r="C270" t="s">
        <v>80</v>
      </c>
      <c r="D270">
        <v>970000</v>
      </c>
      <c r="E270" t="s">
        <v>149</v>
      </c>
    </row>
    <row r="271" spans="1:5" x14ac:dyDescent="0.25">
      <c r="A271" s="14">
        <v>42492.63789351852</v>
      </c>
      <c r="B271" t="s">
        <v>146</v>
      </c>
      <c r="C271" t="s">
        <v>194</v>
      </c>
      <c r="D271">
        <v>1190000</v>
      </c>
      <c r="E271" t="s">
        <v>158</v>
      </c>
    </row>
    <row r="272" spans="1:5" x14ac:dyDescent="0.25">
      <c r="A272" s="14">
        <v>42491.786087962966</v>
      </c>
      <c r="B272" t="s">
        <v>63</v>
      </c>
      <c r="C272" t="s">
        <v>119</v>
      </c>
      <c r="D272">
        <v>950000</v>
      </c>
      <c r="E272" t="s">
        <v>157</v>
      </c>
    </row>
    <row r="273" spans="1:5" x14ac:dyDescent="0.25">
      <c r="A273" s="14">
        <v>42492.420497685183</v>
      </c>
      <c r="B273" t="s">
        <v>153</v>
      </c>
      <c r="C273" t="s">
        <v>258</v>
      </c>
      <c r="D273">
        <v>1770000</v>
      </c>
      <c r="E273" t="s">
        <v>143</v>
      </c>
    </row>
    <row r="274" spans="1:5" x14ac:dyDescent="0.25">
      <c r="A274" s="14">
        <v>42491.191770833335</v>
      </c>
      <c r="B274" t="s">
        <v>63</v>
      </c>
      <c r="C274" t="s">
        <v>107</v>
      </c>
      <c r="D274">
        <v>1480000</v>
      </c>
      <c r="E274" t="s">
        <v>159</v>
      </c>
    </row>
    <row r="275" spans="1:5" x14ac:dyDescent="0.25">
      <c r="A275" s="14">
        <v>42492.359861111108</v>
      </c>
      <c r="B275" t="s">
        <v>164</v>
      </c>
      <c r="C275" t="s">
        <v>165</v>
      </c>
      <c r="D275">
        <v>1800000</v>
      </c>
      <c r="E275" t="s">
        <v>140</v>
      </c>
    </row>
    <row r="276" spans="1:5" x14ac:dyDescent="0.25">
      <c r="A276" s="14">
        <v>42491.204618055555</v>
      </c>
      <c r="B276" t="s">
        <v>64</v>
      </c>
      <c r="C276" t="s">
        <v>106</v>
      </c>
      <c r="D276">
        <v>1100000</v>
      </c>
      <c r="E276" t="s">
        <v>129</v>
      </c>
    </row>
    <row r="277" spans="1:5" x14ac:dyDescent="0.25">
      <c r="A277" s="14">
        <v>42492.328819444447</v>
      </c>
      <c r="B277" t="s">
        <v>64</v>
      </c>
      <c r="C277" t="s">
        <v>169</v>
      </c>
      <c r="D277">
        <v>1780000</v>
      </c>
      <c r="E277" t="s">
        <v>150</v>
      </c>
    </row>
    <row r="278" spans="1:5" x14ac:dyDescent="0.25">
      <c r="A278" s="14">
        <v>42491.287893518522</v>
      </c>
      <c r="B278" t="s">
        <v>62</v>
      </c>
      <c r="C278" t="s">
        <v>102</v>
      </c>
      <c r="D278">
        <v>1300000</v>
      </c>
      <c r="E278" t="s">
        <v>147</v>
      </c>
    </row>
    <row r="279" spans="1:5" x14ac:dyDescent="0.25">
      <c r="A279" s="14">
        <v>42492.248506944445</v>
      </c>
      <c r="B279" t="s">
        <v>139</v>
      </c>
      <c r="C279" t="s">
        <v>167</v>
      </c>
      <c r="D279">
        <v>1800000</v>
      </c>
      <c r="E279" t="s">
        <v>140</v>
      </c>
    </row>
    <row r="280" spans="1:5" x14ac:dyDescent="0.25">
      <c r="A280" s="14">
        <v>42491.321666666663</v>
      </c>
      <c r="B280" t="s">
        <v>67</v>
      </c>
      <c r="C280" t="s">
        <v>99</v>
      </c>
      <c r="D280">
        <v>1300000</v>
      </c>
      <c r="E280" t="s">
        <v>147</v>
      </c>
    </row>
    <row r="281" spans="1:5" x14ac:dyDescent="0.25">
      <c r="A281" s="14">
        <v>42492.190648148149</v>
      </c>
      <c r="B281" t="s">
        <v>153</v>
      </c>
      <c r="C281" t="s">
        <v>174</v>
      </c>
      <c r="D281">
        <v>1480000</v>
      </c>
      <c r="E281" t="s">
        <v>159</v>
      </c>
    </row>
    <row r="282" spans="1:5" x14ac:dyDescent="0.25">
      <c r="A282" s="14">
        <v>42491.549525462964</v>
      </c>
      <c r="B282" t="s">
        <v>137</v>
      </c>
      <c r="C282" t="s">
        <v>88</v>
      </c>
      <c r="D282">
        <v>940000</v>
      </c>
      <c r="E282" t="s">
        <v>141</v>
      </c>
    </row>
    <row r="283" spans="1:5" x14ac:dyDescent="0.25">
      <c r="A283" s="14">
        <v>42492.175729166665</v>
      </c>
      <c r="B283" t="s">
        <v>139</v>
      </c>
      <c r="C283" t="s">
        <v>168</v>
      </c>
      <c r="D283">
        <v>1800000</v>
      </c>
      <c r="E283" t="s">
        <v>140</v>
      </c>
    </row>
    <row r="284" spans="1:5" x14ac:dyDescent="0.25">
      <c r="A284" s="14">
        <v>42491.557696759257</v>
      </c>
      <c r="B284" t="s">
        <v>76</v>
      </c>
      <c r="C284" t="s">
        <v>87</v>
      </c>
      <c r="D284">
        <v>1490000</v>
      </c>
      <c r="E284" t="s">
        <v>131</v>
      </c>
    </row>
    <row r="285" spans="1:5" x14ac:dyDescent="0.25">
      <c r="A285" s="14">
        <v>42492.617974537039</v>
      </c>
      <c r="B285" t="s">
        <v>164</v>
      </c>
      <c r="C285" t="s">
        <v>227</v>
      </c>
      <c r="D285">
        <v>1200000</v>
      </c>
      <c r="E285" t="s">
        <v>161</v>
      </c>
    </row>
    <row r="286" spans="1:5" x14ac:dyDescent="0.25">
      <c r="A286" s="14">
        <v>42491.56490740741</v>
      </c>
      <c r="B286" t="s">
        <v>63</v>
      </c>
      <c r="C286" t="s">
        <v>69</v>
      </c>
      <c r="D286">
        <v>950000</v>
      </c>
      <c r="E286" t="s">
        <v>157</v>
      </c>
    </row>
    <row r="287" spans="1:5" x14ac:dyDescent="0.25">
      <c r="A287" s="14">
        <v>42492.593946759262</v>
      </c>
      <c r="B287" t="s">
        <v>145</v>
      </c>
      <c r="C287" t="s">
        <v>259</v>
      </c>
      <c r="D287">
        <v>1830000</v>
      </c>
      <c r="E287" t="s">
        <v>220</v>
      </c>
    </row>
    <row r="288" spans="1:5" x14ac:dyDescent="0.25">
      <c r="A288" s="14">
        <v>42491.665381944447</v>
      </c>
      <c r="B288" t="s">
        <v>51</v>
      </c>
      <c r="C288" t="s">
        <v>83</v>
      </c>
      <c r="D288">
        <v>1490000</v>
      </c>
      <c r="E288" t="s">
        <v>131</v>
      </c>
    </row>
    <row r="289" spans="1:5" x14ac:dyDescent="0.25">
      <c r="A289" s="14">
        <v>42492.58935185185</v>
      </c>
      <c r="B289" t="s">
        <v>72</v>
      </c>
      <c r="C289" t="s">
        <v>192</v>
      </c>
      <c r="D289">
        <v>1290000</v>
      </c>
      <c r="E289" t="s">
        <v>156</v>
      </c>
    </row>
    <row r="290" spans="1:5" x14ac:dyDescent="0.25">
      <c r="A290" s="14">
        <v>42491.810023148151</v>
      </c>
      <c r="B290" t="s">
        <v>74</v>
      </c>
      <c r="C290" t="s">
        <v>79</v>
      </c>
      <c r="D290">
        <v>1140000</v>
      </c>
      <c r="E290" t="s">
        <v>136</v>
      </c>
    </row>
    <row r="291" spans="1:5" x14ac:dyDescent="0.25">
      <c r="A291" s="14">
        <v>42492.518229166664</v>
      </c>
      <c r="B291" t="s">
        <v>164</v>
      </c>
      <c r="C291" t="s">
        <v>191</v>
      </c>
      <c r="D291">
        <v>1290000</v>
      </c>
      <c r="E291" t="s">
        <v>156</v>
      </c>
    </row>
    <row r="292" spans="1:5" x14ac:dyDescent="0.25">
      <c r="A292" s="14">
        <v>42491.207256944443</v>
      </c>
      <c r="B292" t="s">
        <v>64</v>
      </c>
      <c r="C292" t="s">
        <v>106</v>
      </c>
      <c r="D292">
        <v>1100000</v>
      </c>
      <c r="E292" t="s">
        <v>129</v>
      </c>
    </row>
    <row r="293" spans="1:5" x14ac:dyDescent="0.25">
      <c r="A293" s="14">
        <v>42492.51699074074</v>
      </c>
      <c r="B293" t="s">
        <v>145</v>
      </c>
      <c r="C293" t="s">
        <v>190</v>
      </c>
      <c r="D293">
        <v>1830000</v>
      </c>
      <c r="E293" t="s">
        <v>220</v>
      </c>
    </row>
    <row r="294" spans="1:5" x14ac:dyDescent="0.25">
      <c r="A294" s="14">
        <v>42491.260162037041</v>
      </c>
      <c r="B294" t="s">
        <v>72</v>
      </c>
      <c r="C294" t="s">
        <v>104</v>
      </c>
      <c r="D294">
        <v>860000</v>
      </c>
      <c r="E294" t="s">
        <v>130</v>
      </c>
    </row>
    <row r="295" spans="1:5" x14ac:dyDescent="0.25">
      <c r="A295" s="14">
        <v>42492.50236111111</v>
      </c>
      <c r="B295" t="s">
        <v>164</v>
      </c>
      <c r="C295" t="s">
        <v>191</v>
      </c>
      <c r="D295">
        <v>1290000</v>
      </c>
      <c r="E295" t="s">
        <v>156</v>
      </c>
    </row>
    <row r="296" spans="1:5" x14ac:dyDescent="0.25">
      <c r="A296" s="14">
        <v>42491.359236111108</v>
      </c>
      <c r="B296" t="s">
        <v>62</v>
      </c>
      <c r="C296" t="s">
        <v>96</v>
      </c>
      <c r="D296">
        <v>1300000</v>
      </c>
      <c r="E296" t="s">
        <v>147</v>
      </c>
    </row>
    <row r="297" spans="1:5" x14ac:dyDescent="0.25">
      <c r="A297" s="14">
        <v>42492.495682870373</v>
      </c>
      <c r="B297" t="s">
        <v>76</v>
      </c>
      <c r="C297" t="s">
        <v>260</v>
      </c>
      <c r="D297">
        <v>1260000</v>
      </c>
      <c r="E297" t="s">
        <v>132</v>
      </c>
    </row>
    <row r="298" spans="1:5" x14ac:dyDescent="0.25">
      <c r="A298" s="14">
        <v>42491.365763888891</v>
      </c>
      <c r="B298" t="s">
        <v>59</v>
      </c>
      <c r="C298" t="s">
        <v>95</v>
      </c>
      <c r="D298">
        <v>1360000</v>
      </c>
      <c r="E298" t="s">
        <v>126</v>
      </c>
    </row>
    <row r="299" spans="1:5" x14ac:dyDescent="0.25">
      <c r="A299" s="14">
        <v>42492.495347222219</v>
      </c>
      <c r="B299" t="s">
        <v>153</v>
      </c>
      <c r="C299" t="s">
        <v>188</v>
      </c>
      <c r="D299">
        <v>1310000</v>
      </c>
      <c r="E299" t="s">
        <v>123</v>
      </c>
    </row>
    <row r="300" spans="1:5" x14ac:dyDescent="0.25">
      <c r="A300" s="14">
        <v>42491.37940972222</v>
      </c>
      <c r="B300" t="s">
        <v>50</v>
      </c>
      <c r="C300" t="s">
        <v>58</v>
      </c>
      <c r="D300">
        <v>1480000</v>
      </c>
      <c r="E300" t="s">
        <v>159</v>
      </c>
    </row>
    <row r="301" spans="1:5" x14ac:dyDescent="0.25">
      <c r="A301" s="14">
        <v>42492.485821759263</v>
      </c>
      <c r="B301" t="s">
        <v>146</v>
      </c>
      <c r="C301" t="s">
        <v>261</v>
      </c>
      <c r="D301">
        <v>1830000</v>
      </c>
      <c r="E301" t="s">
        <v>220</v>
      </c>
    </row>
    <row r="302" spans="1:5" x14ac:dyDescent="0.25">
      <c r="A302" s="14">
        <v>42491.71675925926</v>
      </c>
      <c r="B302" t="s">
        <v>76</v>
      </c>
      <c r="C302" t="s">
        <v>77</v>
      </c>
      <c r="D302">
        <v>1490000</v>
      </c>
      <c r="E302" t="s">
        <v>131</v>
      </c>
    </row>
    <row r="303" spans="1:5" x14ac:dyDescent="0.25">
      <c r="A303" s="14">
        <v>42492.484166666669</v>
      </c>
      <c r="B303" t="s">
        <v>146</v>
      </c>
      <c r="C303" t="s">
        <v>261</v>
      </c>
      <c r="D303">
        <v>1830000</v>
      </c>
      <c r="E303" t="s">
        <v>220</v>
      </c>
    </row>
    <row r="304" spans="1:5" x14ac:dyDescent="0.25">
      <c r="A304" s="14">
        <v>42491.828275462962</v>
      </c>
      <c r="B304" t="s">
        <v>54</v>
      </c>
      <c r="C304" t="s">
        <v>118</v>
      </c>
      <c r="D304">
        <v>1440000</v>
      </c>
      <c r="E304" t="s">
        <v>135</v>
      </c>
    </row>
    <row r="305" spans="1:5" x14ac:dyDescent="0.25">
      <c r="A305" s="14">
        <v>42492.446851851855</v>
      </c>
      <c r="B305" t="s">
        <v>145</v>
      </c>
      <c r="C305" t="s">
        <v>262</v>
      </c>
      <c r="D305">
        <v>1830000</v>
      </c>
      <c r="E305" t="s">
        <v>220</v>
      </c>
    </row>
    <row r="306" spans="1:5" x14ac:dyDescent="0.25">
      <c r="A306" s="14">
        <v>42492.151770833334</v>
      </c>
      <c r="B306" t="s">
        <v>154</v>
      </c>
      <c r="C306" t="s">
        <v>175</v>
      </c>
      <c r="D306">
        <v>1770000</v>
      </c>
      <c r="E306" t="s">
        <v>143</v>
      </c>
    </row>
    <row r="307" spans="1:5" x14ac:dyDescent="0.25">
      <c r="A307" s="14">
        <v>42492.434016203704</v>
      </c>
      <c r="B307" t="s">
        <v>62</v>
      </c>
      <c r="C307" t="s">
        <v>263</v>
      </c>
      <c r="D307">
        <v>1810000</v>
      </c>
      <c r="E307" t="s">
        <v>152</v>
      </c>
    </row>
    <row r="308" spans="1:5" x14ac:dyDescent="0.25">
      <c r="A308" s="14">
        <v>42492.220208333332</v>
      </c>
      <c r="B308" t="s">
        <v>53</v>
      </c>
      <c r="C308" t="s">
        <v>176</v>
      </c>
      <c r="D308">
        <v>1780000</v>
      </c>
      <c r="E308" t="s">
        <v>150</v>
      </c>
    </row>
    <row r="309" spans="1:5" x14ac:dyDescent="0.25">
      <c r="A309" s="14">
        <v>42491.952893518515</v>
      </c>
      <c r="B309" t="s">
        <v>64</v>
      </c>
      <c r="C309" t="s">
        <v>114</v>
      </c>
      <c r="D309">
        <v>970000</v>
      </c>
      <c r="E309" t="s">
        <v>149</v>
      </c>
    </row>
    <row r="310" spans="1:5" x14ac:dyDescent="0.25">
      <c r="A310" s="14">
        <v>42492.230798611112</v>
      </c>
      <c r="B310" t="s">
        <v>142</v>
      </c>
      <c r="C310" t="s">
        <v>151</v>
      </c>
      <c r="D310">
        <v>1770000</v>
      </c>
      <c r="E310" t="s">
        <v>143</v>
      </c>
    </row>
    <row r="311" spans="1:5" x14ac:dyDescent="0.25">
      <c r="A311" s="14">
        <v>42491.908645833333</v>
      </c>
      <c r="B311" t="s">
        <v>53</v>
      </c>
      <c r="C311" t="s">
        <v>115</v>
      </c>
      <c r="D311">
        <v>970000</v>
      </c>
      <c r="E311" t="s">
        <v>149</v>
      </c>
    </row>
    <row r="312" spans="1:5" x14ac:dyDescent="0.25">
      <c r="A312" s="14">
        <v>42492.25540509259</v>
      </c>
      <c r="B312" t="s">
        <v>139</v>
      </c>
      <c r="C312" t="s">
        <v>167</v>
      </c>
      <c r="D312">
        <v>1800000</v>
      </c>
      <c r="E312" t="s">
        <v>140</v>
      </c>
    </row>
    <row r="313" spans="1:5" x14ac:dyDescent="0.25">
      <c r="A313" s="14">
        <v>42491.904143518521</v>
      </c>
      <c r="B313" t="s">
        <v>54</v>
      </c>
      <c r="C313" t="s">
        <v>110</v>
      </c>
      <c r="D313">
        <v>1440000</v>
      </c>
      <c r="E313" t="s">
        <v>135</v>
      </c>
    </row>
    <row r="314" spans="1:5" x14ac:dyDescent="0.25">
      <c r="A314" s="14">
        <v>42492.300717592596</v>
      </c>
      <c r="B314" t="s">
        <v>145</v>
      </c>
      <c r="C314" t="s">
        <v>179</v>
      </c>
      <c r="D314">
        <v>1310000</v>
      </c>
      <c r="E314" t="s">
        <v>123</v>
      </c>
    </row>
    <row r="315" spans="1:5" x14ac:dyDescent="0.25">
      <c r="A315" s="14">
        <v>42491.69667824074</v>
      </c>
      <c r="B315" t="s">
        <v>59</v>
      </c>
      <c r="C315" t="s">
        <v>75</v>
      </c>
      <c r="D315">
        <v>1190000</v>
      </c>
      <c r="E315" t="s">
        <v>158</v>
      </c>
    </row>
    <row r="316" spans="1:5" x14ac:dyDescent="0.25">
      <c r="A316" s="14">
        <v>42492.30364583333</v>
      </c>
      <c r="B316" t="s">
        <v>63</v>
      </c>
      <c r="C316" t="s">
        <v>184</v>
      </c>
      <c r="D316">
        <v>1090000</v>
      </c>
      <c r="E316" t="s">
        <v>144</v>
      </c>
    </row>
    <row r="317" spans="1:5" x14ac:dyDescent="0.25">
      <c r="A317" s="14">
        <v>42491.691261574073</v>
      </c>
      <c r="B317" t="s">
        <v>67</v>
      </c>
      <c r="C317" t="s">
        <v>82</v>
      </c>
      <c r="D317">
        <v>880000</v>
      </c>
      <c r="E317" t="s">
        <v>125</v>
      </c>
    </row>
    <row r="318" spans="1:5" x14ac:dyDescent="0.25">
      <c r="A318" s="14">
        <v>42492.387025462966</v>
      </c>
      <c r="B318" t="s">
        <v>51</v>
      </c>
      <c r="C318" t="s">
        <v>181</v>
      </c>
      <c r="D318">
        <v>1810000</v>
      </c>
      <c r="E318" t="s">
        <v>152</v>
      </c>
    </row>
    <row r="319" spans="1:5" x14ac:dyDescent="0.25">
      <c r="A319" s="14">
        <v>42491.620104166665</v>
      </c>
      <c r="B319" t="s">
        <v>67</v>
      </c>
      <c r="C319" t="s">
        <v>71</v>
      </c>
      <c r="D319">
        <v>880000</v>
      </c>
      <c r="E319" t="s">
        <v>125</v>
      </c>
    </row>
    <row r="320" spans="1:5" x14ac:dyDescent="0.25">
      <c r="A320" s="14">
        <v>42492.674224537041</v>
      </c>
      <c r="B320" t="s">
        <v>142</v>
      </c>
      <c r="C320" t="s">
        <v>195</v>
      </c>
      <c r="D320">
        <v>950000</v>
      </c>
      <c r="E320" t="s">
        <v>157</v>
      </c>
    </row>
    <row r="321" spans="1:5" x14ac:dyDescent="0.25">
      <c r="A321" s="14">
        <v>42491.548877314817</v>
      </c>
      <c r="B321" t="s">
        <v>137</v>
      </c>
      <c r="C321" t="s">
        <v>88</v>
      </c>
      <c r="D321">
        <v>940000</v>
      </c>
      <c r="E321" t="s">
        <v>141</v>
      </c>
    </row>
    <row r="322" spans="1:5" x14ac:dyDescent="0.25">
      <c r="A322" s="14">
        <v>42492.457604166666</v>
      </c>
      <c r="B322" t="s">
        <v>142</v>
      </c>
      <c r="C322" t="s">
        <v>187</v>
      </c>
      <c r="D322">
        <v>1310000</v>
      </c>
      <c r="E322" t="s">
        <v>123</v>
      </c>
    </row>
    <row r="323" spans="1:5" x14ac:dyDescent="0.25">
      <c r="A323" s="14">
        <v>42491.504733796297</v>
      </c>
      <c r="B323" t="s">
        <v>61</v>
      </c>
      <c r="C323" t="s">
        <v>89</v>
      </c>
      <c r="D323">
        <v>1460000</v>
      </c>
      <c r="E323" t="s">
        <v>133</v>
      </c>
    </row>
    <row r="324" spans="1:5" x14ac:dyDescent="0.25">
      <c r="A324" s="14">
        <v>42492.485289351855</v>
      </c>
      <c r="B324" t="s">
        <v>50</v>
      </c>
      <c r="C324" t="s">
        <v>189</v>
      </c>
      <c r="D324">
        <v>1340000</v>
      </c>
      <c r="E324" t="s">
        <v>235</v>
      </c>
    </row>
    <row r="325" spans="1:5" x14ac:dyDescent="0.25">
      <c r="A325" s="14">
        <v>42491.411203703705</v>
      </c>
      <c r="B325" t="s">
        <v>76</v>
      </c>
      <c r="C325" t="s">
        <v>92</v>
      </c>
      <c r="D325">
        <v>1310000</v>
      </c>
      <c r="E325" t="s">
        <v>123</v>
      </c>
    </row>
    <row r="326" spans="1:5" x14ac:dyDescent="0.25">
      <c r="A326" s="14">
        <v>42492.548946759256</v>
      </c>
      <c r="B326" t="s">
        <v>67</v>
      </c>
      <c r="C326" t="s">
        <v>264</v>
      </c>
      <c r="D326">
        <v>1750000</v>
      </c>
      <c r="E326" t="s">
        <v>230</v>
      </c>
    </row>
    <row r="327" spans="1:5" x14ac:dyDescent="0.25">
      <c r="A327" s="14">
        <v>42491.40347222222</v>
      </c>
      <c r="B327" t="s">
        <v>74</v>
      </c>
      <c r="C327" t="s">
        <v>93</v>
      </c>
      <c r="D327">
        <v>1360000</v>
      </c>
      <c r="E327" t="s">
        <v>126</v>
      </c>
    </row>
    <row r="328" spans="1:5" x14ac:dyDescent="0.25">
      <c r="A328" s="14">
        <v>42492.558298611111</v>
      </c>
      <c r="B328" t="s">
        <v>50</v>
      </c>
      <c r="C328" t="s">
        <v>265</v>
      </c>
      <c r="D328">
        <v>1340000</v>
      </c>
      <c r="E328" t="s">
        <v>235</v>
      </c>
    </row>
    <row r="329" spans="1:5" x14ac:dyDescent="0.25">
      <c r="A329" s="14">
        <v>42491.902939814812</v>
      </c>
      <c r="B329" t="s">
        <v>54</v>
      </c>
      <c r="C329" t="s">
        <v>110</v>
      </c>
      <c r="D329">
        <v>1440000</v>
      </c>
      <c r="E329" t="s">
        <v>135</v>
      </c>
    </row>
    <row r="330" spans="1:5" x14ac:dyDescent="0.25">
      <c r="A330" s="14">
        <v>42492.57230324074</v>
      </c>
      <c r="B330" t="s">
        <v>53</v>
      </c>
      <c r="C330" t="s">
        <v>266</v>
      </c>
      <c r="D330">
        <v>1840000</v>
      </c>
      <c r="E330" t="s">
        <v>216</v>
      </c>
    </row>
    <row r="331" spans="1:5" x14ac:dyDescent="0.25">
      <c r="A331" s="14">
        <v>42491.838634259257</v>
      </c>
      <c r="B331" t="s">
        <v>137</v>
      </c>
      <c r="C331" t="s">
        <v>117</v>
      </c>
      <c r="D331">
        <v>1280000</v>
      </c>
      <c r="E331" t="s">
        <v>138</v>
      </c>
    </row>
    <row r="332" spans="1:5" x14ac:dyDescent="0.25">
      <c r="A332" s="14">
        <v>42492.632592592592</v>
      </c>
      <c r="B332" t="s">
        <v>50</v>
      </c>
      <c r="C332" t="s">
        <v>193</v>
      </c>
      <c r="D332">
        <v>1340000</v>
      </c>
      <c r="E332" t="s">
        <v>235</v>
      </c>
    </row>
    <row r="333" spans="1:5" x14ac:dyDescent="0.25">
      <c r="A333" s="14">
        <v>42491.739398148151</v>
      </c>
      <c r="B333" t="s">
        <v>74</v>
      </c>
      <c r="C333" t="s">
        <v>79</v>
      </c>
      <c r="D333">
        <v>1140000</v>
      </c>
      <c r="E333" t="s">
        <v>136</v>
      </c>
    </row>
    <row r="334" spans="1:5" x14ac:dyDescent="0.25">
      <c r="A334" s="14">
        <v>42492.637152777781</v>
      </c>
      <c r="B334" t="s">
        <v>146</v>
      </c>
      <c r="C334" t="s">
        <v>267</v>
      </c>
      <c r="D334">
        <v>1190000</v>
      </c>
      <c r="E334" t="s">
        <v>158</v>
      </c>
    </row>
    <row r="335" spans="1:5" x14ac:dyDescent="0.25">
      <c r="A335" s="14">
        <v>42491.544930555552</v>
      </c>
      <c r="B335" t="s">
        <v>67</v>
      </c>
      <c r="C335" t="s">
        <v>68</v>
      </c>
      <c r="D335">
        <v>880000</v>
      </c>
      <c r="E335" t="s">
        <v>125</v>
      </c>
    </row>
    <row r="336" spans="1:5" x14ac:dyDescent="0.25">
      <c r="A336" s="14">
        <v>42492.641689814816</v>
      </c>
      <c r="B336" t="s">
        <v>76</v>
      </c>
      <c r="C336" t="s">
        <v>268</v>
      </c>
      <c r="D336">
        <v>1260000</v>
      </c>
      <c r="E336" t="s">
        <v>132</v>
      </c>
    </row>
    <row r="337" spans="1:5" x14ac:dyDescent="0.25">
      <c r="A337" s="14">
        <v>42491.480775462966</v>
      </c>
      <c r="B337" t="s">
        <v>72</v>
      </c>
      <c r="C337" t="s">
        <v>90</v>
      </c>
      <c r="D337">
        <v>1190000</v>
      </c>
      <c r="E337" t="s">
        <v>158</v>
      </c>
    </row>
    <row r="338" spans="1:5" x14ac:dyDescent="0.25">
      <c r="A338" s="14">
        <v>42492.702974537038</v>
      </c>
      <c r="B338" t="s">
        <v>50</v>
      </c>
      <c r="C338" t="s">
        <v>269</v>
      </c>
      <c r="D338">
        <v>1340000</v>
      </c>
      <c r="E338" t="s">
        <v>235</v>
      </c>
    </row>
    <row r="339" spans="1:5" x14ac:dyDescent="0.25">
      <c r="A339" s="14">
        <v>42491.343587962961</v>
      </c>
      <c r="B339" t="s">
        <v>76</v>
      </c>
      <c r="C339" t="s">
        <v>98</v>
      </c>
      <c r="D339">
        <v>1310000</v>
      </c>
      <c r="E339" t="s">
        <v>123</v>
      </c>
    </row>
    <row r="340" spans="1:5" x14ac:dyDescent="0.25">
      <c r="A340" s="14">
        <v>42491.968761574077</v>
      </c>
      <c r="B340" t="s">
        <v>74</v>
      </c>
      <c r="C340" t="s">
        <v>113</v>
      </c>
      <c r="D340">
        <v>1140000</v>
      </c>
      <c r="E340" t="s">
        <v>136</v>
      </c>
    </row>
    <row r="341" spans="1:5" x14ac:dyDescent="0.25">
      <c r="A341" s="14">
        <v>42491.318576388891</v>
      </c>
      <c r="B341" t="s">
        <v>54</v>
      </c>
      <c r="C341" t="s">
        <v>55</v>
      </c>
      <c r="D341">
        <v>1430000</v>
      </c>
      <c r="E341" t="s">
        <v>124</v>
      </c>
    </row>
    <row r="342" spans="1:5" x14ac:dyDescent="0.25">
      <c r="A342" s="14">
        <v>42492.169074074074</v>
      </c>
      <c r="B342" t="s">
        <v>67</v>
      </c>
      <c r="C342" t="s">
        <v>182</v>
      </c>
      <c r="D342">
        <v>1300000</v>
      </c>
      <c r="E342" t="s">
        <v>147</v>
      </c>
    </row>
    <row r="343" spans="1:5" x14ac:dyDescent="0.25">
      <c r="A343" s="14">
        <v>42491.26972222222</v>
      </c>
      <c r="B343" t="s">
        <v>63</v>
      </c>
      <c r="C343" t="s">
        <v>103</v>
      </c>
      <c r="D343">
        <v>1480000</v>
      </c>
      <c r="E343" t="s">
        <v>159</v>
      </c>
    </row>
    <row r="344" spans="1:5" x14ac:dyDescent="0.25">
      <c r="A344" s="14">
        <v>42492.212557870371</v>
      </c>
      <c r="B344" t="s">
        <v>76</v>
      </c>
      <c r="C344" t="s">
        <v>172</v>
      </c>
      <c r="D344">
        <v>1410000</v>
      </c>
      <c r="E344" t="s">
        <v>173</v>
      </c>
    </row>
    <row r="345" spans="1:5" x14ac:dyDescent="0.25">
      <c r="A345" s="14">
        <v>42491.869293981479</v>
      </c>
      <c r="B345" t="s">
        <v>64</v>
      </c>
      <c r="C345" t="s">
        <v>116</v>
      </c>
      <c r="D345">
        <v>970000</v>
      </c>
      <c r="E345" t="s">
        <v>149</v>
      </c>
    </row>
    <row r="346" spans="1:5" x14ac:dyDescent="0.25">
      <c r="A346" s="14">
        <v>42492.234189814815</v>
      </c>
      <c r="B346" t="s">
        <v>63</v>
      </c>
      <c r="C346" t="s">
        <v>178</v>
      </c>
      <c r="D346">
        <v>1090000</v>
      </c>
      <c r="E346" t="s">
        <v>144</v>
      </c>
    </row>
    <row r="347" spans="1:5" x14ac:dyDescent="0.25">
      <c r="A347" s="14">
        <v>42491.789340277777</v>
      </c>
      <c r="B347" t="s">
        <v>64</v>
      </c>
      <c r="C347" t="s">
        <v>120</v>
      </c>
      <c r="D347">
        <v>970000</v>
      </c>
      <c r="E347" t="s">
        <v>149</v>
      </c>
    </row>
    <row r="348" spans="1:5" x14ac:dyDescent="0.25">
      <c r="A348" s="14">
        <v>42492.240844907406</v>
      </c>
      <c r="B348" t="s">
        <v>51</v>
      </c>
      <c r="C348" t="s">
        <v>183</v>
      </c>
      <c r="D348">
        <v>1810000</v>
      </c>
      <c r="E348" t="s">
        <v>152</v>
      </c>
    </row>
    <row r="349" spans="1:5" x14ac:dyDescent="0.25">
      <c r="A349" s="14">
        <v>42491.7578125</v>
      </c>
      <c r="B349" t="s">
        <v>54</v>
      </c>
      <c r="C349" t="s">
        <v>78</v>
      </c>
      <c r="D349">
        <v>1440000</v>
      </c>
      <c r="E349" t="s">
        <v>135</v>
      </c>
    </row>
    <row r="350" spans="1:5" x14ac:dyDescent="0.25">
      <c r="A350" s="14">
        <v>42492.307581018518</v>
      </c>
      <c r="B350" t="s">
        <v>142</v>
      </c>
      <c r="C350" t="s">
        <v>180</v>
      </c>
      <c r="D350">
        <v>1770000</v>
      </c>
      <c r="E350" t="s">
        <v>143</v>
      </c>
    </row>
    <row r="351" spans="1:5" x14ac:dyDescent="0.25">
      <c r="A351" s="14">
        <v>42491.692094907405</v>
      </c>
      <c r="B351" t="s">
        <v>137</v>
      </c>
      <c r="C351" t="s">
        <v>81</v>
      </c>
      <c r="D351">
        <v>940000</v>
      </c>
      <c r="E351" t="s">
        <v>141</v>
      </c>
    </row>
    <row r="352" spans="1:5" x14ac:dyDescent="0.25">
      <c r="A352" s="14">
        <v>42492.321446759262</v>
      </c>
      <c r="B352" t="s">
        <v>139</v>
      </c>
      <c r="C352" t="s">
        <v>185</v>
      </c>
      <c r="D352">
        <v>1800000</v>
      </c>
      <c r="E352" t="s">
        <v>140</v>
      </c>
    </row>
    <row r="353" spans="1:5" x14ac:dyDescent="0.25">
      <c r="A353" s="14">
        <v>42491.618715277778</v>
      </c>
      <c r="B353" t="s">
        <v>137</v>
      </c>
      <c r="C353" t="s">
        <v>85</v>
      </c>
      <c r="D353">
        <v>940000</v>
      </c>
      <c r="E353" t="s">
        <v>141</v>
      </c>
    </row>
    <row r="354" spans="1:5" x14ac:dyDescent="0.25">
      <c r="A354" s="14">
        <v>42492.396145833336</v>
      </c>
      <c r="B354" t="s">
        <v>67</v>
      </c>
      <c r="C354" t="s">
        <v>186</v>
      </c>
      <c r="D354">
        <v>1300000</v>
      </c>
      <c r="E354" t="s">
        <v>147</v>
      </c>
    </row>
    <row r="355" spans="1:5" x14ac:dyDescent="0.25">
      <c r="A355" s="14">
        <v>42491.498402777775</v>
      </c>
      <c r="B355" t="s">
        <v>64</v>
      </c>
      <c r="C355" t="s">
        <v>65</v>
      </c>
      <c r="D355">
        <v>1260000</v>
      </c>
      <c r="E355" t="s">
        <v>132</v>
      </c>
    </row>
    <row r="356" spans="1:5" x14ac:dyDescent="0.25">
      <c r="A356" s="14">
        <v>42492.661874999998</v>
      </c>
      <c r="B356" t="s">
        <v>72</v>
      </c>
      <c r="C356" t="s">
        <v>270</v>
      </c>
      <c r="D356">
        <v>1290000</v>
      </c>
      <c r="E356" t="s">
        <v>156</v>
      </c>
    </row>
    <row r="357" spans="1:5" x14ac:dyDescent="0.25">
      <c r="A357" s="14">
        <v>42491.464212962965</v>
      </c>
      <c r="B357" t="s">
        <v>54</v>
      </c>
      <c r="C357" t="s">
        <v>91</v>
      </c>
      <c r="D357">
        <v>1460000</v>
      </c>
      <c r="E357" t="s">
        <v>133</v>
      </c>
    </row>
    <row r="358" spans="1:5" x14ac:dyDescent="0.25">
      <c r="A358" s="14">
        <v>42492.701828703706</v>
      </c>
      <c r="B358" t="s">
        <v>146</v>
      </c>
      <c r="C358" t="s">
        <v>197</v>
      </c>
      <c r="D358">
        <v>1830000</v>
      </c>
      <c r="E358" t="s">
        <v>220</v>
      </c>
    </row>
    <row r="359" spans="1:5" x14ac:dyDescent="0.25">
      <c r="A359" s="14">
        <v>42491.369398148148</v>
      </c>
      <c r="B359" t="s">
        <v>56</v>
      </c>
      <c r="C359" t="s">
        <v>57</v>
      </c>
      <c r="D359">
        <v>860000</v>
      </c>
      <c r="E359" t="s">
        <v>130</v>
      </c>
    </row>
    <row r="360" spans="1:5" x14ac:dyDescent="0.25">
      <c r="A360" s="14">
        <v>42492.716921296298</v>
      </c>
      <c r="B360" t="s">
        <v>76</v>
      </c>
      <c r="C360" t="s">
        <v>271</v>
      </c>
      <c r="D360">
        <v>1140000</v>
      </c>
      <c r="E360" t="s">
        <v>136</v>
      </c>
    </row>
    <row r="361" spans="1:5" x14ac:dyDescent="0.25">
      <c r="A361" s="14">
        <v>42491.30878472222</v>
      </c>
      <c r="B361" t="s">
        <v>51</v>
      </c>
      <c r="C361" t="s">
        <v>100</v>
      </c>
      <c r="D361">
        <v>1310000</v>
      </c>
      <c r="E361" t="s">
        <v>123</v>
      </c>
    </row>
    <row r="362" spans="1:5" x14ac:dyDescent="0.25">
      <c r="A362" s="14">
        <v>42492.828611111108</v>
      </c>
      <c r="B362" t="s">
        <v>64</v>
      </c>
      <c r="C362" t="s">
        <v>202</v>
      </c>
      <c r="D362">
        <v>1740000</v>
      </c>
      <c r="E362" t="s">
        <v>226</v>
      </c>
    </row>
    <row r="363" spans="1:5" x14ac:dyDescent="0.25">
      <c r="A363" s="14">
        <v>42491.295092592591</v>
      </c>
      <c r="B363" t="s">
        <v>59</v>
      </c>
      <c r="C363" t="s">
        <v>101</v>
      </c>
      <c r="D363">
        <v>1360000</v>
      </c>
      <c r="E363" t="s">
        <v>126</v>
      </c>
    </row>
    <row r="364" spans="1:5" x14ac:dyDescent="0.25">
      <c r="A364" s="14">
        <v>42492.907071759262</v>
      </c>
      <c r="B364" t="s">
        <v>64</v>
      </c>
      <c r="C364" t="s">
        <v>250</v>
      </c>
      <c r="D364">
        <v>1740000</v>
      </c>
      <c r="E364" t="s">
        <v>226</v>
      </c>
    </row>
    <row r="365" spans="1:5" x14ac:dyDescent="0.25">
      <c r="A365" s="14">
        <v>42491.233159722222</v>
      </c>
      <c r="B365" t="s">
        <v>51</v>
      </c>
      <c r="C365" t="s">
        <v>52</v>
      </c>
      <c r="D365">
        <v>1310000</v>
      </c>
      <c r="E365" t="s">
        <v>123</v>
      </c>
    </row>
    <row r="366" spans="1:5" x14ac:dyDescent="0.25">
      <c r="A366" s="14">
        <v>42492.988229166665</v>
      </c>
      <c r="B366" t="s">
        <v>51</v>
      </c>
      <c r="C366" t="s">
        <v>272</v>
      </c>
      <c r="D366">
        <v>1140000</v>
      </c>
      <c r="E366" t="s">
        <v>136</v>
      </c>
    </row>
    <row r="367" spans="1:5" x14ac:dyDescent="0.25">
      <c r="A367" s="14">
        <v>42487.878564814811</v>
      </c>
      <c r="B367" t="s">
        <v>154</v>
      </c>
      <c r="C367" t="s">
        <v>155</v>
      </c>
      <c r="D367">
        <v>1290000</v>
      </c>
      <c r="E367" t="s">
        <v>156</v>
      </c>
    </row>
    <row r="368" spans="1:5" x14ac:dyDescent="0.25">
      <c r="A368" s="14">
        <v>42493.057071759256</v>
      </c>
      <c r="B368" t="s">
        <v>72</v>
      </c>
      <c r="C368" t="s">
        <v>212</v>
      </c>
      <c r="D368">
        <v>1760000</v>
      </c>
      <c r="E368" t="s">
        <v>224</v>
      </c>
    </row>
    <row r="369" spans="1:5" x14ac:dyDescent="0.25">
      <c r="A369" s="14">
        <v>42489.464791666665</v>
      </c>
      <c r="B369" t="s">
        <v>72</v>
      </c>
      <c r="C369" t="s">
        <v>170</v>
      </c>
      <c r="D369">
        <v>1200000</v>
      </c>
      <c r="E369" t="s">
        <v>161</v>
      </c>
    </row>
    <row r="370" spans="1:5" x14ac:dyDescent="0.25">
      <c r="A370" s="14">
        <v>42493.170856481483</v>
      </c>
      <c r="B370" t="s">
        <v>139</v>
      </c>
      <c r="C370" t="s">
        <v>273</v>
      </c>
      <c r="D370">
        <v>1800000</v>
      </c>
      <c r="E370" t="s">
        <v>140</v>
      </c>
    </row>
    <row r="371" spans="1:5" x14ac:dyDescent="0.25">
      <c r="A371" s="14">
        <v>42489.098912037036</v>
      </c>
      <c r="B371" t="s">
        <v>50</v>
      </c>
      <c r="C371" t="s">
        <v>127</v>
      </c>
      <c r="D371">
        <v>530000</v>
      </c>
      <c r="E371" t="s">
        <v>128</v>
      </c>
    </row>
    <row r="372" spans="1:5" x14ac:dyDescent="0.25">
      <c r="A372" s="14">
        <v>42492.738229166665</v>
      </c>
      <c r="B372" t="s">
        <v>145</v>
      </c>
      <c r="C372" t="s">
        <v>274</v>
      </c>
      <c r="D372">
        <v>970000</v>
      </c>
      <c r="E372" t="s">
        <v>149</v>
      </c>
    </row>
    <row r="373" spans="1:5" x14ac:dyDescent="0.25">
      <c r="A373" s="14">
        <v>42487.882523148146</v>
      </c>
      <c r="B373" t="s">
        <v>154</v>
      </c>
      <c r="C373" t="s">
        <v>155</v>
      </c>
      <c r="D373">
        <v>1290000</v>
      </c>
      <c r="E373" t="s">
        <v>156</v>
      </c>
    </row>
    <row r="374" spans="1:5" x14ac:dyDescent="0.25">
      <c r="A374" s="14">
        <v>42492.751423611109</v>
      </c>
      <c r="B374" t="s">
        <v>51</v>
      </c>
      <c r="C374" t="s">
        <v>275</v>
      </c>
      <c r="D374">
        <v>1140000</v>
      </c>
      <c r="E374" t="s">
        <v>136</v>
      </c>
    </row>
    <row r="375" spans="1:5" x14ac:dyDescent="0.25">
      <c r="A375" s="14">
        <v>42487.633506944447</v>
      </c>
      <c r="B375" t="s">
        <v>139</v>
      </c>
      <c r="C375" t="s">
        <v>155</v>
      </c>
      <c r="D375">
        <v>1290000</v>
      </c>
      <c r="E375" t="s">
        <v>156</v>
      </c>
    </row>
    <row r="376" spans="1:5" x14ac:dyDescent="0.25">
      <c r="A376" s="14">
        <v>42492.868125000001</v>
      </c>
      <c r="B376" t="s">
        <v>53</v>
      </c>
      <c r="C376" t="s">
        <v>209</v>
      </c>
      <c r="D376">
        <v>1740000</v>
      </c>
      <c r="E376" t="s">
        <v>226</v>
      </c>
    </row>
    <row r="377" spans="1:5" x14ac:dyDescent="0.25">
      <c r="A377" s="14">
        <v>42491.169374999998</v>
      </c>
      <c r="B377" t="s">
        <v>67</v>
      </c>
      <c r="C377" t="s">
        <v>108</v>
      </c>
      <c r="D377">
        <v>1300000</v>
      </c>
      <c r="E377" t="s">
        <v>147</v>
      </c>
    </row>
    <row r="378" spans="1:5" x14ac:dyDescent="0.25">
      <c r="A378" s="14">
        <v>42492.869189814817</v>
      </c>
      <c r="B378" t="s">
        <v>53</v>
      </c>
      <c r="C378" t="s">
        <v>209</v>
      </c>
      <c r="D378">
        <v>1740000</v>
      </c>
      <c r="E378" t="s">
        <v>226</v>
      </c>
    </row>
    <row r="379" spans="1:5" x14ac:dyDescent="0.25">
      <c r="A379" s="14">
        <v>42491.130543981482</v>
      </c>
      <c r="B379" t="s">
        <v>64</v>
      </c>
      <c r="C379" t="s">
        <v>109</v>
      </c>
      <c r="D379">
        <v>1300000</v>
      </c>
      <c r="E379" t="s">
        <v>147</v>
      </c>
    </row>
    <row r="380" spans="1:5" x14ac:dyDescent="0.25">
      <c r="A380" s="14">
        <v>42493.15452546296</v>
      </c>
      <c r="B380" t="s">
        <v>154</v>
      </c>
      <c r="C380" t="s">
        <v>276</v>
      </c>
      <c r="D380">
        <v>1110000</v>
      </c>
      <c r="E380" t="s">
        <v>240</v>
      </c>
    </row>
    <row r="381" spans="1:5" x14ac:dyDescent="0.25">
      <c r="A381" s="14">
        <v>42489.472013888888</v>
      </c>
      <c r="B381" t="s">
        <v>56</v>
      </c>
      <c r="C381" t="s">
        <v>160</v>
      </c>
      <c r="D381">
        <v>0</v>
      </c>
      <c r="E381" t="s">
        <v>177</v>
      </c>
    </row>
    <row r="382" spans="1:5" x14ac:dyDescent="0.25">
      <c r="A382" s="14">
        <v>42493.210416666669</v>
      </c>
      <c r="B382" t="s">
        <v>145</v>
      </c>
      <c r="C382" t="s">
        <v>277</v>
      </c>
      <c r="D382">
        <v>1770000</v>
      </c>
      <c r="E382" t="s">
        <v>143</v>
      </c>
    </row>
    <row r="383" spans="1:5" x14ac:dyDescent="0.25">
      <c r="A383" s="14">
        <v>42488.90253472222</v>
      </c>
      <c r="B383" t="s">
        <v>63</v>
      </c>
      <c r="C383" t="s">
        <v>127</v>
      </c>
      <c r="D383">
        <v>530000</v>
      </c>
      <c r="E383" t="s">
        <v>128</v>
      </c>
    </row>
    <row r="384" spans="1:5" x14ac:dyDescent="0.25">
      <c r="A384" s="14">
        <v>42493.232523148145</v>
      </c>
      <c r="B384" t="s">
        <v>278</v>
      </c>
      <c r="C384" t="s">
        <v>279</v>
      </c>
      <c r="D384">
        <v>1260000</v>
      </c>
      <c r="E384" t="s">
        <v>132</v>
      </c>
    </row>
    <row r="385" spans="1:5" x14ac:dyDescent="0.25">
      <c r="A385" s="14">
        <v>42488.860543981478</v>
      </c>
      <c r="B385" t="s">
        <v>50</v>
      </c>
      <c r="C385" t="s">
        <v>127</v>
      </c>
      <c r="D385">
        <v>530000</v>
      </c>
      <c r="E385" t="s">
        <v>128</v>
      </c>
    </row>
    <row r="386" spans="1:5" x14ac:dyDescent="0.25">
      <c r="A386" s="14">
        <v>42493.243125000001</v>
      </c>
      <c r="B386" t="s">
        <v>63</v>
      </c>
      <c r="C386" t="s">
        <v>280</v>
      </c>
      <c r="D386">
        <v>1810000</v>
      </c>
      <c r="E386" t="s">
        <v>152</v>
      </c>
    </row>
    <row r="387" spans="1:5" x14ac:dyDescent="0.25">
      <c r="A387" s="14">
        <v>42491.35769675926</v>
      </c>
      <c r="B387" t="s">
        <v>61</v>
      </c>
      <c r="C387" t="s">
        <v>97</v>
      </c>
      <c r="D387">
        <v>1430000</v>
      </c>
      <c r="E387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4"/>
  <sheetViews>
    <sheetView tabSelected="1" workbookViewId="0">
      <selection activeCell="J1" sqref="J1:M1048576"/>
    </sheetView>
  </sheetViews>
  <sheetFormatPr defaultRowHeight="15" x14ac:dyDescent="0.25"/>
  <cols>
    <col min="1" max="1" width="32.140625" customWidth="1"/>
    <col min="3" max="3" width="24" customWidth="1"/>
    <col min="10" max="13" width="9.140625" style="65"/>
  </cols>
  <sheetData>
    <row r="1" spans="1:13" ht="45.75" x14ac:dyDescent="0.3">
      <c r="A1" s="28" t="s">
        <v>25</v>
      </c>
      <c r="C1" s="36" t="s">
        <v>48</v>
      </c>
      <c r="J1" s="93" t="s">
        <v>629</v>
      </c>
      <c r="K1" s="93" t="s">
        <v>630</v>
      </c>
      <c r="L1" s="93" t="s">
        <v>631</v>
      </c>
    </row>
    <row r="2" spans="1:13" ht="15.75" thickBot="1" x14ac:dyDescent="0.3">
      <c r="A2" s="29">
        <v>42493</v>
      </c>
      <c r="B2" s="10"/>
      <c r="C2" s="37">
        <v>50</v>
      </c>
      <c r="J2" s="93" t="s">
        <v>629</v>
      </c>
      <c r="K2" s="93" t="s">
        <v>630</v>
      </c>
      <c r="L2" s="93" t="s">
        <v>631</v>
      </c>
    </row>
    <row r="3" spans="1:13" ht="45" x14ac:dyDescent="0.25">
      <c r="J3" s="94" t="s">
        <v>632</v>
      </c>
      <c r="K3" s="95">
        <v>2.7052</v>
      </c>
      <c r="L3" s="95">
        <v>2.7349999999999999</v>
      </c>
      <c r="M3" s="65">
        <f t="shared" ref="M3:M14" si="0">AVERAGE(K3:L3)</f>
        <v>2.7201</v>
      </c>
    </row>
    <row r="4" spans="1:13" ht="30" x14ac:dyDescent="0.25">
      <c r="J4" s="94" t="s">
        <v>633</v>
      </c>
      <c r="K4" s="95">
        <v>3.0830000000000002</v>
      </c>
      <c r="L4" s="95">
        <v>3.097</v>
      </c>
      <c r="M4" s="65">
        <f t="shared" si="0"/>
        <v>3.09</v>
      </c>
    </row>
    <row r="5" spans="1:13" ht="30" x14ac:dyDescent="0.25">
      <c r="J5" s="94" t="s">
        <v>634</v>
      </c>
      <c r="K5" s="95">
        <v>3.3136000000000001</v>
      </c>
      <c r="L5" s="95">
        <v>3.3256999999999999</v>
      </c>
      <c r="M5" s="65">
        <f t="shared" si="0"/>
        <v>3.3196500000000002</v>
      </c>
    </row>
    <row r="6" spans="1:13" ht="30" x14ac:dyDescent="0.25">
      <c r="J6" s="94" t="s">
        <v>635</v>
      </c>
      <c r="K6" s="95">
        <v>4.2778999999999998</v>
      </c>
      <c r="L6" s="95">
        <v>4.2961</v>
      </c>
      <c r="M6" s="65">
        <f t="shared" si="0"/>
        <v>4.2869999999999999</v>
      </c>
    </row>
    <row r="7" spans="1:13" ht="30" x14ac:dyDescent="0.25">
      <c r="J7" s="94" t="s">
        <v>636</v>
      </c>
      <c r="K7" s="95">
        <v>4.7865000000000002</v>
      </c>
      <c r="L7" s="95">
        <v>4.8048000000000002</v>
      </c>
      <c r="M7" s="65">
        <f t="shared" si="0"/>
        <v>4.7956500000000002</v>
      </c>
    </row>
    <row r="8" spans="1:13" ht="30" x14ac:dyDescent="0.25">
      <c r="J8" s="94" t="s">
        <v>637</v>
      </c>
      <c r="K8" s="95">
        <v>5.3155000000000001</v>
      </c>
      <c r="L8" s="95">
        <v>5.3277000000000001</v>
      </c>
      <c r="M8" s="65">
        <f t="shared" si="0"/>
        <v>5.3216000000000001</v>
      </c>
    </row>
    <row r="9" spans="1:13" ht="45" x14ac:dyDescent="0.25">
      <c r="J9" s="94" t="s">
        <v>638</v>
      </c>
      <c r="K9" s="95">
        <v>5.8117000000000001</v>
      </c>
      <c r="L9" s="95">
        <v>5.8300999999999998</v>
      </c>
      <c r="M9" s="65">
        <f t="shared" si="0"/>
        <v>5.8209</v>
      </c>
    </row>
    <row r="10" spans="1:13" ht="45" x14ac:dyDescent="0.25">
      <c r="J10" s="94" t="s">
        <v>639</v>
      </c>
      <c r="K10" s="95">
        <v>5.8783000000000003</v>
      </c>
      <c r="L10" s="95">
        <v>5.8903999999999996</v>
      </c>
      <c r="M10" s="65">
        <f t="shared" si="0"/>
        <v>5.8843499999999995</v>
      </c>
    </row>
    <row r="11" spans="1:13" ht="30" x14ac:dyDescent="0.25">
      <c r="J11" s="94" t="s">
        <v>640</v>
      </c>
      <c r="K11" s="95">
        <v>6.3068</v>
      </c>
      <c r="L11" s="95">
        <v>6.3308999999999997</v>
      </c>
      <c r="M11" s="65">
        <f t="shared" si="0"/>
        <v>6.3188499999999994</v>
      </c>
    </row>
    <row r="12" spans="1:13" ht="30" x14ac:dyDescent="0.25">
      <c r="J12" s="94" t="s">
        <v>641</v>
      </c>
      <c r="K12" s="95">
        <v>7.8349000000000002</v>
      </c>
      <c r="L12" s="95">
        <v>7.8468999999999998</v>
      </c>
      <c r="M12" s="65">
        <f t="shared" si="0"/>
        <v>7.8408999999999995</v>
      </c>
    </row>
    <row r="13" spans="1:13" ht="45" x14ac:dyDescent="0.25">
      <c r="J13" s="94" t="s">
        <v>642</v>
      </c>
      <c r="K13" s="95">
        <v>10.373799999999999</v>
      </c>
      <c r="L13" s="95">
        <v>10.38</v>
      </c>
      <c r="M13" s="65">
        <f t="shared" si="0"/>
        <v>10.376899999999999</v>
      </c>
    </row>
    <row r="14" spans="1:13" ht="30" x14ac:dyDescent="0.25">
      <c r="J14" s="94" t="s">
        <v>643</v>
      </c>
      <c r="K14" s="95">
        <v>10.8954</v>
      </c>
      <c r="L14" s="95">
        <v>10.913500000000001</v>
      </c>
      <c r="M14" s="65">
        <f t="shared" si="0"/>
        <v>10.904450000000001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2016-06-29T14:30:59Z</dcterms:modified>
</cp:coreProperties>
</file>