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7470" windowHeight="537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  <externalReference r:id="rId8"/>
  </externalReferences>
  <definedNames>
    <definedName name="_xlnm._FilterDatabase" localSheetId="1" hidden="1">Enforcements!$A$2:$N$69</definedName>
    <definedName name="_xlnm._FilterDatabase" localSheetId="0" hidden="1">'Train Runs'!$A$2:$AD$152</definedName>
    <definedName name="Denver_Train_Runs_04122016" localSheetId="0">'Train Runs'!$A$2:$J$157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4" i="1" l="1"/>
  <c r="K164" i="1"/>
  <c r="J164" i="1"/>
  <c r="I164" i="1"/>
  <c r="T149" i="1"/>
  <c r="U149" i="1"/>
  <c r="S149" i="1" s="1"/>
  <c r="S150" i="1"/>
  <c r="T150" i="1"/>
  <c r="U150" i="1"/>
  <c r="T151" i="1"/>
  <c r="U151" i="1" s="1"/>
  <c r="S151" i="1" s="1"/>
  <c r="T152" i="1"/>
  <c r="U152" i="1"/>
  <c r="S152" i="1" s="1"/>
  <c r="T148" i="1"/>
  <c r="U148" i="1" s="1"/>
  <c r="S148" i="1" s="1"/>
  <c r="T147" i="1"/>
  <c r="U147" i="1" s="1"/>
  <c r="S147" i="1" s="1"/>
  <c r="U146" i="1"/>
  <c r="S146" i="1" s="1"/>
  <c r="T146" i="1"/>
  <c r="T145" i="1"/>
  <c r="U145" i="1" s="1"/>
  <c r="S145" i="1" s="1"/>
  <c r="T144" i="1"/>
  <c r="U144" i="1" s="1"/>
  <c r="S144" i="1" s="1"/>
  <c r="T143" i="1"/>
  <c r="U143" i="1" s="1"/>
  <c r="S143" i="1" s="1"/>
  <c r="U142" i="1"/>
  <c r="S142" i="1" s="1"/>
  <c r="T142" i="1"/>
  <c r="T141" i="1"/>
  <c r="U141" i="1" s="1"/>
  <c r="S141" i="1" s="1"/>
  <c r="T140" i="1"/>
  <c r="U140" i="1" s="1"/>
  <c r="S140" i="1" s="1"/>
  <c r="T139" i="1"/>
  <c r="U139" i="1" s="1"/>
  <c r="S139" i="1" s="1"/>
  <c r="U138" i="1"/>
  <c r="S138" i="1" s="1"/>
  <c r="T138" i="1"/>
  <c r="T137" i="1"/>
  <c r="U137" i="1" s="1"/>
  <c r="S137" i="1" s="1"/>
  <c r="T136" i="1"/>
  <c r="U136" i="1" s="1"/>
  <c r="S136" i="1" s="1"/>
  <c r="T135" i="1"/>
  <c r="U135" i="1" s="1"/>
  <c r="S135" i="1" s="1"/>
  <c r="U134" i="1"/>
  <c r="S134" i="1" s="1"/>
  <c r="T134" i="1"/>
  <c r="T133" i="1"/>
  <c r="U133" i="1" s="1"/>
  <c r="S133" i="1" s="1"/>
  <c r="T132" i="1"/>
  <c r="U132" i="1" s="1"/>
  <c r="S132" i="1" s="1"/>
  <c r="T131" i="1"/>
  <c r="U131" i="1" s="1"/>
  <c r="S131" i="1" s="1"/>
  <c r="U130" i="1"/>
  <c r="S130" i="1" s="1"/>
  <c r="T130" i="1"/>
  <c r="T129" i="1"/>
  <c r="U129" i="1" s="1"/>
  <c r="S129" i="1" s="1"/>
  <c r="T128" i="1"/>
  <c r="U128" i="1" s="1"/>
  <c r="S128" i="1" s="1"/>
  <c r="T127" i="1"/>
  <c r="U127" i="1" s="1"/>
  <c r="S127" i="1" s="1"/>
  <c r="U126" i="1"/>
  <c r="S126" i="1" s="1"/>
  <c r="T126" i="1"/>
  <c r="T125" i="1"/>
  <c r="U125" i="1" s="1"/>
  <c r="S125" i="1" s="1"/>
  <c r="T124" i="1"/>
  <c r="U124" i="1" s="1"/>
  <c r="S124" i="1" s="1"/>
  <c r="T123" i="1"/>
  <c r="U123" i="1" s="1"/>
  <c r="S123" i="1" s="1"/>
  <c r="U122" i="1"/>
  <c r="S122" i="1" s="1"/>
  <c r="T122" i="1"/>
  <c r="T121" i="1"/>
  <c r="U121" i="1" s="1"/>
  <c r="S121" i="1" s="1"/>
  <c r="T120" i="1"/>
  <c r="U120" i="1" s="1"/>
  <c r="S120" i="1" s="1"/>
  <c r="T119" i="1"/>
  <c r="U119" i="1" s="1"/>
  <c r="S119" i="1" s="1"/>
  <c r="U118" i="1"/>
  <c r="S118" i="1" s="1"/>
  <c r="T118" i="1"/>
  <c r="T117" i="1"/>
  <c r="U117" i="1" s="1"/>
  <c r="S117" i="1" s="1"/>
  <c r="T116" i="1"/>
  <c r="U116" i="1" s="1"/>
  <c r="S116" i="1" s="1"/>
  <c r="T115" i="1"/>
  <c r="U115" i="1" s="1"/>
  <c r="S115" i="1" s="1"/>
  <c r="U114" i="1"/>
  <c r="S114" i="1" s="1"/>
  <c r="T114" i="1"/>
  <c r="T113" i="1"/>
  <c r="U113" i="1" s="1"/>
  <c r="S113" i="1" s="1"/>
  <c r="T112" i="1"/>
  <c r="U112" i="1" s="1"/>
  <c r="S112" i="1" s="1"/>
  <c r="T111" i="1"/>
  <c r="U111" i="1" s="1"/>
  <c r="S111" i="1" s="1"/>
  <c r="U110" i="1"/>
  <c r="S110" i="1" s="1"/>
  <c r="T110" i="1"/>
  <c r="T109" i="1"/>
  <c r="U109" i="1" s="1"/>
  <c r="S109" i="1" s="1"/>
  <c r="T108" i="1"/>
  <c r="U108" i="1" s="1"/>
  <c r="S108" i="1" s="1"/>
  <c r="T107" i="1"/>
  <c r="U107" i="1" s="1"/>
  <c r="S107" i="1" s="1"/>
  <c r="U106" i="1"/>
  <c r="S106" i="1" s="1"/>
  <c r="T106" i="1"/>
  <c r="T105" i="1"/>
  <c r="U105" i="1" s="1"/>
  <c r="S105" i="1" s="1"/>
  <c r="T104" i="1"/>
  <c r="U104" i="1" s="1"/>
  <c r="S104" i="1" s="1"/>
  <c r="T103" i="1"/>
  <c r="U103" i="1" s="1"/>
  <c r="S103" i="1" s="1"/>
  <c r="U102" i="1"/>
  <c r="S102" i="1" s="1"/>
  <c r="T102" i="1"/>
  <c r="T101" i="1"/>
  <c r="U101" i="1" s="1"/>
  <c r="S101" i="1" s="1"/>
  <c r="T100" i="1"/>
  <c r="U100" i="1" s="1"/>
  <c r="S100" i="1" s="1"/>
  <c r="T99" i="1"/>
  <c r="U99" i="1" s="1"/>
  <c r="S99" i="1" s="1"/>
  <c r="U98" i="1"/>
  <c r="S98" i="1" s="1"/>
  <c r="T98" i="1"/>
  <c r="T97" i="1"/>
  <c r="U97" i="1" s="1"/>
  <c r="S97" i="1" s="1"/>
  <c r="T96" i="1"/>
  <c r="U96" i="1" s="1"/>
  <c r="S96" i="1" s="1"/>
  <c r="T95" i="1"/>
  <c r="U95" i="1" s="1"/>
  <c r="S95" i="1" s="1"/>
  <c r="U94" i="1"/>
  <c r="S94" i="1" s="1"/>
  <c r="T94" i="1"/>
  <c r="T93" i="1"/>
  <c r="U93" i="1" s="1"/>
  <c r="S93" i="1" s="1"/>
  <c r="T92" i="1"/>
  <c r="U92" i="1" s="1"/>
  <c r="S92" i="1" s="1"/>
  <c r="T91" i="1"/>
  <c r="U91" i="1" s="1"/>
  <c r="S91" i="1" s="1"/>
  <c r="U90" i="1"/>
  <c r="S90" i="1" s="1"/>
  <c r="T90" i="1"/>
  <c r="T89" i="1"/>
  <c r="U89" i="1" s="1"/>
  <c r="S89" i="1" s="1"/>
  <c r="T88" i="1"/>
  <c r="U88" i="1" s="1"/>
  <c r="S88" i="1" s="1"/>
  <c r="T87" i="1"/>
  <c r="U87" i="1" s="1"/>
  <c r="S87" i="1" s="1"/>
  <c r="U86" i="1"/>
  <c r="S86" i="1" s="1"/>
  <c r="T86" i="1"/>
  <c r="T85" i="1"/>
  <c r="U85" i="1" s="1"/>
  <c r="S85" i="1" s="1"/>
  <c r="T84" i="1"/>
  <c r="U84" i="1" s="1"/>
  <c r="S84" i="1"/>
  <c r="T83" i="1"/>
  <c r="U83" i="1" s="1"/>
  <c r="S83" i="1" s="1"/>
  <c r="U82" i="1"/>
  <c r="S82" i="1" s="1"/>
  <c r="T82" i="1"/>
  <c r="T81" i="1"/>
  <c r="U81" i="1" s="1"/>
  <c r="S81" i="1" s="1"/>
  <c r="T80" i="1"/>
  <c r="U80" i="1" s="1"/>
  <c r="S80" i="1"/>
  <c r="T79" i="1"/>
  <c r="U79" i="1" s="1"/>
  <c r="S79" i="1" s="1"/>
  <c r="U78" i="1"/>
  <c r="S78" i="1" s="1"/>
  <c r="T78" i="1"/>
  <c r="T77" i="1"/>
  <c r="U77" i="1" s="1"/>
  <c r="S77" i="1" s="1"/>
  <c r="T76" i="1"/>
  <c r="U76" i="1" s="1"/>
  <c r="S76" i="1"/>
  <c r="T75" i="1"/>
  <c r="U75" i="1" s="1"/>
  <c r="S75" i="1" s="1"/>
  <c r="U74" i="1"/>
  <c r="S74" i="1" s="1"/>
  <c r="T74" i="1"/>
  <c r="T73" i="1"/>
  <c r="U73" i="1" s="1"/>
  <c r="S73" i="1" s="1"/>
  <c r="T72" i="1"/>
  <c r="U72" i="1" s="1"/>
  <c r="S72" i="1"/>
  <c r="T71" i="1"/>
  <c r="U71" i="1" s="1"/>
  <c r="S71" i="1" s="1"/>
  <c r="U70" i="1"/>
  <c r="S70" i="1" s="1"/>
  <c r="T70" i="1"/>
  <c r="T69" i="1"/>
  <c r="U69" i="1" s="1"/>
  <c r="S69" i="1" s="1"/>
  <c r="U68" i="1"/>
  <c r="T68" i="1"/>
  <c r="S68" i="1"/>
  <c r="T67" i="1"/>
  <c r="U67" i="1" s="1"/>
  <c r="S67" i="1" s="1"/>
  <c r="U66" i="1"/>
  <c r="S66" i="1" s="1"/>
  <c r="T66" i="1"/>
  <c r="T65" i="1"/>
  <c r="U65" i="1" s="1"/>
  <c r="S65" i="1" s="1"/>
  <c r="U64" i="1"/>
  <c r="T64" i="1"/>
  <c r="S64" i="1"/>
  <c r="T63" i="1"/>
  <c r="U63" i="1" s="1"/>
  <c r="S63" i="1" s="1"/>
  <c r="U62" i="1"/>
  <c r="S62" i="1" s="1"/>
  <c r="T62" i="1"/>
  <c r="T61" i="1"/>
  <c r="U61" i="1" s="1"/>
  <c r="S61" i="1" s="1"/>
  <c r="U60" i="1"/>
  <c r="T60" i="1"/>
  <c r="S60" i="1"/>
  <c r="T59" i="1"/>
  <c r="U59" i="1" s="1"/>
  <c r="S59" i="1" s="1"/>
  <c r="U58" i="1"/>
  <c r="S58" i="1" s="1"/>
  <c r="T58" i="1"/>
  <c r="T57" i="1"/>
  <c r="U57" i="1" s="1"/>
  <c r="S57" i="1" s="1"/>
  <c r="U56" i="1"/>
  <c r="T56" i="1"/>
  <c r="S56" i="1"/>
  <c r="T55" i="1"/>
  <c r="U55" i="1" s="1"/>
  <c r="S55" i="1" s="1"/>
  <c r="U54" i="1"/>
  <c r="S54" i="1" s="1"/>
  <c r="T54" i="1"/>
  <c r="T53" i="1"/>
  <c r="U53" i="1" s="1"/>
  <c r="S53" i="1" s="1"/>
  <c r="U52" i="1"/>
  <c r="T52" i="1"/>
  <c r="S52" i="1"/>
  <c r="T51" i="1"/>
  <c r="U51" i="1" s="1"/>
  <c r="S51" i="1" s="1"/>
  <c r="U50" i="1"/>
  <c r="S50" i="1" s="1"/>
  <c r="T50" i="1"/>
  <c r="T49" i="1"/>
  <c r="U49" i="1" s="1"/>
  <c r="S49" i="1" s="1"/>
  <c r="U48" i="1"/>
  <c r="T48" i="1"/>
  <c r="S48" i="1"/>
  <c r="T47" i="1"/>
  <c r="U47" i="1" s="1"/>
  <c r="S47" i="1" s="1"/>
  <c r="U46" i="1"/>
  <c r="S46" i="1" s="1"/>
  <c r="T46" i="1"/>
  <c r="T45" i="1"/>
  <c r="U45" i="1" s="1"/>
  <c r="S45" i="1" s="1"/>
  <c r="U44" i="1"/>
  <c r="T44" i="1"/>
  <c r="S44" i="1"/>
  <c r="T43" i="1"/>
  <c r="U43" i="1" s="1"/>
  <c r="S43" i="1" s="1"/>
  <c r="U42" i="1"/>
  <c r="S42" i="1" s="1"/>
  <c r="T42" i="1"/>
  <c r="T41" i="1"/>
  <c r="U41" i="1" s="1"/>
  <c r="S41" i="1" s="1"/>
  <c r="U40" i="1"/>
  <c r="T40" i="1"/>
  <c r="S40" i="1"/>
  <c r="T39" i="1"/>
  <c r="U39" i="1" s="1"/>
  <c r="S39" i="1" s="1"/>
  <c r="U38" i="1"/>
  <c r="S38" i="1" s="1"/>
  <c r="T38" i="1"/>
  <c r="T37" i="1"/>
  <c r="U37" i="1" s="1"/>
  <c r="S37" i="1" s="1"/>
  <c r="U36" i="1"/>
  <c r="T36" i="1"/>
  <c r="S36" i="1"/>
  <c r="T35" i="1"/>
  <c r="U35" i="1" s="1"/>
  <c r="S35" i="1" s="1"/>
  <c r="U34" i="1"/>
  <c r="S34" i="1" s="1"/>
  <c r="T34" i="1"/>
  <c r="T33" i="1"/>
  <c r="U33" i="1" s="1"/>
  <c r="S33" i="1" s="1"/>
  <c r="U32" i="1"/>
  <c r="T32" i="1"/>
  <c r="S32" i="1"/>
  <c r="T31" i="1"/>
  <c r="U31" i="1" s="1"/>
  <c r="S31" i="1" s="1"/>
  <c r="U30" i="1"/>
  <c r="S30" i="1" s="1"/>
  <c r="T30" i="1"/>
  <c r="T29" i="1"/>
  <c r="U29" i="1" s="1"/>
  <c r="S29" i="1" s="1"/>
  <c r="U28" i="1"/>
  <c r="T28" i="1"/>
  <c r="S28" i="1"/>
  <c r="T27" i="1"/>
  <c r="U27" i="1" s="1"/>
  <c r="S27" i="1" s="1"/>
  <c r="U26" i="1"/>
  <c r="S26" i="1" s="1"/>
  <c r="T26" i="1"/>
  <c r="T25" i="1"/>
  <c r="U25" i="1" s="1"/>
  <c r="S25" i="1" s="1"/>
  <c r="U24" i="1"/>
  <c r="T24" i="1"/>
  <c r="S24" i="1"/>
  <c r="T23" i="1"/>
  <c r="U23" i="1" s="1"/>
  <c r="S23" i="1" s="1"/>
  <c r="U22" i="1"/>
  <c r="S22" i="1" s="1"/>
  <c r="T22" i="1"/>
  <c r="T21" i="1"/>
  <c r="U21" i="1" s="1"/>
  <c r="S21" i="1" s="1"/>
  <c r="U20" i="1"/>
  <c r="T20" i="1"/>
  <c r="S20" i="1"/>
  <c r="T19" i="1"/>
  <c r="U19" i="1" s="1"/>
  <c r="S19" i="1" s="1"/>
  <c r="U18" i="1"/>
  <c r="S18" i="1" s="1"/>
  <c r="T18" i="1"/>
  <c r="T17" i="1"/>
  <c r="U17" i="1" s="1"/>
  <c r="S17" i="1" s="1"/>
  <c r="U16" i="1"/>
  <c r="T16" i="1"/>
  <c r="S16" i="1"/>
  <c r="T15" i="1"/>
  <c r="U15" i="1" s="1"/>
  <c r="S15" i="1" s="1"/>
  <c r="U14" i="1"/>
  <c r="S14" i="1" s="1"/>
  <c r="T14" i="1"/>
  <c r="T13" i="1"/>
  <c r="U13" i="1" s="1"/>
  <c r="S13" i="1" s="1"/>
  <c r="U12" i="1"/>
  <c r="T12" i="1"/>
  <c r="S12" i="1"/>
  <c r="T11" i="1"/>
  <c r="U11" i="1" s="1"/>
  <c r="S11" i="1" s="1"/>
  <c r="U10" i="1"/>
  <c r="S10" i="1" s="1"/>
  <c r="T10" i="1"/>
  <c r="T9" i="1"/>
  <c r="U9" i="1" s="1"/>
  <c r="S9" i="1" s="1"/>
  <c r="U8" i="1"/>
  <c r="T8" i="1"/>
  <c r="S8" i="1"/>
  <c r="T7" i="1"/>
  <c r="U7" i="1" s="1"/>
  <c r="S7" i="1" s="1"/>
  <c r="U6" i="1"/>
  <c r="S6" i="1" s="1"/>
  <c r="T6" i="1"/>
  <c r="T5" i="1"/>
  <c r="U5" i="1" s="1"/>
  <c r="S5" i="1" s="1"/>
  <c r="U4" i="1"/>
  <c r="T4" i="1"/>
  <c r="S4" i="1"/>
  <c r="T3" i="1"/>
  <c r="U3" i="1" s="1"/>
  <c r="S3" i="1" s="1"/>
  <c r="P103" i="1" l="1"/>
  <c r="N123" i="1" l="1"/>
  <c r="X123" i="1"/>
  <c r="X124" i="1"/>
  <c r="P143" i="1"/>
  <c r="Y86" i="1"/>
  <c r="Y87" i="1"/>
  <c r="Y83" i="1"/>
  <c r="M21" i="1"/>
  <c r="N21" i="1" s="1"/>
  <c r="Y21" i="1"/>
  <c r="L25" i="3" l="1"/>
  <c r="Q59" i="3"/>
  <c r="L40" i="3"/>
  <c r="Q60" i="3"/>
  <c r="L26" i="3"/>
  <c r="Q61" i="3"/>
  <c r="L41" i="3"/>
  <c r="Q62" i="3"/>
  <c r="L65" i="3"/>
  <c r="Q63" i="3"/>
  <c r="L66" i="3"/>
  <c r="Q64" i="3"/>
  <c r="W137" i="1"/>
  <c r="Y137" i="1"/>
  <c r="Z137" i="1"/>
  <c r="AA137" i="1"/>
  <c r="AB137" i="1" s="1"/>
  <c r="X137" i="1" s="1"/>
  <c r="AC137" i="1"/>
  <c r="AD137" i="1"/>
  <c r="W138" i="1"/>
  <c r="Y138" i="1"/>
  <c r="Z138" i="1"/>
  <c r="AA138" i="1"/>
  <c r="AB138" i="1" s="1"/>
  <c r="X138" i="1" s="1"/>
  <c r="AC138" i="1"/>
  <c r="AD138" i="1"/>
  <c r="W139" i="1"/>
  <c r="Y139" i="1"/>
  <c r="Z139" i="1"/>
  <c r="AA139" i="1"/>
  <c r="AC139" i="1"/>
  <c r="AD139" i="1"/>
  <c r="W140" i="1"/>
  <c r="Y140" i="1"/>
  <c r="Z140" i="1"/>
  <c r="AA140" i="1"/>
  <c r="AC140" i="1"/>
  <c r="AD140" i="1"/>
  <c r="W141" i="1"/>
  <c r="Y141" i="1"/>
  <c r="Z141" i="1"/>
  <c r="AA141" i="1"/>
  <c r="AB141" i="1" s="1"/>
  <c r="X141" i="1" s="1"/>
  <c r="AC141" i="1"/>
  <c r="AD141" i="1"/>
  <c r="W142" i="1"/>
  <c r="Y142" i="1"/>
  <c r="Z142" i="1"/>
  <c r="AA142" i="1"/>
  <c r="AC142" i="1"/>
  <c r="AD142" i="1"/>
  <c r="W143" i="1"/>
  <c r="Y143" i="1"/>
  <c r="Z143" i="1"/>
  <c r="AA143" i="1"/>
  <c r="AC143" i="1"/>
  <c r="AD143" i="1"/>
  <c r="W144" i="1"/>
  <c r="Y144" i="1"/>
  <c r="Z144" i="1"/>
  <c r="AA144" i="1"/>
  <c r="AB144" i="1" s="1"/>
  <c r="X144" i="1" s="1"/>
  <c r="AC144" i="1"/>
  <c r="AD144" i="1"/>
  <c r="W145" i="1"/>
  <c r="Y145" i="1"/>
  <c r="Z145" i="1"/>
  <c r="AA145" i="1"/>
  <c r="AC145" i="1"/>
  <c r="AD145" i="1"/>
  <c r="W146" i="1"/>
  <c r="Y146" i="1"/>
  <c r="Z146" i="1"/>
  <c r="AA146" i="1"/>
  <c r="AC146" i="1"/>
  <c r="AD146" i="1"/>
  <c r="W147" i="1"/>
  <c r="Y147" i="1"/>
  <c r="Z147" i="1"/>
  <c r="AA147" i="1"/>
  <c r="AB147" i="1" s="1"/>
  <c r="X147" i="1" s="1"/>
  <c r="AC147" i="1"/>
  <c r="AD147" i="1"/>
  <c r="K137" i="1"/>
  <c r="L137" i="1"/>
  <c r="M137" i="1"/>
  <c r="N137" i="1" s="1"/>
  <c r="K138" i="1"/>
  <c r="L138" i="1"/>
  <c r="M138" i="1"/>
  <c r="N138" i="1" s="1"/>
  <c r="K139" i="1"/>
  <c r="L139" i="1"/>
  <c r="M139" i="1"/>
  <c r="N139" i="1" s="1"/>
  <c r="K140" i="1"/>
  <c r="L140" i="1"/>
  <c r="M140" i="1"/>
  <c r="N140" i="1" s="1"/>
  <c r="K141" i="1"/>
  <c r="L141" i="1"/>
  <c r="M141" i="1"/>
  <c r="N141" i="1" s="1"/>
  <c r="K142" i="1"/>
  <c r="L142" i="1"/>
  <c r="M142" i="1"/>
  <c r="N142" i="1" s="1"/>
  <c r="K143" i="1"/>
  <c r="L143" i="1"/>
  <c r="M143" i="1"/>
  <c r="K144" i="1"/>
  <c r="L144" i="1"/>
  <c r="M144" i="1"/>
  <c r="N144" i="1" s="1"/>
  <c r="K145" i="1"/>
  <c r="L145" i="1"/>
  <c r="M145" i="1"/>
  <c r="N145" i="1" s="1"/>
  <c r="K146" i="1"/>
  <c r="L146" i="1"/>
  <c r="M146" i="1"/>
  <c r="N146" i="1" s="1"/>
  <c r="K97" i="1"/>
  <c r="L97" i="1"/>
  <c r="M97" i="1"/>
  <c r="W97" i="1"/>
  <c r="P61" i="3" s="1"/>
  <c r="Y97" i="1"/>
  <c r="Z97" i="1"/>
  <c r="AA97" i="1"/>
  <c r="AC97" i="1"/>
  <c r="AD97" i="1"/>
  <c r="K96" i="1"/>
  <c r="L96" i="1"/>
  <c r="M96" i="1"/>
  <c r="W96" i="1"/>
  <c r="Y96" i="1"/>
  <c r="Z96" i="1"/>
  <c r="AA96" i="1"/>
  <c r="AC96" i="1"/>
  <c r="AD96" i="1"/>
  <c r="K98" i="1"/>
  <c r="L98" i="1"/>
  <c r="M98" i="1"/>
  <c r="N98" i="1" s="1"/>
  <c r="W98" i="1"/>
  <c r="Y98" i="1"/>
  <c r="Z98" i="1"/>
  <c r="AA98" i="1"/>
  <c r="AC98" i="1"/>
  <c r="AD98" i="1"/>
  <c r="K99" i="1"/>
  <c r="L99" i="1"/>
  <c r="M99" i="1"/>
  <c r="N99" i="1" s="1"/>
  <c r="W99" i="1"/>
  <c r="P62" i="3" s="1"/>
  <c r="Y99" i="1"/>
  <c r="Z99" i="1"/>
  <c r="AA99" i="1"/>
  <c r="AC99" i="1"/>
  <c r="AD99" i="1"/>
  <c r="K100" i="1"/>
  <c r="L100" i="1"/>
  <c r="M100" i="1"/>
  <c r="N100" i="1" s="1"/>
  <c r="W100" i="1"/>
  <c r="Y100" i="1"/>
  <c r="Z100" i="1"/>
  <c r="AA100" i="1"/>
  <c r="AC100" i="1"/>
  <c r="AD100" i="1"/>
  <c r="K101" i="1"/>
  <c r="L101" i="1"/>
  <c r="M101" i="1"/>
  <c r="N101" i="1" s="1"/>
  <c r="W101" i="1"/>
  <c r="P63" i="3" s="1"/>
  <c r="Y101" i="1"/>
  <c r="Z101" i="1"/>
  <c r="AA101" i="1"/>
  <c r="AB101" i="1" s="1"/>
  <c r="X101" i="1" s="1"/>
  <c r="AC101" i="1"/>
  <c r="AD101" i="1"/>
  <c r="K103" i="1"/>
  <c r="L103" i="1"/>
  <c r="M103" i="1"/>
  <c r="W103" i="1"/>
  <c r="Y103" i="1"/>
  <c r="Z103" i="1"/>
  <c r="AA103" i="1"/>
  <c r="AC103" i="1"/>
  <c r="AD103" i="1"/>
  <c r="K102" i="1"/>
  <c r="L102" i="1"/>
  <c r="M102" i="1"/>
  <c r="W102" i="1"/>
  <c r="Y102" i="1"/>
  <c r="Z102" i="1"/>
  <c r="AA102" i="1"/>
  <c r="AC102" i="1"/>
  <c r="AD102" i="1"/>
  <c r="K104" i="1"/>
  <c r="L104" i="1"/>
  <c r="M104" i="1"/>
  <c r="N104" i="1" s="1"/>
  <c r="W104" i="1"/>
  <c r="Y104" i="1"/>
  <c r="Z104" i="1"/>
  <c r="AA104" i="1"/>
  <c r="AC104" i="1"/>
  <c r="AD104" i="1"/>
  <c r="K105" i="1"/>
  <c r="L105" i="1"/>
  <c r="M105" i="1"/>
  <c r="N105" i="1" s="1"/>
  <c r="W105" i="1"/>
  <c r="Y105" i="1"/>
  <c r="Z105" i="1"/>
  <c r="AA105" i="1"/>
  <c r="AC105" i="1"/>
  <c r="AD105" i="1"/>
  <c r="K106" i="1"/>
  <c r="L106" i="1"/>
  <c r="M106" i="1"/>
  <c r="N106" i="1" s="1"/>
  <c r="W106" i="1"/>
  <c r="Y106" i="1"/>
  <c r="Z106" i="1"/>
  <c r="AA106" i="1"/>
  <c r="AC106" i="1"/>
  <c r="AD106" i="1"/>
  <c r="K107" i="1"/>
  <c r="L107" i="1"/>
  <c r="M107" i="1"/>
  <c r="N107" i="1" s="1"/>
  <c r="W107" i="1"/>
  <c r="Y107" i="1"/>
  <c r="Z107" i="1"/>
  <c r="AA107" i="1"/>
  <c r="AC107" i="1"/>
  <c r="AD107" i="1"/>
  <c r="K108" i="1"/>
  <c r="L108" i="1"/>
  <c r="M108" i="1"/>
  <c r="N108" i="1" s="1"/>
  <c r="W108" i="1"/>
  <c r="P64" i="3" s="1"/>
  <c r="Y108" i="1"/>
  <c r="Z108" i="1"/>
  <c r="AA108" i="1"/>
  <c r="AC108" i="1"/>
  <c r="AD108" i="1"/>
  <c r="K109" i="1"/>
  <c r="L109" i="1"/>
  <c r="M109" i="1"/>
  <c r="N109" i="1" s="1"/>
  <c r="W109" i="1"/>
  <c r="Y109" i="1"/>
  <c r="Z109" i="1"/>
  <c r="AA109" i="1"/>
  <c r="AC109" i="1"/>
  <c r="AD109" i="1"/>
  <c r="K110" i="1"/>
  <c r="L110" i="1"/>
  <c r="M110" i="1"/>
  <c r="N110" i="1" s="1"/>
  <c r="W110" i="1"/>
  <c r="Y110" i="1"/>
  <c r="Z110" i="1"/>
  <c r="AA110" i="1"/>
  <c r="AC110" i="1"/>
  <c r="AD110" i="1"/>
  <c r="K111" i="1"/>
  <c r="L111" i="1"/>
  <c r="M111" i="1"/>
  <c r="N111" i="1" s="1"/>
  <c r="W111" i="1"/>
  <c r="Y111" i="1"/>
  <c r="Z111" i="1"/>
  <c r="AA111" i="1"/>
  <c r="AC111" i="1"/>
  <c r="AD111" i="1"/>
  <c r="K112" i="1"/>
  <c r="L112" i="1"/>
  <c r="M112" i="1"/>
  <c r="W112" i="1"/>
  <c r="Y112" i="1"/>
  <c r="Z112" i="1"/>
  <c r="AA112" i="1"/>
  <c r="AC112" i="1"/>
  <c r="AD112" i="1"/>
  <c r="K113" i="1"/>
  <c r="L113" i="1"/>
  <c r="M113" i="1"/>
  <c r="W113" i="1"/>
  <c r="Y113" i="1"/>
  <c r="Z113" i="1"/>
  <c r="AA113" i="1"/>
  <c r="AC113" i="1"/>
  <c r="AD113" i="1"/>
  <c r="K114" i="1"/>
  <c r="L114" i="1"/>
  <c r="M114" i="1"/>
  <c r="N114" i="1" s="1"/>
  <c r="W114" i="1"/>
  <c r="Y114" i="1"/>
  <c r="Z114" i="1"/>
  <c r="AA114" i="1"/>
  <c r="AC114" i="1"/>
  <c r="AD114" i="1"/>
  <c r="K115" i="1"/>
  <c r="L115" i="1"/>
  <c r="M115" i="1"/>
  <c r="N115" i="1" s="1"/>
  <c r="W115" i="1"/>
  <c r="Y115" i="1"/>
  <c r="Z115" i="1"/>
  <c r="AA115" i="1"/>
  <c r="AC115" i="1"/>
  <c r="AD115" i="1"/>
  <c r="K116" i="1"/>
  <c r="L116" i="1"/>
  <c r="M116" i="1"/>
  <c r="N116" i="1" s="1"/>
  <c r="W116" i="1"/>
  <c r="Y116" i="1"/>
  <c r="Z116" i="1"/>
  <c r="AA116" i="1"/>
  <c r="AC116" i="1"/>
  <c r="AD116" i="1"/>
  <c r="K117" i="1"/>
  <c r="L117" i="1"/>
  <c r="M117" i="1"/>
  <c r="N117" i="1" s="1"/>
  <c r="W117" i="1"/>
  <c r="Y117" i="1"/>
  <c r="Z117" i="1"/>
  <c r="AA117" i="1"/>
  <c r="AC117" i="1"/>
  <c r="AD117" i="1"/>
  <c r="K118" i="1"/>
  <c r="L118" i="1"/>
  <c r="M118" i="1"/>
  <c r="N118" i="1" s="1"/>
  <c r="W118" i="1"/>
  <c r="Y118" i="1"/>
  <c r="Z118" i="1"/>
  <c r="AA118" i="1"/>
  <c r="AC118" i="1"/>
  <c r="AD118" i="1"/>
  <c r="K119" i="1"/>
  <c r="L119" i="1"/>
  <c r="M119" i="1"/>
  <c r="N119" i="1" s="1"/>
  <c r="W119" i="1"/>
  <c r="Y119" i="1"/>
  <c r="Z119" i="1"/>
  <c r="AA119" i="1"/>
  <c r="AC119" i="1"/>
  <c r="AD119" i="1"/>
  <c r="K120" i="1"/>
  <c r="L120" i="1"/>
  <c r="M120" i="1"/>
  <c r="N120" i="1" s="1"/>
  <c r="W120" i="1"/>
  <c r="Y120" i="1"/>
  <c r="Z120" i="1"/>
  <c r="AA120" i="1"/>
  <c r="AC120" i="1"/>
  <c r="AD120" i="1"/>
  <c r="K121" i="1"/>
  <c r="L121" i="1"/>
  <c r="M121" i="1"/>
  <c r="N121" i="1" s="1"/>
  <c r="W121" i="1"/>
  <c r="Y121" i="1"/>
  <c r="Z121" i="1"/>
  <c r="AA121" i="1"/>
  <c r="AC121" i="1"/>
  <c r="AD121" i="1"/>
  <c r="K122" i="1"/>
  <c r="L122" i="1"/>
  <c r="M122" i="1"/>
  <c r="N122" i="1" s="1"/>
  <c r="W122" i="1"/>
  <c r="Y122" i="1"/>
  <c r="Z122" i="1"/>
  <c r="AA122" i="1"/>
  <c r="AC122" i="1"/>
  <c r="AD122" i="1"/>
  <c r="K123" i="1"/>
  <c r="L123" i="1"/>
  <c r="M123" i="1"/>
  <c r="W123" i="1"/>
  <c r="Y123" i="1"/>
  <c r="Z123" i="1"/>
  <c r="AA123" i="1"/>
  <c r="AB123" i="1" s="1"/>
  <c r="AC123" i="1"/>
  <c r="AD123" i="1"/>
  <c r="K124" i="1"/>
  <c r="L124" i="1"/>
  <c r="M124" i="1"/>
  <c r="N124" i="1" s="1"/>
  <c r="W124" i="1"/>
  <c r="Y124" i="1"/>
  <c r="Z124" i="1"/>
  <c r="AA124" i="1"/>
  <c r="AC124" i="1"/>
  <c r="AD124" i="1"/>
  <c r="K125" i="1"/>
  <c r="L125" i="1"/>
  <c r="M125" i="1"/>
  <c r="N125" i="1" s="1"/>
  <c r="W125" i="1"/>
  <c r="Y125" i="1"/>
  <c r="Z125" i="1"/>
  <c r="AA125" i="1"/>
  <c r="AC125" i="1"/>
  <c r="AD125" i="1"/>
  <c r="K126" i="1"/>
  <c r="L126" i="1"/>
  <c r="M126" i="1"/>
  <c r="N126" i="1" s="1"/>
  <c r="W126" i="1"/>
  <c r="Y126" i="1"/>
  <c r="Z126" i="1"/>
  <c r="AA126" i="1"/>
  <c r="AC126" i="1"/>
  <c r="AD126" i="1"/>
  <c r="K127" i="1"/>
  <c r="L127" i="1"/>
  <c r="M127" i="1"/>
  <c r="N127" i="1" s="1"/>
  <c r="W127" i="1"/>
  <c r="Y127" i="1"/>
  <c r="Z127" i="1"/>
  <c r="AA127" i="1"/>
  <c r="AC127" i="1"/>
  <c r="AD127" i="1"/>
  <c r="K128" i="1"/>
  <c r="L128" i="1"/>
  <c r="M128" i="1"/>
  <c r="N128" i="1" s="1"/>
  <c r="W128" i="1"/>
  <c r="Y128" i="1"/>
  <c r="Z128" i="1"/>
  <c r="AA128" i="1"/>
  <c r="AC128" i="1"/>
  <c r="AD128" i="1"/>
  <c r="K129" i="1"/>
  <c r="L129" i="1"/>
  <c r="M129" i="1"/>
  <c r="N129" i="1" s="1"/>
  <c r="W129" i="1"/>
  <c r="Y129" i="1"/>
  <c r="Z129" i="1"/>
  <c r="AA129" i="1"/>
  <c r="AC129" i="1"/>
  <c r="AD129" i="1"/>
  <c r="K130" i="1"/>
  <c r="L130" i="1"/>
  <c r="M130" i="1"/>
  <c r="N130" i="1" s="1"/>
  <c r="W130" i="1"/>
  <c r="Y130" i="1"/>
  <c r="Z130" i="1"/>
  <c r="AA130" i="1"/>
  <c r="AC130" i="1"/>
  <c r="AD130" i="1"/>
  <c r="K131" i="1"/>
  <c r="L131" i="1"/>
  <c r="M131" i="1"/>
  <c r="N131" i="1" s="1"/>
  <c r="W131" i="1"/>
  <c r="Y131" i="1"/>
  <c r="Z131" i="1"/>
  <c r="AA131" i="1"/>
  <c r="AC131" i="1"/>
  <c r="AD131" i="1"/>
  <c r="K132" i="1"/>
  <c r="L132" i="1"/>
  <c r="M132" i="1"/>
  <c r="N132" i="1" s="1"/>
  <c r="W132" i="1"/>
  <c r="Y132" i="1"/>
  <c r="Z132" i="1"/>
  <c r="AA132" i="1"/>
  <c r="AC132" i="1"/>
  <c r="AD132" i="1"/>
  <c r="K133" i="1"/>
  <c r="L133" i="1"/>
  <c r="M133" i="1"/>
  <c r="N133" i="1" s="1"/>
  <c r="W133" i="1"/>
  <c r="Y133" i="1"/>
  <c r="Z133" i="1"/>
  <c r="AA133" i="1"/>
  <c r="AC133" i="1"/>
  <c r="AD133" i="1"/>
  <c r="K134" i="1"/>
  <c r="L134" i="1"/>
  <c r="M134" i="1"/>
  <c r="N134" i="1" s="1"/>
  <c r="W134" i="1"/>
  <c r="Y134" i="1"/>
  <c r="Z134" i="1"/>
  <c r="AA134" i="1"/>
  <c r="AC134" i="1"/>
  <c r="AD134" i="1"/>
  <c r="K135" i="1"/>
  <c r="L135" i="1"/>
  <c r="M135" i="1"/>
  <c r="N135" i="1" s="1"/>
  <c r="W135" i="1"/>
  <c r="Y135" i="1"/>
  <c r="Z135" i="1"/>
  <c r="AA135" i="1"/>
  <c r="AC135" i="1"/>
  <c r="AD135" i="1"/>
  <c r="K136" i="1"/>
  <c r="L136" i="1"/>
  <c r="M136" i="1"/>
  <c r="N136" i="1" s="1"/>
  <c r="W136" i="1"/>
  <c r="Y136" i="1"/>
  <c r="Z136" i="1"/>
  <c r="AA136" i="1"/>
  <c r="AC136" i="1"/>
  <c r="AD136" i="1"/>
  <c r="K147" i="1"/>
  <c r="L147" i="1"/>
  <c r="M147" i="1"/>
  <c r="N147" i="1" s="1"/>
  <c r="K148" i="1"/>
  <c r="L148" i="1"/>
  <c r="M148" i="1"/>
  <c r="N148" i="1" s="1"/>
  <c r="W148" i="1"/>
  <c r="Y148" i="1"/>
  <c r="Z148" i="1"/>
  <c r="AA148" i="1"/>
  <c r="AB148" i="1" s="1"/>
  <c r="X148" i="1" s="1"/>
  <c r="AC148" i="1"/>
  <c r="AD148" i="1"/>
  <c r="K149" i="1"/>
  <c r="L149" i="1"/>
  <c r="M149" i="1"/>
  <c r="N149" i="1" s="1"/>
  <c r="W149" i="1"/>
  <c r="Y149" i="1"/>
  <c r="Z149" i="1"/>
  <c r="AA149" i="1"/>
  <c r="AB149" i="1" s="1"/>
  <c r="X149" i="1" s="1"/>
  <c r="AC149" i="1"/>
  <c r="AD149" i="1"/>
  <c r="K150" i="1"/>
  <c r="L150" i="1"/>
  <c r="M150" i="1"/>
  <c r="N150" i="1" s="1"/>
  <c r="W150" i="1"/>
  <c r="Y150" i="1"/>
  <c r="Z150" i="1"/>
  <c r="AA150" i="1"/>
  <c r="AB150" i="1" s="1"/>
  <c r="X150" i="1" s="1"/>
  <c r="AC150" i="1"/>
  <c r="AD150" i="1"/>
  <c r="K151" i="1"/>
  <c r="L151" i="1"/>
  <c r="M151" i="1"/>
  <c r="N151" i="1" s="1"/>
  <c r="W151" i="1"/>
  <c r="Y151" i="1"/>
  <c r="Z151" i="1"/>
  <c r="AA151" i="1"/>
  <c r="AC151" i="1"/>
  <c r="AD151" i="1"/>
  <c r="K152" i="1"/>
  <c r="L152" i="1"/>
  <c r="M152" i="1"/>
  <c r="N152" i="1" s="1"/>
  <c r="W152" i="1"/>
  <c r="Y152" i="1"/>
  <c r="Z152" i="1"/>
  <c r="AA152" i="1"/>
  <c r="AC152" i="1"/>
  <c r="AD152" i="1"/>
  <c r="AB108" i="1" l="1"/>
  <c r="X108" i="1" s="1"/>
  <c r="AB132" i="1"/>
  <c r="X132" i="1" s="1"/>
  <c r="AB116" i="1"/>
  <c r="X116" i="1" s="1"/>
  <c r="AB118" i="1"/>
  <c r="X118" i="1" s="1"/>
  <c r="AB103" i="1"/>
  <c r="X103" i="1" s="1"/>
  <c r="P97" i="1"/>
  <c r="AB145" i="1"/>
  <c r="X145" i="1" s="1"/>
  <c r="AB119" i="1"/>
  <c r="X119" i="1" s="1"/>
  <c r="AB111" i="1"/>
  <c r="X111" i="1" s="1"/>
  <c r="AB105" i="1"/>
  <c r="X105" i="1" s="1"/>
  <c r="AB96" i="1"/>
  <c r="X96" i="1" s="1"/>
  <c r="AB109" i="1"/>
  <c r="X109" i="1" s="1"/>
  <c r="AB151" i="1"/>
  <c r="X151" i="1" s="1"/>
  <c r="AB113" i="1"/>
  <c r="X113" i="1" s="1"/>
  <c r="AB140" i="1"/>
  <c r="X140" i="1" s="1"/>
  <c r="AB131" i="1"/>
  <c r="X131" i="1" s="1"/>
  <c r="AB115" i="1"/>
  <c r="X115" i="1" s="1"/>
  <c r="AB152" i="1"/>
  <c r="X152" i="1" s="1"/>
  <c r="AB136" i="1"/>
  <c r="X136" i="1" s="1"/>
  <c r="AB143" i="1"/>
  <c r="X143" i="1" s="1"/>
  <c r="AB125" i="1"/>
  <c r="X125" i="1" s="1"/>
  <c r="AB146" i="1"/>
  <c r="X146" i="1" s="1"/>
  <c r="AB120" i="1"/>
  <c r="X120" i="1" s="1"/>
  <c r="AB129" i="1"/>
  <c r="X129" i="1" s="1"/>
  <c r="P113" i="1"/>
  <c r="AB98" i="1"/>
  <c r="X98" i="1" s="1"/>
  <c r="AB135" i="1"/>
  <c r="X135" i="1" s="1"/>
  <c r="AB102" i="1"/>
  <c r="X102" i="1" s="1"/>
  <c r="AB139" i="1"/>
  <c r="X139" i="1" s="1"/>
  <c r="AB100" i="1"/>
  <c r="X100" i="1" s="1"/>
  <c r="AB128" i="1"/>
  <c r="X128" i="1" s="1"/>
  <c r="AB99" i="1"/>
  <c r="X99" i="1" s="1"/>
  <c r="AB142" i="1"/>
  <c r="X142" i="1" s="1"/>
  <c r="AB130" i="1"/>
  <c r="X130" i="1" s="1"/>
  <c r="AB117" i="1"/>
  <c r="X117" i="1" s="1"/>
  <c r="AB121" i="1"/>
  <c r="X121" i="1" s="1"/>
  <c r="AB106" i="1"/>
  <c r="X106" i="1" s="1"/>
  <c r="AB97" i="1"/>
  <c r="X97" i="1" s="1"/>
  <c r="AB127" i="1"/>
  <c r="X127" i="1" s="1"/>
  <c r="AB124" i="1"/>
  <c r="AB126" i="1"/>
  <c r="X126" i="1" s="1"/>
  <c r="AB133" i="1"/>
  <c r="X133" i="1" s="1"/>
  <c r="AB107" i="1"/>
  <c r="X107" i="1" s="1"/>
  <c r="AB112" i="1"/>
  <c r="X112" i="1" s="1"/>
  <c r="AB104" i="1"/>
  <c r="X104" i="1" s="1"/>
  <c r="AB114" i="1"/>
  <c r="X114" i="1" s="1"/>
  <c r="AB134" i="1"/>
  <c r="X134" i="1" s="1"/>
  <c r="AB110" i="1"/>
  <c r="X110" i="1" s="1"/>
  <c r="AB122" i="1"/>
  <c r="X122" i="1" s="1"/>
  <c r="L27" i="3"/>
  <c r="Q58" i="3"/>
  <c r="L15" i="3"/>
  <c r="Q65" i="3"/>
  <c r="L42" i="3"/>
  <c r="Q66" i="3"/>
  <c r="L68" i="3"/>
  <c r="Q67" i="3"/>
  <c r="L5" i="3"/>
  <c r="P68" i="3"/>
  <c r="Q68" i="3"/>
  <c r="L69" i="3"/>
  <c r="Q69" i="3"/>
  <c r="Y84" i="1"/>
  <c r="Y85" i="1"/>
  <c r="I154" i="1"/>
  <c r="J158" i="1"/>
  <c r="A1" i="1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4" i="3"/>
  <c r="L32" i="3"/>
  <c r="L64" i="3"/>
  <c r="L67" i="3"/>
  <c r="L10" i="3"/>
  <c r="Y56" i="1"/>
  <c r="Y57" i="1"/>
  <c r="Y58" i="1"/>
  <c r="Y59" i="1"/>
  <c r="Y60" i="1"/>
  <c r="Y61" i="1"/>
  <c r="Y62" i="1"/>
  <c r="Y63" i="1"/>
  <c r="Y64" i="1"/>
  <c r="Y65" i="1"/>
  <c r="Y66" i="1"/>
  <c r="Y18" i="1"/>
  <c r="Y19" i="1"/>
  <c r="Y20" i="1"/>
  <c r="Y22" i="1"/>
  <c r="Y23" i="1"/>
  <c r="Y24" i="1"/>
  <c r="P67" i="3"/>
  <c r="P69" i="3"/>
  <c r="Y39" i="1" l="1"/>
  <c r="Z39" i="1"/>
  <c r="AA39" i="1"/>
  <c r="Y40" i="1"/>
  <c r="Z40" i="1"/>
  <c r="AA40" i="1"/>
  <c r="Y41" i="1"/>
  <c r="Z41" i="1"/>
  <c r="AA41" i="1"/>
  <c r="L18" i="3"/>
  <c r="L19" i="3"/>
  <c r="L17" i="3"/>
  <c r="L13" i="3"/>
  <c r="L14" i="3"/>
  <c r="L30" i="3"/>
  <c r="L9" i="3"/>
  <c r="L35" i="3"/>
  <c r="L57" i="3"/>
  <c r="L28" i="3"/>
  <c r="L56" i="3"/>
  <c r="L53" i="3"/>
  <c r="L55" i="3"/>
  <c r="L11" i="3"/>
  <c r="L29" i="3"/>
  <c r="L38" i="3"/>
  <c r="L24" i="3"/>
  <c r="L58" i="3"/>
  <c r="L36" i="3"/>
  <c r="L59" i="3"/>
  <c r="L3" i="3"/>
  <c r="L39" i="3"/>
  <c r="L50" i="3"/>
  <c r="L48" i="3"/>
  <c r="L51" i="3"/>
  <c r="L20" i="3"/>
  <c r="L63" i="3"/>
  <c r="L44" i="3"/>
  <c r="L45" i="3"/>
  <c r="L37" i="3"/>
  <c r="L31" i="3"/>
  <c r="L7" i="3"/>
  <c r="L47" i="3"/>
  <c r="L21" i="3"/>
  <c r="L49" i="3"/>
  <c r="L33" i="3"/>
  <c r="L23" i="3"/>
  <c r="L54" i="3"/>
  <c r="L22" i="3"/>
  <c r="L8" i="3"/>
  <c r="L12" i="3"/>
  <c r="L34" i="3"/>
  <c r="L16" i="3"/>
  <c r="L60" i="3"/>
  <c r="L6" i="3"/>
  <c r="L61" i="3"/>
  <c r="L62" i="3"/>
  <c r="L46" i="3"/>
  <c r="L52" i="3"/>
  <c r="M5" i="1"/>
  <c r="N5" i="1" s="1"/>
  <c r="W5" i="1"/>
  <c r="Y5" i="1"/>
  <c r="Z5" i="1"/>
  <c r="AA5" i="1"/>
  <c r="AC5" i="1"/>
  <c r="AD5" i="1"/>
  <c r="M6" i="1"/>
  <c r="N6" i="1" s="1"/>
  <c r="W6" i="1"/>
  <c r="Y6" i="1"/>
  <c r="Z6" i="1"/>
  <c r="AA6" i="1"/>
  <c r="AC6" i="1"/>
  <c r="AD6" i="1"/>
  <c r="M7" i="1"/>
  <c r="N7" i="1" s="1"/>
  <c r="W7" i="1"/>
  <c r="Y7" i="1"/>
  <c r="Z7" i="1"/>
  <c r="AA7" i="1"/>
  <c r="AC7" i="1"/>
  <c r="AD7" i="1"/>
  <c r="M8" i="1"/>
  <c r="N8" i="1" s="1"/>
  <c r="W8" i="1"/>
  <c r="Y8" i="1"/>
  <c r="Z8" i="1"/>
  <c r="AA8" i="1"/>
  <c r="AC8" i="1"/>
  <c r="AD8" i="1"/>
  <c r="M9" i="1"/>
  <c r="N9" i="1" s="1"/>
  <c r="W9" i="1"/>
  <c r="Y9" i="1"/>
  <c r="Z9" i="1"/>
  <c r="AA9" i="1"/>
  <c r="AC9" i="1"/>
  <c r="AD9" i="1"/>
  <c r="M10" i="1"/>
  <c r="N10" i="1" s="1"/>
  <c r="W10" i="1"/>
  <c r="Y10" i="1"/>
  <c r="Z10" i="1"/>
  <c r="AA10" i="1"/>
  <c r="AC10" i="1"/>
  <c r="AD10" i="1"/>
  <c r="M11" i="1"/>
  <c r="N11" i="1" s="1"/>
  <c r="W11" i="1"/>
  <c r="Y11" i="1"/>
  <c r="Z11" i="1"/>
  <c r="AA11" i="1"/>
  <c r="AC11" i="1"/>
  <c r="AD11" i="1"/>
  <c r="M12" i="1"/>
  <c r="N12" i="1" s="1"/>
  <c r="W12" i="1"/>
  <c r="Y12" i="1"/>
  <c r="Z12" i="1"/>
  <c r="AA12" i="1"/>
  <c r="AC12" i="1"/>
  <c r="AD12" i="1"/>
  <c r="M13" i="1"/>
  <c r="N13" i="1" s="1"/>
  <c r="W13" i="1"/>
  <c r="Y13" i="1"/>
  <c r="Z13" i="1"/>
  <c r="AA13" i="1"/>
  <c r="AC13" i="1"/>
  <c r="AD13" i="1"/>
  <c r="M14" i="1"/>
  <c r="N14" i="1" s="1"/>
  <c r="W14" i="1"/>
  <c r="Y14" i="1"/>
  <c r="Z14" i="1"/>
  <c r="AA14" i="1"/>
  <c r="AC14" i="1"/>
  <c r="AD14" i="1"/>
  <c r="M15" i="1"/>
  <c r="N15" i="1" s="1"/>
  <c r="W15" i="1"/>
  <c r="Y15" i="1"/>
  <c r="Z15" i="1"/>
  <c r="AA15" i="1"/>
  <c r="AC15" i="1"/>
  <c r="AD15" i="1"/>
  <c r="M16" i="1"/>
  <c r="N16" i="1" s="1"/>
  <c r="W16" i="1"/>
  <c r="Y16" i="1"/>
  <c r="Z16" i="1"/>
  <c r="AA16" i="1"/>
  <c r="AC16" i="1"/>
  <c r="AD16" i="1"/>
  <c r="M17" i="1"/>
  <c r="N17" i="1" s="1"/>
  <c r="W17" i="1"/>
  <c r="P9" i="3" s="1"/>
  <c r="Y17" i="1"/>
  <c r="Z17" i="1"/>
  <c r="AA17" i="1"/>
  <c r="AC17" i="1"/>
  <c r="AD17" i="1"/>
  <c r="M18" i="1"/>
  <c r="P18" i="1" s="1"/>
  <c r="W18" i="1"/>
  <c r="Z18" i="1"/>
  <c r="AA18" i="1"/>
  <c r="AC18" i="1"/>
  <c r="AD18" i="1"/>
  <c r="M19" i="1"/>
  <c r="N19" i="1" s="1"/>
  <c r="W19" i="1"/>
  <c r="Z19" i="1"/>
  <c r="AA19" i="1"/>
  <c r="AC19" i="1"/>
  <c r="AD19" i="1"/>
  <c r="M20" i="1"/>
  <c r="N20" i="1" s="1"/>
  <c r="W20" i="1"/>
  <c r="Z20" i="1"/>
  <c r="AA20" i="1"/>
  <c r="AC20" i="1"/>
  <c r="AD20" i="1"/>
  <c r="W21" i="1"/>
  <c r="Z21" i="1"/>
  <c r="AC21" i="1"/>
  <c r="AD21" i="1"/>
  <c r="M22" i="1"/>
  <c r="N22" i="1" s="1"/>
  <c r="W22" i="1"/>
  <c r="Z22" i="1"/>
  <c r="AA22" i="1"/>
  <c r="AC22" i="1"/>
  <c r="AD22" i="1"/>
  <c r="M23" i="1"/>
  <c r="N23" i="1" s="1"/>
  <c r="W23" i="1"/>
  <c r="Z23" i="1"/>
  <c r="AA23" i="1"/>
  <c r="AC23" i="1"/>
  <c r="AD23" i="1"/>
  <c r="M24" i="1"/>
  <c r="N24" i="1" s="1"/>
  <c r="W24" i="1"/>
  <c r="Z24" i="1"/>
  <c r="AA24" i="1"/>
  <c r="AC24" i="1"/>
  <c r="AD24" i="1"/>
  <c r="M25" i="1"/>
  <c r="N25" i="1" s="1"/>
  <c r="W25" i="1"/>
  <c r="Y25" i="1"/>
  <c r="Z25" i="1"/>
  <c r="AA25" i="1"/>
  <c r="AC25" i="1"/>
  <c r="AD25" i="1"/>
  <c r="M26" i="1"/>
  <c r="N26" i="1" s="1"/>
  <c r="W26" i="1"/>
  <c r="Y26" i="1"/>
  <c r="Z26" i="1"/>
  <c r="AA26" i="1"/>
  <c r="AC26" i="1"/>
  <c r="AD26" i="1"/>
  <c r="M27" i="1"/>
  <c r="N27" i="1" s="1"/>
  <c r="W27" i="1"/>
  <c r="Y27" i="1"/>
  <c r="Z27" i="1"/>
  <c r="AA27" i="1"/>
  <c r="AC27" i="1"/>
  <c r="AD27" i="1"/>
  <c r="M28" i="1"/>
  <c r="N28" i="1" s="1"/>
  <c r="W28" i="1"/>
  <c r="Y28" i="1"/>
  <c r="Z28" i="1"/>
  <c r="AA28" i="1"/>
  <c r="AC28" i="1"/>
  <c r="AD28" i="1"/>
  <c r="M29" i="1"/>
  <c r="N29" i="1" s="1"/>
  <c r="W29" i="1"/>
  <c r="Y29" i="1"/>
  <c r="Z29" i="1"/>
  <c r="AA29" i="1"/>
  <c r="AC29" i="1"/>
  <c r="AD29" i="1"/>
  <c r="M30" i="1"/>
  <c r="N30" i="1" s="1"/>
  <c r="W30" i="1"/>
  <c r="Y30" i="1"/>
  <c r="Z30" i="1"/>
  <c r="AA30" i="1"/>
  <c r="AC30" i="1"/>
  <c r="AD30" i="1"/>
  <c r="M31" i="1"/>
  <c r="N31" i="1" s="1"/>
  <c r="W31" i="1"/>
  <c r="Y31" i="1"/>
  <c r="Z31" i="1"/>
  <c r="AA31" i="1"/>
  <c r="AC31" i="1"/>
  <c r="AD31" i="1"/>
  <c r="M32" i="1"/>
  <c r="N32" i="1" s="1"/>
  <c r="W32" i="1"/>
  <c r="P51" i="3" s="1"/>
  <c r="Y32" i="1"/>
  <c r="Z32" i="1"/>
  <c r="AA32" i="1"/>
  <c r="AC32" i="1"/>
  <c r="AD32" i="1"/>
  <c r="M33" i="1"/>
  <c r="N33" i="1" s="1"/>
  <c r="W33" i="1"/>
  <c r="Y33" i="1"/>
  <c r="Z33" i="1"/>
  <c r="AA33" i="1"/>
  <c r="AC33" i="1"/>
  <c r="AD33" i="1"/>
  <c r="M34" i="1"/>
  <c r="N34" i="1" s="1"/>
  <c r="W34" i="1"/>
  <c r="Y34" i="1"/>
  <c r="Z34" i="1"/>
  <c r="AA34" i="1"/>
  <c r="AC34" i="1"/>
  <c r="AD34" i="1"/>
  <c r="M35" i="1"/>
  <c r="N35" i="1" s="1"/>
  <c r="W35" i="1"/>
  <c r="Y35" i="1"/>
  <c r="Z35" i="1"/>
  <c r="AA35" i="1"/>
  <c r="AC35" i="1"/>
  <c r="AD35" i="1"/>
  <c r="M36" i="1"/>
  <c r="W36" i="1"/>
  <c r="Y36" i="1"/>
  <c r="Z36" i="1"/>
  <c r="AA36" i="1"/>
  <c r="AC36" i="1"/>
  <c r="AD36" i="1"/>
  <c r="M37" i="1"/>
  <c r="W37" i="1"/>
  <c r="Y37" i="1"/>
  <c r="Z37" i="1"/>
  <c r="AC37" i="1"/>
  <c r="AD37" i="1"/>
  <c r="M38" i="1"/>
  <c r="N38" i="1" s="1"/>
  <c r="W38" i="1"/>
  <c r="Y38" i="1"/>
  <c r="Z38" i="1"/>
  <c r="AA38" i="1"/>
  <c r="AC38" i="1"/>
  <c r="AD38" i="1"/>
  <c r="M39" i="1"/>
  <c r="N39" i="1" s="1"/>
  <c r="W39" i="1"/>
  <c r="AC39" i="1"/>
  <c r="AD39" i="1"/>
  <c r="M40" i="1"/>
  <c r="N40" i="1" s="1"/>
  <c r="W40" i="1"/>
  <c r="AC40" i="1"/>
  <c r="AD40" i="1"/>
  <c r="M41" i="1"/>
  <c r="N41" i="1" s="1"/>
  <c r="W41" i="1"/>
  <c r="AC41" i="1"/>
  <c r="AD41" i="1"/>
  <c r="M42" i="1"/>
  <c r="N42" i="1" s="1"/>
  <c r="W42" i="1"/>
  <c r="Y42" i="1"/>
  <c r="Z42" i="1"/>
  <c r="AA42" i="1"/>
  <c r="AC42" i="1"/>
  <c r="AD42" i="1"/>
  <c r="M43" i="1"/>
  <c r="N43" i="1" s="1"/>
  <c r="W43" i="1"/>
  <c r="Y43" i="1"/>
  <c r="Z43" i="1"/>
  <c r="AA43" i="1"/>
  <c r="AC43" i="1"/>
  <c r="AD43" i="1"/>
  <c r="M44" i="1"/>
  <c r="N44" i="1" s="1"/>
  <c r="W44" i="1"/>
  <c r="Y44" i="1"/>
  <c r="Z44" i="1"/>
  <c r="AA44" i="1"/>
  <c r="AC44" i="1"/>
  <c r="AD44" i="1"/>
  <c r="M45" i="1"/>
  <c r="N45" i="1" s="1"/>
  <c r="W45" i="1"/>
  <c r="Y45" i="1"/>
  <c r="Z45" i="1"/>
  <c r="AA45" i="1"/>
  <c r="AC45" i="1"/>
  <c r="AD45" i="1"/>
  <c r="M46" i="1"/>
  <c r="N46" i="1" s="1"/>
  <c r="W46" i="1"/>
  <c r="Y46" i="1"/>
  <c r="Z46" i="1"/>
  <c r="AA46" i="1"/>
  <c r="AC46" i="1"/>
  <c r="AD46" i="1"/>
  <c r="M47" i="1"/>
  <c r="N47" i="1" s="1"/>
  <c r="W47" i="1"/>
  <c r="Y47" i="1"/>
  <c r="Z47" i="1"/>
  <c r="AA47" i="1"/>
  <c r="AC47" i="1"/>
  <c r="AD47" i="1"/>
  <c r="M48" i="1"/>
  <c r="N48" i="1" s="1"/>
  <c r="W48" i="1"/>
  <c r="Y48" i="1"/>
  <c r="Z48" i="1"/>
  <c r="AA48" i="1"/>
  <c r="AC48" i="1"/>
  <c r="AD48" i="1"/>
  <c r="M49" i="1"/>
  <c r="N49" i="1" s="1"/>
  <c r="W49" i="1"/>
  <c r="Y49" i="1"/>
  <c r="Z49" i="1"/>
  <c r="AA49" i="1"/>
  <c r="AC49" i="1"/>
  <c r="AD49" i="1"/>
  <c r="M50" i="1"/>
  <c r="N50" i="1" s="1"/>
  <c r="W50" i="1"/>
  <c r="Y50" i="1"/>
  <c r="Z50" i="1"/>
  <c r="AA50" i="1"/>
  <c r="AC50" i="1"/>
  <c r="AD50" i="1"/>
  <c r="M51" i="1"/>
  <c r="N51" i="1" s="1"/>
  <c r="W51" i="1"/>
  <c r="Y51" i="1"/>
  <c r="Z51" i="1"/>
  <c r="AA51" i="1"/>
  <c r="AC51" i="1"/>
  <c r="AD51" i="1"/>
  <c r="M52" i="1"/>
  <c r="N52" i="1" s="1"/>
  <c r="W52" i="1"/>
  <c r="Y52" i="1"/>
  <c r="Z52" i="1"/>
  <c r="AA52" i="1"/>
  <c r="AC52" i="1"/>
  <c r="AD52" i="1"/>
  <c r="M53" i="1"/>
  <c r="N53" i="1" s="1"/>
  <c r="W53" i="1"/>
  <c r="Y53" i="1"/>
  <c r="Z53" i="1"/>
  <c r="AA53" i="1"/>
  <c r="AC53" i="1"/>
  <c r="AD53" i="1"/>
  <c r="M54" i="1"/>
  <c r="N54" i="1" s="1"/>
  <c r="W54" i="1"/>
  <c r="Y54" i="1"/>
  <c r="Z54" i="1"/>
  <c r="AC54" i="1"/>
  <c r="AD54" i="1"/>
  <c r="M55" i="1"/>
  <c r="N55" i="1" s="1"/>
  <c r="W55" i="1"/>
  <c r="Y55" i="1"/>
  <c r="Z55" i="1"/>
  <c r="AA55" i="1"/>
  <c r="AC55" i="1"/>
  <c r="AD55" i="1"/>
  <c r="M56" i="1"/>
  <c r="N56" i="1" s="1"/>
  <c r="W56" i="1"/>
  <c r="Z56" i="1"/>
  <c r="AA56" i="1"/>
  <c r="AC56" i="1"/>
  <c r="AD56" i="1"/>
  <c r="M57" i="1"/>
  <c r="W57" i="1"/>
  <c r="Z57" i="1"/>
  <c r="AC57" i="1"/>
  <c r="AD57" i="1"/>
  <c r="M58" i="1"/>
  <c r="W58" i="1"/>
  <c r="Z58" i="1"/>
  <c r="AA58" i="1"/>
  <c r="AC58" i="1"/>
  <c r="AD58" i="1"/>
  <c r="M59" i="1"/>
  <c r="N59" i="1" s="1"/>
  <c r="W59" i="1"/>
  <c r="Z59" i="1"/>
  <c r="AA59" i="1"/>
  <c r="AC59" i="1"/>
  <c r="AD59" i="1"/>
  <c r="M60" i="1"/>
  <c r="N60" i="1" s="1"/>
  <c r="W60" i="1"/>
  <c r="Z60" i="1"/>
  <c r="AA60" i="1"/>
  <c r="AC60" i="1"/>
  <c r="AD60" i="1"/>
  <c r="M61" i="1"/>
  <c r="N61" i="1" s="1"/>
  <c r="W61" i="1"/>
  <c r="Z61" i="1"/>
  <c r="AA61" i="1"/>
  <c r="AC61" i="1"/>
  <c r="AD61" i="1"/>
  <c r="M62" i="1"/>
  <c r="N62" i="1" s="1"/>
  <c r="W62" i="1"/>
  <c r="Z62" i="1"/>
  <c r="AA62" i="1"/>
  <c r="AC62" i="1"/>
  <c r="AD62" i="1"/>
  <c r="M63" i="1"/>
  <c r="N63" i="1" s="1"/>
  <c r="W63" i="1"/>
  <c r="Z63" i="1"/>
  <c r="AA63" i="1"/>
  <c r="AC63" i="1"/>
  <c r="AD63" i="1"/>
  <c r="M64" i="1"/>
  <c r="N64" i="1" s="1"/>
  <c r="W64" i="1"/>
  <c r="Z64" i="1"/>
  <c r="AA64" i="1"/>
  <c r="AC64" i="1"/>
  <c r="AD64" i="1"/>
  <c r="M65" i="1"/>
  <c r="N65" i="1" s="1"/>
  <c r="W65" i="1"/>
  <c r="P41" i="3" s="1"/>
  <c r="Z65" i="1"/>
  <c r="AA65" i="1"/>
  <c r="AC65" i="1"/>
  <c r="AD65" i="1"/>
  <c r="M66" i="1"/>
  <c r="N66" i="1" s="1"/>
  <c r="W66" i="1"/>
  <c r="Z66" i="1"/>
  <c r="AA66" i="1"/>
  <c r="AC66" i="1"/>
  <c r="AD66" i="1"/>
  <c r="M67" i="1"/>
  <c r="N67" i="1" s="1"/>
  <c r="W67" i="1"/>
  <c r="Y67" i="1"/>
  <c r="Z67" i="1"/>
  <c r="AA67" i="1"/>
  <c r="AC67" i="1"/>
  <c r="AD67" i="1"/>
  <c r="M68" i="1"/>
  <c r="N68" i="1" s="1"/>
  <c r="W68" i="1"/>
  <c r="Y68" i="1"/>
  <c r="Z68" i="1"/>
  <c r="AA68" i="1"/>
  <c r="AC68" i="1"/>
  <c r="AD68" i="1"/>
  <c r="M69" i="1"/>
  <c r="N69" i="1" s="1"/>
  <c r="W69" i="1"/>
  <c r="Y69" i="1"/>
  <c r="Z69" i="1"/>
  <c r="AA69" i="1"/>
  <c r="AC69" i="1"/>
  <c r="AD69" i="1"/>
  <c r="M70" i="1"/>
  <c r="N70" i="1" s="1"/>
  <c r="W70" i="1"/>
  <c r="Y70" i="1"/>
  <c r="Z70" i="1"/>
  <c r="AA70" i="1"/>
  <c r="AC70" i="1"/>
  <c r="AD70" i="1"/>
  <c r="M71" i="1"/>
  <c r="N71" i="1" s="1"/>
  <c r="W71" i="1"/>
  <c r="Y71" i="1"/>
  <c r="Z71" i="1"/>
  <c r="AA71" i="1"/>
  <c r="AC71" i="1"/>
  <c r="AD71" i="1"/>
  <c r="M72" i="1"/>
  <c r="N72" i="1" s="1"/>
  <c r="W72" i="1"/>
  <c r="P16" i="3" s="1"/>
  <c r="Y72" i="1"/>
  <c r="Z72" i="1"/>
  <c r="AA72" i="1"/>
  <c r="AC72" i="1"/>
  <c r="AD72" i="1"/>
  <c r="M73" i="1"/>
  <c r="N73" i="1" s="1"/>
  <c r="W73" i="1"/>
  <c r="Y73" i="1"/>
  <c r="Z73" i="1"/>
  <c r="AA73" i="1"/>
  <c r="AC73" i="1"/>
  <c r="AD73" i="1"/>
  <c r="M74" i="1"/>
  <c r="N74" i="1" s="1"/>
  <c r="W74" i="1"/>
  <c r="Y74" i="1"/>
  <c r="Z74" i="1"/>
  <c r="AA74" i="1"/>
  <c r="AC74" i="1"/>
  <c r="AD74" i="1"/>
  <c r="M75" i="1"/>
  <c r="N75" i="1" s="1"/>
  <c r="W75" i="1"/>
  <c r="Y75" i="1"/>
  <c r="Z75" i="1"/>
  <c r="AA75" i="1"/>
  <c r="AC75" i="1"/>
  <c r="AD75" i="1"/>
  <c r="M76" i="1"/>
  <c r="N76" i="1" s="1"/>
  <c r="W76" i="1"/>
  <c r="Y76" i="1"/>
  <c r="Z76" i="1"/>
  <c r="AA76" i="1"/>
  <c r="AC76" i="1"/>
  <c r="AD76" i="1"/>
  <c r="M77" i="1"/>
  <c r="N77" i="1" s="1"/>
  <c r="W77" i="1"/>
  <c r="Y77" i="1"/>
  <c r="Z77" i="1"/>
  <c r="AB77" i="1" s="1"/>
  <c r="X77" i="1" s="1"/>
  <c r="AC77" i="1"/>
  <c r="AD77" i="1"/>
  <c r="M78" i="1"/>
  <c r="N78" i="1" s="1"/>
  <c r="W78" i="1"/>
  <c r="Y78" i="1"/>
  <c r="Z78" i="1"/>
  <c r="AA78" i="1"/>
  <c r="AC78" i="1"/>
  <c r="AD78" i="1"/>
  <c r="M79" i="1"/>
  <c r="N79" i="1" s="1"/>
  <c r="W79" i="1"/>
  <c r="Y79" i="1"/>
  <c r="Z79" i="1"/>
  <c r="AA79" i="1"/>
  <c r="AC79" i="1"/>
  <c r="AD79" i="1"/>
  <c r="M80" i="1"/>
  <c r="N80" i="1" s="1"/>
  <c r="W80" i="1"/>
  <c r="Y80" i="1"/>
  <c r="Z80" i="1"/>
  <c r="AA80" i="1"/>
  <c r="AC80" i="1"/>
  <c r="AD80" i="1"/>
  <c r="M81" i="1"/>
  <c r="N81" i="1" s="1"/>
  <c r="W81" i="1"/>
  <c r="Y81" i="1"/>
  <c r="Z81" i="1"/>
  <c r="AA81" i="1"/>
  <c r="AC81" i="1"/>
  <c r="AD81" i="1"/>
  <c r="M82" i="1"/>
  <c r="N82" i="1" s="1"/>
  <c r="W82" i="1"/>
  <c r="Y82" i="1"/>
  <c r="Z82" i="1"/>
  <c r="AA82" i="1"/>
  <c r="AC82" i="1"/>
  <c r="AD82" i="1"/>
  <c r="M83" i="1"/>
  <c r="N83" i="1" s="1"/>
  <c r="W83" i="1"/>
  <c r="Z83" i="1"/>
  <c r="AA83" i="1"/>
  <c r="AC83" i="1"/>
  <c r="AD83" i="1"/>
  <c r="M84" i="1"/>
  <c r="N84" i="1" s="1"/>
  <c r="W84" i="1"/>
  <c r="Z84" i="1"/>
  <c r="AA84" i="1"/>
  <c r="AC84" i="1"/>
  <c r="AD84" i="1"/>
  <c r="M85" i="1"/>
  <c r="N85" i="1" s="1"/>
  <c r="W85" i="1"/>
  <c r="P47" i="3" s="1"/>
  <c r="Z85" i="1"/>
  <c r="AA85" i="1"/>
  <c r="AC85" i="1"/>
  <c r="AD85" i="1"/>
  <c r="M87" i="1"/>
  <c r="P87" i="1" s="1"/>
  <c r="W87" i="1"/>
  <c r="Z87" i="1"/>
  <c r="AA87" i="1"/>
  <c r="AC87" i="1"/>
  <c r="AD87" i="1"/>
  <c r="M86" i="1"/>
  <c r="W86" i="1"/>
  <c r="Z86" i="1"/>
  <c r="AA86" i="1"/>
  <c r="AC86" i="1"/>
  <c r="AD86" i="1"/>
  <c r="M88" i="1"/>
  <c r="N88" i="1" s="1"/>
  <c r="W88" i="1"/>
  <c r="Y88" i="1"/>
  <c r="Z88" i="1"/>
  <c r="AA88" i="1"/>
  <c r="AC88" i="1"/>
  <c r="AD88" i="1"/>
  <c r="M89" i="1"/>
  <c r="N89" i="1" s="1"/>
  <c r="W89" i="1"/>
  <c r="Y89" i="1"/>
  <c r="Z89" i="1"/>
  <c r="AA89" i="1"/>
  <c r="AC89" i="1"/>
  <c r="AD89" i="1"/>
  <c r="M90" i="1"/>
  <c r="N90" i="1" s="1"/>
  <c r="W90" i="1"/>
  <c r="P59" i="3" s="1"/>
  <c r="Y90" i="1"/>
  <c r="Z90" i="1"/>
  <c r="AA90" i="1"/>
  <c r="AC90" i="1"/>
  <c r="AD90" i="1"/>
  <c r="M91" i="1"/>
  <c r="N91" i="1" s="1"/>
  <c r="W91" i="1"/>
  <c r="Y91" i="1"/>
  <c r="Z91" i="1"/>
  <c r="AA91" i="1"/>
  <c r="AC91" i="1"/>
  <c r="AD91" i="1"/>
  <c r="M92" i="1"/>
  <c r="N92" i="1" s="1"/>
  <c r="W92" i="1"/>
  <c r="Y92" i="1"/>
  <c r="Z92" i="1"/>
  <c r="AA92" i="1"/>
  <c r="AC92" i="1"/>
  <c r="AD92" i="1"/>
  <c r="M93" i="1"/>
  <c r="N93" i="1" s="1"/>
  <c r="W93" i="1"/>
  <c r="Y93" i="1"/>
  <c r="Z93" i="1"/>
  <c r="AA93" i="1"/>
  <c r="AC93" i="1"/>
  <c r="AD93" i="1"/>
  <c r="M94" i="1"/>
  <c r="N94" i="1" s="1"/>
  <c r="W94" i="1"/>
  <c r="Y94" i="1"/>
  <c r="Z94" i="1"/>
  <c r="AA94" i="1"/>
  <c r="AC94" i="1"/>
  <c r="AD94" i="1"/>
  <c r="M95" i="1"/>
  <c r="N95" i="1" s="1"/>
  <c r="W95" i="1"/>
  <c r="Y95" i="1"/>
  <c r="Z95" i="1"/>
  <c r="AA95" i="1"/>
  <c r="AC95" i="1"/>
  <c r="AD95" i="1"/>
  <c r="P65" i="3"/>
  <c r="P66" i="3"/>
  <c r="J156" i="1" l="1"/>
  <c r="P60" i="3"/>
  <c r="P43" i="3"/>
  <c r="P58" i="1"/>
  <c r="P34" i="3"/>
  <c r="P48" i="3"/>
  <c r="P33" i="3"/>
  <c r="P37" i="1"/>
  <c r="P15" i="3"/>
  <c r="P11" i="3"/>
  <c r="P18" i="3"/>
  <c r="P49" i="3"/>
  <c r="P55" i="3"/>
  <c r="P58" i="3"/>
  <c r="P56" i="3"/>
  <c r="P57" i="3"/>
  <c r="P4" i="3"/>
  <c r="P42" i="3"/>
  <c r="P23" i="3"/>
  <c r="P28" i="3"/>
  <c r="P30" i="3"/>
  <c r="P38" i="3"/>
  <c r="P35" i="3"/>
  <c r="P17" i="3"/>
  <c r="P50" i="3"/>
  <c r="P20" i="3"/>
  <c r="P53" i="3"/>
  <c r="P8" i="3"/>
  <c r="P32" i="3"/>
  <c r="P19" i="3"/>
  <c r="P52" i="3"/>
  <c r="P31" i="3"/>
  <c r="P29" i="3"/>
  <c r="P37" i="3"/>
  <c r="P24" i="3"/>
  <c r="P14" i="3"/>
  <c r="P40" i="3"/>
  <c r="P12" i="3"/>
  <c r="P13" i="3"/>
  <c r="P54" i="3"/>
  <c r="P5" i="3"/>
  <c r="P36" i="3"/>
  <c r="P7" i="3"/>
  <c r="P22" i="3"/>
  <c r="P6" i="3"/>
  <c r="P21" i="3"/>
  <c r="P26" i="3"/>
  <c r="P39" i="3"/>
  <c r="P25" i="3"/>
  <c r="P44" i="3"/>
  <c r="P45" i="3"/>
  <c r="P46" i="3"/>
  <c r="AB43" i="1"/>
  <c r="X43" i="1" s="1"/>
  <c r="AB51" i="1"/>
  <c r="X51" i="1" s="1"/>
  <c r="AB92" i="1"/>
  <c r="X92" i="1" s="1"/>
  <c r="AB88" i="1"/>
  <c r="X88" i="1" s="1"/>
  <c r="AB84" i="1"/>
  <c r="X84" i="1" s="1"/>
  <c r="AB81" i="1"/>
  <c r="X81" i="1" s="1"/>
  <c r="AB73" i="1"/>
  <c r="X73" i="1" s="1"/>
  <c r="AB69" i="1"/>
  <c r="X69" i="1" s="1"/>
  <c r="AB65" i="1"/>
  <c r="X65" i="1" s="1"/>
  <c r="AB61" i="1"/>
  <c r="X61" i="1" s="1"/>
  <c r="AB42" i="1"/>
  <c r="X42" i="1" s="1"/>
  <c r="AB94" i="1"/>
  <c r="X94" i="1" s="1"/>
  <c r="AB58" i="1"/>
  <c r="X58" i="1" s="1"/>
  <c r="AB37" i="1"/>
  <c r="X37" i="1" s="1"/>
  <c r="AB33" i="1"/>
  <c r="X33" i="1" s="1"/>
  <c r="AB29" i="1"/>
  <c r="X29" i="1" s="1"/>
  <c r="AB25" i="1"/>
  <c r="X25" i="1" s="1"/>
  <c r="AB21" i="1"/>
  <c r="X21" i="1" s="1"/>
  <c r="AB18" i="1"/>
  <c r="X18" i="1" s="1"/>
  <c r="AB14" i="1"/>
  <c r="X14" i="1" s="1"/>
  <c r="AB10" i="1"/>
  <c r="X10" i="1" s="1"/>
  <c r="AB6" i="1"/>
  <c r="X6" i="1" s="1"/>
  <c r="AB50" i="1"/>
  <c r="X50" i="1" s="1"/>
  <c r="AB93" i="1"/>
  <c r="X93" i="1" s="1"/>
  <c r="AB90" i="1"/>
  <c r="X90" i="1" s="1"/>
  <c r="AB87" i="1"/>
  <c r="X87" i="1" s="1"/>
  <c r="AB79" i="1"/>
  <c r="X79" i="1" s="1"/>
  <c r="AB75" i="1"/>
  <c r="X75" i="1" s="1"/>
  <c r="AB71" i="1"/>
  <c r="X71" i="1" s="1"/>
  <c r="AB67" i="1"/>
  <c r="X67" i="1" s="1"/>
  <c r="AB63" i="1"/>
  <c r="X63" i="1" s="1"/>
  <c r="AB59" i="1"/>
  <c r="X59" i="1" s="1"/>
  <c r="AB35" i="1"/>
  <c r="X35" i="1" s="1"/>
  <c r="AB31" i="1"/>
  <c r="X31" i="1" s="1"/>
  <c r="AB27" i="1"/>
  <c r="X27" i="1" s="1"/>
  <c r="AB23" i="1"/>
  <c r="X23" i="1" s="1"/>
  <c r="AB20" i="1"/>
  <c r="X20" i="1" s="1"/>
  <c r="AB16" i="1"/>
  <c r="X16" i="1" s="1"/>
  <c r="AB12" i="1"/>
  <c r="X12" i="1" s="1"/>
  <c r="AB8" i="1"/>
  <c r="X8" i="1" s="1"/>
  <c r="AB91" i="1"/>
  <c r="X91" i="1" s="1"/>
  <c r="AB86" i="1"/>
  <c r="X86" i="1" s="1"/>
  <c r="AB83" i="1"/>
  <c r="X83" i="1" s="1"/>
  <c r="AB80" i="1"/>
  <c r="X80" i="1" s="1"/>
  <c r="AB76" i="1"/>
  <c r="X76" i="1" s="1"/>
  <c r="AB72" i="1"/>
  <c r="X72" i="1" s="1"/>
  <c r="AB68" i="1"/>
  <c r="X68" i="1" s="1"/>
  <c r="AB64" i="1"/>
  <c r="X64" i="1" s="1"/>
  <c r="AB60" i="1"/>
  <c r="X60" i="1" s="1"/>
  <c r="AB54" i="1"/>
  <c r="X54" i="1" s="1"/>
  <c r="AB48" i="1"/>
  <c r="X48" i="1" s="1"/>
  <c r="AB44" i="1"/>
  <c r="X44" i="1" s="1"/>
  <c r="AB28" i="1"/>
  <c r="X28" i="1" s="1"/>
  <c r="AB13" i="1"/>
  <c r="X13" i="1" s="1"/>
  <c r="AB95" i="1"/>
  <c r="X95" i="1" s="1"/>
  <c r="AB89" i="1"/>
  <c r="X89" i="1" s="1"/>
  <c r="AB85" i="1"/>
  <c r="X85" i="1" s="1"/>
  <c r="AB82" i="1"/>
  <c r="X82" i="1" s="1"/>
  <c r="AB78" i="1"/>
  <c r="X78" i="1" s="1"/>
  <c r="AB74" i="1"/>
  <c r="X74" i="1" s="1"/>
  <c r="AB70" i="1"/>
  <c r="X70" i="1" s="1"/>
  <c r="AB66" i="1"/>
  <c r="X66" i="1" s="1"/>
  <c r="AB62" i="1"/>
  <c r="X62" i="1" s="1"/>
  <c r="AB56" i="1"/>
  <c r="X56" i="1" s="1"/>
  <c r="AB52" i="1"/>
  <c r="X52" i="1" s="1"/>
  <c r="AB46" i="1"/>
  <c r="X46" i="1" s="1"/>
  <c r="AB40" i="1"/>
  <c r="X40" i="1" s="1"/>
  <c r="AB36" i="1"/>
  <c r="X36" i="1" s="1"/>
  <c r="AB9" i="1"/>
  <c r="X9" i="1" s="1"/>
  <c r="AB5" i="1"/>
  <c r="X5" i="1" s="1"/>
  <c r="AB55" i="1"/>
  <c r="X55" i="1" s="1"/>
  <c r="AB47" i="1"/>
  <c r="X47" i="1" s="1"/>
  <c r="AB39" i="1"/>
  <c r="X39" i="1" s="1"/>
  <c r="AB32" i="1"/>
  <c r="X32" i="1" s="1"/>
  <c r="AB24" i="1"/>
  <c r="X24" i="1" s="1"/>
  <c r="AB17" i="1"/>
  <c r="X17" i="1" s="1"/>
  <c r="AB53" i="1"/>
  <c r="X53" i="1" s="1"/>
  <c r="AB45" i="1"/>
  <c r="X45" i="1" s="1"/>
  <c r="AB38" i="1"/>
  <c r="X38" i="1" s="1"/>
  <c r="AB30" i="1"/>
  <c r="X30" i="1" s="1"/>
  <c r="AB22" i="1"/>
  <c r="X22" i="1" s="1"/>
  <c r="AB15" i="1"/>
  <c r="X15" i="1" s="1"/>
  <c r="AB7" i="1"/>
  <c r="X7" i="1" s="1"/>
  <c r="AB57" i="1"/>
  <c r="X57" i="1" s="1"/>
  <c r="AB49" i="1"/>
  <c r="X49" i="1" s="1"/>
  <c r="AB41" i="1"/>
  <c r="X41" i="1" s="1"/>
  <c r="AB34" i="1"/>
  <c r="X34" i="1" s="1"/>
  <c r="AB26" i="1"/>
  <c r="X26" i="1" s="1"/>
  <c r="AB19" i="1"/>
  <c r="X19" i="1" s="1"/>
  <c r="AB11" i="1"/>
  <c r="X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7" i="1"/>
  <c r="L87" i="1"/>
  <c r="K86" i="1"/>
  <c r="L86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L3" i="1" l="1"/>
  <c r="K4" i="1"/>
  <c r="L4" i="1"/>
  <c r="M4" i="1"/>
  <c r="N4" i="1" s="1"/>
  <c r="M3" i="1"/>
  <c r="N3" i="1" s="1"/>
  <c r="K3" i="1"/>
  <c r="J157" i="1" l="1"/>
  <c r="N160" i="1"/>
  <c r="J160" i="1"/>
  <c r="J159" i="1"/>
  <c r="L43" i="3"/>
  <c r="J161" i="1" l="1"/>
  <c r="A1" i="6"/>
  <c r="M71" i="3"/>
  <c r="M72" i="3" s="1"/>
  <c r="Q3" i="3"/>
  <c r="A1" i="3"/>
  <c r="O158" i="1"/>
  <c r="N158" i="1"/>
  <c r="M158" i="1"/>
  <c r="AD4" i="1"/>
  <c r="AC4" i="1"/>
  <c r="AA4" i="1"/>
  <c r="Z4" i="1"/>
  <c r="Y4" i="1"/>
  <c r="W4" i="1"/>
  <c r="AD3" i="1"/>
  <c r="AC3" i="1"/>
  <c r="AA3" i="1"/>
  <c r="Z3" i="1"/>
  <c r="Y3" i="1"/>
  <c r="W3" i="1"/>
  <c r="P10" i="3" s="1"/>
  <c r="P3" i="3" l="1"/>
  <c r="P27" i="3"/>
  <c r="AB4" i="1"/>
  <c r="X4" i="1" s="1"/>
  <c r="AB3" i="1"/>
  <c r="X3" i="1" s="1"/>
  <c r="O160" i="1"/>
  <c r="O157" i="1"/>
  <c r="M160" i="1"/>
  <c r="N157" i="1"/>
  <c r="M157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<sst xmlns="http://schemas.openxmlformats.org/spreadsheetml/2006/main" count="1664" uniqueCount="452">
  <si>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</si>
  <si>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</si>
  <si>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</si>
  <si>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</si>
  <si>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</si>
  <si>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</si>
  <si>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</si>
  <si>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</si>
  <si>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</si>
  <si>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</si>
  <si>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</si>
  <si>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</si>
  <si>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</si>
  <si>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</si>
  <si>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</si>
  <si>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</si>
  <si>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</si>
  <si>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</si>
  <si>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</si>
  <si>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</si>
  <si>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</si>
  <si>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</si>
  <si>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</si>
  <si>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</si>
  <si>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</si>
  <si>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</si>
  <si>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</si>
  <si>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</si>
  <si>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</si>
  <si>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</si>
  <si>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</si>
  <si>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</si>
  <si>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</si>
  <si>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</si>
  <si>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</si>
  <si>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</si>
  <si>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</si>
  <si>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</si>
  <si>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</si>
  <si>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</si>
  <si>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</si>
  <si>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</si>
  <si>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</si>
  <si>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</si>
  <si>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</si>
  <si>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</si>
  <si>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</si>
  <si>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</si>
  <si>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</si>
  <si>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</si>
  <si>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</si>
  <si>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</si>
  <si>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</si>
  <si>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</si>
  <si>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</si>
  <si>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</si>
  <si>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</si>
  <si>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</si>
  <si>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</si>
  <si>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</si>
  <si>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</si>
  <si>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</si>
  <si>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</si>
  <si>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</si>
  <si>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204:154</t>
  </si>
  <si>
    <t>204:145</t>
  </si>
  <si>
    <t>204:447</t>
  </si>
  <si>
    <t>204:233308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</si>
  <si>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</si>
  <si>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</si>
  <si>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</si>
  <si>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</si>
  <si>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</si>
  <si>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</si>
  <si>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</si>
  <si>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</si>
  <si>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</si>
  <si>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</si>
  <si>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204:232975</t>
  </si>
  <si>
    <t>Married Pair</t>
  </si>
  <si>
    <t>204:147</t>
  </si>
  <si>
    <t>204:158</t>
  </si>
  <si>
    <t>204:458</t>
  </si>
  <si>
    <t>rtdc.l.rtdc.4040:itc</t>
  </si>
  <si>
    <t>rtdc.l.rtdc.4039:itc</t>
  </si>
  <si>
    <t>STEWART</t>
  </si>
  <si>
    <t>204:233306</t>
  </si>
  <si>
    <t>rtdc.l.rtdc.4031:itc</t>
  </si>
  <si>
    <t>204:233302</t>
  </si>
  <si>
    <t>204:232996</t>
  </si>
  <si>
    <t>204:160</t>
  </si>
  <si>
    <t>204:460</t>
  </si>
  <si>
    <t>GEBRETEKLE</t>
  </si>
  <si>
    <t>LEDERHAUSE</t>
  </si>
  <si>
    <t>rtdc.l.rtdc.4032:itc</t>
  </si>
  <si>
    <t>YORK</t>
  </si>
  <si>
    <t>Y</t>
  </si>
  <si>
    <t>204:233293</t>
  </si>
  <si>
    <t>204:233314</t>
  </si>
  <si>
    <t>204:232977</t>
  </si>
  <si>
    <t>204:233304</t>
  </si>
  <si>
    <t>204:466</t>
  </si>
  <si>
    <t>204:143</t>
  </si>
  <si>
    <t>rtdc.l.rtdc.4038:itc</t>
  </si>
  <si>
    <t>rtdc.l.rtdc.4037:itc</t>
  </si>
  <si>
    <t>204:440</t>
  </si>
  <si>
    <t>204:462</t>
  </si>
  <si>
    <t>Kibana URL</t>
  </si>
  <si>
    <t>SANTIZO</t>
  </si>
  <si>
    <t>204:233289</t>
  </si>
  <si>
    <t>204:165</t>
  </si>
  <si>
    <t>204:457</t>
  </si>
  <si>
    <t>204:232991</t>
  </si>
  <si>
    <t>204:233000</t>
  </si>
  <si>
    <t>204:438</t>
  </si>
  <si>
    <t>204:233305</t>
  </si>
  <si>
    <t>204:139</t>
  </si>
  <si>
    <t>204:233280</t>
  </si>
  <si>
    <t>204:233312</t>
  </si>
  <si>
    <t>204:141</t>
  </si>
  <si>
    <t>204:233284</t>
  </si>
  <si>
    <t>204:232982</t>
  </si>
  <si>
    <t>204:232985</t>
  </si>
  <si>
    <t>204:134</t>
  </si>
  <si>
    <t>204:232953</t>
  </si>
  <si>
    <t>MALAVE</t>
  </si>
  <si>
    <t>204:156</t>
  </si>
  <si>
    <t>204:149</t>
  </si>
  <si>
    <t>204:233298</t>
  </si>
  <si>
    <t>204:232983</t>
  </si>
  <si>
    <t>204:233297</t>
  </si>
  <si>
    <t>204:233359</t>
  </si>
  <si>
    <t>GRADE CROSSING</t>
  </si>
  <si>
    <t>Bulletin (2)</t>
  </si>
  <si>
    <t>204:471</t>
  </si>
  <si>
    <t>204:232957</t>
  </si>
  <si>
    <t>204:478</t>
  </si>
  <si>
    <t>204:232971</t>
  </si>
  <si>
    <t>204:486</t>
  </si>
  <si>
    <t>204:232969</t>
  </si>
  <si>
    <t>204:163</t>
  </si>
  <si>
    <t>204:480</t>
  </si>
  <si>
    <t>204:444</t>
  </si>
  <si>
    <t>204:442</t>
  </si>
  <si>
    <t>204:232961</t>
  </si>
  <si>
    <t>LOCKLEAR</t>
  </si>
  <si>
    <t>WEBSTER</t>
  </si>
  <si>
    <t>204:746</t>
  </si>
  <si>
    <t>204:513</t>
  </si>
  <si>
    <t>204:233310</t>
  </si>
  <si>
    <t>204:232984</t>
  </si>
  <si>
    <t>204:233247</t>
  </si>
  <si>
    <t>204:232921</t>
  </si>
  <si>
    <t>204:232963</t>
  </si>
  <si>
    <t>204:233286</t>
  </si>
  <si>
    <t>204:233071</t>
  </si>
  <si>
    <t>204:138</t>
  </si>
  <si>
    <t>204:233301</t>
  </si>
  <si>
    <t>204:493</t>
  </si>
  <si>
    <t>204:232973</t>
  </si>
  <si>
    <t>204:169</t>
  </si>
  <si>
    <t>204:233072</t>
  </si>
  <si>
    <t>204:233087</t>
  </si>
  <si>
    <t>rtdc.l.rtdc.4029:itc</t>
  </si>
  <si>
    <t>rtdc.l.rtdc.4017:itc</t>
  </si>
  <si>
    <t>rtdc.l.rtdc.4030:itc</t>
  </si>
  <si>
    <t>rtdc.l.rtdc.4023:itc</t>
  </si>
  <si>
    <t>LEVERE</t>
  </si>
  <si>
    <t>ADANE</t>
  </si>
  <si>
    <t>STURGEON</t>
  </si>
  <si>
    <t>rtdc.l.rtdc.4018:itc</t>
  </si>
  <si>
    <t>rtdc.l.rtdc.4024:itc</t>
  </si>
  <si>
    <t>GRASTON</t>
  </si>
  <si>
    <t>STARKS</t>
  </si>
  <si>
    <t>101-27</t>
  </si>
  <si>
    <t>204:772</t>
  </si>
  <si>
    <t>204:233331</t>
  </si>
  <si>
    <t>102-27</t>
  </si>
  <si>
    <t>204:232734</t>
  </si>
  <si>
    <t>204:174</t>
  </si>
  <si>
    <t>103-27</t>
  </si>
  <si>
    <t>204:757</t>
  </si>
  <si>
    <t>204:233283</t>
  </si>
  <si>
    <t>104-27</t>
  </si>
  <si>
    <t>204:232641</t>
  </si>
  <si>
    <t>105-27</t>
  </si>
  <si>
    <t>204:739</t>
  </si>
  <si>
    <t>204:232715</t>
  </si>
  <si>
    <t>106-27</t>
  </si>
  <si>
    <t>204:232675</t>
  </si>
  <si>
    <t>204:176</t>
  </si>
  <si>
    <t>107-27</t>
  </si>
  <si>
    <t>204:233364</t>
  </si>
  <si>
    <t>108-27</t>
  </si>
  <si>
    <t>204:233055</t>
  </si>
  <si>
    <t>109-27</t>
  </si>
  <si>
    <t>204:473</t>
  </si>
  <si>
    <t>110-27</t>
  </si>
  <si>
    <t>111-27</t>
  </si>
  <si>
    <t>204:744</t>
  </si>
  <si>
    <t>112-27</t>
  </si>
  <si>
    <t>113-27</t>
  </si>
  <si>
    <t>114-27</t>
  </si>
  <si>
    <t>115-27</t>
  </si>
  <si>
    <t>116-27</t>
  </si>
  <si>
    <t>204:49164</t>
  </si>
  <si>
    <t>117-27</t>
  </si>
  <si>
    <t>118-27</t>
  </si>
  <si>
    <t>204:232964</t>
  </si>
  <si>
    <t>119-27</t>
  </si>
  <si>
    <t>204:863</t>
  </si>
  <si>
    <t>204:859</t>
  </si>
  <si>
    <t>120-27</t>
  </si>
  <si>
    <t>204:232965</t>
  </si>
  <si>
    <t>121-27</t>
  </si>
  <si>
    <t>122-27</t>
  </si>
  <si>
    <t>123-27</t>
  </si>
  <si>
    <t>204:453</t>
  </si>
  <si>
    <t>204:233370</t>
  </si>
  <si>
    <t>125-27</t>
  </si>
  <si>
    <t>204:233321</t>
  </si>
  <si>
    <t>126-27</t>
  </si>
  <si>
    <t>204:232998</t>
  </si>
  <si>
    <t>127-27</t>
  </si>
  <si>
    <t>128-27</t>
  </si>
  <si>
    <t>129-27</t>
  </si>
  <si>
    <t>204:233325</t>
  </si>
  <si>
    <t>130-27</t>
  </si>
  <si>
    <t>131-27</t>
  </si>
  <si>
    <t>204:233264</t>
  </si>
  <si>
    <t>132-27</t>
  </si>
  <si>
    <t>133-27</t>
  </si>
  <si>
    <t>204:233110</t>
  </si>
  <si>
    <t>134-27</t>
  </si>
  <si>
    <t>204:232955</t>
  </si>
  <si>
    <t>135-27</t>
  </si>
  <si>
    <t>204:437</t>
  </si>
  <si>
    <t>204:37212</t>
  </si>
  <si>
    <t>204:64748</t>
  </si>
  <si>
    <t>204:233337</t>
  </si>
  <si>
    <t>136-27</t>
  </si>
  <si>
    <t>204:233038</t>
  </si>
  <si>
    <t>137-27</t>
  </si>
  <si>
    <t>138-27</t>
  </si>
  <si>
    <t>204:233043</t>
  </si>
  <si>
    <t>139-27</t>
  </si>
  <si>
    <t>140-27</t>
  </si>
  <si>
    <t>141-27</t>
  </si>
  <si>
    <t>204:233357</t>
  </si>
  <si>
    <t>142-27</t>
  </si>
  <si>
    <t>143-27</t>
  </si>
  <si>
    <t>144-27</t>
  </si>
  <si>
    <t>145-27</t>
  </si>
  <si>
    <t>204:233278</t>
  </si>
  <si>
    <t>146-27</t>
  </si>
  <si>
    <t>147-27</t>
  </si>
  <si>
    <t>204:469</t>
  </si>
  <si>
    <t>204:233086</t>
  </si>
  <si>
    <t>148-27</t>
  </si>
  <si>
    <t>204:232917</t>
  </si>
  <si>
    <t>149-27</t>
  </si>
  <si>
    <t>150-27</t>
  </si>
  <si>
    <t>204:233011</t>
  </si>
  <si>
    <t>151-27</t>
  </si>
  <si>
    <t>152-27</t>
  </si>
  <si>
    <t>204:161</t>
  </si>
  <si>
    <t>153-27</t>
  </si>
  <si>
    <t>154-27</t>
  </si>
  <si>
    <t>204:233030</t>
  </si>
  <si>
    <t>155-27</t>
  </si>
  <si>
    <t>204:78321</t>
  </si>
  <si>
    <t>204:86376</t>
  </si>
  <si>
    <t>204:233299</t>
  </si>
  <si>
    <t>156-27</t>
  </si>
  <si>
    <t>204:232980</t>
  </si>
  <si>
    <t>157-27</t>
  </si>
  <si>
    <t>158-27</t>
  </si>
  <si>
    <t>159-27</t>
  </si>
  <si>
    <t>204:446</t>
  </si>
  <si>
    <t>160-27</t>
  </si>
  <si>
    <t>161-27</t>
  </si>
  <si>
    <t>204:233332</t>
  </si>
  <si>
    <t>162-27</t>
  </si>
  <si>
    <t>204:233013</t>
  </si>
  <si>
    <t>163-27</t>
  </si>
  <si>
    <t>204:233372</t>
  </si>
  <si>
    <t>164-27</t>
  </si>
  <si>
    <t>204:233028</t>
  </si>
  <si>
    <t>204:129</t>
  </si>
  <si>
    <t>165-27</t>
  </si>
  <si>
    <t>204:233376</t>
  </si>
  <si>
    <t>166-27</t>
  </si>
  <si>
    <t>167-27</t>
  </si>
  <si>
    <t>204:482</t>
  </si>
  <si>
    <t>204:233393</t>
  </si>
  <si>
    <t>169-27</t>
  </si>
  <si>
    <t>171-27</t>
  </si>
  <si>
    <t>204:233336</t>
  </si>
  <si>
    <t>173-27</t>
  </si>
  <si>
    <t>224-27</t>
  </si>
  <si>
    <t>225-27</t>
  </si>
  <si>
    <t>226-27</t>
  </si>
  <si>
    <t>227-27</t>
  </si>
  <si>
    <t>204:233307</t>
  </si>
  <si>
    <t>228-27</t>
  </si>
  <si>
    <t>204:181</t>
  </si>
  <si>
    <t>229-27</t>
  </si>
  <si>
    <t>230-27</t>
  </si>
  <si>
    <t>204:232990</t>
  </si>
  <si>
    <t>231-27</t>
  </si>
  <si>
    <t>204:233211</t>
  </si>
  <si>
    <t>232-27</t>
  </si>
  <si>
    <t>233-27</t>
  </si>
  <si>
    <t>234-27</t>
  </si>
  <si>
    <t>235-27</t>
  </si>
  <si>
    <t>204:233259</t>
  </si>
  <si>
    <t>236-27</t>
  </si>
  <si>
    <t>237-27</t>
  </si>
  <si>
    <t>204:223707</t>
  </si>
  <si>
    <t>238-27</t>
  </si>
  <si>
    <t>239-27</t>
  </si>
  <si>
    <t>204:489</t>
  </si>
  <si>
    <t>240-27</t>
  </si>
  <si>
    <t>241-27</t>
  </si>
  <si>
    <t>242-27</t>
  </si>
  <si>
    <t>243-27</t>
  </si>
  <si>
    <t>244-27</t>
  </si>
  <si>
    <t>245-27</t>
  </si>
  <si>
    <t>204:233322</t>
  </si>
  <si>
    <t>246-27</t>
  </si>
  <si>
    <t>170-27</t>
  </si>
  <si>
    <t>172-27</t>
  </si>
  <si>
    <t>174-27</t>
  </si>
  <si>
    <t>175-27</t>
  </si>
  <si>
    <t>176-27</t>
  </si>
  <si>
    <t>177-27</t>
  </si>
  <si>
    <t>178-27</t>
  </si>
  <si>
    <t>179-27</t>
  </si>
  <si>
    <t>204:233410</t>
  </si>
  <si>
    <t>180-27</t>
  </si>
  <si>
    <t>204:233080</t>
  </si>
  <si>
    <t>181-27</t>
  </si>
  <si>
    <t>204:1484</t>
  </si>
  <si>
    <t>182-27</t>
  </si>
  <si>
    <t>204:233015</t>
  </si>
  <si>
    <t>183-27</t>
  </si>
  <si>
    <t>184-27</t>
  </si>
  <si>
    <t>204:18762</t>
  </si>
  <si>
    <t>204:200</t>
  </si>
  <si>
    <t>204:31998</t>
  </si>
  <si>
    <t>185-27</t>
  </si>
  <si>
    <t>186-27</t>
  </si>
  <si>
    <t>187-27</t>
  </si>
  <si>
    <t>204:233303</t>
  </si>
  <si>
    <t>188-27</t>
  </si>
  <si>
    <t>189-27</t>
  </si>
  <si>
    <t>204:806</t>
  </si>
  <si>
    <t>204:233108</t>
  </si>
  <si>
    <t>190-27</t>
  </si>
  <si>
    <t>204:232951</t>
  </si>
  <si>
    <t>191-27</t>
  </si>
  <si>
    <t>204:233399</t>
  </si>
  <si>
    <t>192-27</t>
  </si>
  <si>
    <t>204:114</t>
  </si>
  <si>
    <t>193-27</t>
  </si>
  <si>
    <t>204:19801</t>
  </si>
  <si>
    <t>204:1448</t>
  </si>
  <si>
    <t>194-27</t>
  </si>
  <si>
    <t>204:233010</t>
  </si>
  <si>
    <t>195-27</t>
  </si>
  <si>
    <t>196-27</t>
  </si>
  <si>
    <t>204:233001</t>
  </si>
  <si>
    <t>197-27</t>
  </si>
  <si>
    <t>198-27</t>
  </si>
  <si>
    <t>204:153997</t>
  </si>
  <si>
    <t>204:228239</t>
  </si>
  <si>
    <t>199-27</t>
  </si>
  <si>
    <t>200-27</t>
  </si>
  <si>
    <t>201-27</t>
  </si>
  <si>
    <t>202-27</t>
  </si>
  <si>
    <t>203-27</t>
  </si>
  <si>
    <t>204:424</t>
  </si>
  <si>
    <t>204-27</t>
  </si>
  <si>
    <t>204:232842</t>
  </si>
  <si>
    <t>205-27</t>
  </si>
  <si>
    <t>204:409</t>
  </si>
  <si>
    <t>204:233383</t>
  </si>
  <si>
    <t>206-27</t>
  </si>
  <si>
    <t>204:233076</t>
  </si>
  <si>
    <t>207-27</t>
  </si>
  <si>
    <t>204:52364</t>
  </si>
  <si>
    <t>204:66089</t>
  </si>
  <si>
    <t>204:67357</t>
  </si>
  <si>
    <t>208-27</t>
  </si>
  <si>
    <t>204:233126</t>
  </si>
  <si>
    <t>209-27</t>
  </si>
  <si>
    <t>204:233380</t>
  </si>
  <si>
    <t>210-27</t>
  </si>
  <si>
    <t>204:233089</t>
  </si>
  <si>
    <t>211-27</t>
  </si>
  <si>
    <t>212-27</t>
  </si>
  <si>
    <t>213-27</t>
  </si>
  <si>
    <t>204:233276</t>
  </si>
  <si>
    <t>214-27</t>
  </si>
  <si>
    <t>204:211</t>
  </si>
  <si>
    <t>215-27</t>
  </si>
  <si>
    <t>216-27</t>
  </si>
  <si>
    <t>204:1419</t>
  </si>
  <si>
    <t>217-27</t>
  </si>
  <si>
    <t>218-27</t>
  </si>
  <si>
    <t>204:232942</t>
  </si>
  <si>
    <t>219-27</t>
  </si>
  <si>
    <t>204:233228</t>
  </si>
  <si>
    <t>220-27</t>
  </si>
  <si>
    <t>221-27</t>
  </si>
  <si>
    <t>222-27</t>
  </si>
  <si>
    <t>204:232944</t>
  </si>
  <si>
    <t>223-27</t>
  </si>
  <si>
    <t>204:500</t>
  </si>
  <si>
    <t>124-27</t>
  </si>
  <si>
    <t>168-27</t>
  </si>
  <si>
    <t>rtdc.l.rtdc.4016:itc</t>
  </si>
  <si>
    <t>rtdc.l.rtdc.4044:itc</t>
  </si>
  <si>
    <t>rtdc.l.rtdc.4015:itc</t>
  </si>
  <si>
    <t>rtdc.l.rtdc.4043:itc</t>
  </si>
  <si>
    <t>SWITCH UNKNOWN</t>
  </si>
  <si>
    <t>Track device (7)</t>
  </si>
  <si>
    <t>BEAM</t>
  </si>
  <si>
    <t>CUSHING</t>
  </si>
  <si>
    <t>LOZA</t>
  </si>
  <si>
    <t>ROCHA</t>
  </si>
  <si>
    <t>GOODNIGHT</t>
  </si>
  <si>
    <t>SPECTOR</t>
  </si>
  <si>
    <t xml:space="preserve">Form C  Warning time  45 </t>
  </si>
  <si>
    <t>Enroute Failure</t>
  </si>
  <si>
    <t>Ran Cutout Enroute Failure at Init</t>
  </si>
  <si>
    <t>ID Never Offered by Office</t>
  </si>
  <si>
    <t>Unknown Signal Site Comms Down</t>
  </si>
  <si>
    <t>Driver Selected Wrong Track</t>
  </si>
  <si>
    <t>Cutout to Pass Bulletin at 3.0830</t>
  </si>
  <si>
    <t>Cutout to Pass Bulletin at 7.8349</t>
  </si>
  <si>
    <t xml:space="preserve">Cutout to Pass Bulletin at 4.8048 </t>
  </si>
  <si>
    <t xml:space="preserve">Form C </t>
  </si>
  <si>
    <t>GPS Location Lost AT DIA</t>
  </si>
  <si>
    <t>Cutout to pass bulletin distance &gt; 500ft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</si>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</sst>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3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9"/>
  <sheetViews>
    <sheetView showGridLines="0" tabSelected="1" topLeftCell="A133" zoomScale="85" zoomScaleNormal="85" workbookViewId="0">
      <selection activeCell="I164" sqref="I164:L16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8" bestFit="1" customWidth="1"/>
    <col min="19" max="19" width="13.28515625" style="59" customWidth="1"/>
    <col min="20" max="20" width="11.28515625" style="59" customWidth="1"/>
    <col min="21" max="21" width="11" style="59" customWidth="1"/>
    <col min="22" max="22" width="4.28515625" customWidth="1"/>
    <col min="23" max="23" width="19.28515625" style="54" customWidth="1"/>
    <col min="24" max="24" width="10.140625" style="54" customWidth="1"/>
    <col min="25" max="25" width="14.140625" style="54" customWidth="1"/>
    <col min="26" max="28" width="9.140625" style="54"/>
    <col min="29" max="29" width="10.7109375" style="55" bestFit="1" customWidth="1"/>
    <col min="30" max="30" width="30.5703125" style="55" bestFit="1" customWidth="1"/>
  </cols>
  <sheetData>
    <row r="1" spans="1:92" ht="57.75" customHeight="1" thickBot="1" x14ac:dyDescent="0.3">
      <c r="A1" s="92" t="str">
        <f>"Eagle P3 System Performance - "&amp;TEXT(Variables!A2,"yyyy-mm-dd")</f>
        <v>Eagle P3 System Performance - 2016-05-27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79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445</v>
      </c>
      <c r="T2" s="10" t="s">
        <v>446</v>
      </c>
      <c r="U2" s="10" t="s">
        <v>447</v>
      </c>
      <c r="V2" s="10"/>
      <c r="W2" s="71" t="s">
        <v>47</v>
      </c>
      <c r="X2" s="71" t="s">
        <v>23</v>
      </c>
      <c r="Y2" s="71" t="s">
        <v>51</v>
      </c>
      <c r="Z2" s="71" t="s">
        <v>20</v>
      </c>
      <c r="AA2" s="71" t="s">
        <v>21</v>
      </c>
      <c r="AB2" s="71" t="s">
        <v>22</v>
      </c>
      <c r="AC2" s="72" t="s">
        <v>41</v>
      </c>
      <c r="AD2" s="72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0" t="s">
        <v>174</v>
      </c>
      <c r="B3" s="60">
        <v>4024</v>
      </c>
      <c r="C3" s="60" t="s">
        <v>62</v>
      </c>
      <c r="D3" s="60" t="s">
        <v>175</v>
      </c>
      <c r="E3" s="30">
        <v>42517.126851851855</v>
      </c>
      <c r="F3" s="30">
        <v>42517.128078703703</v>
      </c>
      <c r="G3" s="38">
        <v>1</v>
      </c>
      <c r="H3" s="30" t="s">
        <v>176</v>
      </c>
      <c r="I3" s="30">
        <v>42517.161122685182</v>
      </c>
      <c r="J3" s="60">
        <v>1</v>
      </c>
      <c r="K3" s="60" t="str">
        <f t="shared" ref="K3:K33" si="0">IF(ISEVEN(B3),(B3-1)&amp;"/"&amp;B3,B3&amp;"/"&amp;(B3+1))</f>
        <v>4023/4024</v>
      </c>
      <c r="L3" s="60" t="str">
        <f>VLOOKUP(A3,'Trips&amp;Operators'!$C$1:$E$9999,3,FALSE)</f>
        <v>LEDERHAUSE</v>
      </c>
      <c r="M3" s="12">
        <f t="shared" ref="M3:M33" si="1">I3-F3</f>
        <v>3.3043981478840578E-2</v>
      </c>
      <c r="N3" s="13">
        <f>24*60*SUM($M3:$M3)</f>
        <v>47.583333329530433</v>
      </c>
      <c r="O3" s="13"/>
      <c r="P3" s="13"/>
      <c r="Q3" s="61"/>
      <c r="R3" s="61"/>
      <c r="S3" s="94">
        <f>SUM(U3:U3)/12</f>
        <v>1</v>
      </c>
      <c r="T3" s="2" t="str">
        <f>IF(ISEVEN(LEFT(A3,3)),"Southbound","NorthBound")</f>
        <v>NorthBound</v>
      </c>
      <c r="U3" s="67">
        <f>COUNTIFS([3]Variables!$M$2:$M$19,IF(T3="NorthBound","&gt;=","&lt;=")&amp;Z3,[3]Variables!$M$2:$M$19,IF(T3="NorthBound","&lt;=","&gt;=")&amp;AA3)</f>
        <v>12</v>
      </c>
      <c r="W3" s="73" t="str">
        <f t="shared" ref="W3:W3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https://search-rtdc-monitor-bjffxe2xuh6vdkpspy63sjmuny.us-east-1.es.amazonaws.com/_plugin/kibana/#/discover/Steve-Slow-Train-Analysis-(2080s-and-2083s)?_g=(refreshInterval:(display:Off,section:0,value:0),time:(from:'2016-05-27 03:01:40-0600',mode:absolute,to:'2016-05-27 03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" s="73" t="str">
        <f t="shared" ref="X3:X33" si="3">IF(AB3&lt;23,"Y","N")</f>
        <v>N</v>
      </c>
      <c r="Y3" s="73" t="e">
        <f t="shared" ref="Y3:Y33" si="4">VALUE(LEFT(A3,3))-VALUE(LEFT(A2,3))</f>
        <v>#VALUE!</v>
      </c>
      <c r="Z3" s="73">
        <f t="shared" ref="Z3:Z33" si="5">RIGHT(D3,LEN(D3)-4)/10000</f>
        <v>7.7200000000000005E-2</v>
      </c>
      <c r="AA3" s="73">
        <f t="shared" ref="AA3:AA36" si="6">RIGHT(H3,LEN(H3)-4)/10000</f>
        <v>23.333100000000002</v>
      </c>
      <c r="AB3" s="73">
        <f t="shared" ref="AB3:AB33" si="7">ABS(AA3-Z3)</f>
        <v>23.2559</v>
      </c>
      <c r="AC3" s="74">
        <f>VLOOKUP(A3,Enforcements!$C$3:$J$69,8,0)</f>
        <v>17867</v>
      </c>
      <c r="AD3" s="74" t="str">
        <f>VLOOKUP(A3,Enforcements!$C$3:$J$69,3,0)</f>
        <v>PERMANENT SPEED RESTRICTION</v>
      </c>
    </row>
    <row r="4" spans="1:92" s="2" customFormat="1" x14ac:dyDescent="0.25">
      <c r="A4" s="60" t="s">
        <v>177</v>
      </c>
      <c r="B4" s="60">
        <v>4017</v>
      </c>
      <c r="C4" s="60" t="s">
        <v>62</v>
      </c>
      <c r="D4" s="60" t="s">
        <v>178</v>
      </c>
      <c r="E4" s="30">
        <v>42517.17</v>
      </c>
      <c r="F4" s="30">
        <v>42517.171053240738</v>
      </c>
      <c r="G4" s="38">
        <v>1</v>
      </c>
      <c r="H4" s="30" t="s">
        <v>179</v>
      </c>
      <c r="I4" s="30">
        <v>42517.200370370374</v>
      </c>
      <c r="J4" s="60">
        <v>0</v>
      </c>
      <c r="K4" s="60" t="str">
        <f t="shared" si="0"/>
        <v>4017/4018</v>
      </c>
      <c r="L4" s="60" t="str">
        <f>VLOOKUP(A4,'Trips&amp;Operators'!$C$1:$E$9999,3,FALSE)</f>
        <v>LEDERHAUSE</v>
      </c>
      <c r="M4" s="12">
        <f t="shared" si="1"/>
        <v>2.9317129636183381E-2</v>
      </c>
      <c r="N4" s="13">
        <f>24*60*SUM($M4:$M4)</f>
        <v>42.216666676104069</v>
      </c>
      <c r="O4" s="13"/>
      <c r="P4" s="13"/>
      <c r="Q4" s="61"/>
      <c r="R4" s="61"/>
      <c r="S4" s="94">
        <f t="shared" ref="S4:S67" si="8">SUM(U4:U4)/12</f>
        <v>1</v>
      </c>
      <c r="T4" s="2" t="str">
        <f t="shared" ref="T4:T67" si="9">IF(ISEVEN(LEFT(A4,3)),"Southbound","NorthBound")</f>
        <v>Southbound</v>
      </c>
      <c r="U4" s="67">
        <f>COUNTIFS([3]Variables!$M$2:$M$19,IF(T4="NorthBound","&gt;=","&lt;=")&amp;Z4,[3]Variables!$M$2:$M$19,IF(T4="NorthBound","&lt;=","&gt;=")&amp;AA4)</f>
        <v>12</v>
      </c>
      <c r="W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04:03:48-0600',mode:absolute,to:'2016-05-27 04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" s="73" t="str">
        <f t="shared" si="3"/>
        <v>N</v>
      </c>
      <c r="Y4" s="73">
        <f t="shared" si="4"/>
        <v>1</v>
      </c>
      <c r="Z4" s="73">
        <f t="shared" si="5"/>
        <v>23.273399999999999</v>
      </c>
      <c r="AA4" s="73">
        <f t="shared" si="6"/>
        <v>1.7399999999999999E-2</v>
      </c>
      <c r="AB4" s="73">
        <f t="shared" si="7"/>
        <v>23.256</v>
      </c>
      <c r="AC4" s="74" t="e">
        <f>VLOOKUP(A4,Enforcements!$C$3:$J$69,8,0)</f>
        <v>#N/A</v>
      </c>
      <c r="AD4" s="74" t="e">
        <f>VLOOKUP(A4,Enforcements!$C$3:$J$69,3,0)</f>
        <v>#N/A</v>
      </c>
    </row>
    <row r="5" spans="1:92" s="2" customFormat="1" x14ac:dyDescent="0.25">
      <c r="A5" s="60" t="s">
        <v>180</v>
      </c>
      <c r="B5" s="60">
        <v>4040</v>
      </c>
      <c r="C5" s="60" t="s">
        <v>62</v>
      </c>
      <c r="D5" s="60" t="s">
        <v>181</v>
      </c>
      <c r="E5" s="30">
        <v>42517.150416666664</v>
      </c>
      <c r="F5" s="30">
        <v>42517.155393518522</v>
      </c>
      <c r="G5" s="38">
        <v>7</v>
      </c>
      <c r="H5" s="30" t="s">
        <v>182</v>
      </c>
      <c r="I5" s="30">
        <v>42517.181979166664</v>
      </c>
      <c r="J5" s="60">
        <v>0</v>
      </c>
      <c r="K5" s="60" t="str">
        <f t="shared" si="0"/>
        <v>4039/4040</v>
      </c>
      <c r="L5" s="60" t="str">
        <f>VLOOKUP(A5,'Trips&amp;Operators'!$C$1:$E$9999,3,FALSE)</f>
        <v>STURGEON</v>
      </c>
      <c r="M5" s="12">
        <f t="shared" si="1"/>
        <v>2.6585648141917773E-2</v>
      </c>
      <c r="N5" s="13">
        <f>24*60*SUM($M5:$M5)</f>
        <v>38.283333324361593</v>
      </c>
      <c r="O5" s="13"/>
      <c r="P5" s="13"/>
      <c r="Q5" s="61"/>
      <c r="R5" s="61"/>
      <c r="S5" s="94">
        <f t="shared" si="8"/>
        <v>1</v>
      </c>
      <c r="T5" s="2" t="str">
        <f t="shared" si="9"/>
        <v>NorthBound</v>
      </c>
      <c r="U5" s="67">
        <f>COUNTIFS([3]Variables!$M$2:$M$19,IF(T5="NorthBound","&gt;=","&lt;=")&amp;Z5,[3]Variables!$M$2:$M$19,IF(T5="NorthBound","&lt;=","&gt;=")&amp;AA5)</f>
        <v>12</v>
      </c>
      <c r="W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03:35:36-0600',mode:absolute,to:'2016-05-27 04:23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" s="73" t="str">
        <f t="shared" si="3"/>
        <v>N</v>
      </c>
      <c r="Y5" s="73">
        <f t="shared" si="4"/>
        <v>1</v>
      </c>
      <c r="Z5" s="73">
        <f t="shared" si="5"/>
        <v>7.5700000000000003E-2</v>
      </c>
      <c r="AA5" s="73">
        <f t="shared" si="6"/>
        <v>23.328299999999999</v>
      </c>
      <c r="AB5" s="73">
        <f t="shared" si="7"/>
        <v>23.252599999999997</v>
      </c>
      <c r="AC5" s="74" t="e">
        <f>VLOOKUP(A5,Enforcements!$C$3:$J$69,8,0)</f>
        <v>#N/A</v>
      </c>
      <c r="AD5" s="74" t="e">
        <f>VLOOKUP(A5,Enforcements!$C$3:$J$69,3,0)</f>
        <v>#N/A</v>
      </c>
    </row>
    <row r="6" spans="1:92" s="2" customFormat="1" x14ac:dyDescent="0.25">
      <c r="A6" s="60" t="s">
        <v>183</v>
      </c>
      <c r="B6" s="60">
        <v>4037</v>
      </c>
      <c r="C6" s="60" t="s">
        <v>62</v>
      </c>
      <c r="D6" s="60" t="s">
        <v>184</v>
      </c>
      <c r="E6" s="30">
        <v>42517.192743055559</v>
      </c>
      <c r="F6" s="30">
        <v>42517.193935185183</v>
      </c>
      <c r="G6" s="38">
        <v>1</v>
      </c>
      <c r="H6" s="30" t="s">
        <v>90</v>
      </c>
      <c r="I6" s="30">
        <v>42517.222893518519</v>
      </c>
      <c r="J6" s="60">
        <v>0</v>
      </c>
      <c r="K6" s="60" t="str">
        <f t="shared" si="0"/>
        <v>4037/4038</v>
      </c>
      <c r="L6" s="60" t="str">
        <f>VLOOKUP(A6,'Trips&amp;Operators'!$C$1:$E$9999,3,FALSE)</f>
        <v>STURGEON</v>
      </c>
      <c r="M6" s="12">
        <f t="shared" si="1"/>
        <v>2.8958333336049691E-2</v>
      </c>
      <c r="N6" s="13">
        <f>24*60*SUM($M6:$M6)</f>
        <v>41.700000003911555</v>
      </c>
      <c r="O6" s="13"/>
      <c r="P6" s="13"/>
      <c r="Q6" s="61"/>
      <c r="R6" s="61"/>
      <c r="S6" s="94">
        <f t="shared" si="8"/>
        <v>1</v>
      </c>
      <c r="T6" s="2" t="str">
        <f t="shared" si="9"/>
        <v>Southbound</v>
      </c>
      <c r="U6" s="67">
        <f>COUNTIFS([3]Variables!$M$2:$M$19,IF(T6="NorthBound","&gt;=","&lt;=")&amp;Z6,[3]Variables!$M$2:$M$19,IF(T6="NorthBound","&lt;=","&gt;=")&amp;AA6)</f>
        <v>12</v>
      </c>
      <c r="W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04:36:33-0600',mode:absolute,to:'2016-05-27 05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" s="73" t="str">
        <f t="shared" si="3"/>
        <v>N</v>
      </c>
      <c r="Y6" s="73">
        <f t="shared" si="4"/>
        <v>1</v>
      </c>
      <c r="Z6" s="73">
        <f t="shared" si="5"/>
        <v>23.264099999999999</v>
      </c>
      <c r="AA6" s="73">
        <f t="shared" si="6"/>
        <v>1.6E-2</v>
      </c>
      <c r="AB6" s="73">
        <f t="shared" si="7"/>
        <v>23.248100000000001</v>
      </c>
      <c r="AC6" s="74" t="e">
        <f>VLOOKUP(A6,Enforcements!$C$3:$J$69,8,0)</f>
        <v>#N/A</v>
      </c>
      <c r="AD6" s="74" t="e">
        <f>VLOOKUP(A6,Enforcements!$C$3:$J$69,3,0)</f>
        <v>#N/A</v>
      </c>
    </row>
    <row r="7" spans="1:92" s="2" customFormat="1" x14ac:dyDescent="0.25">
      <c r="A7" s="60" t="s">
        <v>185</v>
      </c>
      <c r="B7" s="60">
        <v>4029</v>
      </c>
      <c r="C7" s="60" t="s">
        <v>62</v>
      </c>
      <c r="D7" s="60" t="s">
        <v>186</v>
      </c>
      <c r="E7" s="30">
        <v>42517.170358796298</v>
      </c>
      <c r="F7" s="30">
        <v>42517.171342592592</v>
      </c>
      <c r="G7" s="38">
        <v>1</v>
      </c>
      <c r="H7" s="30" t="s">
        <v>187</v>
      </c>
      <c r="I7" s="30">
        <v>42517.203067129631</v>
      </c>
      <c r="J7" s="60">
        <v>1</v>
      </c>
      <c r="K7" s="60" t="str">
        <f t="shared" si="0"/>
        <v>4029/4030</v>
      </c>
      <c r="L7" s="60" t="str">
        <f>VLOOKUP(A7,'Trips&amp;Operators'!$C$1:$E$9999,3,FALSE)</f>
        <v>BEAM</v>
      </c>
      <c r="M7" s="12">
        <f t="shared" si="1"/>
        <v>3.1724537038826384E-2</v>
      </c>
      <c r="N7" s="13">
        <f t="shared" ref="N7:P69" si="10">24*60*SUM($M7:$M7)</f>
        <v>45.683333335909992</v>
      </c>
      <c r="O7" s="13"/>
      <c r="P7" s="13"/>
      <c r="Q7" s="61"/>
      <c r="R7" s="61"/>
      <c r="S7" s="94">
        <f t="shared" si="8"/>
        <v>1</v>
      </c>
      <c r="T7" s="2" t="str">
        <f t="shared" si="9"/>
        <v>NorthBound</v>
      </c>
      <c r="U7" s="67">
        <f>COUNTIFS([3]Variables!$M$2:$M$19,IF(T7="NorthBound","&gt;=","&lt;=")&amp;Z7,[3]Variables!$M$2:$M$19,IF(T7="NorthBound","&lt;=","&gt;=")&amp;AA7)</f>
        <v>12</v>
      </c>
      <c r="W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04:04:19-0600',mode:absolute,to:'2016-05-27 04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7" s="73" t="str">
        <f t="shared" si="3"/>
        <v>N</v>
      </c>
      <c r="Y7" s="73">
        <f t="shared" si="4"/>
        <v>1</v>
      </c>
      <c r="Z7" s="73">
        <f t="shared" si="5"/>
        <v>7.3899999999999993E-2</v>
      </c>
      <c r="AA7" s="73">
        <f t="shared" si="6"/>
        <v>23.2715</v>
      </c>
      <c r="AB7" s="73">
        <f t="shared" si="7"/>
        <v>23.197600000000001</v>
      </c>
      <c r="AC7" s="74">
        <f>VLOOKUP(A7,Enforcements!$C$3:$J$69,8,0)</f>
        <v>233491</v>
      </c>
      <c r="AD7" s="74" t="str">
        <f>VLOOKUP(A7,Enforcements!$C$3:$J$69,3,0)</f>
        <v>TRACK WARRANT AUTHORITY</v>
      </c>
    </row>
    <row r="8" spans="1:92" s="2" customFormat="1" x14ac:dyDescent="0.25">
      <c r="A8" s="60" t="s">
        <v>188</v>
      </c>
      <c r="B8" s="60">
        <v>4032</v>
      </c>
      <c r="C8" s="60" t="s">
        <v>62</v>
      </c>
      <c r="D8" s="60" t="s">
        <v>189</v>
      </c>
      <c r="E8" s="30">
        <v>42517.212905092594</v>
      </c>
      <c r="F8" s="30">
        <v>42517.21365740741</v>
      </c>
      <c r="G8" s="38">
        <v>1</v>
      </c>
      <c r="H8" s="30" t="s">
        <v>190</v>
      </c>
      <c r="I8" s="30">
        <v>42517.242199074077</v>
      </c>
      <c r="J8" s="60">
        <v>2</v>
      </c>
      <c r="K8" s="60" t="str">
        <f t="shared" si="0"/>
        <v>4031/4032</v>
      </c>
      <c r="L8" s="60" t="str">
        <f>VLOOKUP(A8,'Trips&amp;Operators'!$C$1:$E$9999,3,FALSE)</f>
        <v>BEAM</v>
      </c>
      <c r="M8" s="12">
        <f t="shared" si="1"/>
        <v>2.8541666666569654E-2</v>
      </c>
      <c r="N8" s="13">
        <f t="shared" si="10"/>
        <v>41.099999999860302</v>
      </c>
      <c r="O8" s="13"/>
      <c r="P8" s="13"/>
      <c r="Q8" s="61"/>
      <c r="R8" s="61"/>
      <c r="S8" s="94">
        <f t="shared" si="8"/>
        <v>1</v>
      </c>
      <c r="T8" s="2" t="str">
        <f t="shared" si="9"/>
        <v>Southbound</v>
      </c>
      <c r="U8" s="67">
        <f>COUNTIFS([3]Variables!$M$2:$M$19,IF(T8="NorthBound","&gt;=","&lt;=")&amp;Z8,[3]Variables!$M$2:$M$19,IF(T8="NorthBound","&lt;=","&gt;=")&amp;AA8)</f>
        <v>12</v>
      </c>
      <c r="W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05:05:35-0600',mode:absolute,to:'2016-05-27 05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" s="73" t="str">
        <f t="shared" si="3"/>
        <v>N</v>
      </c>
      <c r="Y8" s="73">
        <f t="shared" si="4"/>
        <v>1</v>
      </c>
      <c r="Z8" s="73">
        <f t="shared" si="5"/>
        <v>23.267499999999998</v>
      </c>
      <c r="AA8" s="73">
        <f t="shared" si="6"/>
        <v>1.7600000000000001E-2</v>
      </c>
      <c r="AB8" s="73">
        <f t="shared" si="7"/>
        <v>23.249899999999997</v>
      </c>
      <c r="AC8" s="74">
        <f>VLOOKUP(A8,Enforcements!$C$3:$J$69,8,0)</f>
        <v>191723</v>
      </c>
      <c r="AD8" s="74" t="str">
        <f>VLOOKUP(A8,Enforcements!$C$3:$J$69,3,0)</f>
        <v>SIGNAL</v>
      </c>
    </row>
    <row r="9" spans="1:92" s="2" customFormat="1" x14ac:dyDescent="0.25">
      <c r="A9" s="60" t="s">
        <v>191</v>
      </c>
      <c r="B9" s="60">
        <v>4016</v>
      </c>
      <c r="C9" s="60" t="s">
        <v>62</v>
      </c>
      <c r="D9" s="60" t="s">
        <v>68</v>
      </c>
      <c r="E9" s="30">
        <v>42517.185520833336</v>
      </c>
      <c r="F9" s="30">
        <v>42517.186597222222</v>
      </c>
      <c r="G9" s="38">
        <v>1</v>
      </c>
      <c r="H9" s="30" t="s">
        <v>192</v>
      </c>
      <c r="I9" s="30">
        <v>42517.213217592594</v>
      </c>
      <c r="J9" s="60">
        <v>1</v>
      </c>
      <c r="K9" s="60" t="str">
        <f t="shared" si="0"/>
        <v>4015/4016</v>
      </c>
      <c r="L9" s="60" t="str">
        <f>VLOOKUP(A9,'Trips&amp;Operators'!$C$1:$E$9999,3,FALSE)</f>
        <v>STARKS</v>
      </c>
      <c r="M9" s="12">
        <f t="shared" si="1"/>
        <v>2.662037037225673E-2</v>
      </c>
      <c r="N9" s="13">
        <f t="shared" si="10"/>
        <v>38.333333336049691</v>
      </c>
      <c r="O9" s="13"/>
      <c r="P9" s="13"/>
      <c r="Q9" s="61"/>
      <c r="R9" s="61"/>
      <c r="S9" s="94">
        <f t="shared" si="8"/>
        <v>1</v>
      </c>
      <c r="T9" s="2" t="str">
        <f t="shared" si="9"/>
        <v>NorthBound</v>
      </c>
      <c r="U9" s="67">
        <f>COUNTIFS([3]Variables!$M$2:$M$19,IF(T9="NorthBound","&gt;=","&lt;=")&amp;Z9,[3]Variables!$M$2:$M$19,IF(T9="NorthBound","&lt;=","&gt;=")&amp;AA9)</f>
        <v>12</v>
      </c>
      <c r="W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04:26:09-0600',mode:absolute,to:'2016-05-27 05:08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" s="73" t="str">
        <f t="shared" si="3"/>
        <v>N</v>
      </c>
      <c r="Y9" s="73">
        <f t="shared" si="4"/>
        <v>1</v>
      </c>
      <c r="Z9" s="73">
        <f t="shared" si="5"/>
        <v>4.5499999999999999E-2</v>
      </c>
      <c r="AA9" s="73">
        <f t="shared" si="6"/>
        <v>23.336400000000001</v>
      </c>
      <c r="AB9" s="73">
        <f t="shared" si="7"/>
        <v>23.290900000000001</v>
      </c>
      <c r="AC9" s="74">
        <f>VLOOKUP(A9,Enforcements!$C$3:$J$69,8,0)</f>
        <v>233491</v>
      </c>
      <c r="AD9" s="74" t="str">
        <f>VLOOKUP(A9,Enforcements!$C$3:$J$69,3,0)</f>
        <v>TRACK WARRANT AUTHORITY</v>
      </c>
    </row>
    <row r="10" spans="1:92" s="2" customFormat="1" x14ac:dyDescent="0.25">
      <c r="A10" s="60" t="s">
        <v>193</v>
      </c>
      <c r="B10" s="60">
        <v>4015</v>
      </c>
      <c r="C10" s="60" t="s">
        <v>62</v>
      </c>
      <c r="D10" s="60" t="s">
        <v>194</v>
      </c>
      <c r="E10" s="30">
        <v>42517.224340277775</v>
      </c>
      <c r="F10" s="30">
        <v>42517.225451388891</v>
      </c>
      <c r="G10" s="38">
        <v>1</v>
      </c>
      <c r="H10" s="30" t="s">
        <v>127</v>
      </c>
      <c r="I10" s="30">
        <v>42517.254074074073</v>
      </c>
      <c r="J10" s="60">
        <v>1</v>
      </c>
      <c r="K10" s="60" t="str">
        <f t="shared" si="0"/>
        <v>4015/4016</v>
      </c>
      <c r="L10" s="60" t="str">
        <f>VLOOKUP(A10,'Trips&amp;Operators'!$C$1:$E$9999,3,FALSE)</f>
        <v>STARKS</v>
      </c>
      <c r="M10" s="12">
        <f t="shared" si="1"/>
        <v>2.8622685182199348E-2</v>
      </c>
      <c r="N10" s="13">
        <f t="shared" si="10"/>
        <v>41.216666662367061</v>
      </c>
      <c r="O10" s="13"/>
      <c r="P10" s="13"/>
      <c r="Q10" s="61"/>
      <c r="R10" s="61"/>
      <c r="S10" s="94">
        <f t="shared" si="8"/>
        <v>1</v>
      </c>
      <c r="T10" s="2" t="str">
        <f t="shared" si="9"/>
        <v>Southbound</v>
      </c>
      <c r="U10" s="67">
        <f>COUNTIFS([3]Variables!$M$2:$M$19,IF(T10="NorthBound","&gt;=","&lt;=")&amp;Z10,[3]Variables!$M$2:$M$19,IF(T10="NorthBound","&lt;=","&gt;=")&amp;AA10)</f>
        <v>12</v>
      </c>
      <c r="W1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05:22:03-0600',mode:absolute,to:'2016-05-27 06:06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" s="73" t="str">
        <f t="shared" si="3"/>
        <v>N</v>
      </c>
      <c r="Y10" s="73">
        <f t="shared" si="4"/>
        <v>1</v>
      </c>
      <c r="Z10" s="73">
        <f t="shared" si="5"/>
        <v>23.305499999999999</v>
      </c>
      <c r="AA10" s="73">
        <f t="shared" si="6"/>
        <v>1.49E-2</v>
      </c>
      <c r="AB10" s="73">
        <f t="shared" si="7"/>
        <v>23.290599999999998</v>
      </c>
      <c r="AC10" s="74">
        <f>VLOOKUP(A10,Enforcements!$C$3:$J$69,8,0)</f>
        <v>200464</v>
      </c>
      <c r="AD10" s="74" t="str">
        <f>VLOOKUP(A10,Enforcements!$C$3:$J$69,3,0)</f>
        <v>PERMANENT SPEED RESTRICTION</v>
      </c>
    </row>
    <row r="11" spans="1:92" s="2" customFormat="1" x14ac:dyDescent="0.25">
      <c r="A11" s="60" t="s">
        <v>195</v>
      </c>
      <c r="B11" s="60">
        <v>4044</v>
      </c>
      <c r="C11" s="60" t="s">
        <v>62</v>
      </c>
      <c r="D11" s="60" t="s">
        <v>196</v>
      </c>
      <c r="E11" s="30">
        <v>42517.190324074072</v>
      </c>
      <c r="F11" s="30">
        <v>42517.191458333335</v>
      </c>
      <c r="G11" s="38">
        <v>1</v>
      </c>
      <c r="H11" s="30" t="s">
        <v>88</v>
      </c>
      <c r="I11" s="30">
        <v>42517.222569444442</v>
      </c>
      <c r="J11" s="60">
        <v>0</v>
      </c>
      <c r="K11" s="60" t="str">
        <f t="shared" si="0"/>
        <v>4043/4044</v>
      </c>
      <c r="L11" s="60" t="str">
        <f>VLOOKUP(A11,'Trips&amp;Operators'!$C$1:$E$9999,3,FALSE)</f>
        <v>MALAVE</v>
      </c>
      <c r="M11" s="12">
        <f t="shared" si="1"/>
        <v>3.1111111107748002E-2</v>
      </c>
      <c r="N11" s="13">
        <f t="shared" si="10"/>
        <v>44.799999995157123</v>
      </c>
      <c r="O11" s="13"/>
      <c r="P11" s="13"/>
      <c r="Q11" s="61"/>
      <c r="R11" s="61"/>
      <c r="S11" s="94">
        <f t="shared" si="8"/>
        <v>1</v>
      </c>
      <c r="T11" s="2" t="str">
        <f t="shared" si="9"/>
        <v>NorthBound</v>
      </c>
      <c r="U11" s="67">
        <f>COUNTIFS([3]Variables!$M$2:$M$19,IF(T11="NorthBound","&gt;=","&lt;=")&amp;Z11,[3]Variables!$M$2:$M$19,IF(T11="NorthBound","&lt;=","&gt;=")&amp;AA11)</f>
        <v>12</v>
      </c>
      <c r="W1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04:33:04-0600',mode:absolute,to:'2016-05-27 05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" s="73" t="str">
        <f t="shared" si="3"/>
        <v>N</v>
      </c>
      <c r="Y11" s="73">
        <f t="shared" si="4"/>
        <v>1</v>
      </c>
      <c r="Z11" s="73">
        <f t="shared" si="5"/>
        <v>4.7300000000000002E-2</v>
      </c>
      <c r="AA11" s="73">
        <f t="shared" si="6"/>
        <v>23.330200000000001</v>
      </c>
      <c r="AB11" s="73">
        <f t="shared" si="7"/>
        <v>23.282900000000001</v>
      </c>
      <c r="AC11" s="74">
        <f>VLOOKUP(A11,Enforcements!$C$3:$J$69,8,0)</f>
        <v>233491</v>
      </c>
      <c r="AD11" s="74" t="str">
        <f>VLOOKUP(A11,Enforcements!$C$3:$J$69,3,0)</f>
        <v>TRACK WARRANT AUTHORITY</v>
      </c>
    </row>
    <row r="12" spans="1:92" s="2" customFormat="1" x14ac:dyDescent="0.25">
      <c r="A12" s="60" t="s">
        <v>197</v>
      </c>
      <c r="B12" s="60">
        <v>4043</v>
      </c>
      <c r="C12" s="60" t="s">
        <v>62</v>
      </c>
      <c r="D12" s="60" t="s">
        <v>122</v>
      </c>
      <c r="E12" s="30">
        <v>42517.23541666667</v>
      </c>
      <c r="F12" s="30">
        <v>42517.236388888887</v>
      </c>
      <c r="G12" s="38">
        <v>1</v>
      </c>
      <c r="H12" s="30" t="s">
        <v>64</v>
      </c>
      <c r="I12" s="30">
        <v>42517.267581018517</v>
      </c>
      <c r="J12" s="60">
        <v>2</v>
      </c>
      <c r="K12" s="60" t="str">
        <f t="shared" si="0"/>
        <v>4043/4044</v>
      </c>
      <c r="L12" s="60" t="str">
        <f>VLOOKUP(A12,'Trips&amp;Operators'!$C$1:$E$9999,3,FALSE)</f>
        <v>MALAVE</v>
      </c>
      <c r="M12" s="12">
        <f t="shared" si="1"/>
        <v>3.1192129630653653E-2</v>
      </c>
      <c r="N12" s="13">
        <f t="shared" si="10"/>
        <v>44.916666668141261</v>
      </c>
      <c r="O12" s="13"/>
      <c r="P12" s="13"/>
      <c r="Q12" s="61"/>
      <c r="R12" s="61"/>
      <c r="S12" s="94">
        <f t="shared" si="8"/>
        <v>1</v>
      </c>
      <c r="T12" s="2" t="str">
        <f t="shared" si="9"/>
        <v>Southbound</v>
      </c>
      <c r="U12" s="67">
        <f>COUNTIFS([3]Variables!$M$2:$M$19,IF(T12="NorthBound","&gt;=","&lt;=")&amp;Z12,[3]Variables!$M$2:$M$19,IF(T12="NorthBound","&lt;=","&gt;=")&amp;AA12)</f>
        <v>12</v>
      </c>
      <c r="W1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05:38:00-0600',mode:absolute,to:'2016-05-27 06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" s="73" t="str">
        <f t="shared" si="3"/>
        <v>N</v>
      </c>
      <c r="Y12" s="73">
        <f t="shared" si="4"/>
        <v>1</v>
      </c>
      <c r="Z12" s="73">
        <f t="shared" si="5"/>
        <v>23.298500000000001</v>
      </c>
      <c r="AA12" s="73">
        <f t="shared" si="6"/>
        <v>1.54E-2</v>
      </c>
      <c r="AB12" s="73">
        <f t="shared" si="7"/>
        <v>23.283100000000001</v>
      </c>
      <c r="AC12" s="74">
        <f>VLOOKUP(A12,Enforcements!$C$3:$J$69,8,0)</f>
        <v>48048</v>
      </c>
      <c r="AD12" s="74" t="str">
        <f>VLOOKUP(A12,Enforcements!$C$3:$J$69,3,0)</f>
        <v>GRADE CROSSING</v>
      </c>
    </row>
    <row r="13" spans="1:92" s="2" customFormat="1" x14ac:dyDescent="0.25">
      <c r="A13" s="60" t="s">
        <v>198</v>
      </c>
      <c r="B13" s="60">
        <v>4024</v>
      </c>
      <c r="C13" s="60" t="s">
        <v>62</v>
      </c>
      <c r="D13" s="60" t="s">
        <v>199</v>
      </c>
      <c r="E13" s="30">
        <v>42517.20584490741</v>
      </c>
      <c r="F13" s="30">
        <v>42517.207708333335</v>
      </c>
      <c r="G13" s="38">
        <v>2</v>
      </c>
      <c r="H13" s="30" t="s">
        <v>120</v>
      </c>
      <c r="I13" s="30">
        <v>42517.232939814814</v>
      </c>
      <c r="J13" s="60">
        <v>0</v>
      </c>
      <c r="K13" s="60" t="str">
        <f t="shared" si="0"/>
        <v>4023/4024</v>
      </c>
      <c r="L13" s="60" t="str">
        <f>VLOOKUP(A13,'Trips&amp;Operators'!$C$1:$E$9999,3,FALSE)</f>
        <v>GEBRETEKLE</v>
      </c>
      <c r="M13" s="12">
        <f t="shared" si="1"/>
        <v>2.5231481478840578E-2</v>
      </c>
      <c r="N13" s="13">
        <f t="shared" si="10"/>
        <v>36.333333329530433</v>
      </c>
      <c r="O13" s="13"/>
      <c r="P13" s="13"/>
      <c r="Q13" s="61"/>
      <c r="R13" s="61"/>
      <c r="S13" s="94">
        <f t="shared" si="8"/>
        <v>1</v>
      </c>
      <c r="T13" s="2" t="str">
        <f t="shared" si="9"/>
        <v>NorthBound</v>
      </c>
      <c r="U13" s="67">
        <f>COUNTIFS([3]Variables!$M$2:$M$19,IF(T13="NorthBound","&gt;=","&lt;=")&amp;Z13,[3]Variables!$M$2:$M$19,IF(T13="NorthBound","&lt;=","&gt;=")&amp;AA13)</f>
        <v>12</v>
      </c>
      <c r="W1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04:55:25-0600',mode:absolute,to:'2016-05-27 05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" s="73" t="str">
        <f t="shared" si="3"/>
        <v>N</v>
      </c>
      <c r="Y13" s="73">
        <f t="shared" si="4"/>
        <v>1</v>
      </c>
      <c r="Z13" s="73">
        <f t="shared" si="5"/>
        <v>7.4399999999999994E-2</v>
      </c>
      <c r="AA13" s="73">
        <f t="shared" si="6"/>
        <v>23.328399999999998</v>
      </c>
      <c r="AB13" s="73">
        <f t="shared" si="7"/>
        <v>23.253999999999998</v>
      </c>
      <c r="AC13" s="74" t="e">
        <f>VLOOKUP(A13,Enforcements!$C$3:$J$69,8,0)</f>
        <v>#N/A</v>
      </c>
      <c r="AD13" s="74" t="e">
        <f>VLOOKUP(A13,Enforcements!$C$3:$J$69,3,0)</f>
        <v>#N/A</v>
      </c>
    </row>
    <row r="14" spans="1:92" s="2" customFormat="1" x14ac:dyDescent="0.25">
      <c r="A14" s="60" t="s">
        <v>200</v>
      </c>
      <c r="B14" s="60">
        <v>4023</v>
      </c>
      <c r="C14" s="60" t="s">
        <v>62</v>
      </c>
      <c r="D14" s="60" t="s">
        <v>137</v>
      </c>
      <c r="E14" s="30">
        <v>42517.242754629631</v>
      </c>
      <c r="F14" s="30">
        <v>42517.243900462963</v>
      </c>
      <c r="G14" s="38">
        <v>1</v>
      </c>
      <c r="H14" s="30" t="s">
        <v>116</v>
      </c>
      <c r="I14" s="30">
        <v>42517.27716435185</v>
      </c>
      <c r="J14" s="60">
        <v>0</v>
      </c>
      <c r="K14" s="60" t="str">
        <f t="shared" si="0"/>
        <v>4023/4024</v>
      </c>
      <c r="L14" s="60" t="str">
        <f>VLOOKUP(A14,'Trips&amp;Operators'!$C$1:$E$9999,3,FALSE)</f>
        <v>GEBRETEKLE</v>
      </c>
      <c r="M14" s="12">
        <f t="shared" si="1"/>
        <v>3.326388888672227E-2</v>
      </c>
      <c r="N14" s="13">
        <f t="shared" si="10"/>
        <v>47.899999996880069</v>
      </c>
      <c r="O14" s="13"/>
      <c r="P14" s="13"/>
      <c r="Q14" s="61"/>
      <c r="R14" s="61"/>
      <c r="S14" s="94">
        <f t="shared" si="8"/>
        <v>1</v>
      </c>
      <c r="T14" s="2" t="str">
        <f t="shared" si="9"/>
        <v>Southbound</v>
      </c>
      <c r="U14" s="67">
        <f>COUNTIFS([3]Variables!$M$2:$M$19,IF(T14="NorthBound","&gt;=","&lt;=")&amp;Z14,[3]Variables!$M$2:$M$19,IF(T14="NorthBound","&lt;=","&gt;=")&amp;AA14)</f>
        <v>12</v>
      </c>
      <c r="W1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05:48:34-0600',mode:absolute,to:'2016-05-27 06:40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" s="73" t="str">
        <f t="shared" si="3"/>
        <v>N</v>
      </c>
      <c r="Y14" s="73">
        <f t="shared" si="4"/>
        <v>1</v>
      </c>
      <c r="Z14" s="73">
        <f t="shared" si="5"/>
        <v>23.2971</v>
      </c>
      <c r="AA14" s="73">
        <f t="shared" si="6"/>
        <v>1.3899999999999999E-2</v>
      </c>
      <c r="AB14" s="73">
        <f t="shared" si="7"/>
        <v>23.283200000000001</v>
      </c>
      <c r="AC14" s="74" t="e">
        <f>VLOOKUP(A14,Enforcements!$C$3:$J$69,8,0)</f>
        <v>#N/A</v>
      </c>
      <c r="AD14" s="74" t="e">
        <f>VLOOKUP(A14,Enforcements!$C$3:$J$69,3,0)</f>
        <v>#N/A</v>
      </c>
    </row>
    <row r="15" spans="1:92" s="2" customFormat="1" x14ac:dyDescent="0.25">
      <c r="A15" s="60" t="s">
        <v>201</v>
      </c>
      <c r="B15" s="60">
        <v>4018</v>
      </c>
      <c r="C15" s="60" t="s">
        <v>62</v>
      </c>
      <c r="D15" s="60" t="s">
        <v>69</v>
      </c>
      <c r="E15" s="30">
        <v>42517.206319444442</v>
      </c>
      <c r="F15" s="30">
        <v>42517.207442129627</v>
      </c>
      <c r="G15" s="38">
        <v>1</v>
      </c>
      <c r="H15" s="30" t="s">
        <v>67</v>
      </c>
      <c r="I15" s="30">
        <v>42517.244490740741</v>
      </c>
      <c r="J15" s="60">
        <v>0</v>
      </c>
      <c r="K15" s="60" t="str">
        <f t="shared" si="0"/>
        <v>4017/4018</v>
      </c>
      <c r="L15" s="60" t="str">
        <f>VLOOKUP(A15,'Trips&amp;Operators'!$C$1:$E$9999,3,FALSE)</f>
        <v>LEDERHAUSE</v>
      </c>
      <c r="M15" s="12">
        <f t="shared" si="1"/>
        <v>3.704861111327773E-2</v>
      </c>
      <c r="N15" s="13">
        <f t="shared" si="10"/>
        <v>53.350000003119931</v>
      </c>
      <c r="O15" s="13"/>
      <c r="P15" s="13"/>
      <c r="Q15" s="61"/>
      <c r="R15" s="61"/>
      <c r="S15" s="94">
        <f t="shared" si="8"/>
        <v>1</v>
      </c>
      <c r="T15" s="2" t="str">
        <f t="shared" si="9"/>
        <v>NorthBound</v>
      </c>
      <c r="U15" s="67">
        <f>COUNTIFS([3]Variables!$M$2:$M$19,IF(T15="NorthBound","&gt;=","&lt;=")&amp;Z15,[3]Variables!$M$2:$M$19,IF(T15="NorthBound","&lt;=","&gt;=")&amp;AA15)</f>
        <v>12</v>
      </c>
      <c r="W1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04:56:06-0600',mode:absolute,to:'2016-05-27 05:53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5" s="73" t="str">
        <f t="shared" si="3"/>
        <v>N</v>
      </c>
      <c r="Y15" s="73">
        <f t="shared" si="4"/>
        <v>1</v>
      </c>
      <c r="Z15" s="73">
        <f t="shared" si="5"/>
        <v>4.5100000000000001E-2</v>
      </c>
      <c r="AA15" s="73">
        <f t="shared" si="6"/>
        <v>23.3308</v>
      </c>
      <c r="AB15" s="73">
        <f t="shared" si="7"/>
        <v>23.285699999999999</v>
      </c>
      <c r="AC15" s="74" t="e">
        <f>VLOOKUP(A15,Enforcements!$C$3:$J$69,8,0)</f>
        <v>#N/A</v>
      </c>
      <c r="AD15" s="74" t="e">
        <f>VLOOKUP(A15,Enforcements!$C$3:$J$69,3,0)</f>
        <v>#N/A</v>
      </c>
    </row>
    <row r="16" spans="1:92" s="2" customFormat="1" x14ac:dyDescent="0.25">
      <c r="A16" s="60" t="s">
        <v>202</v>
      </c>
      <c r="B16" s="60">
        <v>4017</v>
      </c>
      <c r="C16" s="60" t="s">
        <v>62</v>
      </c>
      <c r="D16" s="60" t="s">
        <v>112</v>
      </c>
      <c r="E16" s="30">
        <v>42517.252870370372</v>
      </c>
      <c r="F16" s="30">
        <v>42517.253958333335</v>
      </c>
      <c r="G16" s="38">
        <v>1</v>
      </c>
      <c r="H16" s="30" t="s">
        <v>140</v>
      </c>
      <c r="I16" s="30">
        <v>42517.287187499998</v>
      </c>
      <c r="J16" s="60">
        <v>0</v>
      </c>
      <c r="K16" s="60" t="str">
        <f t="shared" si="0"/>
        <v>4017/4018</v>
      </c>
      <c r="L16" s="60" t="str">
        <f>VLOOKUP(A16,'Trips&amp;Operators'!$C$1:$E$9999,3,FALSE)</f>
        <v>LEDERHAUSE</v>
      </c>
      <c r="M16" s="12">
        <f t="shared" si="1"/>
        <v>3.3229166663659271E-2</v>
      </c>
      <c r="N16" s="13">
        <f t="shared" si="10"/>
        <v>47.84999999566935</v>
      </c>
      <c r="O16" s="13"/>
      <c r="P16" s="13"/>
      <c r="Q16" s="61"/>
      <c r="R16" s="61"/>
      <c r="S16" s="94">
        <f t="shared" si="8"/>
        <v>1</v>
      </c>
      <c r="T16" s="2" t="str">
        <f t="shared" si="9"/>
        <v>Southbound</v>
      </c>
      <c r="U16" s="67">
        <f>COUNTIFS([3]Variables!$M$2:$M$19,IF(T16="NorthBound","&gt;=","&lt;=")&amp;Z16,[3]Variables!$M$2:$M$19,IF(T16="NorthBound","&lt;=","&gt;=")&amp;AA16)</f>
        <v>12</v>
      </c>
      <c r="W1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06:03:08-0600',mode:absolute,to:'2016-05-27 06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6" s="73" t="str">
        <f t="shared" si="3"/>
        <v>N</v>
      </c>
      <c r="Y16" s="73">
        <f t="shared" si="4"/>
        <v>1</v>
      </c>
      <c r="Z16" s="73">
        <f t="shared" si="5"/>
        <v>23.299099999999999</v>
      </c>
      <c r="AA16" s="73">
        <f t="shared" si="6"/>
        <v>1.6299999999999999E-2</v>
      </c>
      <c r="AB16" s="73">
        <f t="shared" si="7"/>
        <v>23.282799999999998</v>
      </c>
      <c r="AC16" s="74" t="e">
        <f>VLOOKUP(A16,Enforcements!$C$3:$J$69,8,0)</f>
        <v>#N/A</v>
      </c>
      <c r="AD16" s="74" t="e">
        <f>VLOOKUP(A16,Enforcements!$C$3:$J$69,3,0)</f>
        <v>#N/A</v>
      </c>
    </row>
    <row r="17" spans="1:30" s="2" customFormat="1" x14ac:dyDescent="0.25">
      <c r="A17" s="60" t="s">
        <v>203</v>
      </c>
      <c r="B17" s="60">
        <v>4040</v>
      </c>
      <c r="C17" s="60" t="s">
        <v>62</v>
      </c>
      <c r="D17" s="60" t="s">
        <v>147</v>
      </c>
      <c r="E17" s="30">
        <v>42517.226643518516</v>
      </c>
      <c r="F17" s="30">
        <v>42517.227986111109</v>
      </c>
      <c r="G17" s="38">
        <v>1</v>
      </c>
      <c r="H17" s="30" t="s">
        <v>63</v>
      </c>
      <c r="I17" s="30">
        <v>42517.254386574074</v>
      </c>
      <c r="J17" s="60">
        <v>0</v>
      </c>
      <c r="K17" s="60" t="str">
        <f t="shared" si="0"/>
        <v>4039/4040</v>
      </c>
      <c r="L17" s="60" t="str">
        <f>VLOOKUP(A17,'Trips&amp;Operators'!$C$1:$E$9999,3,FALSE)</f>
        <v>SANTIZO</v>
      </c>
      <c r="M17" s="12">
        <f t="shared" si="1"/>
        <v>2.6400462964375038E-2</v>
      </c>
      <c r="N17" s="13">
        <f t="shared" si="10"/>
        <v>38.016666668700054</v>
      </c>
      <c r="O17" s="13"/>
      <c r="P17" s="13"/>
      <c r="Q17" s="61"/>
      <c r="R17" s="61"/>
      <c r="S17" s="94">
        <f t="shared" si="8"/>
        <v>1</v>
      </c>
      <c r="T17" s="2" t="str">
        <f t="shared" si="9"/>
        <v>NorthBound</v>
      </c>
      <c r="U17" s="67">
        <f>COUNTIFS([3]Variables!$M$2:$M$19,IF(T17="NorthBound","&gt;=","&lt;=")&amp;Z17,[3]Variables!$M$2:$M$19,IF(T17="NorthBound","&lt;=","&gt;=")&amp;AA17)</f>
        <v>12</v>
      </c>
      <c r="W1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05:25:22-0600',mode:absolute,to:'2016-05-27 06:07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7" s="73" t="str">
        <f t="shared" si="3"/>
        <v>N</v>
      </c>
      <c r="Y17" s="73">
        <f t="shared" si="4"/>
        <v>1</v>
      </c>
      <c r="Z17" s="73">
        <f t="shared" si="5"/>
        <v>7.46E-2</v>
      </c>
      <c r="AA17" s="73">
        <f t="shared" si="6"/>
        <v>23.329499999999999</v>
      </c>
      <c r="AB17" s="73">
        <f t="shared" si="7"/>
        <v>23.254899999999999</v>
      </c>
      <c r="AC17" s="74" t="e">
        <f>VLOOKUP(A17,Enforcements!$C$3:$J$69,8,0)</f>
        <v>#N/A</v>
      </c>
      <c r="AD17" s="74" t="e">
        <f>VLOOKUP(A17,Enforcements!$C$3:$J$69,3,0)</f>
        <v>#N/A</v>
      </c>
    </row>
    <row r="18" spans="1:30" s="2" customFormat="1" x14ac:dyDescent="0.25">
      <c r="A18" s="60" t="s">
        <v>204</v>
      </c>
      <c r="B18" s="60">
        <v>4039</v>
      </c>
      <c r="C18" s="60" t="s">
        <v>62</v>
      </c>
      <c r="D18" s="60" t="s">
        <v>78</v>
      </c>
      <c r="E18" s="30">
        <v>42517.259479166663</v>
      </c>
      <c r="F18" s="30">
        <v>42517.260659722226</v>
      </c>
      <c r="G18" s="38">
        <v>1</v>
      </c>
      <c r="H18" s="30" t="s">
        <v>205</v>
      </c>
      <c r="I18" s="30">
        <v>42517.291655092595</v>
      </c>
      <c r="J18" s="60">
        <v>0</v>
      </c>
      <c r="K18" s="60" t="str">
        <f t="shared" si="0"/>
        <v>4039/4040</v>
      </c>
      <c r="L18" s="60" t="str">
        <f>VLOOKUP(A18,'Trips&amp;Operators'!$C$1:$E$9999,3,FALSE)</f>
        <v>SANTIZO</v>
      </c>
      <c r="M18" s="12">
        <f t="shared" si="1"/>
        <v>3.0995370369055308E-2</v>
      </c>
      <c r="N18" s="13"/>
      <c r="O18" s="13"/>
      <c r="P18" s="13">
        <f t="shared" si="10"/>
        <v>44.633333331439644</v>
      </c>
      <c r="Q18" s="61"/>
      <c r="R18" s="61" t="s">
        <v>444</v>
      </c>
      <c r="S18" s="94">
        <f t="shared" si="8"/>
        <v>0.58333333333333337</v>
      </c>
      <c r="T18" s="2" t="str">
        <f t="shared" si="9"/>
        <v>Southbound</v>
      </c>
      <c r="U18" s="67">
        <f>COUNTIFS([3]Variables!$M$2:$M$19,IF(T18="NorthBound","&gt;=","&lt;=")&amp;Z18,[3]Variables!$M$2:$M$19,IF(T18="NorthBound","&lt;=","&gt;=")&amp;AA18)</f>
        <v>7</v>
      </c>
      <c r="W1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06:12:39-0600',mode:absolute,to:'2016-05-27 07:00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8" s="73" t="str">
        <f t="shared" si="3"/>
        <v>Y</v>
      </c>
      <c r="Y18" s="73">
        <f t="shared" si="4"/>
        <v>1</v>
      </c>
      <c r="Z18" s="73">
        <f t="shared" si="5"/>
        <v>23.297499999999999</v>
      </c>
      <c r="AA18" s="73">
        <f t="shared" si="6"/>
        <v>4.9164000000000003</v>
      </c>
      <c r="AB18" s="73">
        <f t="shared" si="7"/>
        <v>18.3811</v>
      </c>
      <c r="AC18" s="74" t="e">
        <f>VLOOKUP(A18,Enforcements!$C$3:$J$69,8,0)</f>
        <v>#N/A</v>
      </c>
      <c r="AD18" s="74" t="e">
        <f>VLOOKUP(A18,Enforcements!$C$3:$J$69,3,0)</f>
        <v>#N/A</v>
      </c>
    </row>
    <row r="19" spans="1:30" s="2" customFormat="1" x14ac:dyDescent="0.25">
      <c r="A19" s="60" t="s">
        <v>206</v>
      </c>
      <c r="B19" s="60">
        <v>4038</v>
      </c>
      <c r="C19" s="60" t="s">
        <v>62</v>
      </c>
      <c r="D19" s="60" t="s">
        <v>91</v>
      </c>
      <c r="E19" s="30">
        <v>42517.231041666666</v>
      </c>
      <c r="F19" s="30">
        <v>42517.232604166667</v>
      </c>
      <c r="G19" s="38">
        <v>2</v>
      </c>
      <c r="H19" s="30" t="s">
        <v>100</v>
      </c>
      <c r="I19" s="30">
        <v>42517.264664351853</v>
      </c>
      <c r="J19" s="60">
        <v>1</v>
      </c>
      <c r="K19" s="60" t="str">
        <f t="shared" si="0"/>
        <v>4037/4038</v>
      </c>
      <c r="L19" s="60" t="str">
        <f>VLOOKUP(A19,'Trips&amp;Operators'!$C$1:$E$9999,3,FALSE)</f>
        <v>STURGEON</v>
      </c>
      <c r="M19" s="12">
        <f t="shared" si="1"/>
        <v>3.2060185185400769E-2</v>
      </c>
      <c r="N19" s="13">
        <f t="shared" si="10"/>
        <v>46.166666666977108</v>
      </c>
      <c r="O19" s="13"/>
      <c r="P19" s="13"/>
      <c r="Q19" s="61"/>
      <c r="R19" s="61"/>
      <c r="S19" s="94">
        <f t="shared" si="8"/>
        <v>1</v>
      </c>
      <c r="T19" s="2" t="str">
        <f t="shared" si="9"/>
        <v>NorthBound</v>
      </c>
      <c r="U19" s="67">
        <f>COUNTIFS([3]Variables!$M$2:$M$19,IF(T19="NorthBound","&gt;=","&lt;=")&amp;Z19,[3]Variables!$M$2:$M$19,IF(T19="NorthBound","&lt;=","&gt;=")&amp;AA19)</f>
        <v>12</v>
      </c>
      <c r="W1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05:31:42-0600',mode:absolute,to:'2016-05-27 06:22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9" s="73" t="str">
        <f t="shared" si="3"/>
        <v>N</v>
      </c>
      <c r="Y19" s="73">
        <f t="shared" si="4"/>
        <v>1</v>
      </c>
      <c r="Z19" s="73">
        <f t="shared" si="5"/>
        <v>4.5999999999999999E-2</v>
      </c>
      <c r="AA19" s="73">
        <f t="shared" si="6"/>
        <v>23.330400000000001</v>
      </c>
      <c r="AB19" s="73">
        <f t="shared" si="7"/>
        <v>23.284400000000002</v>
      </c>
      <c r="AC19" s="74">
        <f>VLOOKUP(A19,Enforcements!$C$3:$J$69,8,0)</f>
        <v>233491</v>
      </c>
      <c r="AD19" s="74" t="str">
        <f>VLOOKUP(A19,Enforcements!$C$3:$J$69,3,0)</f>
        <v>TRACK WARRANT AUTHORITY</v>
      </c>
    </row>
    <row r="20" spans="1:30" s="2" customFormat="1" x14ac:dyDescent="0.25">
      <c r="A20" s="60" t="s">
        <v>207</v>
      </c>
      <c r="B20" s="60">
        <v>4037</v>
      </c>
      <c r="C20" s="60" t="s">
        <v>62</v>
      </c>
      <c r="D20" s="60" t="s">
        <v>208</v>
      </c>
      <c r="E20" s="30">
        <v>42517.268807870372</v>
      </c>
      <c r="F20" s="30">
        <v>42517.270185185182</v>
      </c>
      <c r="G20" s="38">
        <v>1</v>
      </c>
      <c r="H20" s="30" t="s">
        <v>160</v>
      </c>
      <c r="I20" s="30">
        <v>42517.308125000003</v>
      </c>
      <c r="J20" s="60">
        <v>0</v>
      </c>
      <c r="K20" s="60" t="str">
        <f t="shared" si="0"/>
        <v>4037/4038</v>
      </c>
      <c r="L20" s="60" t="str">
        <f>VLOOKUP(A20,'Trips&amp;Operators'!$C$1:$E$9999,3,FALSE)</f>
        <v>STURGEON</v>
      </c>
      <c r="M20" s="12">
        <f t="shared" si="1"/>
        <v>3.793981482158415E-2</v>
      </c>
      <c r="N20" s="13">
        <f t="shared" si="10"/>
        <v>54.633333343081176</v>
      </c>
      <c r="O20" s="13"/>
      <c r="P20" s="13"/>
      <c r="Q20" s="61"/>
      <c r="R20" s="61"/>
      <c r="S20" s="94">
        <f t="shared" si="8"/>
        <v>1</v>
      </c>
      <c r="T20" s="2" t="str">
        <f t="shared" si="9"/>
        <v>Southbound</v>
      </c>
      <c r="U20" s="67">
        <f>COUNTIFS([3]Variables!$M$2:$M$19,IF(T20="NorthBound","&gt;=","&lt;=")&amp;Z20,[3]Variables!$M$2:$M$19,IF(T20="NorthBound","&lt;=","&gt;=")&amp;AA20)</f>
        <v>12</v>
      </c>
      <c r="W2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06:26:05-0600',mode:absolute,to:'2016-05-27 07:24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0" s="73" t="str">
        <f t="shared" si="3"/>
        <v>N</v>
      </c>
      <c r="Y20" s="73">
        <f t="shared" si="4"/>
        <v>1</v>
      </c>
      <c r="Z20" s="73">
        <f t="shared" si="5"/>
        <v>23.296399999999998</v>
      </c>
      <c r="AA20" s="73">
        <f t="shared" si="6"/>
        <v>1.6899999999999998E-2</v>
      </c>
      <c r="AB20" s="73">
        <f t="shared" si="7"/>
        <v>23.279499999999999</v>
      </c>
      <c r="AC20" s="74" t="e">
        <f>VLOOKUP(A20,Enforcements!$C$3:$J$69,8,0)</f>
        <v>#N/A</v>
      </c>
      <c r="AD20" s="74" t="e">
        <f>VLOOKUP(A20,Enforcements!$C$3:$J$69,3,0)</f>
        <v>#N/A</v>
      </c>
    </row>
    <row r="21" spans="1:30" s="2" customFormat="1" x14ac:dyDescent="0.25">
      <c r="A21" s="60" t="s">
        <v>209</v>
      </c>
      <c r="B21" s="60">
        <v>4029</v>
      </c>
      <c r="C21" s="60" t="s">
        <v>62</v>
      </c>
      <c r="D21" s="60" t="s">
        <v>211</v>
      </c>
      <c r="E21" s="30">
        <v>42517.24931712963</v>
      </c>
      <c r="F21" s="30">
        <v>42517.248298611114</v>
      </c>
      <c r="G21" s="38">
        <v>1</v>
      </c>
      <c r="H21" s="30" t="s">
        <v>210</v>
      </c>
      <c r="I21" s="30">
        <v>42517.279803240737</v>
      </c>
      <c r="J21" s="60">
        <v>0</v>
      </c>
      <c r="K21" s="60" t="str">
        <f t="shared" si="0"/>
        <v>4029/4030</v>
      </c>
      <c r="L21" s="60" t="str">
        <f>VLOOKUP(A21,'Trips&amp;Operators'!$C$1:$E$9999,3,FALSE)</f>
        <v>BEAM</v>
      </c>
      <c r="M21" s="12">
        <f t="shared" si="1"/>
        <v>3.1504629623668734E-2</v>
      </c>
      <c r="N21" s="13">
        <f t="shared" si="10"/>
        <v>45.366666658082977</v>
      </c>
      <c r="O21" s="13"/>
      <c r="P21" s="13"/>
      <c r="Q21" s="61"/>
      <c r="R21" s="61"/>
      <c r="S21" s="94">
        <f t="shared" si="8"/>
        <v>1</v>
      </c>
      <c r="T21" s="2" t="str">
        <f t="shared" si="9"/>
        <v>NorthBound</v>
      </c>
      <c r="U21" s="67">
        <f>COUNTIFS([3]Variables!$M$2:$M$19,IF(T21="NorthBound","&gt;=","&lt;=")&amp;Z21,[3]Variables!$M$2:$M$19,IF(T21="NorthBound","&lt;=","&gt;=")&amp;AA21)</f>
        <v>12</v>
      </c>
      <c r="W2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05:58:01-0600',mode:absolute,to:'2016-05-27 06:43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21" s="73" t="str">
        <f t="shared" si="3"/>
        <v>N</v>
      </c>
      <c r="Y21" s="73">
        <f t="shared" si="4"/>
        <v>1</v>
      </c>
      <c r="Z21" s="73">
        <f t="shared" si="5"/>
        <v>8.5900000000000004E-2</v>
      </c>
      <c r="AA21" s="73">
        <v>23.311499999999999</v>
      </c>
      <c r="AB21" s="73">
        <f t="shared" si="7"/>
        <v>23.2256</v>
      </c>
      <c r="AC21" s="74" t="e">
        <f>VLOOKUP(A21,Enforcements!$C$3:$J$69,8,0)</f>
        <v>#N/A</v>
      </c>
      <c r="AD21" s="74" t="e">
        <f>VLOOKUP(A21,Enforcements!$C$3:$J$69,3,0)</f>
        <v>#N/A</v>
      </c>
    </row>
    <row r="22" spans="1:30" s="2" customFormat="1" x14ac:dyDescent="0.25">
      <c r="A22" s="60" t="s">
        <v>212</v>
      </c>
      <c r="B22" s="60">
        <v>4030</v>
      </c>
      <c r="C22" s="60" t="s">
        <v>62</v>
      </c>
      <c r="D22" s="60" t="s">
        <v>213</v>
      </c>
      <c r="E22" s="30">
        <v>42517.284814814811</v>
      </c>
      <c r="F22" s="30">
        <v>42517.285717592589</v>
      </c>
      <c r="G22" s="38">
        <v>1</v>
      </c>
      <c r="H22" s="30" t="s">
        <v>80</v>
      </c>
      <c r="I22" s="30">
        <v>42517.31658564815</v>
      </c>
      <c r="J22" s="60">
        <v>1</v>
      </c>
      <c r="K22" s="60" t="str">
        <f t="shared" si="0"/>
        <v>4029/4030</v>
      </c>
      <c r="L22" s="60" t="str">
        <f>VLOOKUP(A22,'Trips&amp;Operators'!$C$1:$E$9999,3,FALSE)</f>
        <v>BEAM</v>
      </c>
      <c r="M22" s="12">
        <f t="shared" si="1"/>
        <v>3.086805556085892E-2</v>
      </c>
      <c r="N22" s="13">
        <f t="shared" si="10"/>
        <v>44.450000007636845</v>
      </c>
      <c r="O22" s="13"/>
      <c r="P22" s="13"/>
      <c r="Q22" s="61"/>
      <c r="R22" s="61"/>
      <c r="S22" s="94">
        <f t="shared" si="8"/>
        <v>1</v>
      </c>
      <c r="T22" s="2" t="str">
        <f t="shared" si="9"/>
        <v>Southbound</v>
      </c>
      <c r="U22" s="67">
        <f>COUNTIFS([3]Variables!$M$2:$M$19,IF(T22="NorthBound","&gt;=","&lt;=")&amp;Z22,[3]Variables!$M$2:$M$19,IF(T22="NorthBound","&lt;=","&gt;=")&amp;AA22)</f>
        <v>12</v>
      </c>
      <c r="W2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06:49:08-0600',mode:absolute,to:'2016-05-27 07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2" s="73" t="str">
        <f t="shared" si="3"/>
        <v>N</v>
      </c>
      <c r="Y22" s="73">
        <f t="shared" si="4"/>
        <v>1</v>
      </c>
      <c r="Z22" s="73">
        <f t="shared" si="5"/>
        <v>23.296500000000002</v>
      </c>
      <c r="AA22" s="73">
        <f t="shared" si="6"/>
        <v>1.47E-2</v>
      </c>
      <c r="AB22" s="73">
        <f t="shared" si="7"/>
        <v>23.2818</v>
      </c>
      <c r="AC22" s="74">
        <f>VLOOKUP(A22,Enforcements!$C$3:$J$69,8,0)</f>
        <v>4677</v>
      </c>
      <c r="AD22" s="74" t="str">
        <f>VLOOKUP(A22,Enforcements!$C$3:$J$69,3,0)</f>
        <v>PERMANENT SPEED RESTRICTION</v>
      </c>
    </row>
    <row r="23" spans="1:30" s="2" customFormat="1" x14ac:dyDescent="0.25">
      <c r="A23" s="60" t="s">
        <v>214</v>
      </c>
      <c r="B23" s="60">
        <v>4016</v>
      </c>
      <c r="C23" s="60" t="s">
        <v>62</v>
      </c>
      <c r="D23" s="60" t="s">
        <v>82</v>
      </c>
      <c r="E23" s="30">
        <v>42517.2577662037</v>
      </c>
      <c r="F23" s="30">
        <v>42517.258437500001</v>
      </c>
      <c r="G23" s="38">
        <v>0</v>
      </c>
      <c r="H23" s="30" t="s">
        <v>192</v>
      </c>
      <c r="I23" s="30">
        <v>42517.287314814814</v>
      </c>
      <c r="J23" s="60">
        <v>0</v>
      </c>
      <c r="K23" s="60" t="str">
        <f t="shared" si="0"/>
        <v>4015/4016</v>
      </c>
      <c r="L23" s="60" t="str">
        <f>VLOOKUP(A23,'Trips&amp;Operators'!$C$1:$E$9999,3,FALSE)</f>
        <v>STARKS</v>
      </c>
      <c r="M23" s="12">
        <f t="shared" si="1"/>
        <v>2.8877314813144039E-2</v>
      </c>
      <c r="N23" s="13">
        <f t="shared" si="10"/>
        <v>41.583333330927417</v>
      </c>
      <c r="O23" s="13"/>
      <c r="P23" s="13"/>
      <c r="Q23" s="61"/>
      <c r="R23" s="61"/>
      <c r="S23" s="94">
        <f t="shared" si="8"/>
        <v>1</v>
      </c>
      <c r="T23" s="2" t="str">
        <f t="shared" si="9"/>
        <v>NorthBound</v>
      </c>
      <c r="U23" s="67">
        <f>COUNTIFS([3]Variables!$M$2:$M$19,IF(T23="NorthBound","&gt;=","&lt;=")&amp;Z23,[3]Variables!$M$2:$M$19,IF(T23="NorthBound","&lt;=","&gt;=")&amp;AA23)</f>
        <v>12</v>
      </c>
      <c r="W2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06:10:11-0600',mode:absolute,to:'2016-05-27 06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3" s="73" t="str">
        <f t="shared" si="3"/>
        <v>N</v>
      </c>
      <c r="Y23" s="73">
        <f t="shared" si="4"/>
        <v>1</v>
      </c>
      <c r="Z23" s="73">
        <f t="shared" si="5"/>
        <v>4.58E-2</v>
      </c>
      <c r="AA23" s="73">
        <f t="shared" si="6"/>
        <v>23.336400000000001</v>
      </c>
      <c r="AB23" s="73">
        <f t="shared" si="7"/>
        <v>23.290600000000001</v>
      </c>
      <c r="AC23" s="74" t="e">
        <f>VLOOKUP(A23,Enforcements!$C$3:$J$69,8,0)</f>
        <v>#N/A</v>
      </c>
      <c r="AD23" s="74" t="e">
        <f>VLOOKUP(A23,Enforcements!$C$3:$J$69,3,0)</f>
        <v>#N/A</v>
      </c>
    </row>
    <row r="24" spans="1:30" s="2" customFormat="1" x14ac:dyDescent="0.25">
      <c r="A24" s="60" t="s">
        <v>215</v>
      </c>
      <c r="B24" s="60">
        <v>4015</v>
      </c>
      <c r="C24" s="60" t="s">
        <v>62</v>
      </c>
      <c r="D24" s="60" t="s">
        <v>194</v>
      </c>
      <c r="E24" s="30">
        <v>42517.298391203702</v>
      </c>
      <c r="F24" s="30">
        <v>42517.299270833333</v>
      </c>
      <c r="G24" s="38">
        <v>1</v>
      </c>
      <c r="H24" s="30" t="s">
        <v>123</v>
      </c>
      <c r="I24" s="30">
        <v>42517.329745370371</v>
      </c>
      <c r="J24" s="60">
        <v>2</v>
      </c>
      <c r="K24" s="60" t="str">
        <f t="shared" si="0"/>
        <v>4015/4016</v>
      </c>
      <c r="L24" s="60" t="str">
        <f>VLOOKUP(A24,'Trips&amp;Operators'!$C$1:$E$9999,3,FALSE)</f>
        <v>STARKS</v>
      </c>
      <c r="M24" s="12">
        <f t="shared" si="1"/>
        <v>3.047453703766223E-2</v>
      </c>
      <c r="N24" s="13">
        <f t="shared" si="10"/>
        <v>43.883333334233612</v>
      </c>
      <c r="O24" s="13"/>
      <c r="P24" s="13"/>
      <c r="Q24" s="61"/>
      <c r="R24" s="61"/>
      <c r="S24" s="94">
        <f t="shared" si="8"/>
        <v>1</v>
      </c>
      <c r="T24" s="2" t="str">
        <f t="shared" si="9"/>
        <v>Southbound</v>
      </c>
      <c r="U24" s="67">
        <f>COUNTIFS([3]Variables!$M$2:$M$19,IF(T24="NorthBound","&gt;=","&lt;=")&amp;Z24,[3]Variables!$M$2:$M$19,IF(T24="NorthBound","&lt;=","&gt;=")&amp;AA24)</f>
        <v>12</v>
      </c>
      <c r="W24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07:08:41-0600',mode:absolute,to:'2016-05-27 07:55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4" s="73" t="str">
        <f t="shared" si="3"/>
        <v>N</v>
      </c>
      <c r="Y24" s="73">
        <f t="shared" si="4"/>
        <v>1</v>
      </c>
      <c r="Z24" s="73">
        <f t="shared" si="5"/>
        <v>23.305499999999999</v>
      </c>
      <c r="AA24" s="73">
        <f t="shared" si="6"/>
        <v>1.34E-2</v>
      </c>
      <c r="AB24" s="73">
        <f t="shared" si="7"/>
        <v>23.292099999999998</v>
      </c>
      <c r="AC24" s="74">
        <f>VLOOKUP(A24,Enforcements!$C$3:$J$69,8,0)</f>
        <v>200464</v>
      </c>
      <c r="AD24" s="74" t="str">
        <f>VLOOKUP(A24,Enforcements!$C$3:$J$69,3,0)</f>
        <v>PERMANENT SPEED RESTRICTION</v>
      </c>
    </row>
    <row r="25" spans="1:30" s="2" customFormat="1" x14ac:dyDescent="0.25">
      <c r="A25" s="60" t="s">
        <v>216</v>
      </c>
      <c r="B25" s="60">
        <v>4044</v>
      </c>
      <c r="C25" s="60" t="s">
        <v>62</v>
      </c>
      <c r="D25" s="60" t="s">
        <v>217</v>
      </c>
      <c r="E25" s="30">
        <v>42517.269814814812</v>
      </c>
      <c r="F25" s="30">
        <v>42517.270914351851</v>
      </c>
      <c r="G25" s="38">
        <v>1</v>
      </c>
      <c r="H25" s="30" t="s">
        <v>218</v>
      </c>
      <c r="I25" s="30">
        <v>42517.296296296299</v>
      </c>
      <c r="J25" s="60">
        <v>2</v>
      </c>
      <c r="K25" s="60" t="str">
        <f t="shared" si="0"/>
        <v>4043/4044</v>
      </c>
      <c r="L25" s="60" t="str">
        <f>VLOOKUP(A25,'Trips&amp;Operators'!$C$1:$E$9999,3,FALSE)</f>
        <v>MALAVE</v>
      </c>
      <c r="M25" s="12">
        <f t="shared" si="1"/>
        <v>2.5381944447872229E-2</v>
      </c>
      <c r="N25" s="13">
        <f t="shared" si="10"/>
        <v>36.55000000493601</v>
      </c>
      <c r="O25" s="13"/>
      <c r="P25" s="13"/>
      <c r="Q25" s="61"/>
      <c r="R25" s="61"/>
      <c r="S25" s="94">
        <f t="shared" si="8"/>
        <v>1</v>
      </c>
      <c r="T25" s="2" t="str">
        <f t="shared" si="9"/>
        <v>NorthBound</v>
      </c>
      <c r="U25" s="67">
        <f>COUNTIFS([3]Variables!$M$2:$M$19,IF(T25="NorthBound","&gt;=","&lt;=")&amp;Z25,[3]Variables!$M$2:$M$19,IF(T25="NorthBound","&lt;=","&gt;=")&amp;AA25)</f>
        <v>12</v>
      </c>
      <c r="W25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06:27:32-0600',mode:absolute,to:'2016-05-27 07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5" s="73" t="str">
        <f t="shared" si="3"/>
        <v>N</v>
      </c>
      <c r="Y25" s="73">
        <f t="shared" si="4"/>
        <v>1</v>
      </c>
      <c r="Z25" s="73">
        <f t="shared" si="5"/>
        <v>4.53E-2</v>
      </c>
      <c r="AA25" s="73">
        <f t="shared" si="6"/>
        <v>23.337</v>
      </c>
      <c r="AB25" s="73">
        <f t="shared" si="7"/>
        <v>23.291699999999999</v>
      </c>
      <c r="AC25" s="74">
        <f>VLOOKUP(A25,Enforcements!$C$3:$J$69,8,0)</f>
        <v>47865</v>
      </c>
      <c r="AD25" s="74" t="str">
        <f>VLOOKUP(A25,Enforcements!$C$3:$J$69,3,0)</f>
        <v>GRADE CROSSING</v>
      </c>
    </row>
    <row r="26" spans="1:30" s="2" customFormat="1" x14ac:dyDescent="0.25">
      <c r="A26" s="60" t="s">
        <v>219</v>
      </c>
      <c r="B26" s="60">
        <v>4024</v>
      </c>
      <c r="C26" s="60" t="s">
        <v>62</v>
      </c>
      <c r="D26" s="60" t="s">
        <v>142</v>
      </c>
      <c r="E26" s="30">
        <v>42517.278622685182</v>
      </c>
      <c r="F26" s="30">
        <v>42517.280706018515</v>
      </c>
      <c r="G26" s="38">
        <v>3</v>
      </c>
      <c r="H26" s="30" t="s">
        <v>220</v>
      </c>
      <c r="I26" s="30">
        <v>42517.307280092595</v>
      </c>
      <c r="J26" s="60">
        <v>0</v>
      </c>
      <c r="K26" s="60" t="str">
        <f t="shared" si="0"/>
        <v>4023/4024</v>
      </c>
      <c r="L26" s="60" t="str">
        <f>VLOOKUP(A26,'Trips&amp;Operators'!$C$1:$E$9999,3,FALSE)</f>
        <v>GEBRETEKLE</v>
      </c>
      <c r="M26" s="12">
        <f t="shared" si="1"/>
        <v>2.6574074079690035E-2</v>
      </c>
      <c r="N26" s="13">
        <f t="shared" si="10"/>
        <v>38.266666674753651</v>
      </c>
      <c r="O26" s="13"/>
      <c r="P26" s="13"/>
      <c r="Q26" s="61"/>
      <c r="R26" s="61"/>
      <c r="S26" s="94">
        <f t="shared" si="8"/>
        <v>1</v>
      </c>
      <c r="T26" s="2" t="str">
        <f t="shared" si="9"/>
        <v>NorthBound</v>
      </c>
      <c r="U26" s="67">
        <f>COUNTIFS([3]Variables!$M$2:$M$19,IF(T26="NorthBound","&gt;=","&lt;=")&amp;Z26,[3]Variables!$M$2:$M$19,IF(T26="NorthBound","&lt;=","&gt;=")&amp;AA26)</f>
        <v>12</v>
      </c>
      <c r="W26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06:40:13-0600',mode:absolute,to:'2016-05-27 07:23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26" s="73" t="str">
        <f t="shared" si="3"/>
        <v>N</v>
      </c>
      <c r="Y26" s="73">
        <f t="shared" si="4"/>
        <v>2</v>
      </c>
      <c r="Z26" s="73">
        <f t="shared" si="5"/>
        <v>4.4400000000000002E-2</v>
      </c>
      <c r="AA26" s="73">
        <f t="shared" si="6"/>
        <v>23.332100000000001</v>
      </c>
      <c r="AB26" s="73">
        <f t="shared" si="7"/>
        <v>23.287700000000001</v>
      </c>
      <c r="AC26" s="74" t="e">
        <f>VLOOKUP(A26,Enforcements!$C$3:$J$69,8,0)</f>
        <v>#N/A</v>
      </c>
      <c r="AD26" s="74" t="e">
        <f>VLOOKUP(A26,Enforcements!$C$3:$J$69,3,0)</f>
        <v>#N/A</v>
      </c>
    </row>
    <row r="27" spans="1:30" s="2" customFormat="1" x14ac:dyDescent="0.25">
      <c r="A27" s="60" t="s">
        <v>221</v>
      </c>
      <c r="B27" s="60">
        <v>4023</v>
      </c>
      <c r="C27" s="60" t="s">
        <v>62</v>
      </c>
      <c r="D27" s="60" t="s">
        <v>222</v>
      </c>
      <c r="E27" s="30">
        <v>42517.317708333336</v>
      </c>
      <c r="F27" s="30">
        <v>42517.318518518521</v>
      </c>
      <c r="G27" s="38">
        <v>1</v>
      </c>
      <c r="H27" s="30" t="s">
        <v>65</v>
      </c>
      <c r="I27" s="30">
        <v>42517.347731481481</v>
      </c>
      <c r="J27" s="60">
        <v>0</v>
      </c>
      <c r="K27" s="60" t="str">
        <f t="shared" si="0"/>
        <v>4023/4024</v>
      </c>
      <c r="L27" s="60" t="str">
        <f>VLOOKUP(A27,'Trips&amp;Operators'!$C$1:$E$9999,3,FALSE)</f>
        <v>GEBRETEKLE</v>
      </c>
      <c r="M27" s="12">
        <f t="shared" si="1"/>
        <v>2.9212962959718425E-2</v>
      </c>
      <c r="N27" s="13">
        <f t="shared" si="10"/>
        <v>42.066666661994532</v>
      </c>
      <c r="O27" s="13"/>
      <c r="P27" s="13"/>
      <c r="Q27" s="61"/>
      <c r="R27" s="61"/>
      <c r="S27" s="94">
        <f t="shared" si="8"/>
        <v>1</v>
      </c>
      <c r="T27" s="2" t="str">
        <f t="shared" si="9"/>
        <v>Southbound</v>
      </c>
      <c r="U27" s="67">
        <f>COUNTIFS([3]Variables!$M$2:$M$19,IF(T27="NorthBound","&gt;=","&lt;=")&amp;Z27,[3]Variables!$M$2:$M$19,IF(T27="NorthBound","&lt;=","&gt;=")&amp;AA27)</f>
        <v>12</v>
      </c>
      <c r="W27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07:36:30-0600',mode:absolute,to:'2016-05-27 08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27" s="73" t="str">
        <f t="shared" si="3"/>
        <v>N</v>
      </c>
      <c r="Y27" s="73">
        <f t="shared" si="4"/>
        <v>1</v>
      </c>
      <c r="Z27" s="73">
        <f t="shared" si="5"/>
        <v>23.299800000000001</v>
      </c>
      <c r="AA27" s="73">
        <f t="shared" si="6"/>
        <v>1.4500000000000001E-2</v>
      </c>
      <c r="AB27" s="73">
        <f t="shared" si="7"/>
        <v>23.285299999999999</v>
      </c>
      <c r="AC27" s="74" t="e">
        <f>VLOOKUP(A27,Enforcements!$C$3:$J$69,8,0)</f>
        <v>#N/A</v>
      </c>
      <c r="AD27" s="74" t="e">
        <f>VLOOKUP(A27,Enforcements!$C$3:$J$69,3,0)</f>
        <v>#N/A</v>
      </c>
    </row>
    <row r="28" spans="1:30" s="2" customFormat="1" x14ac:dyDescent="0.25">
      <c r="A28" s="60" t="s">
        <v>223</v>
      </c>
      <c r="B28" s="60">
        <v>4018</v>
      </c>
      <c r="C28" s="60" t="s">
        <v>62</v>
      </c>
      <c r="D28" s="60" t="s">
        <v>134</v>
      </c>
      <c r="E28" s="30">
        <v>42517.288425925923</v>
      </c>
      <c r="F28" s="30">
        <v>42517.289444444446</v>
      </c>
      <c r="G28" s="38">
        <v>1</v>
      </c>
      <c r="H28" s="30" t="s">
        <v>154</v>
      </c>
      <c r="I28" s="30">
        <v>42517.317291666666</v>
      </c>
      <c r="J28" s="60">
        <v>0</v>
      </c>
      <c r="K28" s="60" t="str">
        <f t="shared" si="0"/>
        <v>4017/4018</v>
      </c>
      <c r="L28" s="60" t="str">
        <f>VLOOKUP(A28,'Trips&amp;Operators'!$C$1:$E$9999,3,FALSE)</f>
        <v>LEDERHAUSE</v>
      </c>
      <c r="M28" s="12">
        <f t="shared" si="1"/>
        <v>2.7847222219861578E-2</v>
      </c>
      <c r="N28" s="13">
        <f t="shared" si="10"/>
        <v>40.099999996600673</v>
      </c>
      <c r="O28" s="13"/>
      <c r="P28" s="13"/>
      <c r="Q28" s="61"/>
      <c r="R28" s="61"/>
      <c r="S28" s="94">
        <f t="shared" si="8"/>
        <v>1</v>
      </c>
      <c r="T28" s="2" t="str">
        <f t="shared" si="9"/>
        <v>NorthBound</v>
      </c>
      <c r="U28" s="67">
        <f>COUNTIFS([3]Variables!$M$2:$M$19,IF(T28="NorthBound","&gt;=","&lt;=")&amp;Z28,[3]Variables!$M$2:$M$19,IF(T28="NorthBound","&lt;=","&gt;=")&amp;AA28)</f>
        <v>12</v>
      </c>
      <c r="W28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06:54:20-0600',mode:absolute,to:'2016-05-27 07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28" s="73" t="str">
        <f t="shared" si="3"/>
        <v>N</v>
      </c>
      <c r="Y28" s="73">
        <f t="shared" si="4"/>
        <v>1</v>
      </c>
      <c r="Z28" s="73">
        <f t="shared" si="5"/>
        <v>4.7100000000000003E-2</v>
      </c>
      <c r="AA28" s="73">
        <f t="shared" si="6"/>
        <v>23.328600000000002</v>
      </c>
      <c r="AB28" s="73">
        <f t="shared" si="7"/>
        <v>23.281500000000001</v>
      </c>
      <c r="AC28" s="74" t="e">
        <f>VLOOKUP(A28,Enforcements!$C$3:$J$69,8,0)</f>
        <v>#N/A</v>
      </c>
      <c r="AD28" s="74" t="e">
        <f>VLOOKUP(A28,Enforcements!$C$3:$J$69,3,0)</f>
        <v>#N/A</v>
      </c>
    </row>
    <row r="29" spans="1:30" s="2" customFormat="1" x14ac:dyDescent="0.25">
      <c r="A29" s="60" t="s">
        <v>224</v>
      </c>
      <c r="B29" s="60">
        <v>4017</v>
      </c>
      <c r="C29" s="60" t="s">
        <v>62</v>
      </c>
      <c r="D29" s="60" t="s">
        <v>121</v>
      </c>
      <c r="E29" s="30">
        <v>42517.32744212963</v>
      </c>
      <c r="F29" s="30">
        <v>42517.328738425924</v>
      </c>
      <c r="G29" s="38">
        <v>1</v>
      </c>
      <c r="H29" s="30" t="s">
        <v>70</v>
      </c>
      <c r="I29" s="30">
        <v>42517.356504629628</v>
      </c>
      <c r="J29" s="60">
        <v>0</v>
      </c>
      <c r="K29" s="60" t="str">
        <f t="shared" si="0"/>
        <v>4017/4018</v>
      </c>
      <c r="L29" s="60" t="str">
        <f>VLOOKUP(A29,'Trips&amp;Operators'!$C$1:$E$9999,3,FALSE)</f>
        <v>LEDERHAUSE</v>
      </c>
      <c r="M29" s="12">
        <f t="shared" si="1"/>
        <v>2.7766203704231884E-2</v>
      </c>
      <c r="N29" s="13">
        <f t="shared" si="10"/>
        <v>39.983333334093913</v>
      </c>
      <c r="O29" s="13"/>
      <c r="P29" s="13"/>
      <c r="Q29" s="61"/>
      <c r="R29" s="61"/>
      <c r="S29" s="94">
        <f t="shared" si="8"/>
        <v>1</v>
      </c>
      <c r="T29" s="2" t="str">
        <f t="shared" si="9"/>
        <v>Southbound</v>
      </c>
      <c r="U29" s="67">
        <f>COUNTIFS([3]Variables!$M$2:$M$19,IF(T29="NorthBound","&gt;=","&lt;=")&amp;Z29,[3]Variables!$M$2:$M$19,IF(T29="NorthBound","&lt;=","&gt;=")&amp;AA29)</f>
        <v>12</v>
      </c>
      <c r="W29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07:50:31-0600',mode:absolute,to:'2016-05-27 08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29" s="73" t="str">
        <f t="shared" si="3"/>
        <v>N</v>
      </c>
      <c r="Y29" s="73">
        <f t="shared" si="4"/>
        <v>1</v>
      </c>
      <c r="Z29" s="73">
        <f t="shared" si="5"/>
        <v>23.298200000000001</v>
      </c>
      <c r="AA29" s="73">
        <f t="shared" si="6"/>
        <v>1.52E-2</v>
      </c>
      <c r="AB29" s="73">
        <f t="shared" si="7"/>
        <v>23.283000000000001</v>
      </c>
      <c r="AC29" s="74" t="e">
        <f>VLOOKUP(A29,Enforcements!$C$3:$J$69,8,0)</f>
        <v>#N/A</v>
      </c>
      <c r="AD29" s="74" t="e">
        <f>VLOOKUP(A29,Enforcements!$C$3:$J$69,3,0)</f>
        <v>#N/A</v>
      </c>
    </row>
    <row r="30" spans="1:30" s="2" customFormat="1" x14ac:dyDescent="0.25">
      <c r="A30" s="60" t="s">
        <v>225</v>
      </c>
      <c r="B30" s="60">
        <v>4040</v>
      </c>
      <c r="C30" s="60" t="s">
        <v>62</v>
      </c>
      <c r="D30" s="60" t="s">
        <v>66</v>
      </c>
      <c r="E30" s="30">
        <v>42517.301840277774</v>
      </c>
      <c r="F30" s="30">
        <v>42517.302881944444</v>
      </c>
      <c r="G30" s="38">
        <v>1</v>
      </c>
      <c r="H30" s="30" t="s">
        <v>226</v>
      </c>
      <c r="I30" s="30">
        <v>42517.329097222224</v>
      </c>
      <c r="J30" s="60">
        <v>0</v>
      </c>
      <c r="K30" s="60" t="str">
        <f t="shared" si="0"/>
        <v>4039/4040</v>
      </c>
      <c r="L30" s="60" t="str">
        <f>VLOOKUP(A30,'Trips&amp;Operators'!$C$1:$E$9999,3,FALSE)</f>
        <v>SANTIZO</v>
      </c>
      <c r="M30" s="12">
        <f t="shared" si="1"/>
        <v>2.6215277779556345E-2</v>
      </c>
      <c r="N30" s="13">
        <f t="shared" si="10"/>
        <v>37.750000002561137</v>
      </c>
      <c r="O30" s="13"/>
      <c r="P30" s="13"/>
      <c r="Q30" s="61"/>
      <c r="R30" s="61"/>
      <c r="S30" s="94">
        <f t="shared" si="8"/>
        <v>1</v>
      </c>
      <c r="T30" s="2" t="str">
        <f t="shared" si="9"/>
        <v>NorthBound</v>
      </c>
      <c r="U30" s="67">
        <f>COUNTIFS([3]Variables!$M$2:$M$19,IF(T30="NorthBound","&gt;=","&lt;=")&amp;Z30,[3]Variables!$M$2:$M$19,IF(T30="NorthBound","&lt;=","&gt;=")&amp;AA30)</f>
        <v>12</v>
      </c>
      <c r="W30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07:13:39-0600',mode:absolute,to:'2016-05-27 07:54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0" s="73" t="str">
        <f t="shared" si="3"/>
        <v>N</v>
      </c>
      <c r="Y30" s="73">
        <f t="shared" si="4"/>
        <v>1</v>
      </c>
      <c r="Z30" s="73">
        <f t="shared" si="5"/>
        <v>4.4699999999999997E-2</v>
      </c>
      <c r="AA30" s="73">
        <f t="shared" si="6"/>
        <v>23.3325</v>
      </c>
      <c r="AB30" s="73">
        <f t="shared" si="7"/>
        <v>23.287800000000001</v>
      </c>
      <c r="AC30" s="74" t="e">
        <f>VLOOKUP(A30,Enforcements!$C$3:$J$69,8,0)</f>
        <v>#N/A</v>
      </c>
      <c r="AD30" s="74" t="e">
        <f>VLOOKUP(A30,Enforcements!$C$3:$J$69,3,0)</f>
        <v>#N/A</v>
      </c>
    </row>
    <row r="31" spans="1:30" s="2" customFormat="1" x14ac:dyDescent="0.25">
      <c r="A31" s="60" t="s">
        <v>227</v>
      </c>
      <c r="B31" s="60">
        <v>4039</v>
      </c>
      <c r="C31" s="60" t="s">
        <v>62</v>
      </c>
      <c r="D31" s="60" t="s">
        <v>222</v>
      </c>
      <c r="E31" s="30">
        <v>42517.336863425924</v>
      </c>
      <c r="F31" s="30">
        <v>42517.337835648148</v>
      </c>
      <c r="G31" s="38">
        <v>1</v>
      </c>
      <c r="H31" s="30" t="s">
        <v>160</v>
      </c>
      <c r="I31" s="30">
        <v>42517.369305555556</v>
      </c>
      <c r="J31" s="60">
        <v>1</v>
      </c>
      <c r="K31" s="60" t="str">
        <f t="shared" si="0"/>
        <v>4039/4040</v>
      </c>
      <c r="L31" s="60" t="str">
        <f>VLOOKUP(A31,'Trips&amp;Operators'!$C$1:$E$9999,3,FALSE)</f>
        <v>SANTIZO</v>
      </c>
      <c r="M31" s="12">
        <f t="shared" si="1"/>
        <v>3.1469907407881692E-2</v>
      </c>
      <c r="N31" s="13">
        <f t="shared" si="10"/>
        <v>45.316666667349637</v>
      </c>
      <c r="O31" s="13"/>
      <c r="P31" s="13"/>
      <c r="Q31" s="61"/>
      <c r="R31" s="61"/>
      <c r="S31" s="94">
        <f t="shared" si="8"/>
        <v>1</v>
      </c>
      <c r="T31" s="2" t="str">
        <f t="shared" si="9"/>
        <v>Southbound</v>
      </c>
      <c r="U31" s="67">
        <f>COUNTIFS([3]Variables!$M$2:$M$19,IF(T31="NorthBound","&gt;=","&lt;=")&amp;Z31,[3]Variables!$M$2:$M$19,IF(T31="NorthBound","&lt;=","&gt;=")&amp;AA31)</f>
        <v>12</v>
      </c>
      <c r="W31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08:04:05-0600',mode:absolute,to:'2016-05-27 08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1" s="73" t="str">
        <f t="shared" si="3"/>
        <v>N</v>
      </c>
      <c r="Y31" s="73">
        <f t="shared" si="4"/>
        <v>1</v>
      </c>
      <c r="Z31" s="73">
        <f t="shared" si="5"/>
        <v>23.299800000000001</v>
      </c>
      <c r="AA31" s="73">
        <f t="shared" si="6"/>
        <v>1.6899999999999998E-2</v>
      </c>
      <c r="AB31" s="73">
        <f t="shared" si="7"/>
        <v>23.282900000000001</v>
      </c>
      <c r="AC31" s="74">
        <f>VLOOKUP(A31,Enforcements!$C$3:$J$69,8,0)</f>
        <v>15167</v>
      </c>
      <c r="AD31" s="74" t="str">
        <f>VLOOKUP(A31,Enforcements!$C$3:$J$69,3,0)</f>
        <v>PERMANENT SPEED RESTRICTION</v>
      </c>
    </row>
    <row r="32" spans="1:30" s="2" customFormat="1" x14ac:dyDescent="0.25">
      <c r="A32" s="60" t="s">
        <v>228</v>
      </c>
      <c r="B32" s="60">
        <v>4038</v>
      </c>
      <c r="C32" s="60" t="s">
        <v>62</v>
      </c>
      <c r="D32" s="60" t="s">
        <v>158</v>
      </c>
      <c r="E32" s="30">
        <v>42517.309201388889</v>
      </c>
      <c r="F32" s="30">
        <v>42517.310231481482</v>
      </c>
      <c r="G32" s="38">
        <v>1</v>
      </c>
      <c r="H32" s="30" t="s">
        <v>229</v>
      </c>
      <c r="I32" s="30">
        <v>42517.338622685187</v>
      </c>
      <c r="J32" s="60">
        <v>1</v>
      </c>
      <c r="K32" s="60" t="str">
        <f t="shared" si="0"/>
        <v>4037/4038</v>
      </c>
      <c r="L32" s="60" t="str">
        <f>VLOOKUP(A32,'Trips&amp;Operators'!$C$1:$E$9999,3,FALSE)</f>
        <v>STURGEON</v>
      </c>
      <c r="M32" s="12">
        <f t="shared" si="1"/>
        <v>2.8391203704813961E-2</v>
      </c>
      <c r="N32" s="13">
        <f t="shared" si="10"/>
        <v>40.883333334932104</v>
      </c>
      <c r="O32" s="13"/>
      <c r="P32" s="13"/>
      <c r="Q32" s="61"/>
      <c r="R32" s="61"/>
      <c r="S32" s="94">
        <f t="shared" si="8"/>
        <v>1</v>
      </c>
      <c r="T32" s="2" t="str">
        <f t="shared" si="9"/>
        <v>NorthBound</v>
      </c>
      <c r="U32" s="67">
        <f>COUNTIFS([3]Variables!$M$2:$M$19,IF(T32="NorthBound","&gt;=","&lt;=")&amp;Z32,[3]Variables!$M$2:$M$19,IF(T32="NorthBound","&lt;=","&gt;=")&amp;AA32)</f>
        <v>12</v>
      </c>
      <c r="W32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07:24:15-0600',mode:absolute,to:'2016-05-27 08:08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2" s="73" t="str">
        <f t="shared" si="3"/>
        <v>N</v>
      </c>
      <c r="Y32" s="73">
        <f t="shared" si="4"/>
        <v>1</v>
      </c>
      <c r="Z32" s="73">
        <f t="shared" si="5"/>
        <v>4.9299999999999997E-2</v>
      </c>
      <c r="AA32" s="73">
        <f t="shared" si="6"/>
        <v>23.3264</v>
      </c>
      <c r="AB32" s="73">
        <f t="shared" si="7"/>
        <v>23.277100000000001</v>
      </c>
      <c r="AC32" s="74">
        <f>VLOOKUP(A32,Enforcements!$C$3:$J$69,8,0)</f>
        <v>233491</v>
      </c>
      <c r="AD32" s="74" t="str">
        <f>VLOOKUP(A32,Enforcements!$C$3:$J$69,3,0)</f>
        <v>TRACK WARRANT AUTHORITY</v>
      </c>
    </row>
    <row r="33" spans="1:30" s="2" customFormat="1" x14ac:dyDescent="0.25">
      <c r="A33" s="60" t="s">
        <v>230</v>
      </c>
      <c r="B33" s="60">
        <v>4037</v>
      </c>
      <c r="C33" s="60" t="s">
        <v>62</v>
      </c>
      <c r="D33" s="60" t="s">
        <v>135</v>
      </c>
      <c r="E33" s="30">
        <v>42517.348252314812</v>
      </c>
      <c r="F33" s="30">
        <v>42517.349189814813</v>
      </c>
      <c r="G33" s="38">
        <v>1</v>
      </c>
      <c r="H33" s="30" t="s">
        <v>64</v>
      </c>
      <c r="I33" s="30">
        <v>42517.380231481482</v>
      </c>
      <c r="J33" s="60">
        <v>0</v>
      </c>
      <c r="K33" s="60" t="str">
        <f t="shared" si="0"/>
        <v>4037/4038</v>
      </c>
      <c r="L33" s="60" t="str">
        <f>VLOOKUP(A33,'Trips&amp;Operators'!$C$1:$E$9999,3,FALSE)</f>
        <v>STURGEON</v>
      </c>
      <c r="M33" s="12">
        <f t="shared" si="1"/>
        <v>3.104166666889796E-2</v>
      </c>
      <c r="N33" s="13">
        <f t="shared" si="10"/>
        <v>44.700000003213063</v>
      </c>
      <c r="O33" s="13"/>
      <c r="P33" s="13"/>
      <c r="Q33" s="61"/>
      <c r="R33" s="61"/>
      <c r="S33" s="94">
        <f t="shared" si="8"/>
        <v>1</v>
      </c>
      <c r="T33" s="2" t="str">
        <f t="shared" si="9"/>
        <v>Southbound</v>
      </c>
      <c r="U33" s="67">
        <f>COUNTIFS([3]Variables!$M$2:$M$19,IF(T33="NorthBound","&gt;=","&lt;=")&amp;Z33,[3]Variables!$M$2:$M$19,IF(T33="NorthBound","&lt;=","&gt;=")&amp;AA33)</f>
        <v>12</v>
      </c>
      <c r="W33" s="73" t="str">
        <f t="shared" si="2"/>
        <v>https://search-rtdc-monitor-bjffxe2xuh6vdkpspy63sjmuny.us-east-1.es.amazonaws.com/_plugin/kibana/#/discover/Steve-Slow-Train-Analysis-(2080s-and-2083s)?_g=(refreshInterval:(display:Off,section:0,value:0),time:(from:'2016-05-27 08:20:29-0600',mode:absolute,to:'2016-05-27 09:08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3" s="73" t="str">
        <f t="shared" si="3"/>
        <v>N</v>
      </c>
      <c r="Y33" s="73">
        <f t="shared" si="4"/>
        <v>1</v>
      </c>
      <c r="Z33" s="73">
        <f t="shared" si="5"/>
        <v>23.2957</v>
      </c>
      <c r="AA33" s="73">
        <f t="shared" si="6"/>
        <v>1.54E-2</v>
      </c>
      <c r="AB33" s="73">
        <f t="shared" si="7"/>
        <v>23.2803</v>
      </c>
      <c r="AC33" s="74" t="e">
        <f>VLOOKUP(A33,Enforcements!$C$3:$J$69,8,0)</f>
        <v>#N/A</v>
      </c>
      <c r="AD33" s="74" t="e">
        <f>VLOOKUP(A33,Enforcements!$C$3:$J$69,3,0)</f>
        <v>#N/A</v>
      </c>
    </row>
    <row r="34" spans="1:30" s="2" customFormat="1" x14ac:dyDescent="0.25">
      <c r="A34" s="60" t="s">
        <v>231</v>
      </c>
      <c r="B34" s="60">
        <v>4029</v>
      </c>
      <c r="C34" s="60" t="s">
        <v>62</v>
      </c>
      <c r="D34" s="60" t="s">
        <v>68</v>
      </c>
      <c r="E34" s="30">
        <v>42517.319687499999</v>
      </c>
      <c r="F34" s="30">
        <v>42517.320601851854</v>
      </c>
      <c r="G34" s="38">
        <v>1</v>
      </c>
      <c r="H34" s="30" t="s">
        <v>232</v>
      </c>
      <c r="I34" s="30">
        <v>42517.348252314812</v>
      </c>
      <c r="J34" s="60">
        <v>0</v>
      </c>
      <c r="K34" s="60" t="str">
        <f t="shared" ref="K34:K65" si="11">IF(ISEVEN(B34),(B34-1)&amp;"/"&amp;B34,B34&amp;"/"&amp;(B34+1))</f>
        <v>4029/4030</v>
      </c>
      <c r="L34" s="60" t="str">
        <f>VLOOKUP(A34,'Trips&amp;Operators'!$C$1:$E$9999,3,FALSE)</f>
        <v>BEAM</v>
      </c>
      <c r="M34" s="12">
        <f t="shared" ref="M34:M65" si="12">I34-F34</f>
        <v>2.7650462958263233E-2</v>
      </c>
      <c r="N34" s="13">
        <f t="shared" si="10"/>
        <v>39.816666659899056</v>
      </c>
      <c r="O34" s="13"/>
      <c r="P34" s="13"/>
      <c r="Q34" s="61"/>
      <c r="R34" s="61"/>
      <c r="S34" s="94">
        <f t="shared" si="8"/>
        <v>1</v>
      </c>
      <c r="T34" s="2" t="str">
        <f t="shared" si="9"/>
        <v>NorthBound</v>
      </c>
      <c r="U34" s="67">
        <f>COUNTIFS([3]Variables!$M$2:$M$19,IF(T34="NorthBound","&gt;=","&lt;=")&amp;Z34,[3]Variables!$M$2:$M$19,IF(T34="NorthBound","&lt;=","&gt;=")&amp;AA34)</f>
        <v>12</v>
      </c>
      <c r="W34" s="73" t="str">
        <f t="shared" ref="W34:W65" si="13"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https://search-rtdc-monitor-bjffxe2xuh6vdkpspy63sjmuny.us-east-1.es.amazonaws.com/_plugin/kibana/#/discover/Steve-Slow-Train-Analysis-(2080s-and-2083s)?_g=(refreshInterval:(display:Off,section:0,value:0),time:(from:'2016-05-27 07:39:21-0600',mode:absolute,to:'2016-05-27 08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34" s="73" t="str">
        <f t="shared" ref="X34:X65" si="14">IF(AB34&lt;23,"Y","N")</f>
        <v>N</v>
      </c>
      <c r="Y34" s="73">
        <f t="shared" ref="Y34:Y65" si="15">VALUE(LEFT(A34,3))-VALUE(LEFT(A33,3))</f>
        <v>1</v>
      </c>
      <c r="Z34" s="73">
        <f t="shared" ref="Z34:Z65" si="16">RIGHT(D34,LEN(D34)-4)/10000</f>
        <v>4.5499999999999999E-2</v>
      </c>
      <c r="AA34" s="73">
        <f t="shared" si="6"/>
        <v>23.311</v>
      </c>
      <c r="AB34" s="73">
        <f t="shared" ref="AB34:AB65" si="17">ABS(AA34-Z34)</f>
        <v>23.265499999999999</v>
      </c>
      <c r="AC34" s="74" t="e">
        <f>VLOOKUP(A34,Enforcements!$C$3:$J$69,8,0)</f>
        <v>#N/A</v>
      </c>
      <c r="AD34" s="74" t="e">
        <f>VLOOKUP(A34,Enforcements!$C$3:$J$69,3,0)</f>
        <v>#N/A</v>
      </c>
    </row>
    <row r="35" spans="1:30" s="2" customFormat="1" x14ac:dyDescent="0.25">
      <c r="A35" s="60" t="s">
        <v>233</v>
      </c>
      <c r="B35" s="60">
        <v>4030</v>
      </c>
      <c r="C35" s="60" t="s">
        <v>62</v>
      </c>
      <c r="D35" s="60" t="s">
        <v>234</v>
      </c>
      <c r="E35" s="30">
        <v>42517.357592592591</v>
      </c>
      <c r="F35" s="30">
        <v>42517.358518518522</v>
      </c>
      <c r="G35" s="38">
        <v>1</v>
      </c>
      <c r="H35" s="30" t="s">
        <v>70</v>
      </c>
      <c r="I35" s="30">
        <v>42517.389062499999</v>
      </c>
      <c r="J35" s="60">
        <v>1</v>
      </c>
      <c r="K35" s="60" t="str">
        <f t="shared" si="11"/>
        <v>4029/4030</v>
      </c>
      <c r="L35" s="60" t="str">
        <f>VLOOKUP(A35,'Trips&amp;Operators'!$C$1:$E$9999,3,FALSE)</f>
        <v>BEAM</v>
      </c>
      <c r="M35" s="12">
        <f t="shared" si="12"/>
        <v>3.0543981476512272E-2</v>
      </c>
      <c r="N35" s="13">
        <f t="shared" si="10"/>
        <v>43.983333326177672</v>
      </c>
      <c r="O35" s="13"/>
      <c r="P35" s="13"/>
      <c r="Q35" s="61"/>
      <c r="R35" s="61"/>
      <c r="S35" s="94">
        <f t="shared" si="8"/>
        <v>1</v>
      </c>
      <c r="T35" s="2" t="str">
        <f t="shared" si="9"/>
        <v>Southbound</v>
      </c>
      <c r="U35" s="67">
        <f>COUNTIFS([3]Variables!$M$2:$M$19,IF(T35="NorthBound","&gt;=","&lt;=")&amp;Z35,[3]Variables!$M$2:$M$19,IF(T35="NorthBound","&lt;=","&gt;=")&amp;AA35)</f>
        <v>12</v>
      </c>
      <c r="W3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08:33:56-0600',mode:absolute,to:'2016-05-27 09:21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35" s="73" t="str">
        <f t="shared" si="14"/>
        <v>N</v>
      </c>
      <c r="Y35" s="73">
        <f t="shared" si="15"/>
        <v>1</v>
      </c>
      <c r="Z35" s="73">
        <f t="shared" si="16"/>
        <v>23.295500000000001</v>
      </c>
      <c r="AA35" s="73">
        <f t="shared" si="6"/>
        <v>1.52E-2</v>
      </c>
      <c r="AB35" s="73">
        <f t="shared" si="17"/>
        <v>23.2803</v>
      </c>
      <c r="AC35" s="74">
        <f>VLOOKUP(A35,Enforcements!$C$3:$J$69,8,0)</f>
        <v>63309</v>
      </c>
      <c r="AD35" s="74" t="str">
        <f>VLOOKUP(A35,Enforcements!$C$3:$J$69,3,0)</f>
        <v>GRADE CROSSING</v>
      </c>
    </row>
    <row r="36" spans="1:30" s="2" customFormat="1" x14ac:dyDescent="0.25">
      <c r="A36" s="60" t="s">
        <v>235</v>
      </c>
      <c r="B36" s="60">
        <v>4016</v>
      </c>
      <c r="C36" s="60" t="s">
        <v>62</v>
      </c>
      <c r="D36" s="60" t="s">
        <v>236</v>
      </c>
      <c r="E36" s="30">
        <v>42517.330949074072</v>
      </c>
      <c r="F36" s="30">
        <v>42517.333680555559</v>
      </c>
      <c r="G36" s="38">
        <v>3</v>
      </c>
      <c r="H36" s="30" t="s">
        <v>237</v>
      </c>
      <c r="I36" s="30">
        <v>42517.33997685185</v>
      </c>
      <c r="J36" s="60">
        <v>0</v>
      </c>
      <c r="K36" s="60" t="str">
        <f t="shared" si="11"/>
        <v>4015/4016</v>
      </c>
      <c r="L36" s="60" t="str">
        <f>VLOOKUP(A36,'Trips&amp;Operators'!$C$1:$E$9999,3,FALSE)</f>
        <v>STARKS</v>
      </c>
      <c r="M36" s="12">
        <f t="shared" si="12"/>
        <v>6.2962962911115028E-3</v>
      </c>
      <c r="N36" s="13"/>
      <c r="O36" s="13"/>
      <c r="P36" s="13"/>
      <c r="Q36" s="61"/>
      <c r="R36" s="61"/>
      <c r="S36" s="94">
        <f t="shared" si="8"/>
        <v>0.25</v>
      </c>
      <c r="T36" s="2" t="str">
        <f t="shared" si="9"/>
        <v>NorthBound</v>
      </c>
      <c r="U36" s="67">
        <f>COUNTIFS([3]Variables!$M$2:$M$19,IF(T36="NorthBound","&gt;=","&lt;=")&amp;Z36,[3]Variables!$M$2:$M$19,IF(T36="NorthBound","&lt;=","&gt;=")&amp;AA36)</f>
        <v>3</v>
      </c>
      <c r="W3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07:55:34-0600',mode:absolute,to:'2016-05-27 08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6" s="73" t="str">
        <f t="shared" si="14"/>
        <v>Y</v>
      </c>
      <c r="Y36" s="73">
        <f t="shared" si="15"/>
        <v>1</v>
      </c>
      <c r="Z36" s="73">
        <f t="shared" si="16"/>
        <v>4.3700000000000003E-2</v>
      </c>
      <c r="AA36" s="73">
        <f t="shared" si="6"/>
        <v>3.7212000000000001</v>
      </c>
      <c r="AB36" s="73">
        <f t="shared" si="17"/>
        <v>3.6775000000000002</v>
      </c>
      <c r="AC36" s="74">
        <f>VLOOKUP(A36,Enforcements!$C$3:$J$69,8,0)</f>
        <v>63995</v>
      </c>
      <c r="AD36" s="74" t="str">
        <f>VLOOKUP(A36,Enforcements!$C$3:$J$69,3,0)</f>
        <v>SIGNAL</v>
      </c>
    </row>
    <row r="37" spans="1:30" s="2" customFormat="1" x14ac:dyDescent="0.25">
      <c r="A37" s="60" t="s">
        <v>235</v>
      </c>
      <c r="B37" s="60">
        <v>4016</v>
      </c>
      <c r="C37" s="60" t="s">
        <v>62</v>
      </c>
      <c r="D37" s="60" t="s">
        <v>238</v>
      </c>
      <c r="E37" s="30">
        <v>42517.345185185186</v>
      </c>
      <c r="F37" s="30">
        <v>42517.345891203702</v>
      </c>
      <c r="G37" s="38">
        <v>1</v>
      </c>
      <c r="H37" s="30" t="s">
        <v>239</v>
      </c>
      <c r="I37" s="30">
        <v>42517.361805555556</v>
      </c>
      <c r="J37" s="60">
        <v>1</v>
      </c>
      <c r="K37" s="60" t="str">
        <f t="shared" si="11"/>
        <v>4015/4016</v>
      </c>
      <c r="L37" s="60" t="str">
        <f>VLOOKUP(A37,'Trips&amp;Operators'!$C$1:$E$9999,3,FALSE)</f>
        <v>STARKS</v>
      </c>
      <c r="M37" s="12">
        <f t="shared" si="12"/>
        <v>1.5914351854007691E-2</v>
      </c>
      <c r="N37" s="13"/>
      <c r="O37" s="13"/>
      <c r="P37" s="13">
        <f>24*60*SUM($M36:$M37)</f>
        <v>31.983333328971639</v>
      </c>
      <c r="Q37" s="61"/>
      <c r="R37" s="61" t="s">
        <v>441</v>
      </c>
      <c r="S37" s="94">
        <f t="shared" si="8"/>
        <v>0.25</v>
      </c>
      <c r="T37" s="2" t="str">
        <f t="shared" si="9"/>
        <v>NorthBound</v>
      </c>
      <c r="U37" s="67">
        <f>COUNTIFS([3]Variables!$M$2:$M$19,IF(T37="NorthBound","&gt;=","&lt;=")&amp;Z37,[3]Variables!$M$2:$M$19,IF(T37="NorthBound","&lt;=","&gt;=")&amp;AA37)</f>
        <v>3</v>
      </c>
      <c r="W37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08:16:04-0600',mode:absolute,to:'2016-05-27 08:42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37" s="73" t="str">
        <f t="shared" si="14"/>
        <v>Y</v>
      </c>
      <c r="Y37" s="73">
        <f t="shared" si="15"/>
        <v>0</v>
      </c>
      <c r="Z37" s="73">
        <f t="shared" si="16"/>
        <v>6.4748000000000001</v>
      </c>
      <c r="AA37" s="73">
        <v>23.330300000000001</v>
      </c>
      <c r="AB37" s="73">
        <f t="shared" si="17"/>
        <v>16.855499999999999</v>
      </c>
      <c r="AC37" s="74">
        <f>VLOOKUP(A37,Enforcements!$C$3:$J$69,8,0)</f>
        <v>63995</v>
      </c>
      <c r="AD37" s="74" t="str">
        <f>VLOOKUP(A37,Enforcements!$C$3:$J$69,3,0)</f>
        <v>SIGNAL</v>
      </c>
    </row>
    <row r="38" spans="1:30" s="2" customFormat="1" x14ac:dyDescent="0.25">
      <c r="A38" s="60" t="s">
        <v>240</v>
      </c>
      <c r="B38" s="60">
        <v>4015</v>
      </c>
      <c r="C38" s="60" t="s">
        <v>62</v>
      </c>
      <c r="D38" s="60" t="s">
        <v>241</v>
      </c>
      <c r="E38" s="30">
        <v>42517.369780092595</v>
      </c>
      <c r="F38" s="30">
        <v>42517.370995370373</v>
      </c>
      <c r="G38" s="38">
        <v>1</v>
      </c>
      <c r="H38" s="30" t="s">
        <v>81</v>
      </c>
      <c r="I38" s="30">
        <v>42517.400069444448</v>
      </c>
      <c r="J38" s="60">
        <v>0</v>
      </c>
      <c r="K38" s="60" t="str">
        <f t="shared" si="11"/>
        <v>4015/4016</v>
      </c>
      <c r="L38" s="60" t="str">
        <f>VLOOKUP(A38,'Trips&amp;Operators'!$C$1:$E$9999,3,FALSE)</f>
        <v>STARKS</v>
      </c>
      <c r="M38" s="12">
        <f t="shared" si="12"/>
        <v>2.9074074074742384E-2</v>
      </c>
      <c r="N38" s="13">
        <f t="shared" si="10"/>
        <v>41.866666667629033</v>
      </c>
      <c r="O38" s="13"/>
      <c r="P38" s="13"/>
      <c r="Q38" s="61"/>
      <c r="R38" s="61"/>
      <c r="S38" s="94">
        <f t="shared" si="8"/>
        <v>1</v>
      </c>
      <c r="T38" s="2" t="str">
        <f t="shared" si="9"/>
        <v>Southbound</v>
      </c>
      <c r="U38" s="67">
        <f>COUNTIFS([3]Variables!$M$2:$M$19,IF(T38="NorthBound","&gt;=","&lt;=")&amp;Z38,[3]Variables!$M$2:$M$19,IF(T38="NorthBound","&lt;=","&gt;=")&amp;AA38)</f>
        <v>12</v>
      </c>
      <c r="W38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08:51:29-0600',mode:absolute,to:'2016-05-27 09:37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38" s="73" t="str">
        <f t="shared" si="14"/>
        <v>N</v>
      </c>
      <c r="Y38" s="73">
        <f t="shared" si="15"/>
        <v>1</v>
      </c>
      <c r="Z38" s="73">
        <f t="shared" si="16"/>
        <v>23.303799999999999</v>
      </c>
      <c r="AA38" s="73">
        <f t="shared" ref="AA38:AA53" si="18">RIGHT(H38,LEN(H38)-4)/10000</f>
        <v>1.5800000000000002E-2</v>
      </c>
      <c r="AB38" s="73">
        <f t="shared" si="17"/>
        <v>23.288</v>
      </c>
      <c r="AC38" s="74" t="e">
        <f>VLOOKUP(A38,Enforcements!$C$3:$J$69,8,0)</f>
        <v>#N/A</v>
      </c>
      <c r="AD38" s="74" t="e">
        <f>VLOOKUP(A38,Enforcements!$C$3:$J$69,3,0)</f>
        <v>#N/A</v>
      </c>
    </row>
    <row r="39" spans="1:30" s="2" customFormat="1" x14ac:dyDescent="0.25">
      <c r="A39" s="60" t="s">
        <v>242</v>
      </c>
      <c r="B39" s="60">
        <v>4031</v>
      </c>
      <c r="C39" s="60" t="s">
        <v>62</v>
      </c>
      <c r="D39" s="60" t="s">
        <v>66</v>
      </c>
      <c r="E39" s="30">
        <v>42517.337696759256</v>
      </c>
      <c r="F39" s="30">
        <v>42517.338645833333</v>
      </c>
      <c r="G39" s="38">
        <v>1</v>
      </c>
      <c r="H39" s="30" t="s">
        <v>131</v>
      </c>
      <c r="I39" s="30">
        <v>42517.369386574072</v>
      </c>
      <c r="J39" s="60">
        <v>0</v>
      </c>
      <c r="K39" s="60" t="str">
        <f t="shared" si="11"/>
        <v>4031/4032</v>
      </c>
      <c r="L39" s="60" t="str">
        <f>VLOOKUP(A39,'Trips&amp;Operators'!$C$1:$E$9999,3,FALSE)</f>
        <v>CUSHING</v>
      </c>
      <c r="M39" s="12">
        <f t="shared" si="12"/>
        <v>3.0740740738110617E-2</v>
      </c>
      <c r="N39" s="13">
        <f t="shared" si="10"/>
        <v>44.266666662879288</v>
      </c>
      <c r="O39" s="13"/>
      <c r="P39" s="13"/>
      <c r="Q39" s="61"/>
      <c r="R39" s="61"/>
      <c r="S39" s="94">
        <f t="shared" si="8"/>
        <v>1</v>
      </c>
      <c r="T39" s="2" t="str">
        <f t="shared" si="9"/>
        <v>NorthBound</v>
      </c>
      <c r="U39" s="67">
        <f>COUNTIFS([3]Variables!$M$2:$M$19,IF(T39="NorthBound","&gt;=","&lt;=")&amp;Z39,[3]Variables!$M$2:$M$19,IF(T39="NorthBound","&lt;=","&gt;=")&amp;AA39)</f>
        <v>12</v>
      </c>
      <c r="W39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08:05:17-0600',mode:absolute,to:'2016-05-27 08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9" s="73" t="str">
        <f t="shared" si="14"/>
        <v>N</v>
      </c>
      <c r="Y39" s="73">
        <f t="shared" si="15"/>
        <v>1</v>
      </c>
      <c r="Z39" s="73">
        <f t="shared" si="16"/>
        <v>4.4699999999999997E-2</v>
      </c>
      <c r="AA39" s="73">
        <f t="shared" si="18"/>
        <v>23.335899999999999</v>
      </c>
      <c r="AB39" s="73">
        <f t="shared" si="17"/>
        <v>23.2912</v>
      </c>
      <c r="AC39" s="74" t="e">
        <f>VLOOKUP(A39,Enforcements!$C$3:$J$69,8,0)</f>
        <v>#N/A</v>
      </c>
      <c r="AD39" s="74" t="e">
        <f>VLOOKUP(A39,Enforcements!$C$3:$J$69,3,0)</f>
        <v>#N/A</v>
      </c>
    </row>
    <row r="40" spans="1:30" s="2" customFormat="1" x14ac:dyDescent="0.25">
      <c r="A40" s="60" t="s">
        <v>243</v>
      </c>
      <c r="B40" s="60">
        <v>4032</v>
      </c>
      <c r="C40" s="60" t="s">
        <v>62</v>
      </c>
      <c r="D40" s="60" t="s">
        <v>244</v>
      </c>
      <c r="E40" s="30">
        <v>42517.380486111113</v>
      </c>
      <c r="F40" s="30">
        <v>42517.381319444445</v>
      </c>
      <c r="G40" s="38">
        <v>1</v>
      </c>
      <c r="H40" s="30" t="s">
        <v>90</v>
      </c>
      <c r="I40" s="30">
        <v>42517.408680555556</v>
      </c>
      <c r="J40" s="60">
        <v>1</v>
      </c>
      <c r="K40" s="60" t="str">
        <f t="shared" si="11"/>
        <v>4031/4032</v>
      </c>
      <c r="L40" s="60" t="str">
        <f>VLOOKUP(A40,'Trips&amp;Operators'!$C$1:$E$9999,3,FALSE)</f>
        <v>CUSHING</v>
      </c>
      <c r="M40" s="12">
        <f t="shared" si="12"/>
        <v>2.73611111115315E-2</v>
      </c>
      <c r="N40" s="13">
        <f t="shared" si="10"/>
        <v>39.40000000060536</v>
      </c>
      <c r="O40" s="13"/>
      <c r="P40" s="13"/>
      <c r="Q40" s="61"/>
      <c r="R40" s="61"/>
      <c r="S40" s="94">
        <f t="shared" si="8"/>
        <v>1</v>
      </c>
      <c r="T40" s="2" t="str">
        <f t="shared" si="9"/>
        <v>Southbound</v>
      </c>
      <c r="U40" s="67">
        <f>COUNTIFS([3]Variables!$M$2:$M$19,IF(T40="NorthBound","&gt;=","&lt;=")&amp;Z40,[3]Variables!$M$2:$M$19,IF(T40="NorthBound","&lt;=","&gt;=")&amp;AA40)</f>
        <v>12</v>
      </c>
      <c r="W40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09:06:54-0600',mode:absolute,to:'2016-05-27 09:49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0" s="73" t="str">
        <f t="shared" si="14"/>
        <v>N</v>
      </c>
      <c r="Y40" s="73">
        <f t="shared" si="15"/>
        <v>1</v>
      </c>
      <c r="Z40" s="73">
        <f t="shared" si="16"/>
        <v>23.304300000000001</v>
      </c>
      <c r="AA40" s="73">
        <f t="shared" si="18"/>
        <v>1.6E-2</v>
      </c>
      <c r="AB40" s="73">
        <f t="shared" si="17"/>
        <v>23.288300000000003</v>
      </c>
      <c r="AC40" s="74">
        <f>VLOOKUP(A40,Enforcements!$C$3:$J$69,8,0)</f>
        <v>30562</v>
      </c>
      <c r="AD40" s="74" t="str">
        <f>VLOOKUP(A40,Enforcements!$C$3:$J$69,3,0)</f>
        <v>PERMANENT SPEED RESTRICTION</v>
      </c>
    </row>
    <row r="41" spans="1:30" s="2" customFormat="1" x14ac:dyDescent="0.25">
      <c r="A41" s="60" t="s">
        <v>245</v>
      </c>
      <c r="B41" s="60">
        <v>4024</v>
      </c>
      <c r="C41" s="60" t="s">
        <v>62</v>
      </c>
      <c r="D41" s="60" t="s">
        <v>217</v>
      </c>
      <c r="E41" s="30">
        <v>42517.35</v>
      </c>
      <c r="F41" s="30">
        <v>42517.351041666669</v>
      </c>
      <c r="G41" s="38">
        <v>1</v>
      </c>
      <c r="H41" s="30" t="s">
        <v>115</v>
      </c>
      <c r="I41" s="30">
        <v>42517.378796296296</v>
      </c>
      <c r="J41" s="60">
        <v>0</v>
      </c>
      <c r="K41" s="60" t="str">
        <f t="shared" si="11"/>
        <v>4023/4024</v>
      </c>
      <c r="L41" s="60" t="str">
        <f>VLOOKUP(A41,'Trips&amp;Operators'!$C$1:$E$9999,3,FALSE)</f>
        <v>GEBRETEKLE</v>
      </c>
      <c r="M41" s="12">
        <f t="shared" si="12"/>
        <v>2.7754629627452232E-2</v>
      </c>
      <c r="N41" s="13">
        <f t="shared" si="10"/>
        <v>39.966666663531214</v>
      </c>
      <c r="O41" s="13"/>
      <c r="P41" s="13"/>
      <c r="Q41" s="61"/>
      <c r="R41" s="61"/>
      <c r="S41" s="94">
        <f t="shared" si="8"/>
        <v>1</v>
      </c>
      <c r="T41" s="2" t="str">
        <f t="shared" si="9"/>
        <v>NorthBound</v>
      </c>
      <c r="U41" s="67">
        <f>COUNTIFS([3]Variables!$M$2:$M$19,IF(T41="NorthBound","&gt;=","&lt;=")&amp;Z41,[3]Variables!$M$2:$M$19,IF(T41="NorthBound","&lt;=","&gt;=")&amp;AA41)</f>
        <v>12</v>
      </c>
      <c r="W41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08:23:00-0600',mode:absolute,to:'2016-05-27 09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1" s="73" t="str">
        <f t="shared" si="14"/>
        <v>N</v>
      </c>
      <c r="Y41" s="73">
        <f t="shared" si="15"/>
        <v>1</v>
      </c>
      <c r="Z41" s="73">
        <f t="shared" si="16"/>
        <v>4.53E-2</v>
      </c>
      <c r="AA41" s="73">
        <f t="shared" si="18"/>
        <v>23.330500000000001</v>
      </c>
      <c r="AB41" s="73">
        <f t="shared" si="17"/>
        <v>23.2852</v>
      </c>
      <c r="AC41" s="74" t="e">
        <f>VLOOKUP(A41,Enforcements!$C$3:$J$69,8,0)</f>
        <v>#N/A</v>
      </c>
      <c r="AD41" s="74" t="e">
        <f>VLOOKUP(A41,Enforcements!$C$3:$J$69,3,0)</f>
        <v>#N/A</v>
      </c>
    </row>
    <row r="42" spans="1:30" s="2" customFormat="1" x14ac:dyDescent="0.25">
      <c r="A42" s="60" t="s">
        <v>246</v>
      </c>
      <c r="B42" s="60">
        <v>4023</v>
      </c>
      <c r="C42" s="60" t="s">
        <v>62</v>
      </c>
      <c r="D42" s="60" t="s">
        <v>150</v>
      </c>
      <c r="E42" s="30">
        <v>42517.387962962966</v>
      </c>
      <c r="F42" s="30">
        <v>42517.388819444444</v>
      </c>
      <c r="G42" s="38">
        <v>1</v>
      </c>
      <c r="H42" s="30" t="s">
        <v>81</v>
      </c>
      <c r="I42" s="30">
        <v>42517.422685185185</v>
      </c>
      <c r="J42" s="60">
        <v>1</v>
      </c>
      <c r="K42" s="60" t="str">
        <f t="shared" si="11"/>
        <v>4023/4024</v>
      </c>
      <c r="L42" s="60" t="str">
        <f>VLOOKUP(A42,'Trips&amp;Operators'!$C$1:$E$9999,3,FALSE)</f>
        <v>GEBRETEKLE</v>
      </c>
      <c r="M42" s="12">
        <f t="shared" si="12"/>
        <v>3.3865740741021E-2</v>
      </c>
      <c r="N42" s="13">
        <f t="shared" si="10"/>
        <v>48.76666666707024</v>
      </c>
      <c r="O42" s="13"/>
      <c r="P42" s="13"/>
      <c r="Q42" s="61"/>
      <c r="R42" s="61"/>
      <c r="S42" s="94">
        <f t="shared" si="8"/>
        <v>1</v>
      </c>
      <c r="T42" s="2" t="str">
        <f t="shared" si="9"/>
        <v>Southbound</v>
      </c>
      <c r="U42" s="67">
        <f>COUNTIFS([3]Variables!$M$2:$M$19,IF(T42="NorthBound","&gt;=","&lt;=")&amp;Z42,[3]Variables!$M$2:$M$19,IF(T42="NorthBound","&lt;=","&gt;=")&amp;AA42)</f>
        <v>12</v>
      </c>
      <c r="W42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09:17:40-0600',mode:absolute,to:'2016-05-27 10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2" s="73" t="str">
        <f t="shared" si="14"/>
        <v>N</v>
      </c>
      <c r="Y42" s="73">
        <f t="shared" si="15"/>
        <v>1</v>
      </c>
      <c r="Z42" s="73">
        <f t="shared" si="16"/>
        <v>23.298400000000001</v>
      </c>
      <c r="AA42" s="73">
        <f t="shared" si="18"/>
        <v>1.5800000000000002E-2</v>
      </c>
      <c r="AB42" s="73">
        <f t="shared" si="17"/>
        <v>23.282600000000002</v>
      </c>
      <c r="AC42" s="74">
        <f>VLOOKUP(A42,Enforcements!$C$3:$J$69,8,0)</f>
        <v>78469</v>
      </c>
      <c r="AD42" s="74" t="str">
        <f>VLOOKUP(A42,Enforcements!$C$3:$J$69,3,0)</f>
        <v>GRADE CROSSING</v>
      </c>
    </row>
    <row r="43" spans="1:30" s="2" customFormat="1" x14ac:dyDescent="0.25">
      <c r="A43" s="60" t="s">
        <v>247</v>
      </c>
      <c r="B43" s="60">
        <v>4018</v>
      </c>
      <c r="C43" s="60" t="s">
        <v>62</v>
      </c>
      <c r="D43" s="60" t="s">
        <v>72</v>
      </c>
      <c r="E43" s="30">
        <v>42517.357974537037</v>
      </c>
      <c r="F43" s="30">
        <v>42517.358969907407</v>
      </c>
      <c r="G43" s="38">
        <v>1</v>
      </c>
      <c r="H43" s="30" t="s">
        <v>248</v>
      </c>
      <c r="I43" s="30">
        <v>42517.390034722222</v>
      </c>
      <c r="J43" s="60">
        <v>0</v>
      </c>
      <c r="K43" s="60" t="str">
        <f t="shared" si="11"/>
        <v>4017/4018</v>
      </c>
      <c r="L43" s="60" t="str">
        <f>VLOOKUP(A43,'Trips&amp;Operators'!$C$1:$E$9999,3,FALSE)</f>
        <v>LEDERHAUSE</v>
      </c>
      <c r="M43" s="12">
        <f t="shared" si="12"/>
        <v>3.1064814815181307E-2</v>
      </c>
      <c r="N43" s="13">
        <f t="shared" si="10"/>
        <v>44.733333333861083</v>
      </c>
      <c r="O43" s="13"/>
      <c r="P43" s="13"/>
      <c r="Q43" s="61"/>
      <c r="R43" s="61"/>
      <c r="S43" s="94">
        <f t="shared" si="8"/>
        <v>1</v>
      </c>
      <c r="T43" s="2" t="str">
        <f t="shared" si="9"/>
        <v>NorthBound</v>
      </c>
      <c r="U43" s="67">
        <f>COUNTIFS([3]Variables!$M$2:$M$19,IF(T43="NorthBound","&gt;=","&lt;=")&amp;Z43,[3]Variables!$M$2:$M$19,IF(T43="NorthBound","&lt;=","&gt;=")&amp;AA43)</f>
        <v>12</v>
      </c>
      <c r="W43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08:34:29-0600',mode:absolute,to:'2016-05-27 09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43" s="73" t="str">
        <f t="shared" si="14"/>
        <v>N</v>
      </c>
      <c r="Y43" s="73">
        <f t="shared" si="15"/>
        <v>1</v>
      </c>
      <c r="Z43" s="73">
        <f t="shared" si="16"/>
        <v>4.6399999999999997E-2</v>
      </c>
      <c r="AA43" s="73">
        <f t="shared" si="18"/>
        <v>23.335699999999999</v>
      </c>
      <c r="AB43" s="73">
        <f t="shared" si="17"/>
        <v>23.289300000000001</v>
      </c>
      <c r="AC43" s="74" t="e">
        <f>VLOOKUP(A43,Enforcements!$C$3:$J$69,8,0)</f>
        <v>#N/A</v>
      </c>
      <c r="AD43" s="74" t="e">
        <f>VLOOKUP(A43,Enforcements!$C$3:$J$69,3,0)</f>
        <v>#N/A</v>
      </c>
    </row>
    <row r="44" spans="1:30" s="2" customFormat="1" x14ac:dyDescent="0.25">
      <c r="A44" s="60" t="s">
        <v>249</v>
      </c>
      <c r="B44" s="60">
        <v>4017</v>
      </c>
      <c r="C44" s="60" t="s">
        <v>62</v>
      </c>
      <c r="D44" s="60" t="s">
        <v>194</v>
      </c>
      <c r="E44" s="30">
        <v>42517.399780092594</v>
      </c>
      <c r="F44" s="30">
        <v>42517.400810185187</v>
      </c>
      <c r="G44" s="38">
        <v>1</v>
      </c>
      <c r="H44" s="30" t="s">
        <v>70</v>
      </c>
      <c r="I44" s="30">
        <v>42517.431215277778</v>
      </c>
      <c r="J44" s="60">
        <v>0</v>
      </c>
      <c r="K44" s="60" t="str">
        <f t="shared" si="11"/>
        <v>4017/4018</v>
      </c>
      <c r="L44" s="60" t="str">
        <f>VLOOKUP(A44,'Trips&amp;Operators'!$C$1:$E$9999,3,FALSE)</f>
        <v>LEDERHAUSE</v>
      </c>
      <c r="M44" s="12">
        <f t="shared" si="12"/>
        <v>3.0405092591536231E-2</v>
      </c>
      <c r="N44" s="13">
        <f t="shared" si="10"/>
        <v>43.783333331812173</v>
      </c>
      <c r="O44" s="13"/>
      <c r="P44" s="13"/>
      <c r="Q44" s="61"/>
      <c r="R44" s="61"/>
      <c r="S44" s="94">
        <f t="shared" si="8"/>
        <v>1</v>
      </c>
      <c r="T44" s="2" t="str">
        <f t="shared" si="9"/>
        <v>Southbound</v>
      </c>
      <c r="U44" s="67">
        <f>COUNTIFS([3]Variables!$M$2:$M$19,IF(T44="NorthBound","&gt;=","&lt;=")&amp;Z44,[3]Variables!$M$2:$M$19,IF(T44="NorthBound","&lt;=","&gt;=")&amp;AA44)</f>
        <v>12</v>
      </c>
      <c r="W44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09:34:41-0600',mode:absolute,to:'2016-05-27 10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4" s="73" t="str">
        <f t="shared" si="14"/>
        <v>N</v>
      </c>
      <c r="Y44" s="73">
        <f t="shared" si="15"/>
        <v>1</v>
      </c>
      <c r="Z44" s="73">
        <f t="shared" si="16"/>
        <v>23.305499999999999</v>
      </c>
      <c r="AA44" s="73">
        <f t="shared" si="18"/>
        <v>1.52E-2</v>
      </c>
      <c r="AB44" s="73">
        <f t="shared" si="17"/>
        <v>23.290299999999998</v>
      </c>
      <c r="AC44" s="74" t="e">
        <f>VLOOKUP(A44,Enforcements!$C$3:$J$69,8,0)</f>
        <v>#N/A</v>
      </c>
      <c r="AD44" s="74" t="e">
        <f>VLOOKUP(A44,Enforcements!$C$3:$J$69,3,0)</f>
        <v>#N/A</v>
      </c>
    </row>
    <row r="45" spans="1:30" s="2" customFormat="1" x14ac:dyDescent="0.25">
      <c r="A45" s="60" t="s">
        <v>250</v>
      </c>
      <c r="B45" s="60">
        <v>4040</v>
      </c>
      <c r="C45" s="60" t="s">
        <v>62</v>
      </c>
      <c r="D45" s="60" t="s">
        <v>141</v>
      </c>
      <c r="E45" s="30">
        <v>42517.371342592596</v>
      </c>
      <c r="F45" s="30">
        <v>42517.372662037036</v>
      </c>
      <c r="G45" s="38">
        <v>1</v>
      </c>
      <c r="H45" s="30" t="s">
        <v>130</v>
      </c>
      <c r="I45" s="30">
        <v>42517.399756944447</v>
      </c>
      <c r="J45" s="60">
        <v>0</v>
      </c>
      <c r="K45" s="60" t="str">
        <f t="shared" si="11"/>
        <v>4039/4040</v>
      </c>
      <c r="L45" s="60" t="str">
        <f>VLOOKUP(A45,'Trips&amp;Operators'!$C$1:$E$9999,3,FALSE)</f>
        <v>SANTIZO</v>
      </c>
      <c r="M45" s="12">
        <f t="shared" si="12"/>
        <v>2.7094907411083113E-2</v>
      </c>
      <c r="N45" s="13">
        <f t="shared" si="10"/>
        <v>39.016666671959683</v>
      </c>
      <c r="O45" s="13"/>
      <c r="P45" s="13"/>
      <c r="Q45" s="61"/>
      <c r="R45" s="61"/>
      <c r="S45" s="94">
        <f t="shared" si="8"/>
        <v>1</v>
      </c>
      <c r="T45" s="2" t="str">
        <f t="shared" si="9"/>
        <v>NorthBound</v>
      </c>
      <c r="U45" s="67">
        <f>COUNTIFS([3]Variables!$M$2:$M$19,IF(T45="NorthBound","&gt;=","&lt;=")&amp;Z45,[3]Variables!$M$2:$M$19,IF(T45="NorthBound","&lt;=","&gt;=")&amp;AA45)</f>
        <v>12</v>
      </c>
      <c r="W4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08:53:44-0600',mode:absolute,to:'2016-05-27 09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45" s="73" t="str">
        <f t="shared" si="14"/>
        <v>N</v>
      </c>
      <c r="Y45" s="73">
        <f t="shared" si="15"/>
        <v>1</v>
      </c>
      <c r="Z45" s="73">
        <f t="shared" si="16"/>
        <v>4.8000000000000001E-2</v>
      </c>
      <c r="AA45" s="73">
        <f t="shared" si="18"/>
        <v>23.329699999999999</v>
      </c>
      <c r="AB45" s="73">
        <f t="shared" si="17"/>
        <v>23.281700000000001</v>
      </c>
      <c r="AC45" s="74" t="e">
        <f>VLOOKUP(A45,Enforcements!$C$3:$J$69,8,0)</f>
        <v>#N/A</v>
      </c>
      <c r="AD45" s="74" t="e">
        <f>VLOOKUP(A45,Enforcements!$C$3:$J$69,3,0)</f>
        <v>#N/A</v>
      </c>
    </row>
    <row r="46" spans="1:30" s="2" customFormat="1" x14ac:dyDescent="0.25">
      <c r="A46" s="60" t="s">
        <v>251</v>
      </c>
      <c r="B46" s="60">
        <v>4039</v>
      </c>
      <c r="C46" s="60" t="s">
        <v>62</v>
      </c>
      <c r="D46" s="60" t="s">
        <v>159</v>
      </c>
      <c r="E46" s="30">
        <v>42517.409942129627</v>
      </c>
      <c r="F46" s="30">
        <v>42517.411134259259</v>
      </c>
      <c r="G46" s="38">
        <v>1</v>
      </c>
      <c r="H46" s="30" t="s">
        <v>127</v>
      </c>
      <c r="I46" s="30">
        <v>42517.442499999997</v>
      </c>
      <c r="J46" s="60">
        <v>0</v>
      </c>
      <c r="K46" s="60" t="str">
        <f t="shared" si="11"/>
        <v>4039/4040</v>
      </c>
      <c r="L46" s="60" t="str">
        <f>VLOOKUP(A46,'Trips&amp;Operators'!$C$1:$E$9999,3,FALSE)</f>
        <v>SANTIZO</v>
      </c>
      <c r="M46" s="12">
        <f t="shared" si="12"/>
        <v>3.1365740738692693E-2</v>
      </c>
      <c r="N46" s="13">
        <f t="shared" si="10"/>
        <v>45.166666663717479</v>
      </c>
      <c r="O46" s="13"/>
      <c r="P46" s="13"/>
      <c r="Q46" s="61"/>
      <c r="R46" s="61"/>
      <c r="S46" s="94">
        <f t="shared" si="8"/>
        <v>1</v>
      </c>
      <c r="T46" s="2" t="str">
        <f t="shared" si="9"/>
        <v>Southbound</v>
      </c>
      <c r="U46" s="67">
        <f>COUNTIFS([3]Variables!$M$2:$M$19,IF(T46="NorthBound","&gt;=","&lt;=")&amp;Z46,[3]Variables!$M$2:$M$19,IF(T46="NorthBound","&lt;=","&gt;=")&amp;AA46)</f>
        <v>12</v>
      </c>
      <c r="W4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09:49:19-0600',mode:absolute,to:'2016-05-27 10:38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46" s="73" t="str">
        <f t="shared" si="14"/>
        <v>N</v>
      </c>
      <c r="Y46" s="73">
        <f t="shared" si="15"/>
        <v>1</v>
      </c>
      <c r="Z46" s="73">
        <f t="shared" si="16"/>
        <v>23.2973</v>
      </c>
      <c r="AA46" s="73">
        <f t="shared" si="18"/>
        <v>1.49E-2</v>
      </c>
      <c r="AB46" s="73">
        <f t="shared" si="17"/>
        <v>23.282399999999999</v>
      </c>
      <c r="AC46" s="74" t="e">
        <f>VLOOKUP(A46,Enforcements!$C$3:$J$69,8,0)</f>
        <v>#N/A</v>
      </c>
      <c r="AD46" s="74" t="e">
        <f>VLOOKUP(A46,Enforcements!$C$3:$J$69,3,0)</f>
        <v>#N/A</v>
      </c>
    </row>
    <row r="47" spans="1:30" s="2" customFormat="1" x14ac:dyDescent="0.25">
      <c r="A47" s="60" t="s">
        <v>252</v>
      </c>
      <c r="B47" s="60">
        <v>4038</v>
      </c>
      <c r="C47" s="60" t="s">
        <v>62</v>
      </c>
      <c r="D47" s="60" t="s">
        <v>136</v>
      </c>
      <c r="E47" s="30">
        <v>42517.381608796299</v>
      </c>
      <c r="F47" s="30">
        <v>42517.3828587963</v>
      </c>
      <c r="G47" s="38">
        <v>1</v>
      </c>
      <c r="H47" s="30" t="s">
        <v>253</v>
      </c>
      <c r="I47" s="30">
        <v>42517.410868055558</v>
      </c>
      <c r="J47" s="60">
        <v>1</v>
      </c>
      <c r="K47" s="60" t="str">
        <f t="shared" si="11"/>
        <v>4037/4038</v>
      </c>
      <c r="L47" s="60" t="str">
        <f>VLOOKUP(A47,'Trips&amp;Operators'!$C$1:$E$9999,3,FALSE)</f>
        <v>STURGEON</v>
      </c>
      <c r="M47" s="12">
        <f t="shared" si="12"/>
        <v>2.8009259258396924E-2</v>
      </c>
      <c r="N47" s="13">
        <f t="shared" si="10"/>
        <v>40.33333333209157</v>
      </c>
      <c r="O47" s="13"/>
      <c r="P47" s="13"/>
      <c r="Q47" s="61"/>
      <c r="R47" s="61"/>
      <c r="S47" s="94">
        <f t="shared" si="8"/>
        <v>1</v>
      </c>
      <c r="T47" s="2" t="str">
        <f t="shared" si="9"/>
        <v>NorthBound</v>
      </c>
      <c r="U47" s="67">
        <f>COUNTIFS([3]Variables!$M$2:$M$19,IF(T47="NorthBound","&gt;=","&lt;=")&amp;Z47,[3]Variables!$M$2:$M$19,IF(T47="NorthBound","&lt;=","&gt;=")&amp;AA47)</f>
        <v>12</v>
      </c>
      <c r="W47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09:08:31-0600',mode:absolute,to:'2016-05-27 09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47" s="73" t="str">
        <f t="shared" si="14"/>
        <v>N</v>
      </c>
      <c r="Y47" s="73">
        <f t="shared" si="15"/>
        <v>1</v>
      </c>
      <c r="Z47" s="73">
        <f t="shared" si="16"/>
        <v>4.7800000000000002E-2</v>
      </c>
      <c r="AA47" s="73">
        <f t="shared" si="18"/>
        <v>23.3278</v>
      </c>
      <c r="AB47" s="73">
        <f t="shared" si="17"/>
        <v>23.28</v>
      </c>
      <c r="AC47" s="74">
        <f>VLOOKUP(A47,Enforcements!$C$3:$J$69,8,0)</f>
        <v>233491</v>
      </c>
      <c r="AD47" s="74" t="str">
        <f>VLOOKUP(A47,Enforcements!$C$3:$J$69,3,0)</f>
        <v>TRACK WARRANT AUTHORITY</v>
      </c>
    </row>
    <row r="48" spans="1:30" s="2" customFormat="1" x14ac:dyDescent="0.25">
      <c r="A48" s="60" t="s">
        <v>254</v>
      </c>
      <c r="B48" s="60">
        <v>4037</v>
      </c>
      <c r="C48" s="60" t="s">
        <v>62</v>
      </c>
      <c r="D48" s="60" t="s">
        <v>124</v>
      </c>
      <c r="E48" s="30">
        <v>42517.421168981484</v>
      </c>
      <c r="F48" s="30">
        <v>42517.421886574077</v>
      </c>
      <c r="G48" s="38">
        <v>1</v>
      </c>
      <c r="H48" s="30" t="s">
        <v>90</v>
      </c>
      <c r="I48" s="30">
        <v>42517.455775462964</v>
      </c>
      <c r="J48" s="60">
        <v>0</v>
      </c>
      <c r="K48" s="60" t="str">
        <f t="shared" si="11"/>
        <v>4037/4038</v>
      </c>
      <c r="L48" s="60" t="str">
        <f>VLOOKUP(A48,'Trips&amp;Operators'!$C$1:$E$9999,3,FALSE)</f>
        <v>STURGEON</v>
      </c>
      <c r="M48" s="12">
        <f t="shared" si="12"/>
        <v>3.3888888887304347E-2</v>
      </c>
      <c r="N48" s="13">
        <f t="shared" si="10"/>
        <v>48.79999999771826</v>
      </c>
      <c r="O48" s="13"/>
      <c r="P48" s="13"/>
      <c r="Q48" s="61"/>
      <c r="R48" s="61"/>
      <c r="S48" s="94">
        <f t="shared" si="8"/>
        <v>1</v>
      </c>
      <c r="T48" s="2" t="str">
        <f t="shared" si="9"/>
        <v>Southbound</v>
      </c>
      <c r="U48" s="67">
        <f>COUNTIFS([3]Variables!$M$2:$M$19,IF(T48="NorthBound","&gt;=","&lt;=")&amp;Z48,[3]Variables!$M$2:$M$19,IF(T48="NorthBound","&lt;=","&gt;=")&amp;AA48)</f>
        <v>12</v>
      </c>
      <c r="W48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10:05:29-0600',mode:absolute,to:'2016-05-27 10:57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48" s="73" t="str">
        <f t="shared" si="14"/>
        <v>N</v>
      </c>
      <c r="Y48" s="73">
        <f t="shared" si="15"/>
        <v>1</v>
      </c>
      <c r="Z48" s="73">
        <f t="shared" si="16"/>
        <v>23.295300000000001</v>
      </c>
      <c r="AA48" s="73">
        <f t="shared" si="18"/>
        <v>1.6E-2</v>
      </c>
      <c r="AB48" s="73">
        <f t="shared" si="17"/>
        <v>23.279300000000003</v>
      </c>
      <c r="AC48" s="74" t="e">
        <f>VLOOKUP(A48,Enforcements!$C$3:$J$69,8,0)</f>
        <v>#N/A</v>
      </c>
      <c r="AD48" s="74" t="e">
        <f>VLOOKUP(A48,Enforcements!$C$3:$J$69,3,0)</f>
        <v>#N/A</v>
      </c>
    </row>
    <row r="49" spans="1:30" s="2" customFormat="1" x14ac:dyDescent="0.25">
      <c r="A49" s="60" t="s">
        <v>255</v>
      </c>
      <c r="B49" s="60">
        <v>4029</v>
      </c>
      <c r="C49" s="60" t="s">
        <v>62</v>
      </c>
      <c r="D49" s="60" t="s">
        <v>256</v>
      </c>
      <c r="E49" s="30">
        <v>42517.392326388886</v>
      </c>
      <c r="F49" s="30">
        <v>42517.393148148149</v>
      </c>
      <c r="G49" s="38">
        <v>1</v>
      </c>
      <c r="H49" s="30" t="s">
        <v>257</v>
      </c>
      <c r="I49" s="30">
        <v>42517.422476851854</v>
      </c>
      <c r="J49" s="60">
        <v>0</v>
      </c>
      <c r="K49" s="60" t="str">
        <f t="shared" si="11"/>
        <v>4029/4030</v>
      </c>
      <c r="L49" s="60" t="str">
        <f>VLOOKUP(A49,'Trips&amp;Operators'!$C$1:$E$9999,3,FALSE)</f>
        <v>BEAM</v>
      </c>
      <c r="M49" s="12">
        <f t="shared" si="12"/>
        <v>2.9328703705687076E-2</v>
      </c>
      <c r="N49" s="13">
        <f t="shared" si="10"/>
        <v>42.233333336189389</v>
      </c>
      <c r="O49" s="13"/>
      <c r="P49" s="13"/>
      <c r="Q49" s="61"/>
      <c r="R49" s="61"/>
      <c r="S49" s="94">
        <f t="shared" si="8"/>
        <v>1</v>
      </c>
      <c r="T49" s="2" t="str">
        <f t="shared" si="9"/>
        <v>NorthBound</v>
      </c>
      <c r="U49" s="67">
        <f>COUNTIFS([3]Variables!$M$2:$M$19,IF(T49="NorthBound","&gt;=","&lt;=")&amp;Z49,[3]Variables!$M$2:$M$19,IF(T49="NorthBound","&lt;=","&gt;=")&amp;AA49)</f>
        <v>12</v>
      </c>
      <c r="W49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09:23:57-0600',mode:absolute,to:'2016-05-27 10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49" s="73" t="str">
        <f t="shared" si="14"/>
        <v>N</v>
      </c>
      <c r="Y49" s="73">
        <f t="shared" si="15"/>
        <v>1</v>
      </c>
      <c r="Z49" s="73">
        <f t="shared" si="16"/>
        <v>4.6899999999999997E-2</v>
      </c>
      <c r="AA49" s="73">
        <f t="shared" si="18"/>
        <v>23.308599999999998</v>
      </c>
      <c r="AB49" s="73">
        <f t="shared" si="17"/>
        <v>23.261699999999998</v>
      </c>
      <c r="AC49" s="74" t="e">
        <f>VLOOKUP(A49,Enforcements!$C$3:$J$69,8,0)</f>
        <v>#N/A</v>
      </c>
      <c r="AD49" s="74" t="e">
        <f>VLOOKUP(A49,Enforcements!$C$3:$J$69,3,0)</f>
        <v>#N/A</v>
      </c>
    </row>
    <row r="50" spans="1:30" s="2" customFormat="1" x14ac:dyDescent="0.25">
      <c r="A50" s="60" t="s">
        <v>258</v>
      </c>
      <c r="B50" s="60">
        <v>4030</v>
      </c>
      <c r="C50" s="60" t="s">
        <v>62</v>
      </c>
      <c r="D50" s="60" t="s">
        <v>259</v>
      </c>
      <c r="E50" s="30">
        <v>42517.431909722225</v>
      </c>
      <c r="F50" s="30">
        <v>42517.43378472222</v>
      </c>
      <c r="G50" s="38">
        <v>2</v>
      </c>
      <c r="H50" s="30" t="s">
        <v>80</v>
      </c>
      <c r="I50" s="30">
        <v>42517.463240740741</v>
      </c>
      <c r="J50" s="60">
        <v>0</v>
      </c>
      <c r="K50" s="60" t="str">
        <f t="shared" si="11"/>
        <v>4029/4030</v>
      </c>
      <c r="L50" s="60" t="str">
        <f>VLOOKUP(A50,'Trips&amp;Operators'!$C$1:$E$9999,3,FALSE)</f>
        <v>BEAM</v>
      </c>
      <c r="M50" s="12">
        <f t="shared" si="12"/>
        <v>2.9456018521159422E-2</v>
      </c>
      <c r="N50" s="13">
        <f t="shared" si="10"/>
        <v>42.416666670469567</v>
      </c>
      <c r="O50" s="13"/>
      <c r="P50" s="13"/>
      <c r="Q50" s="61"/>
      <c r="R50" s="61"/>
      <c r="S50" s="94">
        <f t="shared" si="8"/>
        <v>1</v>
      </c>
      <c r="T50" s="2" t="str">
        <f t="shared" si="9"/>
        <v>Southbound</v>
      </c>
      <c r="U50" s="67">
        <f>COUNTIFS([3]Variables!$M$2:$M$19,IF(T50="NorthBound","&gt;=","&lt;=")&amp;Z50,[3]Variables!$M$2:$M$19,IF(T50="NorthBound","&lt;=","&gt;=")&amp;AA50)</f>
        <v>12</v>
      </c>
      <c r="W50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10:20:57-0600',mode:absolute,to:'2016-05-27 11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50" s="73" t="str">
        <f t="shared" si="14"/>
        <v>N</v>
      </c>
      <c r="Y50" s="73">
        <f t="shared" si="15"/>
        <v>1</v>
      </c>
      <c r="Z50" s="73">
        <f t="shared" si="16"/>
        <v>23.291699999999999</v>
      </c>
      <c r="AA50" s="73">
        <f t="shared" si="18"/>
        <v>1.47E-2</v>
      </c>
      <c r="AB50" s="73">
        <f t="shared" si="17"/>
        <v>23.276999999999997</v>
      </c>
      <c r="AC50" s="74" t="e">
        <f>VLOOKUP(A50,Enforcements!$C$3:$J$69,8,0)</f>
        <v>#N/A</v>
      </c>
      <c r="AD50" s="74" t="e">
        <f>VLOOKUP(A50,Enforcements!$C$3:$J$69,3,0)</f>
        <v>#N/A</v>
      </c>
    </row>
    <row r="51" spans="1:30" s="2" customFormat="1" x14ac:dyDescent="0.25">
      <c r="A51" s="60" t="s">
        <v>260</v>
      </c>
      <c r="B51" s="60">
        <v>4016</v>
      </c>
      <c r="C51" s="60" t="s">
        <v>62</v>
      </c>
      <c r="D51" s="60" t="s">
        <v>106</v>
      </c>
      <c r="E51" s="30">
        <v>42517.402002314811</v>
      </c>
      <c r="F51" s="30">
        <v>42517.40351851852</v>
      </c>
      <c r="G51" s="38">
        <v>2</v>
      </c>
      <c r="H51" s="30" t="s">
        <v>226</v>
      </c>
      <c r="I51" s="30">
        <v>42517.434629629628</v>
      </c>
      <c r="J51" s="60">
        <v>2</v>
      </c>
      <c r="K51" s="60" t="str">
        <f t="shared" si="11"/>
        <v>4015/4016</v>
      </c>
      <c r="L51" s="60" t="str">
        <f>VLOOKUP(A51,'Trips&amp;Operators'!$C$1:$E$9999,3,FALSE)</f>
        <v>STARKS</v>
      </c>
      <c r="M51" s="12">
        <f t="shared" si="12"/>
        <v>3.1111111107748002E-2</v>
      </c>
      <c r="N51" s="13">
        <f t="shared" si="10"/>
        <v>44.799999995157123</v>
      </c>
      <c r="O51" s="13"/>
      <c r="P51" s="13"/>
      <c r="Q51" s="61"/>
      <c r="R51" s="61"/>
      <c r="S51" s="94">
        <f t="shared" si="8"/>
        <v>1</v>
      </c>
      <c r="T51" s="2" t="str">
        <f t="shared" si="9"/>
        <v>NorthBound</v>
      </c>
      <c r="U51" s="67">
        <f>COUNTIFS([3]Variables!$M$2:$M$19,IF(T51="NorthBound","&gt;=","&lt;=")&amp;Z51,[3]Variables!$M$2:$M$19,IF(T51="NorthBound","&lt;=","&gt;=")&amp;AA51)</f>
        <v>12</v>
      </c>
      <c r="W51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09:37:53-0600',mode:absolute,to:'2016-05-27 10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1" s="73" t="str">
        <f t="shared" si="14"/>
        <v>N</v>
      </c>
      <c r="Y51" s="73">
        <f t="shared" si="15"/>
        <v>1</v>
      </c>
      <c r="Z51" s="73">
        <f t="shared" si="16"/>
        <v>4.6199999999999998E-2</v>
      </c>
      <c r="AA51" s="73">
        <f t="shared" si="18"/>
        <v>23.3325</v>
      </c>
      <c r="AB51" s="73">
        <f t="shared" si="17"/>
        <v>23.286300000000001</v>
      </c>
      <c r="AC51" s="74">
        <f>VLOOKUP(A51,Enforcements!$C$3:$J$69,8,0)</f>
        <v>230436</v>
      </c>
      <c r="AD51" s="74" t="str">
        <f>VLOOKUP(A51,Enforcements!$C$3:$J$69,3,0)</f>
        <v>PERMANENT SPEED RESTRICTION</v>
      </c>
    </row>
    <row r="52" spans="1:30" s="2" customFormat="1" x14ac:dyDescent="0.25">
      <c r="A52" s="60" t="s">
        <v>261</v>
      </c>
      <c r="B52" s="60">
        <v>4015</v>
      </c>
      <c r="C52" s="60" t="s">
        <v>62</v>
      </c>
      <c r="D52" s="60" t="s">
        <v>262</v>
      </c>
      <c r="E52" s="30">
        <v>42517.442407407405</v>
      </c>
      <c r="F52" s="30">
        <v>42517.443935185183</v>
      </c>
      <c r="G52" s="38">
        <v>2</v>
      </c>
      <c r="H52" s="30" t="s">
        <v>119</v>
      </c>
      <c r="I52" s="30">
        <v>42517.474456018521</v>
      </c>
      <c r="J52" s="60">
        <v>0</v>
      </c>
      <c r="K52" s="60" t="str">
        <f t="shared" si="11"/>
        <v>4015/4016</v>
      </c>
      <c r="L52" s="60" t="str">
        <f>VLOOKUP(A52,'Trips&amp;Operators'!$C$1:$E$9999,3,FALSE)</f>
        <v>STARKS</v>
      </c>
      <c r="M52" s="12">
        <f t="shared" si="12"/>
        <v>3.0520833337504882E-2</v>
      </c>
      <c r="N52" s="13">
        <f t="shared" si="10"/>
        <v>43.950000006007031</v>
      </c>
      <c r="O52" s="13"/>
      <c r="P52" s="13"/>
      <c r="Q52" s="61"/>
      <c r="R52" s="61"/>
      <c r="S52" s="94">
        <f t="shared" si="8"/>
        <v>1</v>
      </c>
      <c r="T52" s="2" t="str">
        <f t="shared" si="9"/>
        <v>Southbound</v>
      </c>
      <c r="U52" s="67">
        <f>COUNTIFS([3]Variables!$M$2:$M$19,IF(T52="NorthBound","&gt;=","&lt;=")&amp;Z52,[3]Variables!$M$2:$M$19,IF(T52="NorthBound","&lt;=","&gt;=")&amp;AA52)</f>
        <v>12</v>
      </c>
      <c r="W52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10:36:04-0600',mode:absolute,to:'2016-05-27 11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2" s="73" t="str">
        <f t="shared" si="14"/>
        <v>N</v>
      </c>
      <c r="Y52" s="73">
        <f t="shared" si="15"/>
        <v>1</v>
      </c>
      <c r="Z52" s="73">
        <f t="shared" si="16"/>
        <v>23.301100000000002</v>
      </c>
      <c r="AA52" s="73">
        <f t="shared" si="18"/>
        <v>1.41E-2</v>
      </c>
      <c r="AB52" s="73">
        <f t="shared" si="17"/>
        <v>23.287000000000003</v>
      </c>
      <c r="AC52" s="74" t="e">
        <f>VLOOKUP(A52,Enforcements!$C$3:$J$69,8,0)</f>
        <v>#N/A</v>
      </c>
      <c r="AD52" s="74" t="e">
        <f>VLOOKUP(A52,Enforcements!$C$3:$J$69,3,0)</f>
        <v>#N/A</v>
      </c>
    </row>
    <row r="53" spans="1:30" s="2" customFormat="1" x14ac:dyDescent="0.25">
      <c r="A53" s="60" t="s">
        <v>263</v>
      </c>
      <c r="B53" s="60">
        <v>4031</v>
      </c>
      <c r="C53" s="60" t="s">
        <v>62</v>
      </c>
      <c r="D53" s="60" t="s">
        <v>148</v>
      </c>
      <c r="E53" s="30">
        <v>42517.413842592592</v>
      </c>
      <c r="F53" s="30">
        <v>42517.416932870372</v>
      </c>
      <c r="G53" s="38">
        <v>4</v>
      </c>
      <c r="H53" s="30" t="s">
        <v>63</v>
      </c>
      <c r="I53" s="30">
        <v>42517.443136574075</v>
      </c>
      <c r="J53" s="60">
        <v>1</v>
      </c>
      <c r="K53" s="60" t="str">
        <f t="shared" si="11"/>
        <v>4031/4032</v>
      </c>
      <c r="L53" s="60" t="str">
        <f>VLOOKUP(A53,'Trips&amp;Operators'!$C$1:$E$9999,3,FALSE)</f>
        <v>MALAVE</v>
      </c>
      <c r="M53" s="12">
        <f t="shared" si="12"/>
        <v>2.6203703702776693E-2</v>
      </c>
      <c r="N53" s="13">
        <f t="shared" si="10"/>
        <v>37.733333331998438</v>
      </c>
      <c r="O53" s="13"/>
      <c r="P53" s="13"/>
      <c r="Q53" s="61"/>
      <c r="R53" s="61"/>
      <c r="S53" s="94">
        <f t="shared" si="8"/>
        <v>1</v>
      </c>
      <c r="T53" s="2" t="str">
        <f t="shared" si="9"/>
        <v>NorthBound</v>
      </c>
      <c r="U53" s="67">
        <f>COUNTIFS([3]Variables!$M$2:$M$19,IF(T53="NorthBound","&gt;=","&lt;=")&amp;Z53,[3]Variables!$M$2:$M$19,IF(T53="NorthBound","&lt;=","&gt;=")&amp;AA53)</f>
        <v>12</v>
      </c>
      <c r="W53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09:54:56-0600',mode:absolute,to:'2016-05-27 10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3" s="73" t="str">
        <f t="shared" si="14"/>
        <v>N</v>
      </c>
      <c r="Y53" s="73">
        <f t="shared" si="15"/>
        <v>1</v>
      </c>
      <c r="Z53" s="73">
        <f t="shared" si="16"/>
        <v>5.1299999999999998E-2</v>
      </c>
      <c r="AA53" s="73">
        <f t="shared" si="18"/>
        <v>23.329499999999999</v>
      </c>
      <c r="AB53" s="73">
        <f t="shared" si="17"/>
        <v>23.278199999999998</v>
      </c>
      <c r="AC53" s="74">
        <f>VLOOKUP(A53,Enforcements!$C$3:$J$69,8,0)</f>
        <v>233491</v>
      </c>
      <c r="AD53" s="74" t="str">
        <f>VLOOKUP(A53,Enforcements!$C$3:$J$69,3,0)</f>
        <v>TRACK WARRANT AUTHORITY</v>
      </c>
    </row>
    <row r="54" spans="1:30" s="2" customFormat="1" x14ac:dyDescent="0.25">
      <c r="A54" s="60" t="s">
        <v>264</v>
      </c>
      <c r="B54" s="60">
        <v>4032</v>
      </c>
      <c r="C54" s="60" t="s">
        <v>62</v>
      </c>
      <c r="D54" s="60" t="s">
        <v>139</v>
      </c>
      <c r="E54" s="30">
        <v>42517.454861111109</v>
      </c>
      <c r="F54" s="30">
        <v>42517.456608796296</v>
      </c>
      <c r="G54" s="38">
        <v>2</v>
      </c>
      <c r="H54" s="30" t="s">
        <v>265</v>
      </c>
      <c r="I54" s="30">
        <v>42517.48605324074</v>
      </c>
      <c r="J54" s="60">
        <v>1</v>
      </c>
      <c r="K54" s="60" t="str">
        <f t="shared" si="11"/>
        <v>4031/4032</v>
      </c>
      <c r="L54" s="60" t="str">
        <f>VLOOKUP(A54,'Trips&amp;Operators'!$C$1:$E$9999,3,FALSE)</f>
        <v>MALAVE</v>
      </c>
      <c r="M54" s="12">
        <f t="shared" si="12"/>
        <v>2.9444444444379769E-2</v>
      </c>
      <c r="N54" s="13">
        <f t="shared" si="10"/>
        <v>42.399999999906868</v>
      </c>
      <c r="O54" s="13"/>
      <c r="P54" s="13"/>
      <c r="Q54" s="61"/>
      <c r="R54" s="61"/>
      <c r="S54" s="94">
        <f t="shared" si="8"/>
        <v>0</v>
      </c>
      <c r="T54" s="2" t="str">
        <f t="shared" si="9"/>
        <v>Southbound</v>
      </c>
      <c r="U54" s="67">
        <f>COUNTIFS([3]Variables!$M$2:$M$19,IF(T54="NorthBound","&gt;=","&lt;=")&amp;Z54,[3]Variables!$M$2:$M$19,IF(T54="NorthBound","&lt;=","&gt;=")&amp;AA54)</f>
        <v>0</v>
      </c>
      <c r="W54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10:54:00-0600',mode:absolute,to:'2016-05-27 11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4" s="73" t="str">
        <f t="shared" si="14"/>
        <v>Y</v>
      </c>
      <c r="Y54" s="73">
        <f t="shared" si="15"/>
        <v>1</v>
      </c>
      <c r="Z54" s="73">
        <f t="shared" si="16"/>
        <v>23.296900000000001</v>
      </c>
      <c r="AA54" s="73">
        <v>23.298100000000002</v>
      </c>
      <c r="AB54" s="73">
        <f t="shared" si="17"/>
        <v>1.200000000000756E-3</v>
      </c>
      <c r="AC54" s="74">
        <f>VLOOKUP(A54,Enforcements!$C$3:$J$69,8,0)</f>
        <v>78469</v>
      </c>
      <c r="AD54" s="74" t="str">
        <f>VLOOKUP(A54,Enforcements!$C$3:$J$69,3,0)</f>
        <v>GRADE CROSSING</v>
      </c>
    </row>
    <row r="55" spans="1:30" s="2" customFormat="1" x14ac:dyDescent="0.25">
      <c r="A55" s="60" t="s">
        <v>266</v>
      </c>
      <c r="B55" s="60">
        <v>4024</v>
      </c>
      <c r="C55" s="60" t="s">
        <v>62</v>
      </c>
      <c r="D55" s="60" t="s">
        <v>69</v>
      </c>
      <c r="E55" s="30">
        <v>42517.424942129626</v>
      </c>
      <c r="F55" s="30">
        <v>42517.425937499997</v>
      </c>
      <c r="G55" s="38">
        <v>1</v>
      </c>
      <c r="H55" s="30" t="s">
        <v>176</v>
      </c>
      <c r="I55" s="30">
        <v>42517.458807870367</v>
      </c>
      <c r="J55" s="60">
        <v>0</v>
      </c>
      <c r="K55" s="60" t="str">
        <f t="shared" si="11"/>
        <v>4023/4024</v>
      </c>
      <c r="L55" s="60" t="str">
        <f>VLOOKUP(A55,'Trips&amp;Operators'!$C$1:$E$9999,3,FALSE)</f>
        <v>GOODNIGHT</v>
      </c>
      <c r="M55" s="12">
        <f t="shared" si="12"/>
        <v>3.2870370370801538E-2</v>
      </c>
      <c r="N55" s="13">
        <f t="shared" si="10"/>
        <v>47.333333333954215</v>
      </c>
      <c r="O55" s="13"/>
      <c r="P55" s="13"/>
      <c r="Q55" s="61"/>
      <c r="R55" s="61"/>
      <c r="S55" s="94">
        <f t="shared" si="8"/>
        <v>1</v>
      </c>
      <c r="T55" s="2" t="str">
        <f t="shared" si="9"/>
        <v>NorthBound</v>
      </c>
      <c r="U55" s="67">
        <f>COUNTIFS([3]Variables!$M$2:$M$19,IF(T55="NorthBound","&gt;=","&lt;=")&amp;Z55,[3]Variables!$M$2:$M$19,IF(T55="NorthBound","&lt;=","&gt;=")&amp;AA55)</f>
        <v>12</v>
      </c>
      <c r="W5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10:10:55-0600',mode:absolute,to:'2016-05-27 11:01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5" s="73" t="str">
        <f t="shared" si="14"/>
        <v>N</v>
      </c>
      <c r="Y55" s="73">
        <f t="shared" si="15"/>
        <v>1</v>
      </c>
      <c r="Z55" s="73">
        <f t="shared" si="16"/>
        <v>4.5100000000000001E-2</v>
      </c>
      <c r="AA55" s="73">
        <f>RIGHT(H55,LEN(H55)-4)/10000</f>
        <v>23.333100000000002</v>
      </c>
      <c r="AB55" s="73">
        <f t="shared" si="17"/>
        <v>23.288</v>
      </c>
      <c r="AC55" s="74" t="e">
        <f>VLOOKUP(A55,Enforcements!$C$3:$J$69,8,0)</f>
        <v>#N/A</v>
      </c>
      <c r="AD55" s="74" t="e">
        <f>VLOOKUP(A55,Enforcements!$C$3:$J$69,3,0)</f>
        <v>#N/A</v>
      </c>
    </row>
    <row r="56" spans="1:30" s="2" customFormat="1" x14ac:dyDescent="0.25">
      <c r="A56" s="60" t="s">
        <v>267</v>
      </c>
      <c r="B56" s="60">
        <v>4023</v>
      </c>
      <c r="C56" s="60" t="s">
        <v>62</v>
      </c>
      <c r="D56" s="60" t="s">
        <v>268</v>
      </c>
      <c r="E56" s="30">
        <v>42517.463368055556</v>
      </c>
      <c r="F56" s="30">
        <v>42517.464282407411</v>
      </c>
      <c r="G56" s="38">
        <v>1</v>
      </c>
      <c r="H56" s="30" t="s">
        <v>65</v>
      </c>
      <c r="I56" s="30">
        <v>42517.495057870372</v>
      </c>
      <c r="J56" s="60">
        <v>1</v>
      </c>
      <c r="K56" s="60" t="str">
        <f t="shared" si="11"/>
        <v>4023/4024</v>
      </c>
      <c r="L56" s="60" t="str">
        <f>VLOOKUP(A56,'Trips&amp;Operators'!$C$1:$E$9999,3,FALSE)</f>
        <v>GOODNIGHT</v>
      </c>
      <c r="M56" s="12">
        <f t="shared" si="12"/>
        <v>3.0775462961173616E-2</v>
      </c>
      <c r="N56" s="13">
        <f t="shared" si="10"/>
        <v>44.316666664090008</v>
      </c>
      <c r="O56" s="13"/>
      <c r="P56" s="13"/>
      <c r="Q56" s="61"/>
      <c r="R56" s="61"/>
      <c r="S56" s="94">
        <f t="shared" si="8"/>
        <v>1</v>
      </c>
      <c r="T56" s="2" t="str">
        <f t="shared" si="9"/>
        <v>Southbound</v>
      </c>
      <c r="U56" s="67">
        <f>COUNTIFS([3]Variables!$M$2:$M$19,IF(T56="NorthBound","&gt;=","&lt;=")&amp;Z56,[3]Variables!$M$2:$M$19,IF(T56="NorthBound","&lt;=","&gt;=")&amp;AA56)</f>
        <v>12</v>
      </c>
      <c r="W56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11:06:15-0600',mode:absolute,to:'2016-05-27 11:53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6" s="73" t="str">
        <f t="shared" si="14"/>
        <v>N</v>
      </c>
      <c r="Y56" s="73">
        <f t="shared" si="15"/>
        <v>1</v>
      </c>
      <c r="Z56" s="73">
        <f t="shared" si="16"/>
        <v>23.303000000000001</v>
      </c>
      <c r="AA56" s="73">
        <f>RIGHT(H56,LEN(H56)-4)/10000</f>
        <v>1.4500000000000001E-2</v>
      </c>
      <c r="AB56" s="73">
        <f t="shared" si="17"/>
        <v>23.288499999999999</v>
      </c>
      <c r="AC56" s="74">
        <f>VLOOKUP(A56,Enforcements!$C$3:$J$69,8,0)</f>
        <v>15167</v>
      </c>
      <c r="AD56" s="74" t="str">
        <f>VLOOKUP(A56,Enforcements!$C$3:$J$69,3,0)</f>
        <v>PERMANENT SPEED RESTRICTION</v>
      </c>
    </row>
    <row r="57" spans="1:30" s="2" customFormat="1" x14ac:dyDescent="0.25">
      <c r="A57" s="60" t="s">
        <v>269</v>
      </c>
      <c r="B57" s="60">
        <v>4018</v>
      </c>
      <c r="C57" s="60" t="s">
        <v>62</v>
      </c>
      <c r="D57" s="60" t="s">
        <v>111</v>
      </c>
      <c r="E57" s="30">
        <v>42517.435046296298</v>
      </c>
      <c r="F57" s="30">
        <v>42517.438055555554</v>
      </c>
      <c r="G57" s="38">
        <v>4</v>
      </c>
      <c r="H57" s="30" t="s">
        <v>270</v>
      </c>
      <c r="I57" s="30">
        <v>42517.451273148145</v>
      </c>
      <c r="J57" s="60">
        <v>0</v>
      </c>
      <c r="K57" s="60" t="str">
        <f t="shared" si="11"/>
        <v>4017/4018</v>
      </c>
      <c r="L57" s="60" t="str">
        <f>VLOOKUP(A57,'Trips&amp;Operators'!$C$1:$E$9999,3,FALSE)</f>
        <v>GEBRETEKLE</v>
      </c>
      <c r="M57" s="12">
        <f t="shared" si="12"/>
        <v>1.321759259008104E-2</v>
      </c>
      <c r="N57" s="13"/>
      <c r="O57" s="13"/>
      <c r="P57" s="13"/>
      <c r="Q57" s="61"/>
      <c r="R57" s="61"/>
      <c r="S57" s="94">
        <f t="shared" si="8"/>
        <v>1</v>
      </c>
      <c r="T57" s="2" t="str">
        <f t="shared" si="9"/>
        <v>NorthBound</v>
      </c>
      <c r="U57" s="67">
        <f>COUNTIFS([3]Variables!$M$2:$M$19,IF(T57="NorthBound","&gt;=","&lt;=")&amp;Z57,[3]Variables!$M$2:$M$19,IF(T57="NorthBound","&lt;=","&gt;=")&amp;AA57)</f>
        <v>12</v>
      </c>
      <c r="W57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10:25:28-0600',mode:absolute,to:'2016-05-27 10:50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57" s="73" t="str">
        <f t="shared" si="14"/>
        <v>N</v>
      </c>
      <c r="Y57" s="73">
        <f t="shared" si="15"/>
        <v>1</v>
      </c>
      <c r="Z57" s="73">
        <f t="shared" si="16"/>
        <v>4.5699999999999998E-2</v>
      </c>
      <c r="AA57" s="73">
        <v>23.329799999999999</v>
      </c>
      <c r="AB57" s="73">
        <f t="shared" si="17"/>
        <v>23.284099999999999</v>
      </c>
      <c r="AC57" s="74" t="e">
        <f>VLOOKUP(A57,Enforcements!$C$3:$J$69,8,0)</f>
        <v>#N/A</v>
      </c>
      <c r="AD57" s="74" t="e">
        <f>VLOOKUP(A57,Enforcements!$C$3:$J$69,3,0)</f>
        <v>#N/A</v>
      </c>
    </row>
    <row r="58" spans="1:30" s="2" customFormat="1" x14ac:dyDescent="0.25">
      <c r="A58" s="60" t="s">
        <v>269</v>
      </c>
      <c r="B58" s="60">
        <v>4018</v>
      </c>
      <c r="C58" s="60" t="s">
        <v>62</v>
      </c>
      <c r="D58" s="60" t="s">
        <v>271</v>
      </c>
      <c r="E58" s="30">
        <v>42517.453113425923</v>
      </c>
      <c r="F58" s="30">
        <v>42517.453877314816</v>
      </c>
      <c r="G58" s="38">
        <v>1</v>
      </c>
      <c r="H58" s="30" t="s">
        <v>272</v>
      </c>
      <c r="I58" s="30">
        <v>42517.472361111111</v>
      </c>
      <c r="J58" s="60">
        <v>0</v>
      </c>
      <c r="K58" s="60" t="str">
        <f t="shared" si="11"/>
        <v>4017/4018</v>
      </c>
      <c r="L58" s="60" t="str">
        <f>VLOOKUP(A58,'Trips&amp;Operators'!$C$1:$E$9999,3,FALSE)</f>
        <v>GEBRETEKLE</v>
      </c>
      <c r="M58" s="12">
        <f t="shared" si="12"/>
        <v>1.8483796295186039E-2</v>
      </c>
      <c r="N58" s="13"/>
      <c r="O58" s="13"/>
      <c r="P58" s="13">
        <f>24*60*SUM($M57:$M58)</f>
        <v>45.649999994784594</v>
      </c>
      <c r="Q58" s="61"/>
      <c r="R58" s="61" t="s">
        <v>440</v>
      </c>
      <c r="S58" s="94">
        <f t="shared" si="8"/>
        <v>0.16666666666666666</v>
      </c>
      <c r="T58" s="2" t="str">
        <f t="shared" si="9"/>
        <v>NorthBound</v>
      </c>
      <c r="U58" s="67">
        <f>COUNTIFS([3]Variables!$M$2:$M$19,IF(T58="NorthBound","&gt;=","&lt;=")&amp;Z58,[3]Variables!$M$2:$M$19,IF(T58="NorthBound","&lt;=","&gt;=")&amp;AA58)</f>
        <v>2</v>
      </c>
      <c r="W58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10:51:29-0600',mode:absolute,to:'2016-05-27 11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58" s="73" t="str">
        <f t="shared" si="14"/>
        <v>Y</v>
      </c>
      <c r="Y58" s="73">
        <f t="shared" si="15"/>
        <v>0</v>
      </c>
      <c r="Z58" s="73">
        <f t="shared" si="16"/>
        <v>8.6376000000000008</v>
      </c>
      <c r="AA58" s="73">
        <f t="shared" ref="AA58:AA76" si="19">RIGHT(H58,LEN(H58)-4)/10000</f>
        <v>23.329899999999999</v>
      </c>
      <c r="AB58" s="73">
        <f t="shared" si="17"/>
        <v>14.692299999999998</v>
      </c>
      <c r="AC58" s="74" t="e">
        <f>VLOOKUP(A58,Enforcements!$C$3:$J$69,8,0)</f>
        <v>#N/A</v>
      </c>
      <c r="AD58" s="74" t="e">
        <f>VLOOKUP(A58,Enforcements!$C$3:$J$69,3,0)</f>
        <v>#N/A</v>
      </c>
    </row>
    <row r="59" spans="1:30" s="2" customFormat="1" x14ac:dyDescent="0.25">
      <c r="A59" s="60" t="s">
        <v>273</v>
      </c>
      <c r="B59" s="60">
        <v>4017</v>
      </c>
      <c r="C59" s="60" t="s">
        <v>62</v>
      </c>
      <c r="D59" s="60" t="s">
        <v>274</v>
      </c>
      <c r="E59" s="30">
        <v>42517.47383101852</v>
      </c>
      <c r="F59" s="30">
        <v>42517.475486111114</v>
      </c>
      <c r="G59" s="38">
        <v>2</v>
      </c>
      <c r="H59" s="30" t="s">
        <v>123</v>
      </c>
      <c r="I59" s="30">
        <v>42517.5075</v>
      </c>
      <c r="J59" s="60">
        <v>0</v>
      </c>
      <c r="K59" s="60" t="str">
        <f t="shared" si="11"/>
        <v>4017/4018</v>
      </c>
      <c r="L59" s="60" t="str">
        <f>VLOOKUP(A59,'Trips&amp;Operators'!$C$1:$E$9999,3,FALSE)</f>
        <v>GEBRETEKLE</v>
      </c>
      <c r="M59" s="12">
        <f t="shared" si="12"/>
        <v>3.2013888885558117E-2</v>
      </c>
      <c r="N59" s="13">
        <f t="shared" si="10"/>
        <v>46.099999995203689</v>
      </c>
      <c r="O59" s="13"/>
      <c r="P59" s="13"/>
      <c r="Q59" s="61"/>
      <c r="R59" s="61"/>
      <c r="S59" s="94">
        <f t="shared" si="8"/>
        <v>1</v>
      </c>
      <c r="T59" s="2" t="str">
        <f t="shared" si="9"/>
        <v>Southbound</v>
      </c>
      <c r="U59" s="67">
        <f>COUNTIFS([3]Variables!$M$2:$M$19,IF(T59="NorthBound","&gt;=","&lt;=")&amp;Z59,[3]Variables!$M$2:$M$19,IF(T59="NorthBound","&lt;=","&gt;=")&amp;AA59)</f>
        <v>12</v>
      </c>
      <c r="W59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11:21:19-0600',mode:absolute,to:'2016-05-27 12:11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59" s="73" t="str">
        <f t="shared" si="14"/>
        <v>N</v>
      </c>
      <c r="Y59" s="73">
        <f t="shared" si="15"/>
        <v>1</v>
      </c>
      <c r="Z59" s="73">
        <f t="shared" si="16"/>
        <v>23.297999999999998</v>
      </c>
      <c r="AA59" s="73">
        <f t="shared" si="19"/>
        <v>1.34E-2</v>
      </c>
      <c r="AB59" s="73">
        <f t="shared" si="17"/>
        <v>23.284599999999998</v>
      </c>
      <c r="AC59" s="74" t="e">
        <f>VLOOKUP(A59,Enforcements!$C$3:$J$69,8,0)</f>
        <v>#N/A</v>
      </c>
      <c r="AD59" s="74" t="e">
        <f>VLOOKUP(A59,Enforcements!$C$3:$J$69,3,0)</f>
        <v>#N/A</v>
      </c>
    </row>
    <row r="60" spans="1:30" s="2" customFormat="1" x14ac:dyDescent="0.25">
      <c r="A60" s="60" t="s">
        <v>275</v>
      </c>
      <c r="B60" s="60">
        <v>4040</v>
      </c>
      <c r="C60" s="60" t="s">
        <v>62</v>
      </c>
      <c r="D60" s="60" t="s">
        <v>111</v>
      </c>
      <c r="E60" s="30">
        <v>42517.445567129631</v>
      </c>
      <c r="F60" s="30">
        <v>42517.446412037039</v>
      </c>
      <c r="G60" s="38">
        <v>1</v>
      </c>
      <c r="H60" s="30" t="s">
        <v>67</v>
      </c>
      <c r="I60" s="30">
        <v>42517.474224537036</v>
      </c>
      <c r="J60" s="60">
        <v>2</v>
      </c>
      <c r="K60" s="60" t="str">
        <f t="shared" si="11"/>
        <v>4039/4040</v>
      </c>
      <c r="L60" s="60" t="str">
        <f>VLOOKUP(A60,'Trips&amp;Operators'!$C$1:$E$9999,3,FALSE)</f>
        <v>ROCHA</v>
      </c>
      <c r="M60" s="12">
        <f t="shared" si="12"/>
        <v>2.7812499996798579E-2</v>
      </c>
      <c r="N60" s="13">
        <f t="shared" si="10"/>
        <v>40.049999995389953</v>
      </c>
      <c r="O60" s="13"/>
      <c r="P60" s="13"/>
      <c r="Q60" s="61"/>
      <c r="R60" s="61"/>
      <c r="S60" s="94">
        <f t="shared" si="8"/>
        <v>1</v>
      </c>
      <c r="T60" s="2" t="str">
        <f t="shared" si="9"/>
        <v>NorthBound</v>
      </c>
      <c r="U60" s="67">
        <f>COUNTIFS([3]Variables!$M$2:$M$19,IF(T60="NorthBound","&gt;=","&lt;=")&amp;Z60,[3]Variables!$M$2:$M$19,IF(T60="NorthBound","&lt;=","&gt;=")&amp;AA60)</f>
        <v>12</v>
      </c>
      <c r="W60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10:40:37-0600',mode:absolute,to:'2016-05-27 11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60" s="73" t="str">
        <f t="shared" si="14"/>
        <v>N</v>
      </c>
      <c r="Y60" s="73">
        <f t="shared" si="15"/>
        <v>1</v>
      </c>
      <c r="Z60" s="73">
        <f t="shared" si="16"/>
        <v>4.5699999999999998E-2</v>
      </c>
      <c r="AA60" s="73">
        <f t="shared" si="19"/>
        <v>23.3308</v>
      </c>
      <c r="AB60" s="73">
        <f t="shared" si="17"/>
        <v>23.2851</v>
      </c>
      <c r="AC60" s="74">
        <f>VLOOKUP(A60,Enforcements!$C$3:$J$69,8,0)</f>
        <v>10800</v>
      </c>
      <c r="AD60" s="74" t="str">
        <f>VLOOKUP(A60,Enforcements!$C$3:$J$69,3,0)</f>
        <v>SIGNAL</v>
      </c>
    </row>
    <row r="61" spans="1:30" s="2" customFormat="1" x14ac:dyDescent="0.25">
      <c r="A61" s="60" t="s">
        <v>276</v>
      </c>
      <c r="B61" s="60">
        <v>4039</v>
      </c>
      <c r="C61" s="60" t="s">
        <v>62</v>
      </c>
      <c r="D61" s="60" t="s">
        <v>112</v>
      </c>
      <c r="E61" s="30">
        <v>42517.483668981484</v>
      </c>
      <c r="F61" s="30">
        <v>42517.484548611108</v>
      </c>
      <c r="G61" s="38">
        <v>1</v>
      </c>
      <c r="H61" s="30" t="s">
        <v>65</v>
      </c>
      <c r="I61" s="30">
        <v>42517.515717592592</v>
      </c>
      <c r="J61" s="60">
        <v>0</v>
      </c>
      <c r="K61" s="60" t="str">
        <f t="shared" si="11"/>
        <v>4039/4040</v>
      </c>
      <c r="L61" s="60" t="str">
        <f>VLOOKUP(A61,'Trips&amp;Operators'!$C$1:$E$9999,3,FALSE)</f>
        <v>ROCHA</v>
      </c>
      <c r="M61" s="12">
        <f t="shared" si="12"/>
        <v>3.1168981484370306E-2</v>
      </c>
      <c r="N61" s="13">
        <f t="shared" si="10"/>
        <v>44.883333337493241</v>
      </c>
      <c r="O61" s="13"/>
      <c r="P61" s="13"/>
      <c r="Q61" s="61"/>
      <c r="R61" s="61"/>
      <c r="S61" s="94">
        <f t="shared" si="8"/>
        <v>1</v>
      </c>
      <c r="T61" s="2" t="str">
        <f t="shared" si="9"/>
        <v>Southbound</v>
      </c>
      <c r="U61" s="67">
        <f>COUNTIFS([3]Variables!$M$2:$M$19,IF(T61="NorthBound","&gt;=","&lt;=")&amp;Z61,[3]Variables!$M$2:$M$19,IF(T61="NorthBound","&lt;=","&gt;=")&amp;AA61)</f>
        <v>12</v>
      </c>
      <c r="W61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11:35:29-0600',mode:absolute,to:'2016-05-27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1" s="73" t="str">
        <f t="shared" si="14"/>
        <v>N</v>
      </c>
      <c r="Y61" s="73">
        <f t="shared" si="15"/>
        <v>1</v>
      </c>
      <c r="Z61" s="73">
        <f t="shared" si="16"/>
        <v>23.299099999999999</v>
      </c>
      <c r="AA61" s="73">
        <f t="shared" si="19"/>
        <v>1.4500000000000001E-2</v>
      </c>
      <c r="AB61" s="73">
        <f t="shared" si="17"/>
        <v>23.284599999999998</v>
      </c>
      <c r="AC61" s="74" t="e">
        <f>VLOOKUP(A61,Enforcements!$C$3:$J$69,8,0)</f>
        <v>#N/A</v>
      </c>
      <c r="AD61" s="74" t="e">
        <f>VLOOKUP(A61,Enforcements!$C$3:$J$69,3,0)</f>
        <v>#N/A</v>
      </c>
    </row>
    <row r="62" spans="1:30" s="2" customFormat="1" x14ac:dyDescent="0.25">
      <c r="A62" s="60" t="s">
        <v>277</v>
      </c>
      <c r="B62" s="60">
        <v>4038</v>
      </c>
      <c r="C62" s="60" t="s">
        <v>62</v>
      </c>
      <c r="D62" s="60" t="s">
        <v>278</v>
      </c>
      <c r="E62" s="30">
        <v>42517.457511574074</v>
      </c>
      <c r="F62" s="30">
        <v>42517.458506944444</v>
      </c>
      <c r="G62" s="38">
        <v>1</v>
      </c>
      <c r="H62" s="30" t="s">
        <v>109</v>
      </c>
      <c r="I62" s="30">
        <v>42517.486192129632</v>
      </c>
      <c r="J62" s="60">
        <v>0</v>
      </c>
      <c r="K62" s="60" t="str">
        <f t="shared" si="11"/>
        <v>4037/4038</v>
      </c>
      <c r="L62" s="60" t="str">
        <f>VLOOKUP(A62,'Trips&amp;Operators'!$C$1:$E$9999,3,FALSE)</f>
        <v>SANTIZO</v>
      </c>
      <c r="M62" s="12">
        <f t="shared" si="12"/>
        <v>2.768518518860219E-2</v>
      </c>
      <c r="N62" s="13">
        <f t="shared" si="10"/>
        <v>39.866666671587154</v>
      </c>
      <c r="O62" s="13"/>
      <c r="P62" s="13"/>
      <c r="Q62" s="61"/>
      <c r="R62" s="61"/>
      <c r="S62" s="94">
        <f t="shared" si="8"/>
        <v>1</v>
      </c>
      <c r="T62" s="2" t="str">
        <f t="shared" si="9"/>
        <v>NorthBound</v>
      </c>
      <c r="U62" s="67">
        <f>COUNTIFS([3]Variables!$M$2:$M$19,IF(T62="NorthBound","&gt;=","&lt;=")&amp;Z62,[3]Variables!$M$2:$M$19,IF(T62="NorthBound","&lt;=","&gt;=")&amp;AA62)</f>
        <v>12</v>
      </c>
      <c r="W62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10:57:49-0600',mode:absolute,to:'2016-05-27 11:41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2" s="73" t="str">
        <f t="shared" si="14"/>
        <v>N</v>
      </c>
      <c r="Y62" s="73">
        <f t="shared" si="15"/>
        <v>1</v>
      </c>
      <c r="Z62" s="73">
        <f t="shared" si="16"/>
        <v>4.4600000000000001E-2</v>
      </c>
      <c r="AA62" s="73">
        <f t="shared" si="19"/>
        <v>23.328900000000001</v>
      </c>
      <c r="AB62" s="73">
        <f t="shared" si="17"/>
        <v>23.284300000000002</v>
      </c>
      <c r="AC62" s="74" t="e">
        <f>VLOOKUP(A62,Enforcements!$C$3:$J$69,8,0)</f>
        <v>#N/A</v>
      </c>
      <c r="AD62" s="74" t="e">
        <f>VLOOKUP(A62,Enforcements!$C$3:$J$69,3,0)</f>
        <v>#N/A</v>
      </c>
    </row>
    <row r="63" spans="1:30" s="2" customFormat="1" x14ac:dyDescent="0.25">
      <c r="A63" s="60" t="s">
        <v>279</v>
      </c>
      <c r="B63" s="60">
        <v>4037</v>
      </c>
      <c r="C63" s="60" t="s">
        <v>62</v>
      </c>
      <c r="D63" s="60" t="s">
        <v>99</v>
      </c>
      <c r="E63" s="30">
        <v>42517.493194444447</v>
      </c>
      <c r="F63" s="30">
        <v>42517.494386574072</v>
      </c>
      <c r="G63" s="38">
        <v>1</v>
      </c>
      <c r="H63" s="30" t="s">
        <v>119</v>
      </c>
      <c r="I63" s="30">
        <v>42517.527048611111</v>
      </c>
      <c r="J63" s="60">
        <v>0</v>
      </c>
      <c r="K63" s="60" t="str">
        <f t="shared" si="11"/>
        <v>4037/4038</v>
      </c>
      <c r="L63" s="60" t="str">
        <f>VLOOKUP(A63,'Trips&amp;Operators'!$C$1:$E$9999,3,FALSE)</f>
        <v>SANTIZO</v>
      </c>
      <c r="M63" s="12">
        <f t="shared" si="12"/>
        <v>3.2662037039699499E-2</v>
      </c>
      <c r="N63" s="13">
        <f t="shared" si="10"/>
        <v>47.033333337167278</v>
      </c>
      <c r="O63" s="13"/>
      <c r="P63" s="13"/>
      <c r="Q63" s="61"/>
      <c r="R63" s="61"/>
      <c r="S63" s="94">
        <f t="shared" si="8"/>
        <v>1</v>
      </c>
      <c r="T63" s="2" t="str">
        <f t="shared" si="9"/>
        <v>Southbound</v>
      </c>
      <c r="U63" s="67">
        <f>COUNTIFS([3]Variables!$M$2:$M$19,IF(T63="NorthBound","&gt;=","&lt;=")&amp;Z63,[3]Variables!$M$2:$M$19,IF(T63="NorthBound","&lt;=","&gt;=")&amp;AA63)</f>
        <v>12</v>
      </c>
      <c r="W63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11:49:12-0600',mode:absolute,to:'2016-05-27 12:39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3" s="73" t="str">
        <f t="shared" si="14"/>
        <v>N</v>
      </c>
      <c r="Y63" s="73">
        <f t="shared" si="15"/>
        <v>1</v>
      </c>
      <c r="Z63" s="73">
        <f t="shared" si="16"/>
        <v>23.297699999999999</v>
      </c>
      <c r="AA63" s="73">
        <f t="shared" si="19"/>
        <v>1.41E-2</v>
      </c>
      <c r="AB63" s="73">
        <f t="shared" si="17"/>
        <v>23.2836</v>
      </c>
      <c r="AC63" s="74" t="e">
        <f>VLOOKUP(A63,Enforcements!$C$3:$J$69,8,0)</f>
        <v>#N/A</v>
      </c>
      <c r="AD63" s="74" t="e">
        <f>VLOOKUP(A63,Enforcements!$C$3:$J$69,3,0)</f>
        <v>#N/A</v>
      </c>
    </row>
    <row r="64" spans="1:30" s="2" customFormat="1" x14ac:dyDescent="0.25">
      <c r="A64" s="60" t="s">
        <v>280</v>
      </c>
      <c r="B64" s="60">
        <v>4029</v>
      </c>
      <c r="C64" s="60" t="s">
        <v>62</v>
      </c>
      <c r="D64" s="60" t="s">
        <v>69</v>
      </c>
      <c r="E64" s="30">
        <v>42517.468599537038</v>
      </c>
      <c r="F64" s="30">
        <v>42517.469305555554</v>
      </c>
      <c r="G64" s="38">
        <v>1</v>
      </c>
      <c r="H64" s="30" t="s">
        <v>281</v>
      </c>
      <c r="I64" s="30">
        <v>42517.497488425928</v>
      </c>
      <c r="J64" s="60">
        <v>0</v>
      </c>
      <c r="K64" s="60" t="str">
        <f t="shared" si="11"/>
        <v>4029/4030</v>
      </c>
      <c r="L64" s="60" t="str">
        <f>VLOOKUP(A64,'Trips&amp;Operators'!$C$1:$E$9999,3,FALSE)</f>
        <v>SPECTOR</v>
      </c>
      <c r="M64" s="12">
        <f t="shared" si="12"/>
        <v>2.8182870373711921E-2</v>
      </c>
      <c r="N64" s="13">
        <f t="shared" si="10"/>
        <v>40.583333338145167</v>
      </c>
      <c r="O64" s="13"/>
      <c r="P64" s="13"/>
      <c r="Q64" s="61"/>
      <c r="R64" s="61"/>
      <c r="S64" s="94">
        <f t="shared" si="8"/>
        <v>1</v>
      </c>
      <c r="T64" s="2" t="str">
        <f t="shared" si="9"/>
        <v>NorthBound</v>
      </c>
      <c r="U64" s="67">
        <f>COUNTIFS([3]Variables!$M$2:$M$19,IF(T64="NorthBound","&gt;=","&lt;=")&amp;Z64,[3]Variables!$M$2:$M$19,IF(T64="NorthBound","&lt;=","&gt;=")&amp;AA64)</f>
        <v>12</v>
      </c>
      <c r="W64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11:13:47-0600',mode:absolute,to:'2016-05-27 11:57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4" s="73" t="str">
        <f t="shared" si="14"/>
        <v>N</v>
      </c>
      <c r="Y64" s="73">
        <f t="shared" si="15"/>
        <v>1</v>
      </c>
      <c r="Z64" s="73">
        <f t="shared" si="16"/>
        <v>4.5100000000000001E-2</v>
      </c>
      <c r="AA64" s="73">
        <f t="shared" si="19"/>
        <v>23.333200000000001</v>
      </c>
      <c r="AB64" s="73">
        <f t="shared" si="17"/>
        <v>23.2881</v>
      </c>
      <c r="AC64" s="74" t="e">
        <f>VLOOKUP(A64,Enforcements!$C$3:$J$69,8,0)</f>
        <v>#N/A</v>
      </c>
      <c r="AD64" s="74" t="e">
        <f>VLOOKUP(A64,Enforcements!$C$3:$J$69,3,0)</f>
        <v>#N/A</v>
      </c>
    </row>
    <row r="65" spans="1:30" s="2" customFormat="1" x14ac:dyDescent="0.25">
      <c r="A65" s="60" t="s">
        <v>282</v>
      </c>
      <c r="B65" s="60">
        <v>4030</v>
      </c>
      <c r="C65" s="60" t="s">
        <v>62</v>
      </c>
      <c r="D65" s="60" t="s">
        <v>283</v>
      </c>
      <c r="E65" s="30">
        <v>42517.501296296294</v>
      </c>
      <c r="F65" s="30">
        <v>42517.502696759257</v>
      </c>
      <c r="G65" s="38">
        <v>2</v>
      </c>
      <c r="H65" s="30" t="s">
        <v>127</v>
      </c>
      <c r="I65" s="30">
        <v>42517.5393287037</v>
      </c>
      <c r="J65" s="60">
        <v>0</v>
      </c>
      <c r="K65" s="60" t="str">
        <f t="shared" si="11"/>
        <v>4029/4030</v>
      </c>
      <c r="L65" s="60" t="str">
        <f>VLOOKUP(A65,'Trips&amp;Operators'!$C$1:$E$9999,3,FALSE)</f>
        <v>SPECTOR</v>
      </c>
      <c r="M65" s="12">
        <f t="shared" si="12"/>
        <v>3.6631944443797693E-2</v>
      </c>
      <c r="N65" s="13">
        <f t="shared" si="10"/>
        <v>52.749999999068677</v>
      </c>
      <c r="O65" s="13"/>
      <c r="P65" s="13"/>
      <c r="Q65" s="61"/>
      <c r="R65" s="61"/>
      <c r="S65" s="94">
        <f t="shared" si="8"/>
        <v>1</v>
      </c>
      <c r="T65" s="2" t="str">
        <f t="shared" si="9"/>
        <v>Southbound</v>
      </c>
      <c r="U65" s="67">
        <f>COUNTIFS([3]Variables!$M$2:$M$19,IF(T65="NorthBound","&gt;=","&lt;=")&amp;Z65,[3]Variables!$M$2:$M$19,IF(T65="NorthBound","&lt;=","&gt;=")&amp;AA65)</f>
        <v>12</v>
      </c>
      <c r="W65" s="73" t="str">
        <f t="shared" si="13"/>
        <v>https://search-rtdc-monitor-bjffxe2xuh6vdkpspy63sjmuny.us-east-1.es.amazonaws.com/_plugin/kibana/#/discover/Steve-Slow-Train-Analysis-(2080s-and-2083s)?_g=(refreshInterval:(display:Off,section:0,value:0),time:(from:'2016-05-27 12:00:52-0600',mode:absolute,to:'2016-05-27 12:57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5" s="73" t="str">
        <f t="shared" si="14"/>
        <v>N</v>
      </c>
      <c r="Y65" s="73">
        <f t="shared" si="15"/>
        <v>1</v>
      </c>
      <c r="Z65" s="73">
        <f t="shared" si="16"/>
        <v>23.301300000000001</v>
      </c>
      <c r="AA65" s="73">
        <f t="shared" si="19"/>
        <v>1.49E-2</v>
      </c>
      <c r="AB65" s="73">
        <f t="shared" si="17"/>
        <v>23.2864</v>
      </c>
      <c r="AC65" s="74" t="e">
        <f>VLOOKUP(A65,Enforcements!$C$3:$J$69,8,0)</f>
        <v>#N/A</v>
      </c>
      <c r="AD65" s="74" t="e">
        <f>VLOOKUP(A65,Enforcements!$C$3:$J$69,3,0)</f>
        <v>#N/A</v>
      </c>
    </row>
    <row r="66" spans="1:30" s="2" customFormat="1" x14ac:dyDescent="0.25">
      <c r="A66" s="60" t="s">
        <v>284</v>
      </c>
      <c r="B66" s="60">
        <v>4016</v>
      </c>
      <c r="C66" s="60" t="s">
        <v>62</v>
      </c>
      <c r="D66" s="60" t="s">
        <v>114</v>
      </c>
      <c r="E66" s="30">
        <v>42517.478043981479</v>
      </c>
      <c r="F66" s="30">
        <v>42517.480532407404</v>
      </c>
      <c r="G66" s="38">
        <v>3</v>
      </c>
      <c r="H66" s="30" t="s">
        <v>285</v>
      </c>
      <c r="I66" s="30">
        <v>42517.506851851853</v>
      </c>
      <c r="J66" s="60">
        <v>0</v>
      </c>
      <c r="K66" s="60" t="str">
        <f t="shared" ref="K66:K97" si="20">IF(ISEVEN(B66),(B66-1)&amp;"/"&amp;B66,B66&amp;"/"&amp;(B66+1))</f>
        <v>4015/4016</v>
      </c>
      <c r="L66" s="60" t="str">
        <f>VLOOKUP(A66,'Trips&amp;Operators'!$C$1:$E$9999,3,FALSE)</f>
        <v>LOZA</v>
      </c>
      <c r="M66" s="12">
        <f t="shared" ref="M66:M97" si="21">I66-F66</f>
        <v>2.6319444448745344E-2</v>
      </c>
      <c r="N66" s="13">
        <f t="shared" si="10"/>
        <v>37.900000006193295</v>
      </c>
      <c r="O66" s="13"/>
      <c r="P66" s="13"/>
      <c r="Q66" s="61"/>
      <c r="R66" s="61"/>
      <c r="S66" s="94">
        <f t="shared" si="8"/>
        <v>1</v>
      </c>
      <c r="T66" s="2" t="str">
        <f t="shared" si="9"/>
        <v>NorthBound</v>
      </c>
      <c r="U66" s="67">
        <f>COUNTIFS([3]Variables!$M$2:$M$19,IF(T66="NorthBound","&gt;=","&lt;=")&amp;Z66,[3]Variables!$M$2:$M$19,IF(T66="NorthBound","&lt;=","&gt;=")&amp;AA66)</f>
        <v>12</v>
      </c>
      <c r="W66" s="73" t="str">
        <f t="shared" ref="W66:W97" si="22"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https://search-rtdc-monitor-bjffxe2xuh6vdkpspy63sjmuny.us-east-1.es.amazonaws.com/_plugin/kibana/#/discover/Steve-Slow-Train-Analysis-(2080s-and-2083s)?_g=(refreshInterval:(display:Off,section:0,value:0),time:(from:'2016-05-27 11:27:23-0600',mode:absolute,to:'2016-05-27 12:10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66" s="73" t="str">
        <f t="shared" ref="X66:X97" si="23">IF(AB66&lt;23,"Y","N")</f>
        <v>N</v>
      </c>
      <c r="Y66" s="73">
        <f t="shared" ref="Y66:Y83" si="24">VALUE(LEFT(A66,3))-VALUE(LEFT(A65,3))</f>
        <v>1</v>
      </c>
      <c r="Z66" s="73">
        <f t="shared" ref="Z66:Z97" si="25">RIGHT(D66,LEN(D66)-4)/10000</f>
        <v>4.3799999999999999E-2</v>
      </c>
      <c r="AA66" s="73">
        <f t="shared" si="19"/>
        <v>23.337199999999999</v>
      </c>
      <c r="AB66" s="73">
        <f t="shared" ref="AB66:AB97" si="26">ABS(AA66-Z66)</f>
        <v>23.293399999999998</v>
      </c>
      <c r="AC66" s="74" t="e">
        <f>VLOOKUP(A66,Enforcements!$C$3:$J$69,8,0)</f>
        <v>#N/A</v>
      </c>
      <c r="AD66" s="74" t="e">
        <f>VLOOKUP(A66,Enforcements!$C$3:$J$69,3,0)</f>
        <v>#N/A</v>
      </c>
    </row>
    <row r="67" spans="1:30" s="2" customFormat="1" x14ac:dyDescent="0.25">
      <c r="A67" s="60" t="s">
        <v>286</v>
      </c>
      <c r="B67" s="60">
        <v>4015</v>
      </c>
      <c r="C67" s="60" t="s">
        <v>62</v>
      </c>
      <c r="D67" s="60" t="s">
        <v>287</v>
      </c>
      <c r="E67" s="30">
        <v>42517.515960648147</v>
      </c>
      <c r="F67" s="30">
        <v>42517.51730324074</v>
      </c>
      <c r="G67" s="38">
        <v>1</v>
      </c>
      <c r="H67" s="30" t="s">
        <v>288</v>
      </c>
      <c r="I67" s="30">
        <v>42517.546817129631</v>
      </c>
      <c r="J67" s="60">
        <v>0</v>
      </c>
      <c r="K67" s="60" t="str">
        <f t="shared" si="20"/>
        <v>4015/4016</v>
      </c>
      <c r="L67" s="60" t="str">
        <f>VLOOKUP(A67,'Trips&amp;Operators'!$C$1:$E$9999,3,FALSE)</f>
        <v>LOZA</v>
      </c>
      <c r="M67" s="12">
        <f t="shared" si="21"/>
        <v>2.9513888890505768E-2</v>
      </c>
      <c r="N67" s="13">
        <f t="shared" si="10"/>
        <v>42.500000002328306</v>
      </c>
      <c r="O67" s="13"/>
      <c r="P67" s="13"/>
      <c r="Q67" s="61"/>
      <c r="R67" s="61"/>
      <c r="S67" s="94">
        <f t="shared" si="8"/>
        <v>1</v>
      </c>
      <c r="T67" s="2" t="str">
        <f t="shared" si="9"/>
        <v>Southbound</v>
      </c>
      <c r="U67" s="67">
        <f>COUNTIFS([3]Variables!$M$2:$M$19,IF(T67="NorthBound","&gt;=","&lt;=")&amp;Z67,[3]Variables!$M$2:$M$19,IF(T67="NorthBound","&lt;=","&gt;=")&amp;AA67)</f>
        <v>12</v>
      </c>
      <c r="W6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12:21:59-0600',mode:absolute,to:'2016-05-27 13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67" s="73" t="str">
        <f t="shared" si="23"/>
        <v>N</v>
      </c>
      <c r="Y67" s="73">
        <f t="shared" si="24"/>
        <v>1</v>
      </c>
      <c r="Z67" s="73">
        <f t="shared" si="25"/>
        <v>23.302800000000001</v>
      </c>
      <c r="AA67" s="73">
        <f t="shared" si="19"/>
        <v>1.29E-2</v>
      </c>
      <c r="AB67" s="73">
        <f t="shared" si="26"/>
        <v>23.289900000000003</v>
      </c>
      <c r="AC67" s="74" t="e">
        <f>VLOOKUP(A67,Enforcements!$C$3:$J$69,8,0)</f>
        <v>#N/A</v>
      </c>
      <c r="AD67" s="74" t="e">
        <f>VLOOKUP(A67,Enforcements!$C$3:$J$69,3,0)</f>
        <v>#N/A</v>
      </c>
    </row>
    <row r="68" spans="1:30" s="2" customFormat="1" x14ac:dyDescent="0.25">
      <c r="A68" s="60" t="s">
        <v>289</v>
      </c>
      <c r="B68" s="60">
        <v>4031</v>
      </c>
      <c r="C68" s="60" t="s">
        <v>62</v>
      </c>
      <c r="D68" s="60" t="s">
        <v>68</v>
      </c>
      <c r="E68" s="30">
        <v>42517.487939814811</v>
      </c>
      <c r="F68" s="30">
        <v>42517.489374999997</v>
      </c>
      <c r="G68" s="38">
        <v>2</v>
      </c>
      <c r="H68" s="30" t="s">
        <v>290</v>
      </c>
      <c r="I68" s="30">
        <v>42517.518819444442</v>
      </c>
      <c r="J68" s="60">
        <v>1</v>
      </c>
      <c r="K68" s="60" t="str">
        <f t="shared" si="20"/>
        <v>4031/4032</v>
      </c>
      <c r="L68" s="60" t="str">
        <f>VLOOKUP(A68,'Trips&amp;Operators'!$C$1:$E$9999,3,FALSE)</f>
        <v>LOCKLEAR</v>
      </c>
      <c r="M68" s="12">
        <f t="shared" si="21"/>
        <v>2.9444444444379769E-2</v>
      </c>
      <c r="N68" s="13">
        <f t="shared" si="10"/>
        <v>42.399999999906868</v>
      </c>
      <c r="O68" s="13"/>
      <c r="P68" s="13"/>
      <c r="Q68" s="61"/>
      <c r="R68" s="61"/>
      <c r="S68" s="94">
        <f t="shared" ref="S68:S131" si="27">SUM(U68:U68)/12</f>
        <v>1</v>
      </c>
      <c r="T68" s="2" t="str">
        <f t="shared" ref="T68:T131" si="28">IF(ISEVEN(LEFT(A68,3)),"Southbound","NorthBound")</f>
        <v>NorthBound</v>
      </c>
      <c r="U68" s="67">
        <f>COUNTIFS([3]Variables!$M$2:$M$19,IF(T68="NorthBound","&gt;=","&lt;=")&amp;Z68,[3]Variables!$M$2:$M$19,IF(T68="NorthBound","&lt;=","&gt;=")&amp;AA68)</f>
        <v>12</v>
      </c>
      <c r="W6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11:41:38-0600',mode:absolute,to:'2016-05-27 12:28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8" s="73" t="str">
        <f t="shared" si="23"/>
        <v>N</v>
      </c>
      <c r="Y68" s="73">
        <f t="shared" si="24"/>
        <v>1</v>
      </c>
      <c r="Z68" s="73">
        <f t="shared" si="25"/>
        <v>4.5499999999999999E-2</v>
      </c>
      <c r="AA68" s="73">
        <f t="shared" si="19"/>
        <v>23.337599999999998</v>
      </c>
      <c r="AB68" s="73">
        <f t="shared" si="26"/>
        <v>23.292099999999998</v>
      </c>
      <c r="AC68" s="74">
        <f>VLOOKUP(A68,Enforcements!$C$3:$J$69,8,0)</f>
        <v>5457</v>
      </c>
      <c r="AD68" s="74" t="str">
        <f>VLOOKUP(A68,Enforcements!$C$3:$J$69,3,0)</f>
        <v>PERMANENT SPEED RESTRICTION</v>
      </c>
    </row>
    <row r="69" spans="1:30" s="2" customFormat="1" x14ac:dyDescent="0.25">
      <c r="A69" s="60" t="s">
        <v>291</v>
      </c>
      <c r="B69" s="60">
        <v>4032</v>
      </c>
      <c r="C69" s="60" t="s">
        <v>62</v>
      </c>
      <c r="D69" s="60" t="s">
        <v>161</v>
      </c>
      <c r="E69" s="30">
        <v>42517.524525462963</v>
      </c>
      <c r="F69" s="30">
        <v>42517.525879629633</v>
      </c>
      <c r="G69" s="38">
        <v>1</v>
      </c>
      <c r="H69" s="30" t="s">
        <v>64</v>
      </c>
      <c r="I69" s="30">
        <v>42517.560219907406</v>
      </c>
      <c r="J69" s="60">
        <v>0</v>
      </c>
      <c r="K69" s="60" t="str">
        <f t="shared" si="20"/>
        <v>4031/4032</v>
      </c>
      <c r="L69" s="60" t="str">
        <f>VLOOKUP(A69,'Trips&amp;Operators'!$C$1:$E$9999,3,FALSE)</f>
        <v>LOCKLEAR</v>
      </c>
      <c r="M69" s="12">
        <f t="shared" si="21"/>
        <v>3.4340277772571426E-2</v>
      </c>
      <c r="N69" s="13">
        <f t="shared" si="10"/>
        <v>49.449999992502853</v>
      </c>
      <c r="O69" s="13"/>
      <c r="P69" s="13"/>
      <c r="Q69" s="61"/>
      <c r="R69" s="61"/>
      <c r="S69" s="94">
        <f t="shared" si="27"/>
        <v>1</v>
      </c>
      <c r="T69" s="2" t="str">
        <f t="shared" si="28"/>
        <v>Southbound</v>
      </c>
      <c r="U69" s="67">
        <f>COUNTIFS([3]Variables!$M$2:$M$19,IF(T69="NorthBound","&gt;=","&lt;=")&amp;Z69,[3]Variables!$M$2:$M$19,IF(T69="NorthBound","&lt;=","&gt;=")&amp;AA69)</f>
        <v>12</v>
      </c>
      <c r="W6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12:34:19-0600',mode:absolute,to:'2016-05-27 13:27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9" s="73" t="str">
        <f t="shared" si="23"/>
        <v>N</v>
      </c>
      <c r="Y69" s="73">
        <f t="shared" si="24"/>
        <v>1</v>
      </c>
      <c r="Z69" s="73">
        <f t="shared" si="25"/>
        <v>23.307200000000002</v>
      </c>
      <c r="AA69" s="73">
        <f t="shared" si="19"/>
        <v>1.54E-2</v>
      </c>
      <c r="AB69" s="73">
        <f t="shared" si="26"/>
        <v>23.291800000000002</v>
      </c>
      <c r="AC69" s="74" t="e">
        <f>VLOOKUP(A69,Enforcements!$C$3:$J$69,8,0)</f>
        <v>#N/A</v>
      </c>
      <c r="AD69" s="74" t="e">
        <f>VLOOKUP(A69,Enforcements!$C$3:$J$69,3,0)</f>
        <v>#N/A</v>
      </c>
    </row>
    <row r="70" spans="1:30" s="2" customFormat="1" x14ac:dyDescent="0.25">
      <c r="A70" s="60" t="s">
        <v>292</v>
      </c>
      <c r="B70" s="60">
        <v>4024</v>
      </c>
      <c r="C70" s="60" t="s">
        <v>62</v>
      </c>
      <c r="D70" s="60" t="s">
        <v>293</v>
      </c>
      <c r="E70" s="30">
        <v>42517.497048611112</v>
      </c>
      <c r="F70" s="30">
        <v>42517.498090277775</v>
      </c>
      <c r="G70" s="38">
        <v>1</v>
      </c>
      <c r="H70" s="30" t="s">
        <v>294</v>
      </c>
      <c r="I70" s="30">
        <v>42517.525231481479</v>
      </c>
      <c r="J70" s="60">
        <v>0</v>
      </c>
      <c r="K70" s="60" t="str">
        <f t="shared" si="20"/>
        <v>4023/4024</v>
      </c>
      <c r="L70" s="60" t="str">
        <f>VLOOKUP(A70,'Trips&amp;Operators'!$C$1:$E$9999,3,FALSE)</f>
        <v>GOODNIGHT</v>
      </c>
      <c r="M70" s="12">
        <f t="shared" si="21"/>
        <v>2.7141203703649808E-2</v>
      </c>
      <c r="N70" s="13">
        <f t="shared" ref="N70:N132" si="29">24*60*SUM($M70:$M70)</f>
        <v>39.083333333255723</v>
      </c>
      <c r="O70" s="13"/>
      <c r="P70" s="13"/>
      <c r="Q70" s="61"/>
      <c r="R70" s="61"/>
      <c r="S70" s="94">
        <f t="shared" si="27"/>
        <v>1</v>
      </c>
      <c r="T70" s="2" t="str">
        <f t="shared" si="28"/>
        <v>NorthBound</v>
      </c>
      <c r="U70" s="67">
        <f>COUNTIFS([3]Variables!$M$2:$M$19,IF(T70="NorthBound","&gt;=","&lt;=")&amp;Z70,[3]Variables!$M$2:$M$19,IF(T70="NorthBound","&lt;=","&gt;=")&amp;AA70)</f>
        <v>12</v>
      </c>
      <c r="W7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11:54:45-0600',mode:absolute,to:'2016-05-27 12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0" s="73" t="str">
        <f t="shared" si="23"/>
        <v>N</v>
      </c>
      <c r="Y70" s="73">
        <f t="shared" si="24"/>
        <v>1</v>
      </c>
      <c r="Z70" s="73">
        <f t="shared" si="25"/>
        <v>4.82E-2</v>
      </c>
      <c r="AA70" s="73">
        <f t="shared" si="19"/>
        <v>23.339300000000001</v>
      </c>
      <c r="AB70" s="73">
        <f t="shared" si="26"/>
        <v>23.2911</v>
      </c>
      <c r="AC70" s="74" t="e">
        <f>VLOOKUP(A70,Enforcements!$C$3:$J$69,8,0)</f>
        <v>#N/A</v>
      </c>
      <c r="AD70" s="74" t="e">
        <f>VLOOKUP(A70,Enforcements!$C$3:$J$69,3,0)</f>
        <v>#N/A</v>
      </c>
    </row>
    <row r="71" spans="1:30" s="2" customFormat="1" x14ac:dyDescent="0.25">
      <c r="A71" s="60" t="s">
        <v>295</v>
      </c>
      <c r="B71" s="60">
        <v>4018</v>
      </c>
      <c r="C71" s="60" t="s">
        <v>62</v>
      </c>
      <c r="D71" s="60" t="s">
        <v>142</v>
      </c>
      <c r="E71" s="30">
        <v>42517.50980324074</v>
      </c>
      <c r="F71" s="30">
        <v>42517.511238425926</v>
      </c>
      <c r="G71" s="38">
        <v>2</v>
      </c>
      <c r="H71" s="30" t="s">
        <v>128</v>
      </c>
      <c r="I71" s="30">
        <v>42517.538958333331</v>
      </c>
      <c r="J71" s="60">
        <v>0</v>
      </c>
      <c r="K71" s="60" t="str">
        <f t="shared" si="20"/>
        <v>4017/4018</v>
      </c>
      <c r="L71" s="60" t="str">
        <f>VLOOKUP(A71,'Trips&amp;Operators'!$C$1:$E$9999,3,FALSE)</f>
        <v>STEWART</v>
      </c>
      <c r="M71" s="12">
        <f t="shared" si="21"/>
        <v>2.7719907404389232E-2</v>
      </c>
      <c r="N71" s="13">
        <f t="shared" si="29"/>
        <v>39.916666662320495</v>
      </c>
      <c r="O71" s="13"/>
      <c r="P71" s="13"/>
      <c r="Q71" s="61"/>
      <c r="R71" s="61"/>
      <c r="S71" s="94">
        <f t="shared" si="27"/>
        <v>1</v>
      </c>
      <c r="T71" s="2" t="str">
        <f t="shared" si="28"/>
        <v>NorthBound</v>
      </c>
      <c r="U71" s="67">
        <f>COUNTIFS([3]Variables!$M$2:$M$19,IF(T71="NorthBound","&gt;=","&lt;=")&amp;Z71,[3]Variables!$M$2:$M$19,IF(T71="NorthBound","&lt;=","&gt;=")&amp;AA71)</f>
        <v>12</v>
      </c>
      <c r="W7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12:13:07-0600',mode:absolute,to:'2016-05-27 12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71" s="73" t="str">
        <f t="shared" si="23"/>
        <v>N</v>
      </c>
      <c r="Y71" s="73">
        <f t="shared" si="24"/>
        <v>2</v>
      </c>
      <c r="Z71" s="73">
        <f t="shared" si="25"/>
        <v>4.4400000000000002E-2</v>
      </c>
      <c r="AA71" s="73">
        <f t="shared" si="19"/>
        <v>23.329799999999999</v>
      </c>
      <c r="AB71" s="73">
        <f t="shared" si="26"/>
        <v>23.285399999999999</v>
      </c>
      <c r="AC71" s="74" t="e">
        <f>VLOOKUP(A71,Enforcements!$C$3:$J$69,8,0)</f>
        <v>#N/A</v>
      </c>
      <c r="AD71" s="74" t="e">
        <f>VLOOKUP(A71,Enforcements!$C$3:$J$69,3,0)</f>
        <v>#N/A</v>
      </c>
    </row>
    <row r="72" spans="1:30" s="2" customFormat="1" x14ac:dyDescent="0.25">
      <c r="A72" s="60" t="s">
        <v>330</v>
      </c>
      <c r="B72" s="60">
        <v>4017</v>
      </c>
      <c r="C72" s="60" t="s">
        <v>62</v>
      </c>
      <c r="D72" s="60" t="s">
        <v>112</v>
      </c>
      <c r="E72" s="30">
        <v>42517.546157407407</v>
      </c>
      <c r="F72" s="30">
        <v>42517.547673611109</v>
      </c>
      <c r="G72" s="38">
        <v>2</v>
      </c>
      <c r="H72" s="30" t="s">
        <v>127</v>
      </c>
      <c r="I72" s="30">
        <v>42517.580138888887</v>
      </c>
      <c r="J72" s="60">
        <v>0</v>
      </c>
      <c r="K72" s="60" t="str">
        <f t="shared" si="20"/>
        <v>4017/4018</v>
      </c>
      <c r="L72" s="60" t="str">
        <f>VLOOKUP(A72,'Trips&amp;Operators'!$C$1:$E$9999,3,FALSE)</f>
        <v>STEWART</v>
      </c>
      <c r="M72" s="12">
        <f t="shared" si="21"/>
        <v>3.2465277778101154E-2</v>
      </c>
      <c r="N72" s="13">
        <f t="shared" si="29"/>
        <v>46.750000000465661</v>
      </c>
      <c r="O72" s="13"/>
      <c r="P72" s="13"/>
      <c r="Q72" s="61"/>
      <c r="R72" s="61"/>
      <c r="S72" s="94">
        <f t="shared" si="27"/>
        <v>1</v>
      </c>
      <c r="T72" s="2" t="str">
        <f t="shared" si="28"/>
        <v>Southbound</v>
      </c>
      <c r="U72" s="67">
        <f>COUNTIFS([3]Variables!$M$2:$M$19,IF(T72="NorthBound","&gt;=","&lt;=")&amp;Z72,[3]Variables!$M$2:$M$19,IF(T72="NorthBound","&lt;=","&gt;=")&amp;AA72)</f>
        <v>12</v>
      </c>
      <c r="W7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13:05:28-0600',mode:absolute,to:'2016-05-27 13:56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72" s="73" t="str">
        <f t="shared" si="23"/>
        <v>N</v>
      </c>
      <c r="Y72" s="73">
        <f t="shared" si="24"/>
        <v>1</v>
      </c>
      <c r="Z72" s="73">
        <f t="shared" si="25"/>
        <v>23.299099999999999</v>
      </c>
      <c r="AA72" s="73">
        <f t="shared" si="19"/>
        <v>1.49E-2</v>
      </c>
      <c r="AB72" s="73">
        <f t="shared" si="26"/>
        <v>23.284199999999998</v>
      </c>
      <c r="AC72" s="74" t="e">
        <f>VLOOKUP(A72,Enforcements!$C$3:$J$69,8,0)</f>
        <v>#N/A</v>
      </c>
      <c r="AD72" s="74" t="e">
        <f>VLOOKUP(A72,Enforcements!$C$3:$J$69,3,0)</f>
        <v>#N/A</v>
      </c>
    </row>
    <row r="73" spans="1:30" s="2" customFormat="1" x14ac:dyDescent="0.25">
      <c r="A73" s="60" t="s">
        <v>296</v>
      </c>
      <c r="B73" s="60">
        <v>4040</v>
      </c>
      <c r="C73" s="60" t="s">
        <v>62</v>
      </c>
      <c r="D73" s="60" t="s">
        <v>66</v>
      </c>
      <c r="E73" s="30">
        <v>42517.520115740743</v>
      </c>
      <c r="F73" s="30">
        <v>42517.520844907405</v>
      </c>
      <c r="G73" s="38">
        <v>1</v>
      </c>
      <c r="H73" s="30" t="s">
        <v>297</v>
      </c>
      <c r="I73" s="30">
        <v>42517.5468287037</v>
      </c>
      <c r="J73" s="60">
        <v>1</v>
      </c>
      <c r="K73" s="60" t="str">
        <f t="shared" si="20"/>
        <v>4039/4040</v>
      </c>
      <c r="L73" s="60" t="str">
        <f>VLOOKUP(A73,'Trips&amp;Operators'!$C$1:$E$9999,3,FALSE)</f>
        <v>ROCHA</v>
      </c>
      <c r="M73" s="12">
        <f t="shared" si="21"/>
        <v>2.5983796294895001E-2</v>
      </c>
      <c r="N73" s="13">
        <f t="shared" si="29"/>
        <v>37.416666664648801</v>
      </c>
      <c r="O73" s="13"/>
      <c r="P73" s="13"/>
      <c r="Q73" s="61"/>
      <c r="R73" s="61"/>
      <c r="S73" s="94">
        <f t="shared" si="27"/>
        <v>1</v>
      </c>
      <c r="T73" s="2" t="str">
        <f t="shared" si="28"/>
        <v>NorthBound</v>
      </c>
      <c r="U73" s="67">
        <f>COUNTIFS([3]Variables!$M$2:$M$19,IF(T73="NorthBound","&gt;=","&lt;=")&amp;Z73,[3]Variables!$M$2:$M$19,IF(T73="NorthBound","&lt;=","&gt;=")&amp;AA73)</f>
        <v>12</v>
      </c>
      <c r="W7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12:27:58-0600',mode:absolute,to:'2016-05-27 13:08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73" s="73" t="str">
        <f t="shared" si="23"/>
        <v>N</v>
      </c>
      <c r="Y73" s="73">
        <f t="shared" si="24"/>
        <v>1</v>
      </c>
      <c r="Z73" s="73">
        <f t="shared" si="25"/>
        <v>4.4699999999999997E-2</v>
      </c>
      <c r="AA73" s="73">
        <f t="shared" si="19"/>
        <v>23.333600000000001</v>
      </c>
      <c r="AB73" s="73">
        <f t="shared" si="26"/>
        <v>23.288900000000002</v>
      </c>
      <c r="AC73" s="74">
        <f>VLOOKUP(A73,Enforcements!$C$3:$J$69,8,0)</f>
        <v>233491</v>
      </c>
      <c r="AD73" s="74" t="str">
        <f>VLOOKUP(A73,Enforcements!$C$3:$J$69,3,0)</f>
        <v>TRACK WARRANT AUTHORITY</v>
      </c>
    </row>
    <row r="74" spans="1:30" s="2" customFormat="1" x14ac:dyDescent="0.25">
      <c r="A74" s="60" t="s">
        <v>331</v>
      </c>
      <c r="B74" s="60">
        <v>4039</v>
      </c>
      <c r="C74" s="60" t="s">
        <v>62</v>
      </c>
      <c r="D74" s="60" t="s">
        <v>159</v>
      </c>
      <c r="E74" s="30">
        <v>42517.553865740738</v>
      </c>
      <c r="F74" s="30">
        <v>42517.554884259262</v>
      </c>
      <c r="G74" s="38">
        <v>1</v>
      </c>
      <c r="H74" s="30" t="s">
        <v>70</v>
      </c>
      <c r="I74" s="30">
        <v>42517.590358796297</v>
      </c>
      <c r="J74" s="60">
        <v>1</v>
      </c>
      <c r="K74" s="60" t="str">
        <f t="shared" si="20"/>
        <v>4039/4040</v>
      </c>
      <c r="L74" s="60" t="str">
        <f>VLOOKUP(A74,'Trips&amp;Operators'!$C$1:$E$9999,3,FALSE)</f>
        <v>ROCHA</v>
      </c>
      <c r="M74" s="12">
        <f t="shared" si="21"/>
        <v>3.5474537035042886E-2</v>
      </c>
      <c r="N74" s="13">
        <f t="shared" si="29"/>
        <v>51.083333330461755</v>
      </c>
      <c r="O74" s="13"/>
      <c r="P74" s="13"/>
      <c r="Q74" s="61"/>
      <c r="R74" s="61"/>
      <c r="S74" s="94">
        <f t="shared" si="27"/>
        <v>1</v>
      </c>
      <c r="T74" s="2" t="str">
        <f t="shared" si="28"/>
        <v>Southbound</v>
      </c>
      <c r="U74" s="67">
        <f>COUNTIFS([3]Variables!$M$2:$M$19,IF(T74="NorthBound","&gt;=","&lt;=")&amp;Z74,[3]Variables!$M$2:$M$19,IF(T74="NorthBound","&lt;=","&gt;=")&amp;AA74)</f>
        <v>12</v>
      </c>
      <c r="W7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13:16:34-0600',mode:absolute,to:'2016-05-27 14:11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74" s="73" t="str">
        <f t="shared" si="23"/>
        <v>N</v>
      </c>
      <c r="Y74" s="73">
        <f t="shared" si="24"/>
        <v>1</v>
      </c>
      <c r="Z74" s="73">
        <f t="shared" si="25"/>
        <v>23.2973</v>
      </c>
      <c r="AA74" s="73">
        <f t="shared" si="19"/>
        <v>1.52E-2</v>
      </c>
      <c r="AB74" s="73">
        <f t="shared" si="26"/>
        <v>23.2821</v>
      </c>
      <c r="AC74" s="74">
        <f>VLOOKUP(A74,Enforcements!$C$3:$J$69,8,0)</f>
        <v>1</v>
      </c>
      <c r="AD74" s="74" t="str">
        <f>VLOOKUP(A74,Enforcements!$C$3:$J$69,3,0)</f>
        <v>TRACK WARRANT AUTHORITY</v>
      </c>
    </row>
    <row r="75" spans="1:30" s="2" customFormat="1" x14ac:dyDescent="0.25">
      <c r="A75" s="60" t="s">
        <v>298</v>
      </c>
      <c r="B75" s="60">
        <v>4038</v>
      </c>
      <c r="C75" s="60" t="s">
        <v>62</v>
      </c>
      <c r="D75" s="60" t="s">
        <v>217</v>
      </c>
      <c r="E75" s="30">
        <v>42517.529710648145</v>
      </c>
      <c r="F75" s="30">
        <v>42517.531168981484</v>
      </c>
      <c r="G75" s="38">
        <v>2</v>
      </c>
      <c r="H75" s="30" t="s">
        <v>128</v>
      </c>
      <c r="I75" s="30">
        <v>42517.558634259258</v>
      </c>
      <c r="J75" s="60">
        <v>1</v>
      </c>
      <c r="K75" s="60" t="str">
        <f t="shared" si="20"/>
        <v>4037/4038</v>
      </c>
      <c r="L75" s="60" t="str">
        <f>VLOOKUP(A75,'Trips&amp;Operators'!$C$1:$E$9999,3,FALSE)</f>
        <v>WEBSTER</v>
      </c>
      <c r="M75" s="12">
        <f t="shared" si="21"/>
        <v>2.7465277773444541E-2</v>
      </c>
      <c r="N75" s="13">
        <f t="shared" si="29"/>
        <v>39.549999993760139</v>
      </c>
      <c r="O75" s="13"/>
      <c r="P75" s="13"/>
      <c r="Q75" s="61"/>
      <c r="R75" s="61"/>
      <c r="S75" s="94">
        <f t="shared" si="27"/>
        <v>1</v>
      </c>
      <c r="T75" s="2" t="str">
        <f t="shared" si="28"/>
        <v>NorthBound</v>
      </c>
      <c r="U75" s="67">
        <f>COUNTIFS([3]Variables!$M$2:$M$19,IF(T75="NorthBound","&gt;=","&lt;=")&amp;Z75,[3]Variables!$M$2:$M$19,IF(T75="NorthBound","&lt;=","&gt;=")&amp;AA75)</f>
        <v>12</v>
      </c>
      <c r="W7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12:41:47-0600',mode:absolute,to:'2016-05-27 13:25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5" s="73" t="str">
        <f t="shared" si="23"/>
        <v>N</v>
      </c>
      <c r="Y75" s="73">
        <f t="shared" si="24"/>
        <v>1</v>
      </c>
      <c r="Z75" s="73">
        <f t="shared" si="25"/>
        <v>4.53E-2</v>
      </c>
      <c r="AA75" s="73">
        <f t="shared" si="19"/>
        <v>23.329799999999999</v>
      </c>
      <c r="AB75" s="73">
        <f t="shared" si="26"/>
        <v>23.284499999999998</v>
      </c>
      <c r="AC75" s="74">
        <f>VLOOKUP(A75,Enforcements!$C$3:$J$69,8,0)</f>
        <v>233491</v>
      </c>
      <c r="AD75" s="74" t="str">
        <f>VLOOKUP(A75,Enforcements!$C$3:$J$69,3,0)</f>
        <v>TRACK WARRANT AUTHORITY</v>
      </c>
    </row>
    <row r="76" spans="1:30" s="2" customFormat="1" x14ac:dyDescent="0.25">
      <c r="A76" s="60" t="s">
        <v>332</v>
      </c>
      <c r="B76" s="60">
        <v>4037</v>
      </c>
      <c r="C76" s="60" t="s">
        <v>62</v>
      </c>
      <c r="D76" s="60" t="s">
        <v>71</v>
      </c>
      <c r="E76" s="30">
        <v>42517.568101851852</v>
      </c>
      <c r="F76" s="30">
        <v>42517.569293981483</v>
      </c>
      <c r="G76" s="38">
        <v>1</v>
      </c>
      <c r="H76" s="30" t="s">
        <v>80</v>
      </c>
      <c r="I76" s="30">
        <v>42517.599027777775</v>
      </c>
      <c r="J76" s="60">
        <v>1</v>
      </c>
      <c r="K76" s="60" t="str">
        <f t="shared" si="20"/>
        <v>4037/4038</v>
      </c>
      <c r="L76" s="60" t="str">
        <f>VLOOKUP(A76,'Trips&amp;Operators'!$C$1:$E$9999,3,FALSE)</f>
        <v>WEBSTER</v>
      </c>
      <c r="M76" s="12">
        <f t="shared" si="21"/>
        <v>2.9733796291111503E-2</v>
      </c>
      <c r="N76" s="13">
        <f t="shared" si="29"/>
        <v>42.816666659200564</v>
      </c>
      <c r="O76" s="13"/>
      <c r="P76" s="13"/>
      <c r="Q76" s="61"/>
      <c r="R76" s="61"/>
      <c r="S76" s="94">
        <f t="shared" si="27"/>
        <v>1</v>
      </c>
      <c r="T76" s="2" t="str">
        <f t="shared" si="28"/>
        <v>Southbound</v>
      </c>
      <c r="U76" s="67">
        <f>COUNTIFS([3]Variables!$M$2:$M$19,IF(T76="NorthBound","&gt;=","&lt;=")&amp;Z76,[3]Variables!$M$2:$M$19,IF(T76="NorthBound","&lt;=","&gt;=")&amp;AA76)</f>
        <v>12</v>
      </c>
      <c r="W76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13:37:04-0600',mode:absolute,to:'2016-05-27 14:23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76" s="73" t="str">
        <f t="shared" si="23"/>
        <v>N</v>
      </c>
      <c r="Y76" s="73">
        <f t="shared" si="24"/>
        <v>1</v>
      </c>
      <c r="Z76" s="73">
        <f t="shared" si="25"/>
        <v>23.299399999999999</v>
      </c>
      <c r="AA76" s="73">
        <f t="shared" si="19"/>
        <v>1.47E-2</v>
      </c>
      <c r="AB76" s="73">
        <f t="shared" si="26"/>
        <v>23.284699999999997</v>
      </c>
      <c r="AC76" s="74">
        <f>VLOOKUP(A76,Enforcements!$C$3:$J$69,8,0)</f>
        <v>15167</v>
      </c>
      <c r="AD76" s="74" t="str">
        <f>VLOOKUP(A76,Enforcements!$C$3:$J$69,3,0)</f>
        <v>PERMANENT SPEED RESTRICTION</v>
      </c>
    </row>
    <row r="77" spans="1:30" s="2" customFormat="1" x14ac:dyDescent="0.25">
      <c r="A77" s="60" t="s">
        <v>333</v>
      </c>
      <c r="B77" s="60">
        <v>4029</v>
      </c>
      <c r="C77" s="60" t="s">
        <v>62</v>
      </c>
      <c r="D77" s="60" t="s">
        <v>217</v>
      </c>
      <c r="E77" s="30">
        <v>42517.541597222225</v>
      </c>
      <c r="F77" s="30">
        <v>42517.54278935185</v>
      </c>
      <c r="G77" s="38">
        <v>1</v>
      </c>
      <c r="H77" s="30" t="s">
        <v>155</v>
      </c>
      <c r="I77" s="30">
        <v>42517.571122685185</v>
      </c>
      <c r="J77" s="60">
        <v>1</v>
      </c>
      <c r="K77" s="60" t="str">
        <f t="shared" si="20"/>
        <v>4029/4030</v>
      </c>
      <c r="L77" s="60" t="str">
        <f>VLOOKUP(A77,'Trips&amp;Operators'!$C$1:$E$9999,3,FALSE)</f>
        <v>SPECTOR</v>
      </c>
      <c r="M77" s="12">
        <f t="shared" si="21"/>
        <v>2.8333333335467614E-2</v>
      </c>
      <c r="N77" s="13">
        <f t="shared" si="29"/>
        <v>40.800000003073364</v>
      </c>
      <c r="O77" s="13"/>
      <c r="P77" s="13"/>
      <c r="Q77" s="61"/>
      <c r="R77" s="61"/>
      <c r="S77" s="94">
        <f t="shared" si="27"/>
        <v>1</v>
      </c>
      <c r="T77" s="2" t="str">
        <f t="shared" si="28"/>
        <v>NorthBound</v>
      </c>
      <c r="U77" s="67">
        <f>COUNTIFS([3]Variables!$M$2:$M$19,IF(T77="NorthBound","&gt;=","&lt;=")&amp;Z77,[3]Variables!$M$2:$M$19,IF(T77="NorthBound","&lt;=","&gt;=")&amp;AA77)</f>
        <v>12</v>
      </c>
      <c r="W7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12:58:54-0600',mode:absolute,to:'2016-05-27 13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77" s="73" t="str">
        <f t="shared" si="23"/>
        <v>N</v>
      </c>
      <c r="Y77" s="73">
        <f t="shared" si="24"/>
        <v>1</v>
      </c>
      <c r="Z77" s="73">
        <f t="shared" si="25"/>
        <v>4.53E-2</v>
      </c>
      <c r="AA77" s="73">
        <v>23.331199999999999</v>
      </c>
      <c r="AB77" s="73">
        <f t="shared" si="26"/>
        <v>23.285899999999998</v>
      </c>
      <c r="AC77" s="74">
        <f>VLOOKUP(A77,Enforcements!$C$3:$J$69,8,0)</f>
        <v>233491</v>
      </c>
      <c r="AD77" s="74" t="str">
        <f>VLOOKUP(A77,Enforcements!$C$3:$J$69,3,0)</f>
        <v>TRACK WARRANT AUTHORITY</v>
      </c>
    </row>
    <row r="78" spans="1:30" s="2" customFormat="1" x14ac:dyDescent="0.25">
      <c r="A78" s="60" t="s">
        <v>334</v>
      </c>
      <c r="B78" s="60">
        <v>4030</v>
      </c>
      <c r="C78" s="60" t="s">
        <v>62</v>
      </c>
      <c r="D78" s="60" t="s">
        <v>152</v>
      </c>
      <c r="E78" s="30">
        <v>42517.577349537038</v>
      </c>
      <c r="F78" s="30">
        <v>42517.578194444446</v>
      </c>
      <c r="G78" s="38">
        <v>1</v>
      </c>
      <c r="H78" s="30" t="s">
        <v>77</v>
      </c>
      <c r="I78" s="30">
        <v>42517.611377314817</v>
      </c>
      <c r="J78" s="60">
        <v>0</v>
      </c>
      <c r="K78" s="60" t="str">
        <f t="shared" si="20"/>
        <v>4029/4030</v>
      </c>
      <c r="L78" s="60" t="str">
        <f>VLOOKUP(A78,'Trips&amp;Operators'!$C$1:$E$9999,3,FALSE)</f>
        <v>SPECTOR</v>
      </c>
      <c r="M78" s="12">
        <f t="shared" si="21"/>
        <v>3.3182870371092577E-2</v>
      </c>
      <c r="N78" s="13">
        <f t="shared" si="29"/>
        <v>47.78333333437331</v>
      </c>
      <c r="O78" s="13"/>
      <c r="P78" s="13"/>
      <c r="Q78" s="61"/>
      <c r="R78" s="61"/>
      <c r="S78" s="94">
        <f t="shared" si="27"/>
        <v>1</v>
      </c>
      <c r="T78" s="2" t="str">
        <f t="shared" si="28"/>
        <v>Southbound</v>
      </c>
      <c r="U78" s="67">
        <f>COUNTIFS([3]Variables!$M$2:$M$19,IF(T78="NorthBound","&gt;=","&lt;=")&amp;Z78,[3]Variables!$M$2:$M$19,IF(T78="NorthBound","&lt;=","&gt;=")&amp;AA78)</f>
        <v>12</v>
      </c>
      <c r="W7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13:50:23-0600',mode:absolute,to:'2016-05-27 14:41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78" s="73" t="str">
        <f t="shared" si="23"/>
        <v>N</v>
      </c>
      <c r="Y78" s="73">
        <f t="shared" si="24"/>
        <v>1</v>
      </c>
      <c r="Z78" s="73">
        <f t="shared" si="25"/>
        <v>23.292100000000001</v>
      </c>
      <c r="AA78" s="73">
        <f t="shared" ref="AA78:AA108" si="30">RIGHT(H78,LEN(H78)-4)/10000</f>
        <v>1.4999999999999999E-2</v>
      </c>
      <c r="AB78" s="73">
        <f t="shared" si="26"/>
        <v>23.277100000000001</v>
      </c>
      <c r="AC78" s="74" t="e">
        <f>VLOOKUP(A78,Enforcements!$C$3:$J$69,8,0)</f>
        <v>#N/A</v>
      </c>
      <c r="AD78" s="74" t="e">
        <f>VLOOKUP(A78,Enforcements!$C$3:$J$69,3,0)</f>
        <v>#N/A</v>
      </c>
    </row>
    <row r="79" spans="1:30" s="2" customFormat="1" x14ac:dyDescent="0.25">
      <c r="A79" s="60" t="s">
        <v>335</v>
      </c>
      <c r="B79" s="60">
        <v>4016</v>
      </c>
      <c r="C79" s="60" t="s">
        <v>62</v>
      </c>
      <c r="D79" s="60" t="s">
        <v>143</v>
      </c>
      <c r="E79" s="30">
        <v>42517.549837962964</v>
      </c>
      <c r="F79" s="30">
        <v>42517.550995370373</v>
      </c>
      <c r="G79" s="38">
        <v>1</v>
      </c>
      <c r="H79" s="30" t="s">
        <v>176</v>
      </c>
      <c r="I79" s="30">
        <v>42517.5784375</v>
      </c>
      <c r="J79" s="60">
        <v>0</v>
      </c>
      <c r="K79" s="60" t="str">
        <f t="shared" si="20"/>
        <v>4015/4016</v>
      </c>
      <c r="L79" s="60" t="str">
        <f>VLOOKUP(A79,'Trips&amp;Operators'!$C$1:$E$9999,3,FALSE)</f>
        <v>LOZA</v>
      </c>
      <c r="M79" s="12">
        <f t="shared" si="21"/>
        <v>2.7442129627161194E-2</v>
      </c>
      <c r="N79" s="13">
        <f t="shared" si="29"/>
        <v>39.516666663112119</v>
      </c>
      <c r="O79" s="13"/>
      <c r="P79" s="13"/>
      <c r="Q79" s="61"/>
      <c r="R79" s="61"/>
      <c r="S79" s="94">
        <f t="shared" si="27"/>
        <v>1</v>
      </c>
      <c r="T79" s="2" t="str">
        <f t="shared" si="28"/>
        <v>NorthBound</v>
      </c>
      <c r="U79" s="67">
        <f>COUNTIFS([3]Variables!$M$2:$M$19,IF(T79="NorthBound","&gt;=","&lt;=")&amp;Z79,[3]Variables!$M$2:$M$19,IF(T79="NorthBound","&lt;=","&gt;=")&amp;AA79)</f>
        <v>12</v>
      </c>
      <c r="W7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13:10:46-0600',mode:absolute,to:'2016-05-27 13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79" s="73" t="str">
        <f t="shared" si="23"/>
        <v>N</v>
      </c>
      <c r="Y79" s="73">
        <f t="shared" si="24"/>
        <v>1</v>
      </c>
      <c r="Z79" s="73">
        <f t="shared" si="25"/>
        <v>4.4200000000000003E-2</v>
      </c>
      <c r="AA79" s="73">
        <f t="shared" si="30"/>
        <v>23.333100000000002</v>
      </c>
      <c r="AB79" s="73">
        <f t="shared" si="26"/>
        <v>23.288900000000002</v>
      </c>
      <c r="AC79" s="74" t="e">
        <f>VLOOKUP(A79,Enforcements!$C$3:$J$69,8,0)</f>
        <v>#N/A</v>
      </c>
      <c r="AD79" s="74" t="e">
        <f>VLOOKUP(A79,Enforcements!$C$3:$J$69,3,0)</f>
        <v>#N/A</v>
      </c>
    </row>
    <row r="80" spans="1:30" s="2" customFormat="1" x14ac:dyDescent="0.25">
      <c r="A80" s="60" t="s">
        <v>336</v>
      </c>
      <c r="B80" s="60">
        <v>4015</v>
      </c>
      <c r="C80" s="60" t="s">
        <v>62</v>
      </c>
      <c r="D80" s="60" t="s">
        <v>268</v>
      </c>
      <c r="E80" s="30">
        <v>42517.586921296293</v>
      </c>
      <c r="F80" s="30">
        <v>42517.588067129633</v>
      </c>
      <c r="G80" s="38">
        <v>1</v>
      </c>
      <c r="H80" s="30" t="s">
        <v>80</v>
      </c>
      <c r="I80" s="30">
        <v>42517.619826388887</v>
      </c>
      <c r="J80" s="60">
        <v>1</v>
      </c>
      <c r="K80" s="60" t="str">
        <f t="shared" si="20"/>
        <v>4015/4016</v>
      </c>
      <c r="L80" s="60" t="str">
        <f>VLOOKUP(A80,'Trips&amp;Operators'!$C$1:$E$9999,3,FALSE)</f>
        <v>LOZA</v>
      </c>
      <c r="M80" s="12">
        <f t="shared" si="21"/>
        <v>3.1759259254613426E-2</v>
      </c>
      <c r="N80" s="13">
        <f t="shared" si="29"/>
        <v>45.733333326643333</v>
      </c>
      <c r="O80" s="13"/>
      <c r="P80" s="13"/>
      <c r="Q80" s="61"/>
      <c r="R80" s="61"/>
      <c r="S80" s="94">
        <f t="shared" si="27"/>
        <v>1</v>
      </c>
      <c r="T80" s="2" t="str">
        <f t="shared" si="28"/>
        <v>Southbound</v>
      </c>
      <c r="U80" s="67">
        <f>COUNTIFS([3]Variables!$M$2:$M$19,IF(T80="NorthBound","&gt;=","&lt;=")&amp;Z80,[3]Variables!$M$2:$M$19,IF(T80="NorthBound","&lt;=","&gt;=")&amp;AA80)</f>
        <v>12</v>
      </c>
      <c r="W8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14:04:10-0600',mode:absolute,to:'2016-05-27 14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0" s="73" t="str">
        <f t="shared" si="23"/>
        <v>N</v>
      </c>
      <c r="Y80" s="73">
        <f t="shared" si="24"/>
        <v>1</v>
      </c>
      <c r="Z80" s="73">
        <f t="shared" si="25"/>
        <v>23.303000000000001</v>
      </c>
      <c r="AA80" s="73">
        <f t="shared" si="30"/>
        <v>1.47E-2</v>
      </c>
      <c r="AB80" s="73">
        <f t="shared" si="26"/>
        <v>23.2883</v>
      </c>
      <c r="AC80" s="74">
        <f>VLOOKUP(A80,Enforcements!$C$3:$J$69,8,0)</f>
        <v>15167</v>
      </c>
      <c r="AD80" s="74" t="str">
        <f>VLOOKUP(A80,Enforcements!$C$3:$J$69,3,0)</f>
        <v>PERMANENT SPEED RESTRICTION</v>
      </c>
    </row>
    <row r="81" spans="1:30" s="2" customFormat="1" x14ac:dyDescent="0.25">
      <c r="A81" s="60" t="s">
        <v>337</v>
      </c>
      <c r="B81" s="60">
        <v>4031</v>
      </c>
      <c r="C81" s="60" t="s">
        <v>62</v>
      </c>
      <c r="D81" s="60" t="s">
        <v>82</v>
      </c>
      <c r="E81" s="30">
        <v>42517.561307870368</v>
      </c>
      <c r="F81" s="30">
        <v>42517.562314814815</v>
      </c>
      <c r="G81" s="38">
        <v>1</v>
      </c>
      <c r="H81" s="30" t="s">
        <v>338</v>
      </c>
      <c r="I81" s="30">
        <v>42517.589062500003</v>
      </c>
      <c r="J81" s="60">
        <v>0</v>
      </c>
      <c r="K81" s="60" t="str">
        <f t="shared" si="20"/>
        <v>4031/4032</v>
      </c>
      <c r="L81" s="60" t="str">
        <f>VLOOKUP(A81,'Trips&amp;Operators'!$C$1:$E$9999,3,FALSE)</f>
        <v>LOCKLEAR</v>
      </c>
      <c r="M81" s="12">
        <f t="shared" si="21"/>
        <v>2.6747685187729076E-2</v>
      </c>
      <c r="N81" s="13">
        <f t="shared" si="29"/>
        <v>38.516666670329869</v>
      </c>
      <c r="O81" s="13"/>
      <c r="P81" s="13"/>
      <c r="Q81" s="61"/>
      <c r="R81" s="61"/>
      <c r="S81" s="94">
        <f t="shared" si="27"/>
        <v>1</v>
      </c>
      <c r="T81" s="2" t="str">
        <f t="shared" si="28"/>
        <v>NorthBound</v>
      </c>
      <c r="U81" s="67">
        <f>COUNTIFS([3]Variables!$M$2:$M$19,IF(T81="NorthBound","&gt;=","&lt;=")&amp;Z81,[3]Variables!$M$2:$M$19,IF(T81="NorthBound","&lt;=","&gt;=")&amp;AA81)</f>
        <v>12</v>
      </c>
      <c r="W8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13:27:17-0600',mode:absolute,to:'2016-05-27 14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1" s="73" t="str">
        <f t="shared" si="23"/>
        <v>N</v>
      </c>
      <c r="Y81" s="73">
        <f t="shared" si="24"/>
        <v>1</v>
      </c>
      <c r="Z81" s="73">
        <f t="shared" si="25"/>
        <v>4.58E-2</v>
      </c>
      <c r="AA81" s="73">
        <f t="shared" si="30"/>
        <v>23.341000000000001</v>
      </c>
      <c r="AB81" s="73">
        <f t="shared" si="26"/>
        <v>23.295200000000001</v>
      </c>
      <c r="AC81" s="74" t="e">
        <f>VLOOKUP(A81,Enforcements!$C$3:$J$69,8,0)</f>
        <v>#N/A</v>
      </c>
      <c r="AD81" s="74" t="e">
        <f>VLOOKUP(A81,Enforcements!$C$3:$J$69,3,0)</f>
        <v>#N/A</v>
      </c>
    </row>
    <row r="82" spans="1:30" s="2" customFormat="1" x14ac:dyDescent="0.25">
      <c r="A82" s="60" t="s">
        <v>339</v>
      </c>
      <c r="B82" s="60">
        <v>4032</v>
      </c>
      <c r="C82" s="60" t="s">
        <v>62</v>
      </c>
      <c r="D82" s="60" t="s">
        <v>340</v>
      </c>
      <c r="E82" s="30">
        <v>42517.599085648151</v>
      </c>
      <c r="F82" s="30">
        <v>42517.599756944444</v>
      </c>
      <c r="G82" s="38">
        <v>0</v>
      </c>
      <c r="H82" s="30" t="s">
        <v>64</v>
      </c>
      <c r="I82" s="30">
        <v>42517.632233796299</v>
      </c>
      <c r="J82" s="60">
        <v>1</v>
      </c>
      <c r="K82" s="60" t="str">
        <f t="shared" si="20"/>
        <v>4031/4032</v>
      </c>
      <c r="L82" s="60" t="str">
        <f>VLOOKUP(A82,'Trips&amp;Operators'!$C$1:$E$9999,3,FALSE)</f>
        <v>LOCKLEAR</v>
      </c>
      <c r="M82" s="12">
        <f t="shared" si="21"/>
        <v>3.2476851854880806E-2</v>
      </c>
      <c r="N82" s="13">
        <f t="shared" si="29"/>
        <v>46.766666671028361</v>
      </c>
      <c r="O82" s="13"/>
      <c r="P82" s="13"/>
      <c r="Q82" s="61"/>
      <c r="R82" s="61"/>
      <c r="S82" s="94">
        <f t="shared" si="27"/>
        <v>1</v>
      </c>
      <c r="T82" s="2" t="str">
        <f t="shared" si="28"/>
        <v>Southbound</v>
      </c>
      <c r="U82" s="67">
        <f>COUNTIFS([3]Variables!$M$2:$M$19,IF(T82="NorthBound","&gt;=","&lt;=")&amp;Z82,[3]Variables!$M$2:$M$19,IF(T82="NorthBound","&lt;=","&gt;=")&amp;AA82)</f>
        <v>12</v>
      </c>
      <c r="W8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14:21:41-0600',mode:absolute,to:'2016-05-27 15:11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2" s="73" t="str">
        <f t="shared" si="23"/>
        <v>N</v>
      </c>
      <c r="Y82" s="73">
        <f t="shared" si="24"/>
        <v>1</v>
      </c>
      <c r="Z82" s="73">
        <f t="shared" si="25"/>
        <v>23.308</v>
      </c>
      <c r="AA82" s="73">
        <f t="shared" si="30"/>
        <v>1.54E-2</v>
      </c>
      <c r="AB82" s="73">
        <f t="shared" si="26"/>
        <v>23.2926</v>
      </c>
      <c r="AC82" s="74">
        <f>VLOOKUP(A82,Enforcements!$C$3:$J$69,8,0)</f>
        <v>30562</v>
      </c>
      <c r="AD82" s="74" t="str">
        <f>VLOOKUP(A82,Enforcements!$C$3:$J$69,3,0)</f>
        <v>PERMANENT SPEED RESTRICTION</v>
      </c>
    </row>
    <row r="83" spans="1:30" s="2" customFormat="1" x14ac:dyDescent="0.25">
      <c r="A83" s="60" t="s">
        <v>341</v>
      </c>
      <c r="B83" s="60">
        <v>4044</v>
      </c>
      <c r="C83" s="60" t="s">
        <v>62</v>
      </c>
      <c r="D83" s="60" t="s">
        <v>342</v>
      </c>
      <c r="E83" s="30">
        <v>42517.578946759262</v>
      </c>
      <c r="F83" s="30">
        <v>42517.58016203704</v>
      </c>
      <c r="G83" s="38">
        <v>1</v>
      </c>
      <c r="H83" s="30" t="s">
        <v>226</v>
      </c>
      <c r="I83" s="30">
        <v>42517.608194444445</v>
      </c>
      <c r="J83" s="60">
        <v>1</v>
      </c>
      <c r="K83" s="60" t="str">
        <f t="shared" si="20"/>
        <v>4043/4044</v>
      </c>
      <c r="L83" s="60" t="str">
        <f>VLOOKUP(A83,'Trips&amp;Operators'!$C$1:$E$9999,3,FALSE)</f>
        <v>GOODNIGHT</v>
      </c>
      <c r="M83" s="12">
        <f t="shared" si="21"/>
        <v>2.8032407404680271E-2</v>
      </c>
      <c r="N83" s="13">
        <f>24*60*SUM($M83:$M83)</f>
        <v>40.36666666273959</v>
      </c>
      <c r="O83" s="13"/>
      <c r="P83" s="13"/>
      <c r="Q83" s="61"/>
      <c r="R83" s="61"/>
      <c r="S83" s="94">
        <f t="shared" si="27"/>
        <v>1</v>
      </c>
      <c r="T83" s="2" t="str">
        <f t="shared" si="28"/>
        <v>NorthBound</v>
      </c>
      <c r="U83" s="67">
        <f>COUNTIFS([3]Variables!$M$2:$M$19,IF(T83="NorthBound","&gt;=","&lt;=")&amp;Z83,[3]Variables!$M$2:$M$19,IF(T83="NorthBound","&lt;=","&gt;=")&amp;AA83)</f>
        <v>12</v>
      </c>
      <c r="W8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13:52:41-0600',mode:absolute,to:'2016-05-27 14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3" s="73" t="str">
        <f t="shared" si="23"/>
        <v>N</v>
      </c>
      <c r="Y83" s="73">
        <f t="shared" si="24"/>
        <v>1</v>
      </c>
      <c r="Z83" s="73">
        <f t="shared" si="25"/>
        <v>0.1484</v>
      </c>
      <c r="AA83" s="73">
        <f t="shared" si="30"/>
        <v>23.3325</v>
      </c>
      <c r="AB83" s="73">
        <f t="shared" si="26"/>
        <v>23.184100000000001</v>
      </c>
      <c r="AC83" s="74">
        <f>VLOOKUP(A83,Enforcements!$C$3:$J$69,8,0)</f>
        <v>222090</v>
      </c>
      <c r="AD83" s="74" t="str">
        <f>VLOOKUP(A83,Enforcements!$C$3:$J$69,3,0)</f>
        <v>PERMANENT SPEED RESTRICTION</v>
      </c>
    </row>
    <row r="84" spans="1:30" s="2" customFormat="1" x14ac:dyDescent="0.25">
      <c r="A84" s="60" t="s">
        <v>343</v>
      </c>
      <c r="B84" s="60">
        <v>4043</v>
      </c>
      <c r="C84" s="60" t="s">
        <v>62</v>
      </c>
      <c r="D84" s="60" t="s">
        <v>344</v>
      </c>
      <c r="E84" s="30">
        <v>42517.609942129631</v>
      </c>
      <c r="F84" s="30">
        <v>42517.611041666663</v>
      </c>
      <c r="G84" s="38">
        <v>1</v>
      </c>
      <c r="H84" s="30" t="s">
        <v>265</v>
      </c>
      <c r="I84" s="30">
        <v>42517.641574074078</v>
      </c>
      <c r="J84" s="60">
        <v>1</v>
      </c>
      <c r="K84" s="60" t="str">
        <f t="shared" si="20"/>
        <v>4043/4044</v>
      </c>
      <c r="L84" s="60" t="str">
        <f>VLOOKUP(A84,'Trips&amp;Operators'!$C$1:$E$9999,3,FALSE)</f>
        <v>GOODNIGHT</v>
      </c>
      <c r="M84" s="12">
        <f t="shared" si="21"/>
        <v>3.0532407414284535E-2</v>
      </c>
      <c r="N84" s="13">
        <f t="shared" si="29"/>
        <v>43.96666667656973</v>
      </c>
      <c r="O84" s="13"/>
      <c r="P84" s="13"/>
      <c r="Q84" s="61"/>
      <c r="R84" s="61"/>
      <c r="S84" s="94">
        <f t="shared" si="27"/>
        <v>1</v>
      </c>
      <c r="T84" s="2" t="str">
        <f t="shared" si="28"/>
        <v>Southbound</v>
      </c>
      <c r="U84" s="67">
        <f>COUNTIFS([3]Variables!$M$2:$M$19,IF(T84="NorthBound","&gt;=","&lt;=")&amp;Z84,[3]Variables!$M$2:$M$19,IF(T84="NorthBound","&lt;=","&gt;=")&amp;AA84)</f>
        <v>12</v>
      </c>
      <c r="W8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14:37:19-0600',mode:absolute,to:'2016-05-27 15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4" s="73" t="str">
        <f t="shared" si="23"/>
        <v>N</v>
      </c>
      <c r="Y84" s="73">
        <f t="shared" ref="Y84:Y87" si="31">VALUE(LEFT(A84,3))-VALUE(LEFT(A83,3))</f>
        <v>1</v>
      </c>
      <c r="Z84" s="73">
        <f t="shared" si="25"/>
        <v>23.301500000000001</v>
      </c>
      <c r="AA84" s="73">
        <f t="shared" si="30"/>
        <v>1.61E-2</v>
      </c>
      <c r="AB84" s="73">
        <f t="shared" si="26"/>
        <v>23.285399999999999</v>
      </c>
      <c r="AC84" s="74">
        <f>VLOOKUP(A84,Enforcements!$C$3:$J$69,8,0)</f>
        <v>30970</v>
      </c>
      <c r="AD84" s="74" t="str">
        <f>VLOOKUP(A84,Enforcements!$C$3:$J$69,3,0)</f>
        <v>GRADE CROSSING</v>
      </c>
    </row>
    <row r="85" spans="1:30" s="2" customFormat="1" x14ac:dyDescent="0.25">
      <c r="A85" s="60" t="s">
        <v>345</v>
      </c>
      <c r="B85" s="60">
        <v>4018</v>
      </c>
      <c r="C85" s="60" t="s">
        <v>62</v>
      </c>
      <c r="D85" s="60" t="s">
        <v>69</v>
      </c>
      <c r="E85" s="30">
        <v>42517.583611111113</v>
      </c>
      <c r="F85" s="30">
        <v>42517.584780092591</v>
      </c>
      <c r="G85" s="38">
        <v>1</v>
      </c>
      <c r="H85" s="30" t="s">
        <v>272</v>
      </c>
      <c r="I85" s="30">
        <v>42517.615358796298</v>
      </c>
      <c r="J85" s="60">
        <v>0</v>
      </c>
      <c r="K85" s="60" t="str">
        <f t="shared" si="20"/>
        <v>4017/4018</v>
      </c>
      <c r="L85" s="60" t="str">
        <f>VLOOKUP(A85,'Trips&amp;Operators'!$C$1:$E$9999,3,FALSE)</f>
        <v>STEWART</v>
      </c>
      <c r="M85" s="12">
        <f t="shared" si="21"/>
        <v>3.0578703706851229E-2</v>
      </c>
      <c r="N85" s="13">
        <f t="shared" si="29"/>
        <v>44.03333333786577</v>
      </c>
      <c r="O85" s="13"/>
      <c r="P85" s="13"/>
      <c r="Q85" s="61"/>
      <c r="R85" s="61"/>
      <c r="S85" s="94">
        <f t="shared" si="27"/>
        <v>1</v>
      </c>
      <c r="T85" s="2" t="str">
        <f t="shared" si="28"/>
        <v>NorthBound</v>
      </c>
      <c r="U85" s="67">
        <f>COUNTIFS([3]Variables!$M$2:$M$19,IF(T85="NorthBound","&gt;=","&lt;=")&amp;Z85,[3]Variables!$M$2:$M$19,IF(T85="NorthBound","&lt;=","&gt;=")&amp;AA85)</f>
        <v>12</v>
      </c>
      <c r="W8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13:59:24-0600',mode:absolute,to:'2016-05-27 14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85" s="73" t="str">
        <f t="shared" si="23"/>
        <v>N</v>
      </c>
      <c r="Y85" s="73">
        <f t="shared" si="31"/>
        <v>1</v>
      </c>
      <c r="Z85" s="73">
        <f t="shared" si="25"/>
        <v>4.5100000000000001E-2</v>
      </c>
      <c r="AA85" s="73">
        <f t="shared" si="30"/>
        <v>23.329899999999999</v>
      </c>
      <c r="AB85" s="73">
        <f t="shared" si="26"/>
        <v>23.284799999999997</v>
      </c>
      <c r="AC85" s="74" t="e">
        <f>VLOOKUP(A85,Enforcements!$C$3:$J$69,8,0)</f>
        <v>#N/A</v>
      </c>
      <c r="AD85" s="74" t="e">
        <f>VLOOKUP(A85,Enforcements!$C$3:$J$69,3,0)</f>
        <v>#N/A</v>
      </c>
    </row>
    <row r="86" spans="1:30" s="2" customFormat="1" x14ac:dyDescent="0.25">
      <c r="A86" s="60" t="s">
        <v>346</v>
      </c>
      <c r="B86" s="60">
        <v>4017</v>
      </c>
      <c r="C86" s="60" t="s">
        <v>62</v>
      </c>
      <c r="D86" s="60" t="s">
        <v>150</v>
      </c>
      <c r="E86" s="30">
        <v>42517.621030092596</v>
      </c>
      <c r="F86" s="30">
        <v>42517.622175925928</v>
      </c>
      <c r="G86" s="38">
        <v>1</v>
      </c>
      <c r="H86" s="30" t="s">
        <v>349</v>
      </c>
      <c r="I86" s="30">
        <v>42517.650312500002</v>
      </c>
      <c r="J86" s="60">
        <v>0</v>
      </c>
      <c r="K86" s="60" t="str">
        <f>IF(ISEVEN(B86),(B86-1)&amp;"/"&amp;B86,B86&amp;"/"&amp;(B86+1))</f>
        <v>4017/4018</v>
      </c>
      <c r="L86" s="60" t="str">
        <f>VLOOKUP(A86,'Trips&amp;Operators'!$C$1:$E$9999,3,FALSE)</f>
        <v>STEWART</v>
      </c>
      <c r="M86" s="12">
        <f>I86-F86</f>
        <v>2.8136574073869269E-2</v>
      </c>
      <c r="N86" s="13"/>
      <c r="O86" s="13"/>
      <c r="P86" s="13"/>
      <c r="Q86" s="61"/>
      <c r="R86" s="61"/>
      <c r="S86" s="94">
        <f t="shared" si="27"/>
        <v>0.83333333333333337</v>
      </c>
      <c r="T86" s="2" t="str">
        <f t="shared" si="28"/>
        <v>Southbound</v>
      </c>
      <c r="U86" s="67">
        <f>COUNTIFS([3]Variables!$M$2:$M$19,IF(T86="NorthBound","&gt;=","&lt;=")&amp;Z86,[3]Variables!$M$2:$M$19,IF(T86="NorthBound","&lt;=","&gt;=")&amp;AA86)</f>
        <v>10</v>
      </c>
      <c r="W86" s="73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https://search-rtdc-monitor-bjffxe2xuh6vdkpspy63sjmuny.us-east-1.es.amazonaws.com/_plugin/kibana/#/discover/Steve-Slow-Train-Analysis-(2080s-and-2083s)?_g=(refreshInterval:(display:Off,section:0,value:0),time:(from:'2016-05-27 14:53:17-0600',mode:absolute,to:'2016-05-27 15:37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86" s="73" t="str">
        <f>IF(AB86&lt;23,"Y","N")</f>
        <v>Y</v>
      </c>
      <c r="Y86" s="73">
        <f t="shared" si="31"/>
        <v>1</v>
      </c>
      <c r="Z86" s="73">
        <f>RIGHT(D86,LEN(D86)-4)/10000</f>
        <v>23.298400000000001</v>
      </c>
      <c r="AA86" s="73">
        <f>RIGHT(H86,LEN(H86)-4)/10000</f>
        <v>3.1998000000000002</v>
      </c>
      <c r="AB86" s="73">
        <f>ABS(AA86-Z86)</f>
        <v>20.098600000000001</v>
      </c>
      <c r="AC86" s="74">
        <f>VLOOKUP(A86,Enforcements!$C$3:$J$69,8,0)</f>
        <v>20632</v>
      </c>
      <c r="AD86" s="74" t="str">
        <f>VLOOKUP(A86,Enforcements!$C$3:$J$69,3,0)</f>
        <v>SIGNAL</v>
      </c>
    </row>
    <row r="87" spans="1:30" s="2" customFormat="1" x14ac:dyDescent="0.25">
      <c r="A87" s="60" t="s">
        <v>346</v>
      </c>
      <c r="B87" s="60">
        <v>4017</v>
      </c>
      <c r="C87" s="60" t="s">
        <v>62</v>
      </c>
      <c r="D87" s="60" t="s">
        <v>347</v>
      </c>
      <c r="E87" s="30">
        <v>42517.654722222222</v>
      </c>
      <c r="F87" s="30">
        <v>42517.65552083333</v>
      </c>
      <c r="G87" s="38">
        <v>1</v>
      </c>
      <c r="H87" s="30" t="s">
        <v>348</v>
      </c>
      <c r="I87" s="30">
        <v>42517.660671296297</v>
      </c>
      <c r="J87" s="60">
        <v>3</v>
      </c>
      <c r="K87" s="60" t="str">
        <f t="shared" si="20"/>
        <v>4017/4018</v>
      </c>
      <c r="L87" s="60" t="str">
        <f>VLOOKUP(A87,'Trips&amp;Operators'!$C$1:$E$9999,3,FALSE)</f>
        <v>STEWART</v>
      </c>
      <c r="M87" s="12">
        <f t="shared" si="21"/>
        <v>5.1504629664123058E-3</v>
      </c>
      <c r="N87" s="13"/>
      <c r="O87" s="13"/>
      <c r="P87" s="13">
        <f>24*60*SUM($M87:$M88)</f>
        <v>48.083333341637626</v>
      </c>
      <c r="Q87" s="61"/>
      <c r="R87" s="61" t="s">
        <v>439</v>
      </c>
      <c r="S87" s="94">
        <f t="shared" si="27"/>
        <v>0</v>
      </c>
      <c r="T87" s="2" t="str">
        <f t="shared" si="28"/>
        <v>Southbound</v>
      </c>
      <c r="U87" s="67">
        <f>COUNTIFS([3]Variables!$M$2:$M$19,IF(T87="NorthBound","&gt;=","&lt;=")&amp;Z87,[3]Variables!$M$2:$M$19,IF(T87="NorthBound","&lt;=","&gt;=")&amp;AA87)</f>
        <v>0</v>
      </c>
      <c r="W8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15:41:48-0600',mode:absolute,to:'2016-05-27 15:52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87" s="73" t="str">
        <f t="shared" si="23"/>
        <v>Y</v>
      </c>
      <c r="Y87" s="73">
        <f t="shared" si="31"/>
        <v>0</v>
      </c>
      <c r="Z87" s="73">
        <f t="shared" si="25"/>
        <v>1.8762000000000001</v>
      </c>
      <c r="AA87" s="73">
        <f t="shared" si="30"/>
        <v>0.02</v>
      </c>
      <c r="AB87" s="73">
        <f t="shared" si="26"/>
        <v>1.8562000000000001</v>
      </c>
      <c r="AC87" s="74">
        <f>VLOOKUP(A87,Enforcements!$C$3:$J$69,8,0)</f>
        <v>20632</v>
      </c>
      <c r="AD87" s="74" t="str">
        <f>VLOOKUP(A87,Enforcements!$C$3:$J$69,3,0)</f>
        <v>SIGNAL</v>
      </c>
    </row>
    <row r="88" spans="1:30" s="2" customFormat="1" x14ac:dyDescent="0.25">
      <c r="A88" s="60" t="s">
        <v>350</v>
      </c>
      <c r="B88" s="60">
        <v>4040</v>
      </c>
      <c r="C88" s="60" t="s">
        <v>62</v>
      </c>
      <c r="D88" s="60" t="s">
        <v>256</v>
      </c>
      <c r="E88" s="30">
        <v>42517.592523148145</v>
      </c>
      <c r="F88" s="30">
        <v>42517.59337962963</v>
      </c>
      <c r="G88" s="38">
        <v>1</v>
      </c>
      <c r="H88" s="30" t="s">
        <v>86</v>
      </c>
      <c r="I88" s="30">
        <v>42517.621620370373</v>
      </c>
      <c r="J88" s="60">
        <v>0</v>
      </c>
      <c r="K88" s="60" t="str">
        <f t="shared" si="20"/>
        <v>4039/4040</v>
      </c>
      <c r="L88" s="60" t="str">
        <f>VLOOKUP(A88,'Trips&amp;Operators'!$C$1:$E$9999,3,FALSE)</f>
        <v>ROCHA</v>
      </c>
      <c r="M88" s="12">
        <f t="shared" si="21"/>
        <v>2.8240740743058268E-2</v>
      </c>
      <c r="N88" s="13">
        <f t="shared" si="29"/>
        <v>40.666666670003906</v>
      </c>
      <c r="O88" s="13"/>
      <c r="P88" s="13"/>
      <c r="Q88" s="61"/>
      <c r="R88" s="61"/>
      <c r="S88" s="94">
        <f t="shared" si="27"/>
        <v>1</v>
      </c>
      <c r="T88" s="2" t="str">
        <f t="shared" si="28"/>
        <v>NorthBound</v>
      </c>
      <c r="U88" s="67">
        <f>COUNTIFS([3]Variables!$M$2:$M$19,IF(T88="NorthBound","&gt;=","&lt;=")&amp;Z88,[3]Variables!$M$2:$M$19,IF(T88="NorthBound","&lt;=","&gt;=")&amp;AA88)</f>
        <v>12</v>
      </c>
      <c r="W88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14:12:14-0600',mode:absolute,to:'2016-05-27 14:56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8" s="73" t="str">
        <f t="shared" si="23"/>
        <v>N</v>
      </c>
      <c r="Y88" s="73">
        <f>VALUE(LEFT(A88,3))-VALUE(LEFT(A86,3))</f>
        <v>1</v>
      </c>
      <c r="Z88" s="73">
        <f t="shared" si="25"/>
        <v>4.6899999999999997E-2</v>
      </c>
      <c r="AA88" s="73">
        <f t="shared" si="30"/>
        <v>23.3306</v>
      </c>
      <c r="AB88" s="73">
        <f t="shared" si="26"/>
        <v>23.2837</v>
      </c>
      <c r="AC88" s="74" t="e">
        <f>VLOOKUP(A88,Enforcements!$C$3:$J$69,8,0)</f>
        <v>#N/A</v>
      </c>
      <c r="AD88" s="74" t="e">
        <f>VLOOKUP(A88,Enforcements!$C$3:$J$69,3,0)</f>
        <v>#N/A</v>
      </c>
    </row>
    <row r="89" spans="1:30" s="2" customFormat="1" x14ac:dyDescent="0.25">
      <c r="A89" s="60" t="s">
        <v>351</v>
      </c>
      <c r="B89" s="60">
        <v>4039</v>
      </c>
      <c r="C89" s="60" t="s">
        <v>62</v>
      </c>
      <c r="D89" s="60" t="s">
        <v>129</v>
      </c>
      <c r="E89" s="30">
        <v>42517.631516203706</v>
      </c>
      <c r="F89" s="30">
        <v>42517.632476851853</v>
      </c>
      <c r="G89" s="38">
        <v>1</v>
      </c>
      <c r="H89" s="30" t="s">
        <v>70</v>
      </c>
      <c r="I89" s="30">
        <v>42517.662152777775</v>
      </c>
      <c r="J89" s="60">
        <v>2</v>
      </c>
      <c r="K89" s="60" t="str">
        <f t="shared" si="20"/>
        <v>4039/4040</v>
      </c>
      <c r="L89" s="60" t="str">
        <f>VLOOKUP(A89,'Trips&amp;Operators'!$C$1:$E$9999,3,FALSE)</f>
        <v>ROCHA</v>
      </c>
      <c r="M89" s="12">
        <f t="shared" si="21"/>
        <v>2.9675925921765156E-2</v>
      </c>
      <c r="N89" s="13">
        <f t="shared" si="29"/>
        <v>42.733333327341825</v>
      </c>
      <c r="O89" s="13"/>
      <c r="P89" s="13"/>
      <c r="Q89" s="61"/>
      <c r="R89" s="61"/>
      <c r="S89" s="94">
        <f t="shared" si="27"/>
        <v>1</v>
      </c>
      <c r="T89" s="2" t="str">
        <f t="shared" si="28"/>
        <v>Southbound</v>
      </c>
      <c r="U89" s="67">
        <f>COUNTIFS([3]Variables!$M$2:$M$19,IF(T89="NorthBound","&gt;=","&lt;=")&amp;Z89,[3]Variables!$M$2:$M$19,IF(T89="NorthBound","&lt;=","&gt;=")&amp;AA89)</f>
        <v>12</v>
      </c>
      <c r="W89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15:08:23-0600',mode:absolute,to:'2016-05-27 15:54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9" s="73" t="str">
        <f t="shared" si="23"/>
        <v>N</v>
      </c>
      <c r="Y89" s="73">
        <f t="shared" ref="Y89:Y124" si="32">VALUE(LEFT(A89,3))-VALUE(LEFT(A88,3))</f>
        <v>1</v>
      </c>
      <c r="Z89" s="73">
        <f t="shared" si="25"/>
        <v>23.298300000000001</v>
      </c>
      <c r="AA89" s="73">
        <f t="shared" si="30"/>
        <v>1.52E-2</v>
      </c>
      <c r="AB89" s="73">
        <f t="shared" si="26"/>
        <v>23.283100000000001</v>
      </c>
      <c r="AC89" s="74">
        <f>VLOOKUP(A89,Enforcements!$C$3:$J$69,8,0)</f>
        <v>127587</v>
      </c>
      <c r="AD89" s="74" t="str">
        <f>VLOOKUP(A89,Enforcements!$C$3:$J$69,3,0)</f>
        <v>SIGNAL</v>
      </c>
    </row>
    <row r="90" spans="1:30" s="2" customFormat="1" x14ac:dyDescent="0.25">
      <c r="A90" s="60" t="s">
        <v>352</v>
      </c>
      <c r="B90" s="60">
        <v>4038</v>
      </c>
      <c r="C90" s="60" t="s">
        <v>62</v>
      </c>
      <c r="D90" s="60" t="s">
        <v>105</v>
      </c>
      <c r="E90" s="30">
        <v>42517.600960648146</v>
      </c>
      <c r="F90" s="30">
        <v>42517.60224537037</v>
      </c>
      <c r="G90" s="38">
        <v>1</v>
      </c>
      <c r="H90" s="30" t="s">
        <v>353</v>
      </c>
      <c r="I90" s="30">
        <v>42517.62972222222</v>
      </c>
      <c r="J90" s="60">
        <v>1</v>
      </c>
      <c r="K90" s="60" t="str">
        <f t="shared" si="20"/>
        <v>4037/4038</v>
      </c>
      <c r="L90" s="60" t="str">
        <f>VLOOKUP(A90,'Trips&amp;Operators'!$C$1:$E$9999,3,FALSE)</f>
        <v>WEBSTER</v>
      </c>
      <c r="M90" s="12">
        <f t="shared" si="21"/>
        <v>2.7476851850224193E-2</v>
      </c>
      <c r="N90" s="13">
        <f t="shared" si="29"/>
        <v>39.566666664322838</v>
      </c>
      <c r="O90" s="13"/>
      <c r="P90" s="13"/>
      <c r="Q90" s="61"/>
      <c r="R90" s="61"/>
      <c r="S90" s="94">
        <f t="shared" si="27"/>
        <v>1</v>
      </c>
      <c r="T90" s="2" t="str">
        <f t="shared" si="28"/>
        <v>NorthBound</v>
      </c>
      <c r="U90" s="67">
        <f>COUNTIFS([3]Variables!$M$2:$M$19,IF(T90="NorthBound","&gt;=","&lt;=")&amp;Z90,[3]Variables!$M$2:$M$19,IF(T90="NorthBound","&lt;=","&gt;=")&amp;AA90)</f>
        <v>12</v>
      </c>
      <c r="W90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14:24:23-0600',mode:absolute,to:'2016-05-27 15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0" s="73" t="str">
        <f t="shared" si="23"/>
        <v>N</v>
      </c>
      <c r="Y90" s="73">
        <f t="shared" si="32"/>
        <v>1</v>
      </c>
      <c r="Z90" s="73">
        <f t="shared" si="25"/>
        <v>4.3999999999999997E-2</v>
      </c>
      <c r="AA90" s="73">
        <f t="shared" si="30"/>
        <v>23.330300000000001</v>
      </c>
      <c r="AB90" s="73">
        <f t="shared" si="26"/>
        <v>23.286300000000001</v>
      </c>
      <c r="AC90" s="74">
        <f>VLOOKUP(A90,Enforcements!$C$3:$J$69,8,0)</f>
        <v>233491</v>
      </c>
      <c r="AD90" s="74" t="str">
        <f>VLOOKUP(A90,Enforcements!$C$3:$J$69,3,0)</f>
        <v>TRACK WARRANT AUTHORITY</v>
      </c>
    </row>
    <row r="91" spans="1:30" s="2" customFormat="1" x14ac:dyDescent="0.25">
      <c r="A91" s="60" t="s">
        <v>354</v>
      </c>
      <c r="B91" s="60">
        <v>4037</v>
      </c>
      <c r="C91" s="60" t="s">
        <v>62</v>
      </c>
      <c r="D91" s="60" t="s">
        <v>153</v>
      </c>
      <c r="E91" s="30">
        <v>42517.641030092593</v>
      </c>
      <c r="F91" s="30">
        <v>42517.642025462963</v>
      </c>
      <c r="G91" s="38">
        <v>1</v>
      </c>
      <c r="H91" s="30" t="s">
        <v>81</v>
      </c>
      <c r="I91" s="30">
        <v>42517.673831018517</v>
      </c>
      <c r="J91" s="60">
        <v>1</v>
      </c>
      <c r="K91" s="60" t="str">
        <f t="shared" si="20"/>
        <v>4037/4038</v>
      </c>
      <c r="L91" s="60" t="str">
        <f>VLOOKUP(A91,'Trips&amp;Operators'!$C$1:$E$9999,3,FALSE)</f>
        <v>WEBSTER</v>
      </c>
      <c r="M91" s="12">
        <f t="shared" si="21"/>
        <v>3.1805555554456078E-2</v>
      </c>
      <c r="N91" s="13">
        <f t="shared" si="29"/>
        <v>45.799999998416752</v>
      </c>
      <c r="O91" s="13"/>
      <c r="P91" s="13"/>
      <c r="Q91" s="61"/>
      <c r="R91" s="61"/>
      <c r="S91" s="94">
        <f t="shared" si="27"/>
        <v>1</v>
      </c>
      <c r="T91" s="2" t="str">
        <f t="shared" si="28"/>
        <v>Southbound</v>
      </c>
      <c r="U91" s="67">
        <f>COUNTIFS([3]Variables!$M$2:$M$19,IF(T91="NorthBound","&gt;=","&lt;=")&amp;Z91,[3]Variables!$M$2:$M$19,IF(T91="NorthBound","&lt;=","&gt;=")&amp;AA91)</f>
        <v>12</v>
      </c>
      <c r="W91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15:22:05-0600',mode:absolute,to:'2016-05-27 16:11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1" s="73" t="str">
        <f t="shared" si="23"/>
        <v>N</v>
      </c>
      <c r="Y91" s="73">
        <f t="shared" si="32"/>
        <v>1</v>
      </c>
      <c r="Z91" s="73">
        <f t="shared" si="25"/>
        <v>23.296299999999999</v>
      </c>
      <c r="AA91" s="73">
        <f t="shared" si="30"/>
        <v>1.5800000000000002E-2</v>
      </c>
      <c r="AB91" s="73">
        <f t="shared" si="26"/>
        <v>23.2805</v>
      </c>
      <c r="AC91" s="74">
        <f>VLOOKUP(A91,Enforcements!$C$3:$J$69,8,0)</f>
        <v>3549</v>
      </c>
      <c r="AD91" s="74" t="str">
        <f>VLOOKUP(A91,Enforcements!$C$3:$J$69,3,0)</f>
        <v>SWITCH UNKNOWN</v>
      </c>
    </row>
    <row r="92" spans="1:30" s="2" customFormat="1" x14ac:dyDescent="0.25">
      <c r="A92" s="60" t="s">
        <v>355</v>
      </c>
      <c r="B92" s="60">
        <v>4029</v>
      </c>
      <c r="C92" s="60" t="s">
        <v>62</v>
      </c>
      <c r="D92" s="60" t="s">
        <v>356</v>
      </c>
      <c r="E92" s="30">
        <v>42517.613622685189</v>
      </c>
      <c r="F92" s="30">
        <v>42517.615520833337</v>
      </c>
      <c r="G92" s="38">
        <v>2</v>
      </c>
      <c r="H92" s="30" t="s">
        <v>357</v>
      </c>
      <c r="I92" s="30">
        <v>42517.647847222222</v>
      </c>
      <c r="J92" s="60">
        <v>0</v>
      </c>
      <c r="K92" s="60" t="str">
        <f t="shared" si="20"/>
        <v>4029/4030</v>
      </c>
      <c r="L92" s="60" t="str">
        <f>VLOOKUP(A92,'Trips&amp;Operators'!$C$1:$E$9999,3,FALSE)</f>
        <v>SPECTOR</v>
      </c>
      <c r="M92" s="12">
        <f t="shared" si="21"/>
        <v>3.2326388885849155E-2</v>
      </c>
      <c r="N92" s="13">
        <f t="shared" si="29"/>
        <v>46.549999995622784</v>
      </c>
      <c r="O92" s="13"/>
      <c r="P92" s="13"/>
      <c r="Q92" s="61"/>
      <c r="R92" s="61"/>
      <c r="S92" s="94">
        <f t="shared" si="27"/>
        <v>1</v>
      </c>
      <c r="T92" s="2" t="str">
        <f t="shared" si="28"/>
        <v>NorthBound</v>
      </c>
      <c r="U92" s="67">
        <f>COUNTIFS([3]Variables!$M$2:$M$19,IF(T92="NorthBound","&gt;=","&lt;=")&amp;Z92,[3]Variables!$M$2:$M$19,IF(T92="NorthBound","&lt;=","&gt;=")&amp;AA92)</f>
        <v>12</v>
      </c>
      <c r="W92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14:42:37-0600',mode:absolute,to:'2016-05-27 15:33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2" s="73" t="str">
        <f t="shared" si="23"/>
        <v>N</v>
      </c>
      <c r="Y92" s="73">
        <f t="shared" si="32"/>
        <v>1</v>
      </c>
      <c r="Z92" s="73">
        <f t="shared" si="25"/>
        <v>8.0600000000000005E-2</v>
      </c>
      <c r="AA92" s="73">
        <f t="shared" si="30"/>
        <v>23.3108</v>
      </c>
      <c r="AB92" s="73">
        <f t="shared" si="26"/>
        <v>23.2302</v>
      </c>
      <c r="AC92" s="74" t="e">
        <f>VLOOKUP(A92,Enforcements!$C$3:$J$69,8,0)</f>
        <v>#N/A</v>
      </c>
      <c r="AD92" s="74" t="e">
        <f>VLOOKUP(A92,Enforcements!$C$3:$J$69,3,0)</f>
        <v>#N/A</v>
      </c>
    </row>
    <row r="93" spans="1:30" s="2" customFormat="1" x14ac:dyDescent="0.25">
      <c r="A93" s="60" t="s">
        <v>358</v>
      </c>
      <c r="B93" s="60">
        <v>4030</v>
      </c>
      <c r="C93" s="60" t="s">
        <v>62</v>
      </c>
      <c r="D93" s="60" t="s">
        <v>359</v>
      </c>
      <c r="E93" s="30">
        <v>42517.651655092595</v>
      </c>
      <c r="F93" s="30">
        <v>42517.65247685185</v>
      </c>
      <c r="G93" s="38">
        <v>1</v>
      </c>
      <c r="H93" s="30" t="s">
        <v>81</v>
      </c>
      <c r="I93" s="30">
        <v>42517.68645833333</v>
      </c>
      <c r="J93" s="60">
        <v>0</v>
      </c>
      <c r="K93" s="60" t="str">
        <f t="shared" si="20"/>
        <v>4029/4030</v>
      </c>
      <c r="L93" s="60" t="str">
        <f>VLOOKUP(A93,'Trips&amp;Operators'!$C$1:$E$9999,3,FALSE)</f>
        <v>SPECTOR</v>
      </c>
      <c r="M93" s="12">
        <f t="shared" si="21"/>
        <v>3.3981481479713693E-2</v>
      </c>
      <c r="N93" s="13">
        <f t="shared" si="29"/>
        <v>48.933333330787718</v>
      </c>
      <c r="O93" s="13"/>
      <c r="P93" s="13"/>
      <c r="Q93" s="61"/>
      <c r="R93" s="61"/>
      <c r="S93" s="94">
        <f t="shared" si="27"/>
        <v>1</v>
      </c>
      <c r="T93" s="2" t="str">
        <f t="shared" si="28"/>
        <v>Southbound</v>
      </c>
      <c r="U93" s="67">
        <f>COUNTIFS([3]Variables!$M$2:$M$19,IF(T93="NorthBound","&gt;=","&lt;=")&amp;Z93,[3]Variables!$M$2:$M$19,IF(T93="NorthBound","&lt;=","&gt;=")&amp;AA93)</f>
        <v>12</v>
      </c>
      <c r="W93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15:37:23-0600',mode:absolute,to:'2016-05-27 16:29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93" s="73" t="str">
        <f t="shared" si="23"/>
        <v>N</v>
      </c>
      <c r="Y93" s="73">
        <f t="shared" si="32"/>
        <v>1</v>
      </c>
      <c r="Z93" s="73">
        <f t="shared" si="25"/>
        <v>23.295100000000001</v>
      </c>
      <c r="AA93" s="73">
        <f t="shared" si="30"/>
        <v>1.5800000000000002E-2</v>
      </c>
      <c r="AB93" s="73">
        <f t="shared" si="26"/>
        <v>23.279300000000003</v>
      </c>
      <c r="AC93" s="74" t="e">
        <f>VLOOKUP(A93,Enforcements!$C$3:$J$69,8,0)</f>
        <v>#N/A</v>
      </c>
      <c r="AD93" s="74" t="e">
        <f>VLOOKUP(A93,Enforcements!$C$3:$J$69,3,0)</f>
        <v>#N/A</v>
      </c>
    </row>
    <row r="94" spans="1:30" s="2" customFormat="1" x14ac:dyDescent="0.25">
      <c r="A94" s="60" t="s">
        <v>360</v>
      </c>
      <c r="B94" s="60">
        <v>4016</v>
      </c>
      <c r="C94" s="60" t="s">
        <v>62</v>
      </c>
      <c r="D94" s="60" t="s">
        <v>82</v>
      </c>
      <c r="E94" s="30">
        <v>42517.622187499997</v>
      </c>
      <c r="F94" s="30">
        <v>42517.62332175926</v>
      </c>
      <c r="G94" s="38">
        <v>1</v>
      </c>
      <c r="H94" s="30" t="s">
        <v>361</v>
      </c>
      <c r="I94" s="30">
        <v>42517.654768518521</v>
      </c>
      <c r="J94" s="60">
        <v>1</v>
      </c>
      <c r="K94" s="60" t="str">
        <f t="shared" si="20"/>
        <v>4015/4016</v>
      </c>
      <c r="L94" s="60" t="str">
        <f>VLOOKUP(A94,'Trips&amp;Operators'!$C$1:$E$9999,3,FALSE)</f>
        <v>LOZA</v>
      </c>
      <c r="M94" s="12">
        <f t="shared" si="21"/>
        <v>3.1446759261598345E-2</v>
      </c>
      <c r="N94" s="13">
        <f t="shared" si="29"/>
        <v>45.283333336701617</v>
      </c>
      <c r="O94" s="13"/>
      <c r="P94" s="13"/>
      <c r="Q94" s="61"/>
      <c r="R94" s="61"/>
      <c r="S94" s="94">
        <f t="shared" si="27"/>
        <v>1</v>
      </c>
      <c r="T94" s="2" t="str">
        <f t="shared" si="28"/>
        <v>NorthBound</v>
      </c>
      <c r="U94" s="67">
        <f>COUNTIFS([3]Variables!$M$2:$M$19,IF(T94="NorthBound","&gt;=","&lt;=")&amp;Z94,[3]Variables!$M$2:$M$19,IF(T94="NorthBound","&lt;=","&gt;=")&amp;AA94)</f>
        <v>12</v>
      </c>
      <c r="W94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14:54:57-0600',mode:absolute,to:'2016-05-27 15:43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4" s="73" t="str">
        <f t="shared" si="23"/>
        <v>N</v>
      </c>
      <c r="Y94" s="73">
        <f t="shared" si="32"/>
        <v>1</v>
      </c>
      <c r="Z94" s="73">
        <f t="shared" si="25"/>
        <v>4.58E-2</v>
      </c>
      <c r="AA94" s="73">
        <f t="shared" si="30"/>
        <v>23.3399</v>
      </c>
      <c r="AB94" s="73">
        <f t="shared" si="26"/>
        <v>23.2941</v>
      </c>
      <c r="AC94" s="74">
        <f>VLOOKUP(A94,Enforcements!$C$3:$J$69,8,0)</f>
        <v>204300</v>
      </c>
      <c r="AD94" s="74" t="str">
        <f>VLOOKUP(A94,Enforcements!$C$3:$J$69,3,0)</f>
        <v>SIGNAL</v>
      </c>
    </row>
    <row r="95" spans="1:30" s="2" customFormat="1" x14ac:dyDescent="0.25">
      <c r="A95" s="60" t="s">
        <v>362</v>
      </c>
      <c r="B95" s="60">
        <v>4015</v>
      </c>
      <c r="C95" s="60" t="s">
        <v>62</v>
      </c>
      <c r="D95" s="60" t="s">
        <v>268</v>
      </c>
      <c r="E95" s="30">
        <v>42517.659259259257</v>
      </c>
      <c r="F95" s="30">
        <v>42517.661134259259</v>
      </c>
      <c r="G95" s="38">
        <v>2</v>
      </c>
      <c r="H95" s="30" t="s">
        <v>363</v>
      </c>
      <c r="I95" s="30">
        <v>42517.692245370374</v>
      </c>
      <c r="J95" s="60">
        <v>0</v>
      </c>
      <c r="K95" s="60" t="str">
        <f t="shared" si="20"/>
        <v>4015/4016</v>
      </c>
      <c r="L95" s="60" t="str">
        <f>VLOOKUP(A95,'Trips&amp;Operators'!$C$1:$E$9999,3,FALSE)</f>
        <v>LOZA</v>
      </c>
      <c r="M95" s="12">
        <f t="shared" si="21"/>
        <v>3.1111111115023959E-2</v>
      </c>
      <c r="N95" s="13">
        <f t="shared" si="29"/>
        <v>44.800000005634502</v>
      </c>
      <c r="O95" s="13"/>
      <c r="P95" s="13"/>
      <c r="Q95" s="61"/>
      <c r="R95" s="61"/>
      <c r="S95" s="94">
        <f t="shared" si="27"/>
        <v>1</v>
      </c>
      <c r="T95" s="2" t="str">
        <f t="shared" si="28"/>
        <v>Southbound</v>
      </c>
      <c r="U95" s="67">
        <f>COUNTIFS([3]Variables!$M$2:$M$19,IF(T95="NorthBound","&gt;=","&lt;=")&amp;Z95,[3]Variables!$M$2:$M$19,IF(T95="NorthBound","&lt;=","&gt;=")&amp;AA95)</f>
        <v>12</v>
      </c>
      <c r="W95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15:48:20-0600',mode:absolute,to:'2016-05-27 16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95" s="73" t="str">
        <f t="shared" si="23"/>
        <v>N</v>
      </c>
      <c r="Y95" s="73">
        <f t="shared" si="32"/>
        <v>1</v>
      </c>
      <c r="Z95" s="73">
        <f t="shared" si="25"/>
        <v>23.303000000000001</v>
      </c>
      <c r="AA95" s="73">
        <f t="shared" si="30"/>
        <v>1.14E-2</v>
      </c>
      <c r="AB95" s="73">
        <f t="shared" si="26"/>
        <v>23.291600000000003</v>
      </c>
      <c r="AC95" s="74" t="e">
        <f>VLOOKUP(A95,Enforcements!$C$3:$J$69,8,0)</f>
        <v>#N/A</v>
      </c>
      <c r="AD95" s="74" t="e">
        <f>VLOOKUP(A95,Enforcements!$C$3:$J$69,3,0)</f>
        <v>#N/A</v>
      </c>
    </row>
    <row r="96" spans="1:30" s="2" customFormat="1" x14ac:dyDescent="0.25">
      <c r="A96" s="60" t="s">
        <v>364</v>
      </c>
      <c r="B96" s="60">
        <v>4031</v>
      </c>
      <c r="C96" s="60" t="s">
        <v>62</v>
      </c>
      <c r="D96" s="60" t="s">
        <v>136</v>
      </c>
      <c r="E96" s="30">
        <v>42517.634467592594</v>
      </c>
      <c r="F96" s="30">
        <v>42517.635208333333</v>
      </c>
      <c r="G96" s="38">
        <v>1</v>
      </c>
      <c r="H96" s="30" t="s">
        <v>366</v>
      </c>
      <c r="I96" s="30">
        <v>42517.637604166666</v>
      </c>
      <c r="J96" s="60">
        <v>1</v>
      </c>
      <c r="K96" s="60" t="str">
        <f>IF(ISEVEN(B96),(B96-1)&amp;"/"&amp;B96,B96&amp;"/"&amp;(B96+1))</f>
        <v>4031/4032</v>
      </c>
      <c r="L96" s="60" t="str">
        <f>VLOOKUP(A96,'Trips&amp;Operators'!$C$1:$E$9999,3,FALSE)</f>
        <v>LOCKLEAR</v>
      </c>
      <c r="M96" s="12">
        <f>I96-F96</f>
        <v>2.3958333331393078E-3</v>
      </c>
      <c r="N96" s="13"/>
      <c r="O96" s="13"/>
      <c r="P96" s="13"/>
      <c r="Q96" s="61"/>
      <c r="R96" s="61"/>
      <c r="S96" s="94">
        <f t="shared" si="27"/>
        <v>0</v>
      </c>
      <c r="T96" s="2" t="str">
        <f t="shared" si="28"/>
        <v>NorthBound</v>
      </c>
      <c r="U96" s="67">
        <f>COUNTIFS([3]Variables!$M$2:$M$19,IF(T96="NorthBound","&gt;=","&lt;=")&amp;Z96,[3]Variables!$M$2:$M$19,IF(T96="NorthBound","&lt;=","&gt;=")&amp;AA96)</f>
        <v>0</v>
      </c>
      <c r="W96" s="73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https://search-rtdc-monitor-bjffxe2xuh6vdkpspy63sjmuny.us-east-1.es.amazonaws.com/_plugin/kibana/#/discover/Steve-Slow-Train-Analysis-(2080s-and-2083s)?_g=(refreshInterval:(display:Off,section:0,value:0),time:(from:'2016-05-27 15:12:38-0600',mode:absolute,to:'2016-05-27 15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6" s="73" t="str">
        <f>IF(AB96&lt;23,"Y","N")</f>
        <v>Y</v>
      </c>
      <c r="Y96" s="73">
        <f>VALUE(LEFT(A96,3))-VALUE(LEFT(A97,3))</f>
        <v>0</v>
      </c>
      <c r="Z96" s="73">
        <f>RIGHT(D96,LEN(D96)-4)/10000</f>
        <v>4.7800000000000002E-2</v>
      </c>
      <c r="AA96" s="73">
        <f>RIGHT(H96,LEN(H96)-4)/10000</f>
        <v>0.14480000000000001</v>
      </c>
      <c r="AB96" s="73">
        <f>ABS(AA96-Z96)</f>
        <v>9.7000000000000003E-2</v>
      </c>
      <c r="AC96" s="74">
        <f>VLOOKUP(A96,Enforcements!$C$3:$J$69,8,0)</f>
        <v>78349</v>
      </c>
      <c r="AD96" s="74" t="str">
        <f>VLOOKUP(A96,Enforcements!$C$3:$J$69,3,0)</f>
        <v>GRADE CROSSING</v>
      </c>
    </row>
    <row r="97" spans="1:30" s="2" customFormat="1" x14ac:dyDescent="0.25">
      <c r="A97" s="60" t="s">
        <v>364</v>
      </c>
      <c r="B97" s="60">
        <v>4031</v>
      </c>
      <c r="C97" s="60" t="s">
        <v>62</v>
      </c>
      <c r="D97" s="60" t="s">
        <v>365</v>
      </c>
      <c r="E97" s="30">
        <v>42517.640983796293</v>
      </c>
      <c r="F97" s="30">
        <v>42517.641805555555</v>
      </c>
      <c r="G97" s="38">
        <v>1</v>
      </c>
      <c r="H97" s="30" t="s">
        <v>281</v>
      </c>
      <c r="I97" s="30">
        <v>42517.664224537039</v>
      </c>
      <c r="J97" s="60">
        <v>2</v>
      </c>
      <c r="K97" s="60" t="str">
        <f t="shared" si="20"/>
        <v>4031/4032</v>
      </c>
      <c r="L97" s="60" t="str">
        <f>VLOOKUP(A97,'Trips&amp;Operators'!$C$1:$E$9999,3,FALSE)</f>
        <v>LOCKLEAR</v>
      </c>
      <c r="M97" s="12">
        <f t="shared" si="21"/>
        <v>2.2418981483497191E-2</v>
      </c>
      <c r="N97" s="13"/>
      <c r="O97" s="13"/>
      <c r="P97" s="13">
        <f>24*60*SUM($M96:$M97)</f>
        <v>35.733333335956559</v>
      </c>
      <c r="Q97" s="61"/>
      <c r="R97" s="61" t="s">
        <v>438</v>
      </c>
      <c r="S97" s="94">
        <f t="shared" si="27"/>
        <v>1</v>
      </c>
      <c r="T97" s="2" t="str">
        <f t="shared" si="28"/>
        <v>NorthBound</v>
      </c>
      <c r="U97" s="67">
        <f>COUNTIFS([3]Variables!$M$2:$M$19,IF(T97="NorthBound","&gt;=","&lt;=")&amp;Z97,[3]Variables!$M$2:$M$19,IF(T97="NorthBound","&lt;=","&gt;=")&amp;AA97)</f>
        <v>12</v>
      </c>
      <c r="W97" s="73" t="str">
        <f t="shared" si="22"/>
        <v>https://search-rtdc-monitor-bjffxe2xuh6vdkpspy63sjmuny.us-east-1.es.amazonaws.com/_plugin/kibana/#/discover/Steve-Slow-Train-Analysis-(2080s-and-2083s)?_g=(refreshInterval:(display:Off,section:0,value:0),time:(from:'2016-05-27 15:22:01-0600',mode:absolute,to:'2016-05-27 15:57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7" s="73" t="str">
        <f t="shared" si="23"/>
        <v>Y</v>
      </c>
      <c r="Y97" s="73">
        <f>VALUE(LEFT(A97,3))-VALUE(LEFT(A95,3))</f>
        <v>1</v>
      </c>
      <c r="Z97" s="73">
        <f t="shared" si="25"/>
        <v>1.9801</v>
      </c>
      <c r="AA97" s="73">
        <f t="shared" si="30"/>
        <v>23.333200000000001</v>
      </c>
      <c r="AB97" s="73">
        <f t="shared" si="26"/>
        <v>21.353100000000001</v>
      </c>
      <c r="AC97" s="74">
        <f>VLOOKUP(A97,Enforcements!$C$3:$J$69,8,0)</f>
        <v>78349</v>
      </c>
      <c r="AD97" s="74" t="str">
        <f>VLOOKUP(A97,Enforcements!$C$3:$J$69,3,0)</f>
        <v>GRADE CROSSING</v>
      </c>
    </row>
    <row r="98" spans="1:30" s="2" customFormat="1" x14ac:dyDescent="0.25">
      <c r="A98" s="60" t="s">
        <v>367</v>
      </c>
      <c r="B98" s="60">
        <v>4032</v>
      </c>
      <c r="C98" s="60" t="s">
        <v>62</v>
      </c>
      <c r="D98" s="60" t="s">
        <v>368</v>
      </c>
      <c r="E98" s="30">
        <v>42517.671412037038</v>
      </c>
      <c r="F98" s="30">
        <v>42517.672453703701</v>
      </c>
      <c r="G98" s="38">
        <v>1</v>
      </c>
      <c r="H98" s="30" t="s">
        <v>140</v>
      </c>
      <c r="I98" s="30">
        <v>42517.703773148147</v>
      </c>
      <c r="J98" s="60">
        <v>1</v>
      </c>
      <c r="K98" s="60" t="str">
        <f t="shared" ref="K98:K128" si="33">IF(ISEVEN(B98),(B98-1)&amp;"/"&amp;B98,B98&amp;"/"&amp;(B98+1))</f>
        <v>4031/4032</v>
      </c>
      <c r="L98" s="60" t="str">
        <f>VLOOKUP(A98,'Trips&amp;Operators'!$C$1:$E$9999,3,FALSE)</f>
        <v>LOCKLEAR</v>
      </c>
      <c r="M98" s="12">
        <f t="shared" ref="M98:M128" si="34">I98-F98</f>
        <v>3.1319444446125999E-2</v>
      </c>
      <c r="N98" s="13">
        <f t="shared" si="29"/>
        <v>45.100000002421439</v>
      </c>
      <c r="O98" s="13"/>
      <c r="P98" s="13"/>
      <c r="Q98" s="61"/>
      <c r="R98" s="61"/>
      <c r="S98" s="94">
        <f t="shared" si="27"/>
        <v>1</v>
      </c>
      <c r="T98" s="2" t="str">
        <f t="shared" si="28"/>
        <v>Southbound</v>
      </c>
      <c r="U98" s="67">
        <f>COUNTIFS([3]Variables!$M$2:$M$19,IF(T98="NorthBound","&gt;=","&lt;=")&amp;Z98,[3]Variables!$M$2:$M$19,IF(T98="NorthBound","&lt;=","&gt;=")&amp;AA98)</f>
        <v>12</v>
      </c>
      <c r="W98" s="73" t="str">
        <f t="shared" ref="W98:W122" si="35"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https://search-rtdc-monitor-bjffxe2xuh6vdkpspy63sjmuny.us-east-1.es.amazonaws.com/_plugin/kibana/#/discover/Steve-Slow-Train-Analysis-(2080s-and-2083s)?_g=(refreshInterval:(display:Off,section:0,value:0),time:(from:'2016-05-27 16:05:50-0600',mode:absolute,to:'2016-05-27 16:54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98" s="73" t="str">
        <f t="shared" ref="X98:X124" si="36">IF(AB98&lt;23,"Y","N")</f>
        <v>N</v>
      </c>
      <c r="Y98" s="73">
        <f>VALUE(LEFT(A98,3))-VALUE(LEFT(A96,3))</f>
        <v>1</v>
      </c>
      <c r="Z98" s="73">
        <f t="shared" ref="Z98:Z128" si="37">RIGHT(D98,LEN(D98)-4)/10000</f>
        <v>23.300999999999998</v>
      </c>
      <c r="AA98" s="73">
        <f t="shared" si="30"/>
        <v>1.6299999999999999E-2</v>
      </c>
      <c r="AB98" s="73">
        <f t="shared" ref="AB98:AB128" si="38">ABS(AA98-Z98)</f>
        <v>23.284699999999997</v>
      </c>
      <c r="AC98" s="74">
        <f>VLOOKUP(A98,Enforcements!$C$3:$J$69,8,0)</f>
        <v>127587</v>
      </c>
      <c r="AD98" s="74" t="str">
        <f>VLOOKUP(A98,Enforcements!$C$3:$J$69,3,0)</f>
        <v>SIGNAL</v>
      </c>
    </row>
    <row r="99" spans="1:30" s="2" customFormat="1" x14ac:dyDescent="0.25">
      <c r="A99" s="60" t="s">
        <v>369</v>
      </c>
      <c r="B99" s="60">
        <v>4044</v>
      </c>
      <c r="C99" s="60" t="s">
        <v>62</v>
      </c>
      <c r="D99" s="60" t="s">
        <v>142</v>
      </c>
      <c r="E99" s="30">
        <v>42517.644155092596</v>
      </c>
      <c r="F99" s="30">
        <v>42517.645960648151</v>
      </c>
      <c r="G99" s="38">
        <v>2</v>
      </c>
      <c r="H99" s="30" t="s">
        <v>109</v>
      </c>
      <c r="I99" s="30">
        <v>42517.671736111108</v>
      </c>
      <c r="J99" s="60">
        <v>1</v>
      </c>
      <c r="K99" s="60" t="str">
        <f t="shared" si="33"/>
        <v>4043/4044</v>
      </c>
      <c r="L99" s="60" t="str">
        <f>VLOOKUP(A99,'Trips&amp;Operators'!$C$1:$E$9999,3,FALSE)</f>
        <v>GOODNIGHT</v>
      </c>
      <c r="M99" s="12">
        <f t="shared" si="34"/>
        <v>2.5775462956517003E-2</v>
      </c>
      <c r="N99" s="13">
        <f t="shared" si="29"/>
        <v>37.116666657384485</v>
      </c>
      <c r="O99" s="13"/>
      <c r="P99" s="13"/>
      <c r="Q99" s="61"/>
      <c r="R99" s="61"/>
      <c r="S99" s="94">
        <f t="shared" si="27"/>
        <v>1</v>
      </c>
      <c r="T99" s="2" t="str">
        <f t="shared" si="28"/>
        <v>NorthBound</v>
      </c>
      <c r="U99" s="67">
        <f>COUNTIFS([3]Variables!$M$2:$M$19,IF(T99="NorthBound","&gt;=","&lt;=")&amp;Z99,[3]Variables!$M$2:$M$19,IF(T99="NorthBound","&lt;=","&gt;=")&amp;AA99)</f>
        <v>12</v>
      </c>
      <c r="W9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15:26:35-0600',mode:absolute,to:'2016-05-27 16:08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99" s="73" t="str">
        <f t="shared" si="36"/>
        <v>N</v>
      </c>
      <c r="Y99" s="73">
        <f t="shared" si="32"/>
        <v>1</v>
      </c>
      <c r="Z99" s="73">
        <f t="shared" si="37"/>
        <v>4.4400000000000002E-2</v>
      </c>
      <c r="AA99" s="73">
        <f t="shared" si="30"/>
        <v>23.328900000000001</v>
      </c>
      <c r="AB99" s="73">
        <f t="shared" si="38"/>
        <v>23.284500000000001</v>
      </c>
      <c r="AC99" s="74">
        <f>VLOOKUP(A99,Enforcements!$C$3:$J$69,8,0)</f>
        <v>233491</v>
      </c>
      <c r="AD99" s="74" t="str">
        <f>VLOOKUP(A99,Enforcements!$C$3:$J$69,3,0)</f>
        <v>TRACK WARRANT AUTHORITY</v>
      </c>
    </row>
    <row r="100" spans="1:30" s="2" customFormat="1" x14ac:dyDescent="0.25">
      <c r="A100" s="60" t="s">
        <v>370</v>
      </c>
      <c r="B100" s="60">
        <v>4043</v>
      </c>
      <c r="C100" s="60" t="s">
        <v>62</v>
      </c>
      <c r="D100" s="60" t="s">
        <v>371</v>
      </c>
      <c r="E100" s="30">
        <v>42517.680810185186</v>
      </c>
      <c r="F100" s="30">
        <v>42517.681620370371</v>
      </c>
      <c r="G100" s="38">
        <v>1</v>
      </c>
      <c r="H100" s="30" t="s">
        <v>90</v>
      </c>
      <c r="I100" s="30">
        <v>42517.71434027778</v>
      </c>
      <c r="J100" s="60">
        <v>1</v>
      </c>
      <c r="K100" s="60" t="str">
        <f t="shared" si="33"/>
        <v>4043/4044</v>
      </c>
      <c r="L100" s="60" t="str">
        <f>VLOOKUP(A100,'Trips&amp;Operators'!$C$1:$E$9999,3,FALSE)</f>
        <v>GOODNIGHT</v>
      </c>
      <c r="M100" s="12">
        <f t="shared" si="34"/>
        <v>3.2719907409045845E-2</v>
      </c>
      <c r="N100" s="13">
        <f t="shared" si="29"/>
        <v>47.116666669026017</v>
      </c>
      <c r="O100" s="13"/>
      <c r="P100" s="13"/>
      <c r="Q100" s="61"/>
      <c r="R100" s="61"/>
      <c r="S100" s="94">
        <f t="shared" si="27"/>
        <v>1</v>
      </c>
      <c r="T100" s="2" t="str">
        <f t="shared" si="28"/>
        <v>Southbound</v>
      </c>
      <c r="U100" s="67">
        <f>COUNTIFS([3]Variables!$M$2:$M$19,IF(T100="NorthBound","&gt;=","&lt;=")&amp;Z100,[3]Variables!$M$2:$M$19,IF(T100="NorthBound","&lt;=","&gt;=")&amp;AA100)</f>
        <v>12</v>
      </c>
      <c r="W10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16:19:22-0600',mode:absolute,to:'2016-05-27 17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0" s="73" t="str">
        <f t="shared" si="36"/>
        <v>N</v>
      </c>
      <c r="Y100" s="73">
        <f t="shared" si="32"/>
        <v>1</v>
      </c>
      <c r="Z100" s="73">
        <f t="shared" si="37"/>
        <v>23.3001</v>
      </c>
      <c r="AA100" s="73">
        <f t="shared" si="30"/>
        <v>1.6E-2</v>
      </c>
      <c r="AB100" s="73">
        <f t="shared" si="38"/>
        <v>23.284100000000002</v>
      </c>
      <c r="AC100" s="74">
        <f>VLOOKUP(A100,Enforcements!$C$3:$J$69,8,0)</f>
        <v>228668</v>
      </c>
      <c r="AD100" s="74" t="str">
        <f>VLOOKUP(A100,Enforcements!$C$3:$J$69,3,0)</f>
        <v>PERMANENT SPEED RESTRICTION</v>
      </c>
    </row>
    <row r="101" spans="1:30" s="2" customFormat="1" x14ac:dyDescent="0.25">
      <c r="A101" s="60" t="s">
        <v>372</v>
      </c>
      <c r="B101" s="60">
        <v>4018</v>
      </c>
      <c r="C101" s="60" t="s">
        <v>62</v>
      </c>
      <c r="D101" s="60" t="s">
        <v>148</v>
      </c>
      <c r="E101" s="30">
        <v>42517.663518518515</v>
      </c>
      <c r="F101" s="30">
        <v>42517.664768518516</v>
      </c>
      <c r="G101" s="38">
        <v>1</v>
      </c>
      <c r="H101" s="30" t="s">
        <v>149</v>
      </c>
      <c r="I101" s="30">
        <v>42517.694131944445</v>
      </c>
      <c r="J101" s="60">
        <v>2</v>
      </c>
      <c r="K101" s="60" t="str">
        <f t="shared" si="33"/>
        <v>4017/4018</v>
      </c>
      <c r="L101" s="60" t="str">
        <f>VLOOKUP(A101,'Trips&amp;Operators'!$C$1:$E$9999,3,FALSE)</f>
        <v>STEWART</v>
      </c>
      <c r="M101" s="12">
        <f t="shared" si="34"/>
        <v>2.9363425928750075E-2</v>
      </c>
      <c r="N101" s="13">
        <f t="shared" si="29"/>
        <v>42.283333337400109</v>
      </c>
      <c r="O101" s="13"/>
      <c r="P101" s="13"/>
      <c r="Q101" s="61"/>
      <c r="R101" s="61"/>
      <c r="S101" s="94">
        <f t="shared" si="27"/>
        <v>1</v>
      </c>
      <c r="T101" s="2" t="str">
        <f t="shared" si="28"/>
        <v>NorthBound</v>
      </c>
      <c r="U101" s="67">
        <f>COUNTIFS([3]Variables!$M$2:$M$19,IF(T101="NorthBound","&gt;=","&lt;=")&amp;Z101,[3]Variables!$M$2:$M$19,IF(T101="NorthBound","&lt;=","&gt;=")&amp;AA101)</f>
        <v>12</v>
      </c>
      <c r="W10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15:54:28-0600',mode:absolute,to:'2016-05-27 16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01" s="73" t="str">
        <f t="shared" si="36"/>
        <v>N</v>
      </c>
      <c r="Y101" s="73">
        <f t="shared" si="32"/>
        <v>1</v>
      </c>
      <c r="Z101" s="73">
        <f t="shared" si="37"/>
        <v>5.1299999999999998E-2</v>
      </c>
      <c r="AA101" s="73">
        <f t="shared" si="30"/>
        <v>23.331</v>
      </c>
      <c r="AB101" s="73">
        <f t="shared" si="38"/>
        <v>23.279699999999998</v>
      </c>
      <c r="AC101" s="74">
        <f>VLOOKUP(A101,Enforcements!$C$3:$J$69,8,0)</f>
        <v>224231</v>
      </c>
      <c r="AD101" s="74" t="str">
        <f>VLOOKUP(A101,Enforcements!$C$3:$J$69,3,0)</f>
        <v>SIGNAL</v>
      </c>
    </row>
    <row r="102" spans="1:30" s="2" customFormat="1" ht="15.75" customHeight="1" x14ac:dyDescent="0.25">
      <c r="A102" s="60" t="s">
        <v>373</v>
      </c>
      <c r="B102" s="60">
        <v>4017</v>
      </c>
      <c r="C102" s="60" t="s">
        <v>62</v>
      </c>
      <c r="D102" s="60" t="s">
        <v>89</v>
      </c>
      <c r="E102" s="30">
        <v>42517.696469907409</v>
      </c>
      <c r="F102" s="30">
        <v>42517.697314814817</v>
      </c>
      <c r="G102" s="38">
        <v>1</v>
      </c>
      <c r="H102" s="30" t="s">
        <v>375</v>
      </c>
      <c r="I102" s="30">
        <v>42517.699861111112</v>
      </c>
      <c r="J102" s="60">
        <v>0</v>
      </c>
      <c r="K102" s="60" t="str">
        <f>IF(ISEVEN(B102),(B102-1)&amp;"/"&amp;B102,B102&amp;"/"&amp;(B102+1))</f>
        <v>4017/4018</v>
      </c>
      <c r="L102" s="60" t="str">
        <f>VLOOKUP(A102,'Trips&amp;Operators'!$C$1:$E$9999,3,FALSE)</f>
        <v>STEWART</v>
      </c>
      <c r="M102" s="12">
        <f>I102-F102</f>
        <v>2.5462962948950008E-3</v>
      </c>
      <c r="N102" s="13"/>
      <c r="O102" s="13"/>
      <c r="P102" s="13"/>
      <c r="Q102" s="61"/>
      <c r="R102" s="61"/>
      <c r="S102" s="94">
        <f t="shared" si="27"/>
        <v>0</v>
      </c>
      <c r="T102" s="2" t="str">
        <f t="shared" si="28"/>
        <v>Southbound</v>
      </c>
      <c r="U102" s="67">
        <f>COUNTIFS([3]Variables!$M$2:$M$19,IF(T102="NorthBound","&gt;=","&lt;=")&amp;Z102,[3]Variables!$M$2:$M$19,IF(T102="NorthBound","&lt;=","&gt;=")&amp;AA102)</f>
        <v>0</v>
      </c>
      <c r="W102" s="73" t="str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https://search-rtdc-monitor-bjffxe2xuh6vdkpspy63sjmuny.us-east-1.es.amazonaws.com/_plugin/kibana/#/discover/Steve-Slow-Train-Analysis-(2080s-and-2083s)?_g=(refreshInterval:(display:Off,section:0,value:0),time:(from:'2016-05-27 16:41:55-0600',mode:absolute,to:'2016-05-27 16:48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02" s="73" t="str">
        <f>IF(AB102&lt;23,"Y","N")</f>
        <v>Y</v>
      </c>
      <c r="Y102" s="73">
        <f>VALUE(LEFT(A102,3))-VALUE(LEFT(A103,3))</f>
        <v>0</v>
      </c>
      <c r="Z102" s="73">
        <f>RIGHT(D102,LEN(D102)-4)/10000</f>
        <v>23.299600000000002</v>
      </c>
      <c r="AA102" s="73">
        <f>RIGHT(H102,LEN(H102)-4)/10000</f>
        <v>22.823899999999998</v>
      </c>
      <c r="AB102" s="73">
        <f>ABS(AA102-Z102)</f>
        <v>0.47570000000000334</v>
      </c>
      <c r="AC102" s="74" t="e">
        <f>VLOOKUP(A102,Enforcements!$C$3:$J$69,8,0)</f>
        <v>#N/A</v>
      </c>
      <c r="AD102" s="74" t="e">
        <f>VLOOKUP(A102,Enforcements!$C$3:$J$69,3,0)</f>
        <v>#N/A</v>
      </c>
    </row>
    <row r="103" spans="1:30" s="2" customFormat="1" x14ac:dyDescent="0.25">
      <c r="A103" s="60" t="s">
        <v>373</v>
      </c>
      <c r="B103" s="60">
        <v>4017</v>
      </c>
      <c r="C103" s="60" t="s">
        <v>62</v>
      </c>
      <c r="D103" s="60" t="s">
        <v>374</v>
      </c>
      <c r="E103" s="30">
        <v>42517.706053240741</v>
      </c>
      <c r="F103" s="30">
        <v>42517.706712962965</v>
      </c>
      <c r="G103" s="38">
        <v>0</v>
      </c>
      <c r="H103" s="30" t="s">
        <v>110</v>
      </c>
      <c r="I103" s="30">
        <v>42517.728900462964</v>
      </c>
      <c r="J103" s="60">
        <v>0</v>
      </c>
      <c r="K103" s="60" t="str">
        <f t="shared" si="33"/>
        <v>4017/4018</v>
      </c>
      <c r="L103" s="60" t="str">
        <f>VLOOKUP(A103,'Trips&amp;Operators'!$C$1:$E$9999,3,FALSE)</f>
        <v>STEWART</v>
      </c>
      <c r="M103" s="12">
        <f t="shared" si="34"/>
        <v>2.2187499998835847E-2</v>
      </c>
      <c r="N103" s="13"/>
      <c r="O103" s="13"/>
      <c r="P103" s="13">
        <f>24*60*SUM($M102:$M103)</f>
        <v>35.61666666297242</v>
      </c>
      <c r="Q103" s="61"/>
      <c r="R103" s="61" t="s">
        <v>443</v>
      </c>
      <c r="S103" s="94">
        <f t="shared" si="27"/>
        <v>1</v>
      </c>
      <c r="T103" s="2" t="str">
        <f t="shared" si="28"/>
        <v>Southbound</v>
      </c>
      <c r="U103" s="67">
        <f>COUNTIFS([3]Variables!$M$2:$M$19,IF(T103="NorthBound","&gt;=","&lt;=")&amp;Z103,[3]Variables!$M$2:$M$19,IF(T103="NorthBound","&lt;=","&gt;=")&amp;AA103)</f>
        <v>12</v>
      </c>
      <c r="W10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16:55:43-0600',mode:absolute,to:'2016-05-27 17:30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03" s="73" t="str">
        <f t="shared" si="36"/>
        <v>Y</v>
      </c>
      <c r="Y103" s="73">
        <f>VALUE(LEFT(A103,3))-VALUE(LEFT(A101,3))</f>
        <v>1</v>
      </c>
      <c r="Z103" s="73">
        <f t="shared" si="37"/>
        <v>15.399699999999999</v>
      </c>
      <c r="AA103" s="73">
        <f t="shared" si="30"/>
        <v>1.6500000000000001E-2</v>
      </c>
      <c r="AB103" s="73">
        <f t="shared" si="38"/>
        <v>15.383199999999999</v>
      </c>
      <c r="AC103" s="74" t="e">
        <f>VLOOKUP(A103,Enforcements!$C$3:$J$69,8,0)</f>
        <v>#N/A</v>
      </c>
      <c r="AD103" s="74" t="e">
        <f>VLOOKUP(A103,Enforcements!$C$3:$J$69,3,0)</f>
        <v>#N/A</v>
      </c>
    </row>
    <row r="104" spans="1:30" s="2" customFormat="1" x14ac:dyDescent="0.25">
      <c r="A104" s="60" t="s">
        <v>376</v>
      </c>
      <c r="B104" s="60">
        <v>4040</v>
      </c>
      <c r="C104" s="60" t="s">
        <v>62</v>
      </c>
      <c r="D104" s="60" t="s">
        <v>236</v>
      </c>
      <c r="E104" s="30">
        <v>42517.664895833332</v>
      </c>
      <c r="F104" s="30">
        <v>42517.666261574072</v>
      </c>
      <c r="G104" s="38">
        <v>1</v>
      </c>
      <c r="H104" s="30" t="s">
        <v>253</v>
      </c>
      <c r="I104" s="30">
        <v>42517.696122685185</v>
      </c>
      <c r="J104" s="60">
        <v>0</v>
      </c>
      <c r="K104" s="60" t="str">
        <f t="shared" si="33"/>
        <v>4039/4040</v>
      </c>
      <c r="L104" s="60" t="str">
        <f>VLOOKUP(A104,'Trips&amp;Operators'!$C$1:$E$9999,3,FALSE)</f>
        <v>ROCHA</v>
      </c>
      <c r="M104" s="12">
        <f t="shared" si="34"/>
        <v>2.9861111113859806E-2</v>
      </c>
      <c r="N104" s="13">
        <f t="shared" si="29"/>
        <v>43.000000003958121</v>
      </c>
      <c r="O104" s="13"/>
      <c r="P104" s="13"/>
      <c r="Q104" s="61"/>
      <c r="R104" s="61"/>
      <c r="S104" s="94">
        <f t="shared" si="27"/>
        <v>1</v>
      </c>
      <c r="T104" s="2" t="str">
        <f t="shared" si="28"/>
        <v>NorthBound</v>
      </c>
      <c r="U104" s="67">
        <f>COUNTIFS([3]Variables!$M$2:$M$19,IF(T104="NorthBound","&gt;=","&lt;=")&amp;Z104,[3]Variables!$M$2:$M$19,IF(T104="NorthBound","&lt;=","&gt;=")&amp;AA104)</f>
        <v>12</v>
      </c>
      <c r="W10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15:56:27-0600',mode:absolute,to:'2016-05-27 16:43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4" s="73" t="str">
        <f t="shared" si="36"/>
        <v>N</v>
      </c>
      <c r="Y104" s="73">
        <f>VALUE(LEFT(A104,3))-VALUE(LEFT(A102,3))</f>
        <v>1</v>
      </c>
      <c r="Z104" s="73">
        <f t="shared" si="37"/>
        <v>4.3700000000000003E-2</v>
      </c>
      <c r="AA104" s="73">
        <f t="shared" si="30"/>
        <v>23.3278</v>
      </c>
      <c r="AB104" s="73">
        <f t="shared" si="38"/>
        <v>23.284099999999999</v>
      </c>
      <c r="AC104" s="74" t="e">
        <f>VLOOKUP(A104,Enforcements!$C$3:$J$69,8,0)</f>
        <v>#N/A</v>
      </c>
      <c r="AD104" s="74" t="e">
        <f>VLOOKUP(A104,Enforcements!$C$3:$J$69,3,0)</f>
        <v>#N/A</v>
      </c>
    </row>
    <row r="105" spans="1:30" s="2" customFormat="1" x14ac:dyDescent="0.25">
      <c r="A105" s="60" t="s">
        <v>377</v>
      </c>
      <c r="B105" s="60">
        <v>4039</v>
      </c>
      <c r="C105" s="60" t="s">
        <v>62</v>
      </c>
      <c r="D105" s="60" t="s">
        <v>99</v>
      </c>
      <c r="E105" s="30">
        <v>42517.704826388886</v>
      </c>
      <c r="F105" s="30">
        <v>42517.705775462964</v>
      </c>
      <c r="G105" s="38">
        <v>1</v>
      </c>
      <c r="H105" s="30" t="s">
        <v>80</v>
      </c>
      <c r="I105" s="30">
        <v>42517.735833333332</v>
      </c>
      <c r="J105" s="60">
        <v>1</v>
      </c>
      <c r="K105" s="60" t="str">
        <f t="shared" si="33"/>
        <v>4039/4040</v>
      </c>
      <c r="L105" s="60" t="str">
        <f>VLOOKUP(A105,'Trips&amp;Operators'!$C$1:$E$9999,3,FALSE)</f>
        <v>ROCHA</v>
      </c>
      <c r="M105" s="12">
        <f t="shared" si="34"/>
        <v>3.0057870368182193E-2</v>
      </c>
      <c r="N105" s="13">
        <f t="shared" si="29"/>
        <v>43.283333330182359</v>
      </c>
      <c r="O105" s="13"/>
      <c r="P105" s="13"/>
      <c r="Q105" s="61"/>
      <c r="R105" s="61"/>
      <c r="S105" s="94">
        <f t="shared" si="27"/>
        <v>1</v>
      </c>
      <c r="T105" s="2" t="str">
        <f t="shared" si="28"/>
        <v>Southbound</v>
      </c>
      <c r="U105" s="67">
        <f>COUNTIFS([3]Variables!$M$2:$M$19,IF(T105="NorthBound","&gt;=","&lt;=")&amp;Z105,[3]Variables!$M$2:$M$19,IF(T105="NorthBound","&lt;=","&gt;=")&amp;AA105)</f>
        <v>12</v>
      </c>
      <c r="W10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16:53:57-0600',mode:absolute,to:'2016-05-27 17:40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5" s="73" t="str">
        <f t="shared" si="36"/>
        <v>N</v>
      </c>
      <c r="Y105" s="73">
        <f t="shared" si="32"/>
        <v>1</v>
      </c>
      <c r="Z105" s="73">
        <f t="shared" si="37"/>
        <v>23.297699999999999</v>
      </c>
      <c r="AA105" s="73">
        <f t="shared" si="30"/>
        <v>1.47E-2</v>
      </c>
      <c r="AB105" s="73">
        <f t="shared" si="38"/>
        <v>23.282999999999998</v>
      </c>
      <c r="AC105" s="74">
        <f>VLOOKUP(A105,Enforcements!$C$3:$J$69,8,0)</f>
        <v>5457</v>
      </c>
      <c r="AD105" s="74" t="str">
        <f>VLOOKUP(A105,Enforcements!$C$3:$J$69,3,0)</f>
        <v>PERMANENT SPEED RESTRICTION</v>
      </c>
    </row>
    <row r="106" spans="1:30" s="2" customFormat="1" x14ac:dyDescent="0.25">
      <c r="A106" s="60" t="s">
        <v>378</v>
      </c>
      <c r="B106" s="60">
        <v>4038</v>
      </c>
      <c r="C106" s="60" t="s">
        <v>62</v>
      </c>
      <c r="D106" s="60" t="s">
        <v>143</v>
      </c>
      <c r="E106" s="30">
        <v>42517.676215277781</v>
      </c>
      <c r="F106" s="30">
        <v>42517.677233796298</v>
      </c>
      <c r="G106" s="38">
        <v>1</v>
      </c>
      <c r="H106" s="30" t="s">
        <v>220</v>
      </c>
      <c r="I106" s="30">
        <v>42517.705266203702</v>
      </c>
      <c r="J106" s="60">
        <v>0</v>
      </c>
      <c r="K106" s="60" t="str">
        <f t="shared" si="33"/>
        <v>4037/4038</v>
      </c>
      <c r="L106" s="60" t="str">
        <f>VLOOKUP(A106,'Trips&amp;Operators'!$C$1:$E$9999,3,FALSE)</f>
        <v>WEBSTER</v>
      </c>
      <c r="M106" s="12">
        <f t="shared" si="34"/>
        <v>2.8032407404680271E-2</v>
      </c>
      <c r="N106" s="13">
        <f t="shared" si="29"/>
        <v>40.36666666273959</v>
      </c>
      <c r="O106" s="13"/>
      <c r="P106" s="13"/>
      <c r="Q106" s="61"/>
      <c r="R106" s="61"/>
      <c r="S106" s="94">
        <f t="shared" si="27"/>
        <v>1</v>
      </c>
      <c r="T106" s="2" t="str">
        <f t="shared" si="28"/>
        <v>NorthBound</v>
      </c>
      <c r="U106" s="67">
        <f>COUNTIFS([3]Variables!$M$2:$M$19,IF(T106="NorthBound","&gt;=","&lt;=")&amp;Z106,[3]Variables!$M$2:$M$19,IF(T106="NorthBound","&lt;=","&gt;=")&amp;AA106)</f>
        <v>12</v>
      </c>
      <c r="W10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16:12:45-0600',mode:absolute,to:'2016-05-27 16:56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06" s="73" t="str">
        <f t="shared" si="36"/>
        <v>N</v>
      </c>
      <c r="Y106" s="73">
        <f t="shared" si="32"/>
        <v>1</v>
      </c>
      <c r="Z106" s="73">
        <f t="shared" si="37"/>
        <v>4.4200000000000003E-2</v>
      </c>
      <c r="AA106" s="73">
        <f t="shared" si="30"/>
        <v>23.332100000000001</v>
      </c>
      <c r="AB106" s="73">
        <f t="shared" si="38"/>
        <v>23.2879</v>
      </c>
      <c r="AC106" s="74" t="e">
        <f>VLOOKUP(A106,Enforcements!$C$3:$J$69,8,0)</f>
        <v>#N/A</v>
      </c>
      <c r="AD106" s="74" t="e">
        <f>VLOOKUP(A106,Enforcements!$C$3:$J$69,3,0)</f>
        <v>#N/A</v>
      </c>
    </row>
    <row r="107" spans="1:30" s="2" customFormat="1" x14ac:dyDescent="0.25">
      <c r="A107" s="60" t="s">
        <v>379</v>
      </c>
      <c r="B107" s="60">
        <v>4037</v>
      </c>
      <c r="C107" s="60" t="s">
        <v>62</v>
      </c>
      <c r="D107" s="60" t="s">
        <v>112</v>
      </c>
      <c r="E107" s="30">
        <v>42517.712141203701</v>
      </c>
      <c r="F107" s="30">
        <v>42517.713240740741</v>
      </c>
      <c r="G107" s="38">
        <v>1</v>
      </c>
      <c r="H107" s="30" t="s">
        <v>102</v>
      </c>
      <c r="I107" s="30">
        <v>42517.745532407411</v>
      </c>
      <c r="J107" s="60">
        <v>0</v>
      </c>
      <c r="K107" s="60" t="str">
        <f t="shared" si="33"/>
        <v>4037/4038</v>
      </c>
      <c r="L107" s="60" t="str">
        <f>VLOOKUP(A107,'Trips&amp;Operators'!$C$1:$E$9999,3,FALSE)</f>
        <v>WEBSTER</v>
      </c>
      <c r="M107" s="12">
        <f t="shared" si="34"/>
        <v>3.2291666670062114E-2</v>
      </c>
      <c r="N107" s="13">
        <f t="shared" si="29"/>
        <v>46.500000004889444</v>
      </c>
      <c r="O107" s="13"/>
      <c r="P107" s="13"/>
      <c r="Q107" s="61"/>
      <c r="R107" s="61"/>
      <c r="S107" s="94">
        <f t="shared" si="27"/>
        <v>1</v>
      </c>
      <c r="T107" s="2" t="str">
        <f t="shared" si="28"/>
        <v>Southbound</v>
      </c>
      <c r="U107" s="67">
        <f>COUNTIFS([3]Variables!$M$2:$M$19,IF(T107="NorthBound","&gt;=","&lt;=")&amp;Z107,[3]Variables!$M$2:$M$19,IF(T107="NorthBound","&lt;=","&gt;=")&amp;AA107)</f>
        <v>12</v>
      </c>
      <c r="W10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17:04:29-0600',mode:absolute,to:'2016-05-27 17:54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07" s="73" t="str">
        <f t="shared" si="36"/>
        <v>N</v>
      </c>
      <c r="Y107" s="73">
        <f t="shared" si="32"/>
        <v>1</v>
      </c>
      <c r="Z107" s="73">
        <f t="shared" si="37"/>
        <v>23.299099999999999</v>
      </c>
      <c r="AA107" s="73">
        <f t="shared" si="30"/>
        <v>1.43E-2</v>
      </c>
      <c r="AB107" s="73">
        <f t="shared" si="38"/>
        <v>23.284800000000001</v>
      </c>
      <c r="AC107" s="74" t="e">
        <f>VLOOKUP(A107,Enforcements!$C$3:$J$69,8,0)</f>
        <v>#N/A</v>
      </c>
      <c r="AD107" s="74" t="e">
        <f>VLOOKUP(A107,Enforcements!$C$3:$J$69,3,0)</f>
        <v>#N/A</v>
      </c>
    </row>
    <row r="108" spans="1:30" s="2" customFormat="1" x14ac:dyDescent="0.25">
      <c r="A108" s="60" t="s">
        <v>380</v>
      </c>
      <c r="B108" s="60">
        <v>4029</v>
      </c>
      <c r="C108" s="60" t="s">
        <v>62</v>
      </c>
      <c r="D108" s="60" t="s">
        <v>381</v>
      </c>
      <c r="E108" s="30">
        <v>42517.688310185185</v>
      </c>
      <c r="F108" s="30">
        <v>42517.689328703702</v>
      </c>
      <c r="G108" s="38">
        <v>1</v>
      </c>
      <c r="H108" s="30" t="s">
        <v>113</v>
      </c>
      <c r="I108" s="30">
        <v>42517.717152777775</v>
      </c>
      <c r="J108" s="60">
        <v>1</v>
      </c>
      <c r="K108" s="60" t="str">
        <f t="shared" si="33"/>
        <v>4029/4030</v>
      </c>
      <c r="L108" s="60" t="str">
        <f>VLOOKUP(A108,'Trips&amp;Operators'!$C$1:$E$9999,3,FALSE)</f>
        <v>SPECTOR</v>
      </c>
      <c r="M108" s="12">
        <f t="shared" si="34"/>
        <v>2.7824074073578231E-2</v>
      </c>
      <c r="N108" s="13">
        <f t="shared" si="29"/>
        <v>40.066666665952653</v>
      </c>
      <c r="O108" s="13"/>
      <c r="P108" s="13"/>
      <c r="Q108" s="61"/>
      <c r="R108" s="61"/>
      <c r="S108" s="94">
        <f t="shared" si="27"/>
        <v>1</v>
      </c>
      <c r="T108" s="2" t="str">
        <f t="shared" si="28"/>
        <v>NorthBound</v>
      </c>
      <c r="U108" s="67">
        <f>COUNTIFS([3]Variables!$M$2:$M$19,IF(T108="NorthBound","&gt;=","&lt;=")&amp;Z108,[3]Variables!$M$2:$M$19,IF(T108="NorthBound","&lt;=","&gt;=")&amp;AA108)</f>
        <v>12</v>
      </c>
      <c r="W10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16:30:10-0600',mode:absolute,to:'2016-05-27 17:13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08" s="73" t="str">
        <f t="shared" si="36"/>
        <v>N</v>
      </c>
      <c r="Y108" s="73">
        <f t="shared" si="32"/>
        <v>1</v>
      </c>
      <c r="Z108" s="73">
        <f t="shared" si="37"/>
        <v>4.24E-2</v>
      </c>
      <c r="AA108" s="73">
        <f t="shared" si="30"/>
        <v>23.3</v>
      </c>
      <c r="AB108" s="73">
        <f t="shared" si="38"/>
        <v>23.2576</v>
      </c>
      <c r="AC108" s="74">
        <f>VLOOKUP(A108,Enforcements!$C$3:$J$69,8,0)</f>
        <v>233491</v>
      </c>
      <c r="AD108" s="74" t="str">
        <f>VLOOKUP(A108,Enforcements!$C$3:$J$69,3,0)</f>
        <v>TRACK WARRANT AUTHORITY</v>
      </c>
    </row>
    <row r="109" spans="1:30" s="2" customFormat="1" x14ac:dyDescent="0.25">
      <c r="A109" s="60" t="s">
        <v>382</v>
      </c>
      <c r="B109" s="60">
        <v>4030</v>
      </c>
      <c r="C109" s="60" t="s">
        <v>62</v>
      </c>
      <c r="D109" s="60" t="s">
        <v>383</v>
      </c>
      <c r="E109" s="30">
        <v>42517.728148148148</v>
      </c>
      <c r="F109" s="30">
        <v>42517.729409722226</v>
      </c>
      <c r="G109" s="38">
        <v>1</v>
      </c>
      <c r="H109" s="30" t="s">
        <v>90</v>
      </c>
      <c r="I109" s="30">
        <v>42517.7580787037</v>
      </c>
      <c r="J109" s="60">
        <v>0</v>
      </c>
      <c r="K109" s="60" t="str">
        <f t="shared" si="33"/>
        <v>4029/4030</v>
      </c>
      <c r="L109" s="60" t="str">
        <f>VLOOKUP(A109,'Trips&amp;Operators'!$C$1:$E$9999,3,FALSE)</f>
        <v>SPECTOR</v>
      </c>
      <c r="M109" s="12">
        <f t="shared" si="34"/>
        <v>2.8668981474766042E-2</v>
      </c>
      <c r="N109" s="13">
        <f t="shared" si="29"/>
        <v>41.283333323663101</v>
      </c>
      <c r="O109" s="13"/>
      <c r="P109" s="13"/>
      <c r="Q109" s="61"/>
      <c r="R109" s="61"/>
      <c r="S109" s="94">
        <f t="shared" si="27"/>
        <v>1</v>
      </c>
      <c r="T109" s="2" t="str">
        <f t="shared" si="28"/>
        <v>Southbound</v>
      </c>
      <c r="U109" s="67">
        <f>COUNTIFS([3]Variables!$M$2:$M$19,IF(T109="NorthBound","&gt;=","&lt;=")&amp;Z109,[3]Variables!$M$2:$M$19,IF(T109="NorthBound","&lt;=","&gt;=")&amp;AA109)</f>
        <v>12</v>
      </c>
      <c r="W10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17:27:32-0600',mode:absolute,to:'2016-05-27 18:12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9" s="73" t="str">
        <f t="shared" si="36"/>
        <v>N</v>
      </c>
      <c r="Y109" s="73">
        <f t="shared" si="32"/>
        <v>1</v>
      </c>
      <c r="Z109" s="73">
        <f t="shared" si="37"/>
        <v>23.284199999999998</v>
      </c>
      <c r="AA109" s="73">
        <f t="shared" ref="AA109:AA136" si="39">RIGHT(H109,LEN(H109)-4)/10000</f>
        <v>1.6E-2</v>
      </c>
      <c r="AB109" s="73">
        <f t="shared" si="38"/>
        <v>23.2682</v>
      </c>
      <c r="AC109" s="74" t="e">
        <f>VLOOKUP(A109,Enforcements!$C$3:$J$69,8,0)</f>
        <v>#N/A</v>
      </c>
      <c r="AD109" s="74" t="e">
        <f>VLOOKUP(A109,Enforcements!$C$3:$J$69,3,0)</f>
        <v>#N/A</v>
      </c>
    </row>
    <row r="110" spans="1:30" s="2" customFormat="1" x14ac:dyDescent="0.25">
      <c r="A110" s="60" t="s">
        <v>384</v>
      </c>
      <c r="B110" s="60">
        <v>4016</v>
      </c>
      <c r="C110" s="60" t="s">
        <v>62</v>
      </c>
      <c r="D110" s="60" t="s">
        <v>385</v>
      </c>
      <c r="E110" s="30">
        <v>42517.695115740738</v>
      </c>
      <c r="F110" s="30">
        <v>42517.696458333332</v>
      </c>
      <c r="G110" s="38">
        <v>1</v>
      </c>
      <c r="H110" s="30" t="s">
        <v>386</v>
      </c>
      <c r="I110" s="30">
        <v>42517.72583333333</v>
      </c>
      <c r="J110" s="60">
        <v>0</v>
      </c>
      <c r="K110" s="60" t="str">
        <f t="shared" si="33"/>
        <v>4015/4016</v>
      </c>
      <c r="L110" s="60" t="str">
        <f>VLOOKUP(A110,'Trips&amp;Operators'!$C$1:$E$9999,3,FALSE)</f>
        <v>LOZA</v>
      </c>
      <c r="M110" s="12">
        <f t="shared" si="34"/>
        <v>2.937499999825377E-2</v>
      </c>
      <c r="N110" s="13">
        <f t="shared" si="29"/>
        <v>42.299999997485429</v>
      </c>
      <c r="O110" s="13"/>
      <c r="P110" s="13"/>
      <c r="Q110" s="61"/>
      <c r="R110" s="61"/>
      <c r="S110" s="94">
        <f t="shared" si="27"/>
        <v>1</v>
      </c>
      <c r="T110" s="2" t="str">
        <f t="shared" si="28"/>
        <v>NorthBound</v>
      </c>
      <c r="U110" s="67">
        <f>COUNTIFS([3]Variables!$M$2:$M$19,IF(T110="NorthBound","&gt;=","&lt;=")&amp;Z110,[3]Variables!$M$2:$M$19,IF(T110="NorthBound","&lt;=","&gt;=")&amp;AA110)</f>
        <v>12</v>
      </c>
      <c r="W11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16:39:58-0600',mode:absolute,to:'2016-05-27 17:26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0" s="73" t="str">
        <f t="shared" si="36"/>
        <v>N</v>
      </c>
      <c r="Y110" s="73">
        <f t="shared" si="32"/>
        <v>1</v>
      </c>
      <c r="Z110" s="73">
        <f t="shared" si="37"/>
        <v>4.0899999999999999E-2</v>
      </c>
      <c r="AA110" s="73">
        <f t="shared" si="39"/>
        <v>23.3383</v>
      </c>
      <c r="AB110" s="73">
        <f t="shared" si="38"/>
        <v>23.2974</v>
      </c>
      <c r="AC110" s="74" t="e">
        <f>VLOOKUP(A110,Enforcements!$C$3:$J$69,8,0)</f>
        <v>#N/A</v>
      </c>
      <c r="AD110" s="74" t="e">
        <f>VLOOKUP(A110,Enforcements!$C$3:$J$69,3,0)</f>
        <v>#N/A</v>
      </c>
    </row>
    <row r="111" spans="1:30" s="2" customFormat="1" x14ac:dyDescent="0.25">
      <c r="A111" s="60" t="s">
        <v>387</v>
      </c>
      <c r="B111" s="60">
        <v>4015</v>
      </c>
      <c r="C111" s="60" t="s">
        <v>62</v>
      </c>
      <c r="D111" s="60" t="s">
        <v>388</v>
      </c>
      <c r="E111" s="30">
        <v>42517.734618055554</v>
      </c>
      <c r="F111" s="30">
        <v>42517.73574074074</v>
      </c>
      <c r="G111" s="38">
        <v>1</v>
      </c>
      <c r="H111" s="30" t="s">
        <v>70</v>
      </c>
      <c r="I111" s="30">
        <v>42517.76903935185</v>
      </c>
      <c r="J111" s="60">
        <v>1</v>
      </c>
      <c r="K111" s="60" t="str">
        <f t="shared" si="33"/>
        <v>4015/4016</v>
      </c>
      <c r="L111" s="60" t="str">
        <f>VLOOKUP(A111,'Trips&amp;Operators'!$C$1:$E$9999,3,FALSE)</f>
        <v>LOZA</v>
      </c>
      <c r="M111" s="12">
        <f t="shared" si="34"/>
        <v>3.329861110978527E-2</v>
      </c>
      <c r="N111" s="13">
        <f t="shared" si="29"/>
        <v>47.949999998090789</v>
      </c>
      <c r="O111" s="13"/>
      <c r="P111" s="13"/>
      <c r="Q111" s="61"/>
      <c r="R111" s="61"/>
      <c r="S111" s="94">
        <f t="shared" si="27"/>
        <v>1</v>
      </c>
      <c r="T111" s="2" t="str">
        <f t="shared" si="28"/>
        <v>Southbound</v>
      </c>
      <c r="U111" s="67">
        <f>COUNTIFS([3]Variables!$M$2:$M$19,IF(T111="NorthBound","&gt;=","&lt;=")&amp;Z111,[3]Variables!$M$2:$M$19,IF(T111="NorthBound","&lt;=","&gt;=")&amp;AA111)</f>
        <v>12</v>
      </c>
      <c r="W11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17:36:51-0600',mode:absolute,to:'2016-05-27 18:28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11" s="73" t="str">
        <f t="shared" si="36"/>
        <v>N</v>
      </c>
      <c r="Y111" s="73">
        <f t="shared" si="32"/>
        <v>1</v>
      </c>
      <c r="Z111" s="73">
        <f t="shared" si="37"/>
        <v>23.307600000000001</v>
      </c>
      <c r="AA111" s="73">
        <f t="shared" si="39"/>
        <v>1.52E-2</v>
      </c>
      <c r="AB111" s="73">
        <f t="shared" si="38"/>
        <v>23.292400000000001</v>
      </c>
      <c r="AC111" s="74">
        <f>VLOOKUP(A111,Enforcements!$C$3:$J$69,8,0)</f>
        <v>191723</v>
      </c>
      <c r="AD111" s="74" t="str">
        <f>VLOOKUP(A111,Enforcements!$C$3:$J$69,3,0)</f>
        <v>SIGNAL</v>
      </c>
    </row>
    <row r="112" spans="1:30" s="2" customFormat="1" x14ac:dyDescent="0.25">
      <c r="A112" s="60" t="s">
        <v>389</v>
      </c>
      <c r="B112" s="60">
        <v>4031</v>
      </c>
      <c r="C112" s="60" t="s">
        <v>62</v>
      </c>
      <c r="D112" s="60" t="s">
        <v>217</v>
      </c>
      <c r="E112" s="30">
        <v>42517.704884259256</v>
      </c>
      <c r="F112" s="30">
        <v>42517.70584490741</v>
      </c>
      <c r="G112" s="38">
        <v>1</v>
      </c>
      <c r="H112" s="30" t="s">
        <v>390</v>
      </c>
      <c r="I112" s="30">
        <v>42517.716469907406</v>
      </c>
      <c r="J112" s="60">
        <v>0</v>
      </c>
      <c r="K112" s="60" t="str">
        <f t="shared" si="33"/>
        <v>4031/4032</v>
      </c>
      <c r="L112" s="60" t="str">
        <f>VLOOKUP(A112,'Trips&amp;Operators'!$C$1:$E$9999,3,FALSE)</f>
        <v>LOCKLEAR</v>
      </c>
      <c r="M112" s="12">
        <f t="shared" si="34"/>
        <v>1.0624999995343387E-2</v>
      </c>
      <c r="N112" s="13"/>
      <c r="O112" s="13"/>
      <c r="P112" s="13"/>
      <c r="Q112" s="61"/>
      <c r="R112" s="61"/>
      <c r="S112" s="94">
        <f t="shared" si="27"/>
        <v>0.41666666666666669</v>
      </c>
      <c r="T112" s="2" t="str">
        <f t="shared" si="28"/>
        <v>NorthBound</v>
      </c>
      <c r="U112" s="67">
        <f>COUNTIFS([3]Variables!$M$2:$M$19,IF(T112="NorthBound","&gt;=","&lt;=")&amp;Z112,[3]Variables!$M$2:$M$19,IF(T112="NorthBound","&lt;=","&gt;=")&amp;AA112)</f>
        <v>5</v>
      </c>
      <c r="W11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16:54:02-0600',mode:absolute,to:'2016-05-27 17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2" s="73" t="str">
        <f t="shared" si="36"/>
        <v>Y</v>
      </c>
      <c r="Y112" s="73">
        <f t="shared" si="32"/>
        <v>1</v>
      </c>
      <c r="Z112" s="73">
        <f t="shared" si="37"/>
        <v>4.53E-2</v>
      </c>
      <c r="AA112" s="73">
        <f t="shared" si="39"/>
        <v>5.2363999999999997</v>
      </c>
      <c r="AB112" s="73">
        <f t="shared" si="38"/>
        <v>5.1910999999999996</v>
      </c>
      <c r="AC112" s="74" t="e">
        <f>VLOOKUP(A112,Enforcements!$C$3:$J$69,8,0)</f>
        <v>#N/A</v>
      </c>
      <c r="AD112" s="74" t="e">
        <f>VLOOKUP(A112,Enforcements!$C$3:$J$69,3,0)</f>
        <v>#N/A</v>
      </c>
    </row>
    <row r="113" spans="1:30" s="2" customFormat="1" x14ac:dyDescent="0.25">
      <c r="A113" s="60" t="s">
        <v>389</v>
      </c>
      <c r="B113" s="60">
        <v>4031</v>
      </c>
      <c r="C113" s="60" t="s">
        <v>62</v>
      </c>
      <c r="D113" s="60" t="s">
        <v>391</v>
      </c>
      <c r="E113" s="30">
        <v>42517.718275462961</v>
      </c>
      <c r="F113" s="30">
        <v>42517.719189814816</v>
      </c>
      <c r="G113" s="38">
        <v>1</v>
      </c>
      <c r="H113" s="30" t="s">
        <v>392</v>
      </c>
      <c r="I113" s="30">
        <v>42517.719756944447</v>
      </c>
      <c r="J113" s="60">
        <v>0</v>
      </c>
      <c r="K113" s="60" t="str">
        <f t="shared" si="33"/>
        <v>4031/4032</v>
      </c>
      <c r="L113" s="60" t="str">
        <f>VLOOKUP(A113,'Trips&amp;Operators'!$C$1:$E$9999,3,FALSE)</f>
        <v>LOCKLEAR</v>
      </c>
      <c r="M113" s="12">
        <f t="shared" si="34"/>
        <v>5.671296312357299E-4</v>
      </c>
      <c r="N113" s="13"/>
      <c r="O113" s="13"/>
      <c r="P113" s="13">
        <f>24*60*SUM($M112:$M113)</f>
        <v>16.116666662273929</v>
      </c>
      <c r="Q113" s="61"/>
      <c r="R113" s="61" t="s">
        <v>434</v>
      </c>
      <c r="S113" s="94">
        <f t="shared" si="27"/>
        <v>0</v>
      </c>
      <c r="T113" s="2" t="str">
        <f t="shared" si="28"/>
        <v>NorthBound</v>
      </c>
      <c r="U113" s="67">
        <f>COUNTIFS([3]Variables!$M$2:$M$19,IF(T113="NorthBound","&gt;=","&lt;=")&amp;Z113,[3]Variables!$M$2:$M$19,IF(T113="NorthBound","&lt;=","&gt;=")&amp;AA113)</f>
        <v>0</v>
      </c>
      <c r="W11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17:13:19-0600',mode:absolute,to:'2016-05-27 17:17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3" s="73" t="str">
        <f t="shared" si="36"/>
        <v>Y</v>
      </c>
      <c r="Y113" s="73">
        <f t="shared" si="32"/>
        <v>0</v>
      </c>
      <c r="Z113" s="73">
        <f t="shared" si="37"/>
        <v>6.6089000000000002</v>
      </c>
      <c r="AA113" s="73">
        <f t="shared" si="39"/>
        <v>6.7356999999999996</v>
      </c>
      <c r="AB113" s="73">
        <f t="shared" si="38"/>
        <v>0.12679999999999936</v>
      </c>
      <c r="AC113" s="74" t="e">
        <f>VLOOKUP(A113,Enforcements!$C$3:$J$69,8,0)</f>
        <v>#N/A</v>
      </c>
      <c r="AD113" s="74" t="e">
        <f>VLOOKUP(A113,Enforcements!$C$3:$J$69,3,0)</f>
        <v>#N/A</v>
      </c>
    </row>
    <row r="114" spans="1:30" s="2" customFormat="1" x14ac:dyDescent="0.25">
      <c r="A114" s="60" t="s">
        <v>393</v>
      </c>
      <c r="B114" s="60">
        <v>4032</v>
      </c>
      <c r="C114" s="60" t="s">
        <v>62</v>
      </c>
      <c r="D114" s="60" t="s">
        <v>394</v>
      </c>
      <c r="E114" s="30">
        <v>42517.744641203702</v>
      </c>
      <c r="F114" s="30">
        <v>42517.745416666665</v>
      </c>
      <c r="G114" s="38">
        <v>1</v>
      </c>
      <c r="H114" s="30" t="s">
        <v>116</v>
      </c>
      <c r="I114" s="30">
        <v>42517.778460648151</v>
      </c>
      <c r="J114" s="60">
        <v>0</v>
      </c>
      <c r="K114" s="60" t="str">
        <f t="shared" si="33"/>
        <v>4031/4032</v>
      </c>
      <c r="L114" s="60" t="str">
        <f>VLOOKUP(A114,'Trips&amp;Operators'!$C$1:$E$9999,3,FALSE)</f>
        <v>LOCKLEAR</v>
      </c>
      <c r="M114" s="12">
        <f t="shared" si="34"/>
        <v>3.3043981486116536E-2</v>
      </c>
      <c r="N114" s="13">
        <f t="shared" si="29"/>
        <v>47.583333340007812</v>
      </c>
      <c r="O114" s="13"/>
      <c r="P114" s="13"/>
      <c r="Q114" s="61"/>
      <c r="R114" s="61"/>
      <c r="S114" s="94">
        <f t="shared" si="27"/>
        <v>1</v>
      </c>
      <c r="T114" s="2" t="str">
        <f t="shared" si="28"/>
        <v>Southbound</v>
      </c>
      <c r="U114" s="67">
        <f>COUNTIFS([3]Variables!$M$2:$M$19,IF(T114="NorthBound","&gt;=","&lt;=")&amp;Z114,[3]Variables!$M$2:$M$19,IF(T114="NorthBound","&lt;=","&gt;=")&amp;AA114)</f>
        <v>12</v>
      </c>
      <c r="W11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17:51:17-0600',mode:absolute,to:'2016-05-27 18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4" s="73" t="str">
        <f t="shared" si="36"/>
        <v>N</v>
      </c>
      <c r="Y114" s="73">
        <f t="shared" si="32"/>
        <v>1</v>
      </c>
      <c r="Z114" s="73">
        <f t="shared" si="37"/>
        <v>23.3126</v>
      </c>
      <c r="AA114" s="73">
        <f t="shared" si="39"/>
        <v>1.3899999999999999E-2</v>
      </c>
      <c r="AB114" s="73">
        <f t="shared" si="38"/>
        <v>23.2987</v>
      </c>
      <c r="AC114" s="74" t="e">
        <f>VLOOKUP(A114,Enforcements!$C$3:$J$69,8,0)</f>
        <v>#N/A</v>
      </c>
      <c r="AD114" s="74" t="e">
        <f>VLOOKUP(A114,Enforcements!$C$3:$J$69,3,0)</f>
        <v>#N/A</v>
      </c>
    </row>
    <row r="115" spans="1:30" s="2" customFormat="1" x14ac:dyDescent="0.25">
      <c r="A115" s="60" t="s">
        <v>395</v>
      </c>
      <c r="B115" s="60">
        <v>4044</v>
      </c>
      <c r="C115" s="60" t="s">
        <v>62</v>
      </c>
      <c r="D115" s="60" t="s">
        <v>101</v>
      </c>
      <c r="E115" s="30">
        <v>42517.718101851853</v>
      </c>
      <c r="F115" s="30">
        <v>42517.719178240739</v>
      </c>
      <c r="G115" s="38">
        <v>1</v>
      </c>
      <c r="H115" s="30" t="s">
        <v>396</v>
      </c>
      <c r="I115" s="30">
        <v>42517.745150462964</v>
      </c>
      <c r="J115" s="60">
        <v>0</v>
      </c>
      <c r="K115" s="60" t="str">
        <f t="shared" si="33"/>
        <v>4043/4044</v>
      </c>
      <c r="L115" s="60" t="str">
        <f>VLOOKUP(A115,'Trips&amp;Operators'!$C$1:$E$9999,3,FALSE)</f>
        <v>GOODNIGHT</v>
      </c>
      <c r="M115" s="12">
        <f t="shared" si="34"/>
        <v>2.5972222225391306E-2</v>
      </c>
      <c r="N115" s="13">
        <f t="shared" si="29"/>
        <v>37.400000004563481</v>
      </c>
      <c r="O115" s="13"/>
      <c r="P115" s="13"/>
      <c r="Q115" s="61"/>
      <c r="R115" s="61"/>
      <c r="S115" s="94">
        <f t="shared" si="27"/>
        <v>1</v>
      </c>
      <c r="T115" s="2" t="str">
        <f t="shared" si="28"/>
        <v>NorthBound</v>
      </c>
      <c r="U115" s="67">
        <f>COUNTIFS([3]Variables!$M$2:$M$19,IF(T115="NorthBound","&gt;=","&lt;=")&amp;Z115,[3]Variables!$M$2:$M$19,IF(T115="NorthBound","&lt;=","&gt;=")&amp;AA115)</f>
        <v>12</v>
      </c>
      <c r="W11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17:13:04-0600',mode:absolute,to:'2016-05-27 17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5" s="73" t="str">
        <f t="shared" si="36"/>
        <v>N</v>
      </c>
      <c r="Y115" s="73">
        <f t="shared" si="32"/>
        <v>1</v>
      </c>
      <c r="Z115" s="73">
        <f t="shared" si="37"/>
        <v>4.6600000000000003E-2</v>
      </c>
      <c r="AA115" s="73">
        <f t="shared" si="39"/>
        <v>23.338000000000001</v>
      </c>
      <c r="AB115" s="73">
        <f t="shared" si="38"/>
        <v>23.291399999999999</v>
      </c>
      <c r="AC115" s="74" t="e">
        <f>VLOOKUP(A115,Enforcements!$C$3:$J$69,8,0)</f>
        <v>#N/A</v>
      </c>
      <c r="AD115" s="74" t="e">
        <f>VLOOKUP(A115,Enforcements!$C$3:$J$69,3,0)</f>
        <v>#N/A</v>
      </c>
    </row>
    <row r="116" spans="1:30" s="2" customFormat="1" x14ac:dyDescent="0.25">
      <c r="A116" s="60" t="s">
        <v>397</v>
      </c>
      <c r="B116" s="60">
        <v>4043</v>
      </c>
      <c r="C116" s="60" t="s">
        <v>62</v>
      </c>
      <c r="D116" s="60" t="s">
        <v>398</v>
      </c>
      <c r="E116" s="30">
        <v>42517.753055555557</v>
      </c>
      <c r="F116" s="30">
        <v>42517.754131944443</v>
      </c>
      <c r="G116" s="38">
        <v>1</v>
      </c>
      <c r="H116" s="30" t="s">
        <v>65</v>
      </c>
      <c r="I116" s="30">
        <v>42517.784861111111</v>
      </c>
      <c r="J116" s="60">
        <v>0</v>
      </c>
      <c r="K116" s="60" t="str">
        <f t="shared" si="33"/>
        <v>4043/4044</v>
      </c>
      <c r="L116" s="60" t="str">
        <f>VLOOKUP(A116,'Trips&amp;Operators'!$C$1:$E$9999,3,FALSE)</f>
        <v>GOODNIGHT</v>
      </c>
      <c r="M116" s="12">
        <f t="shared" si="34"/>
        <v>3.0729166668606922E-2</v>
      </c>
      <c r="N116" s="13">
        <f t="shared" si="29"/>
        <v>44.250000002793968</v>
      </c>
      <c r="O116" s="13"/>
      <c r="P116" s="13"/>
      <c r="Q116" s="61"/>
      <c r="R116" s="61"/>
      <c r="S116" s="94">
        <f t="shared" si="27"/>
        <v>1</v>
      </c>
      <c r="T116" s="2" t="str">
        <f t="shared" si="28"/>
        <v>Southbound</v>
      </c>
      <c r="U116" s="67">
        <f>COUNTIFS([3]Variables!$M$2:$M$19,IF(T116="NorthBound","&gt;=","&lt;=")&amp;Z116,[3]Variables!$M$2:$M$19,IF(T116="NorthBound","&lt;=","&gt;=")&amp;AA116)</f>
        <v>12</v>
      </c>
      <c r="W11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18:03:24-0600',mode:absolute,to:'2016-05-27 18:51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6" s="73" t="str">
        <f t="shared" si="36"/>
        <v>N</v>
      </c>
      <c r="Y116" s="73">
        <f t="shared" si="32"/>
        <v>1</v>
      </c>
      <c r="Z116" s="73">
        <f t="shared" si="37"/>
        <v>23.308900000000001</v>
      </c>
      <c r="AA116" s="73">
        <f t="shared" si="39"/>
        <v>1.4500000000000001E-2</v>
      </c>
      <c r="AB116" s="73">
        <f t="shared" si="38"/>
        <v>23.2944</v>
      </c>
      <c r="AC116" s="74" t="e">
        <f>VLOOKUP(A116,Enforcements!$C$3:$J$69,8,0)</f>
        <v>#N/A</v>
      </c>
      <c r="AD116" s="74" t="e">
        <f>VLOOKUP(A116,Enforcements!$C$3:$J$69,3,0)</f>
        <v>#N/A</v>
      </c>
    </row>
    <row r="117" spans="1:30" s="2" customFormat="1" x14ac:dyDescent="0.25">
      <c r="A117" s="60" t="s">
        <v>399</v>
      </c>
      <c r="B117" s="60">
        <v>4018</v>
      </c>
      <c r="C117" s="60" t="s">
        <v>62</v>
      </c>
      <c r="D117" s="60" t="s">
        <v>68</v>
      </c>
      <c r="E117" s="30">
        <v>42517.730497685188</v>
      </c>
      <c r="F117" s="30">
        <v>42517.731770833336</v>
      </c>
      <c r="G117" s="38">
        <v>1</v>
      </c>
      <c r="H117" s="30" t="s">
        <v>272</v>
      </c>
      <c r="I117" s="30">
        <v>42517.758437500001</v>
      </c>
      <c r="J117" s="60">
        <v>0</v>
      </c>
      <c r="K117" s="60" t="str">
        <f t="shared" si="33"/>
        <v>4017/4018</v>
      </c>
      <c r="L117" s="60" t="str">
        <f>VLOOKUP(A117,'Trips&amp;Operators'!$C$1:$E$9999,3,FALSE)</f>
        <v>STEWART</v>
      </c>
      <c r="M117" s="12">
        <f t="shared" si="34"/>
        <v>2.6666666664823424E-2</v>
      </c>
      <c r="N117" s="13">
        <f t="shared" si="29"/>
        <v>38.399999997345731</v>
      </c>
      <c r="O117" s="13"/>
      <c r="P117" s="13"/>
      <c r="Q117" s="61"/>
      <c r="R117" s="61"/>
      <c r="S117" s="94">
        <f t="shared" si="27"/>
        <v>1</v>
      </c>
      <c r="T117" s="2" t="str">
        <f t="shared" si="28"/>
        <v>NorthBound</v>
      </c>
      <c r="U117" s="67">
        <f>COUNTIFS([3]Variables!$M$2:$M$19,IF(T117="NorthBound","&gt;=","&lt;=")&amp;Z117,[3]Variables!$M$2:$M$19,IF(T117="NorthBound","&lt;=","&gt;=")&amp;AA117)</f>
        <v>12</v>
      </c>
      <c r="W11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17:30:55-0600',mode:absolute,to:'2016-05-27 18:13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17" s="73" t="str">
        <f t="shared" si="36"/>
        <v>N</v>
      </c>
      <c r="Y117" s="73">
        <f t="shared" si="32"/>
        <v>1</v>
      </c>
      <c r="Z117" s="73">
        <f t="shared" si="37"/>
        <v>4.5499999999999999E-2</v>
      </c>
      <c r="AA117" s="73">
        <f t="shared" si="39"/>
        <v>23.329899999999999</v>
      </c>
      <c r="AB117" s="73">
        <f t="shared" si="38"/>
        <v>23.284399999999998</v>
      </c>
      <c r="AC117" s="74" t="e">
        <f>VLOOKUP(A117,Enforcements!$C$3:$J$69,8,0)</f>
        <v>#N/A</v>
      </c>
      <c r="AD117" s="74" t="e">
        <f>VLOOKUP(A117,Enforcements!$C$3:$J$69,3,0)</f>
        <v>#N/A</v>
      </c>
    </row>
    <row r="118" spans="1:30" s="2" customFormat="1" x14ac:dyDescent="0.25">
      <c r="A118" s="60" t="s">
        <v>400</v>
      </c>
      <c r="B118" s="60">
        <v>4017</v>
      </c>
      <c r="C118" s="60" t="s">
        <v>62</v>
      </c>
      <c r="D118" s="60" t="s">
        <v>99</v>
      </c>
      <c r="E118" s="30">
        <v>42517.763136574074</v>
      </c>
      <c r="F118" s="30">
        <v>42517.764618055553</v>
      </c>
      <c r="G118" s="38">
        <v>2</v>
      </c>
      <c r="H118" s="30" t="s">
        <v>81</v>
      </c>
      <c r="I118" s="30">
        <v>42517.79991898148</v>
      </c>
      <c r="J118" s="60">
        <v>0</v>
      </c>
      <c r="K118" s="60" t="str">
        <f t="shared" si="33"/>
        <v>4017/4018</v>
      </c>
      <c r="L118" s="60" t="str">
        <f>VLOOKUP(A118,'Trips&amp;Operators'!$C$1:$E$9999,3,FALSE)</f>
        <v>STEWART</v>
      </c>
      <c r="M118" s="12">
        <f t="shared" si="34"/>
        <v>3.5300925927003846E-2</v>
      </c>
      <c r="N118" s="13">
        <f t="shared" si="29"/>
        <v>50.833333334885538</v>
      </c>
      <c r="O118" s="13"/>
      <c r="P118" s="13"/>
      <c r="Q118" s="61"/>
      <c r="R118" s="61"/>
      <c r="S118" s="94">
        <f t="shared" si="27"/>
        <v>1</v>
      </c>
      <c r="T118" s="2" t="str">
        <f t="shared" si="28"/>
        <v>Southbound</v>
      </c>
      <c r="U118" s="67">
        <f>COUNTIFS([3]Variables!$M$2:$M$19,IF(T118="NorthBound","&gt;=","&lt;=")&amp;Z118,[3]Variables!$M$2:$M$19,IF(T118="NorthBound","&lt;=","&gt;=")&amp;AA118)</f>
        <v>12</v>
      </c>
      <c r="W11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18:17:55-0600',mode:absolute,to:'2016-05-27 19:12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18" s="73" t="str">
        <f t="shared" si="36"/>
        <v>N</v>
      </c>
      <c r="Y118" s="73">
        <f t="shared" si="32"/>
        <v>1</v>
      </c>
      <c r="Z118" s="73">
        <f t="shared" si="37"/>
        <v>23.297699999999999</v>
      </c>
      <c r="AA118" s="73">
        <f t="shared" si="39"/>
        <v>1.5800000000000002E-2</v>
      </c>
      <c r="AB118" s="73">
        <f t="shared" si="38"/>
        <v>23.2819</v>
      </c>
      <c r="AC118" s="74" t="e">
        <f>VLOOKUP(A118,Enforcements!$C$3:$J$69,8,0)</f>
        <v>#N/A</v>
      </c>
      <c r="AD118" s="74" t="e">
        <f>VLOOKUP(A118,Enforcements!$C$3:$J$69,3,0)</f>
        <v>#N/A</v>
      </c>
    </row>
    <row r="119" spans="1:30" s="2" customFormat="1" x14ac:dyDescent="0.25">
      <c r="A119" s="60" t="s">
        <v>401</v>
      </c>
      <c r="B119" s="60">
        <v>4040</v>
      </c>
      <c r="C119" s="60" t="s">
        <v>62</v>
      </c>
      <c r="D119" s="60" t="s">
        <v>101</v>
      </c>
      <c r="E119" s="30">
        <v>42517.738298611112</v>
      </c>
      <c r="F119" s="30">
        <v>42517.739629629628</v>
      </c>
      <c r="G119" s="38">
        <v>1</v>
      </c>
      <c r="H119" s="30" t="s">
        <v>402</v>
      </c>
      <c r="I119" s="30">
        <v>42517.772476851853</v>
      </c>
      <c r="J119" s="60">
        <v>2</v>
      </c>
      <c r="K119" s="60" t="str">
        <f t="shared" si="33"/>
        <v>4039/4040</v>
      </c>
      <c r="L119" s="60" t="str">
        <f>VLOOKUP(A119,'Trips&amp;Operators'!$C$1:$E$9999,3,FALSE)</f>
        <v>LEVERE</v>
      </c>
      <c r="M119" s="12">
        <f t="shared" si="34"/>
        <v>3.2847222224518191E-2</v>
      </c>
      <c r="N119" s="13">
        <f t="shared" si="29"/>
        <v>47.300000003306195</v>
      </c>
      <c r="O119" s="13"/>
      <c r="P119" s="13"/>
      <c r="Q119" s="61"/>
      <c r="R119" s="61"/>
      <c r="S119" s="94">
        <f t="shared" si="27"/>
        <v>1</v>
      </c>
      <c r="T119" s="2" t="str">
        <f t="shared" si="28"/>
        <v>NorthBound</v>
      </c>
      <c r="U119" s="67">
        <f>COUNTIFS([3]Variables!$M$2:$M$19,IF(T119="NorthBound","&gt;=","&lt;=")&amp;Z119,[3]Variables!$M$2:$M$19,IF(T119="NorthBound","&lt;=","&gt;=")&amp;AA119)</f>
        <v>12</v>
      </c>
      <c r="W11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17:42:09-0600',mode:absolute,to:'2016-05-27 18:33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9" s="73" t="str">
        <f t="shared" si="36"/>
        <v>N</v>
      </c>
      <c r="Y119" s="73">
        <f t="shared" si="32"/>
        <v>1</v>
      </c>
      <c r="Z119" s="73">
        <f t="shared" si="37"/>
        <v>4.6600000000000003E-2</v>
      </c>
      <c r="AA119" s="73">
        <f t="shared" si="39"/>
        <v>23.3276</v>
      </c>
      <c r="AB119" s="73">
        <f t="shared" si="38"/>
        <v>23.280999999999999</v>
      </c>
      <c r="AC119" s="74">
        <f>VLOOKUP(A119,Enforcements!$C$3:$J$69,8,0)</f>
        <v>20338</v>
      </c>
      <c r="AD119" s="74" t="str">
        <f>VLOOKUP(A119,Enforcements!$C$3:$J$69,3,0)</f>
        <v>PERMANENT SPEED RESTRICTION</v>
      </c>
    </row>
    <row r="120" spans="1:30" s="2" customFormat="1" x14ac:dyDescent="0.25">
      <c r="A120" s="60" t="s">
        <v>403</v>
      </c>
      <c r="B120" s="60">
        <v>4039</v>
      </c>
      <c r="C120" s="60" t="s">
        <v>62</v>
      </c>
      <c r="D120" s="60" t="s">
        <v>234</v>
      </c>
      <c r="E120" s="30">
        <v>42517.775347222225</v>
      </c>
      <c r="F120" s="30">
        <v>42517.776400462964</v>
      </c>
      <c r="G120" s="38">
        <v>1</v>
      </c>
      <c r="H120" s="30" t="s">
        <v>404</v>
      </c>
      <c r="I120" s="30">
        <v>42517.807592592595</v>
      </c>
      <c r="J120" s="60">
        <v>1</v>
      </c>
      <c r="K120" s="60" t="str">
        <f t="shared" si="33"/>
        <v>4039/4040</v>
      </c>
      <c r="L120" s="60" t="str">
        <f>VLOOKUP(A120,'Trips&amp;Operators'!$C$1:$E$9999,3,FALSE)</f>
        <v>LEVERE</v>
      </c>
      <c r="M120" s="12">
        <f t="shared" si="34"/>
        <v>3.1192129630653653E-2</v>
      </c>
      <c r="N120" s="13">
        <f t="shared" si="29"/>
        <v>44.916666668141261</v>
      </c>
      <c r="O120" s="13"/>
      <c r="P120" s="13"/>
      <c r="Q120" s="61"/>
      <c r="R120" s="61"/>
      <c r="S120" s="94">
        <f t="shared" si="27"/>
        <v>1</v>
      </c>
      <c r="T120" s="2" t="str">
        <f t="shared" si="28"/>
        <v>Southbound</v>
      </c>
      <c r="U120" s="67">
        <f>COUNTIFS([3]Variables!$M$2:$M$19,IF(T120="NorthBound","&gt;=","&lt;=")&amp;Z120,[3]Variables!$M$2:$M$19,IF(T120="NorthBound","&lt;=","&gt;=")&amp;AA120)</f>
        <v>12</v>
      </c>
      <c r="W12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18:35:30-0600',mode:absolute,to:'2016-05-27 19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0" s="73" t="str">
        <f t="shared" si="36"/>
        <v>N</v>
      </c>
      <c r="Y120" s="73">
        <f t="shared" si="32"/>
        <v>1</v>
      </c>
      <c r="Z120" s="73">
        <f t="shared" si="37"/>
        <v>23.295500000000001</v>
      </c>
      <c r="AA120" s="73">
        <f t="shared" si="39"/>
        <v>2.1100000000000001E-2</v>
      </c>
      <c r="AB120" s="73">
        <f t="shared" si="38"/>
        <v>23.2744</v>
      </c>
      <c r="AC120" s="74">
        <f>VLOOKUP(A120,Enforcements!$C$3:$J$69,8,0)</f>
        <v>1</v>
      </c>
      <c r="AD120" s="74" t="str">
        <f>VLOOKUP(A120,Enforcements!$C$3:$J$69,3,0)</f>
        <v>TRACK WARRANT AUTHORITY</v>
      </c>
    </row>
    <row r="121" spans="1:30" s="2" customFormat="1" x14ac:dyDescent="0.25">
      <c r="A121" s="60" t="s">
        <v>405</v>
      </c>
      <c r="B121" s="60">
        <v>4038</v>
      </c>
      <c r="C121" s="60" t="s">
        <v>62</v>
      </c>
      <c r="D121" s="60" t="s">
        <v>217</v>
      </c>
      <c r="E121" s="30">
        <v>42517.747152777774</v>
      </c>
      <c r="F121" s="30">
        <v>42517.748287037037</v>
      </c>
      <c r="G121" s="38">
        <v>1</v>
      </c>
      <c r="H121" s="30" t="s">
        <v>157</v>
      </c>
      <c r="I121" s="30">
        <v>42517.777222222219</v>
      </c>
      <c r="J121" s="60">
        <v>1</v>
      </c>
      <c r="K121" s="60" t="str">
        <f t="shared" si="33"/>
        <v>4037/4038</v>
      </c>
      <c r="L121" s="60" t="str">
        <f>VLOOKUP(A121,'Trips&amp;Operators'!$C$1:$E$9999,3,FALSE)</f>
        <v>WEBSTER</v>
      </c>
      <c r="M121" s="12">
        <f t="shared" si="34"/>
        <v>2.8935185182490386E-2</v>
      </c>
      <c r="N121" s="13">
        <f t="shared" si="29"/>
        <v>41.666666662786156</v>
      </c>
      <c r="O121" s="13"/>
      <c r="P121" s="13"/>
      <c r="Q121" s="61"/>
      <c r="R121" s="61"/>
      <c r="S121" s="94">
        <f t="shared" si="27"/>
        <v>1</v>
      </c>
      <c r="T121" s="2" t="str">
        <f t="shared" si="28"/>
        <v>NorthBound</v>
      </c>
      <c r="U121" s="67">
        <f>COUNTIFS([3]Variables!$M$2:$M$19,IF(T121="NorthBound","&gt;=","&lt;=")&amp;Z121,[3]Variables!$M$2:$M$19,IF(T121="NorthBound","&lt;=","&gt;=")&amp;AA121)</f>
        <v>12</v>
      </c>
      <c r="W12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17:54:54-0600',mode:absolute,to:'2016-05-27 18:40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21" s="73" t="str">
        <f t="shared" si="36"/>
        <v>N</v>
      </c>
      <c r="Y121" s="73">
        <f t="shared" si="32"/>
        <v>1</v>
      </c>
      <c r="Z121" s="73">
        <f t="shared" si="37"/>
        <v>4.53E-2</v>
      </c>
      <c r="AA121" s="73">
        <f t="shared" si="39"/>
        <v>23.330100000000002</v>
      </c>
      <c r="AB121" s="73">
        <f t="shared" si="38"/>
        <v>23.284800000000001</v>
      </c>
      <c r="AC121" s="74">
        <f>VLOOKUP(A121,Enforcements!$C$3:$J$69,8,0)</f>
        <v>233491</v>
      </c>
      <c r="AD121" s="74" t="str">
        <f>VLOOKUP(A121,Enforcements!$C$3:$J$69,3,0)</f>
        <v>TRACK WARRANT AUTHORITY</v>
      </c>
    </row>
    <row r="122" spans="1:30" s="2" customFormat="1" x14ac:dyDescent="0.25">
      <c r="A122" s="60" t="s">
        <v>406</v>
      </c>
      <c r="B122" s="60">
        <v>4037</v>
      </c>
      <c r="C122" s="60" t="s">
        <v>62</v>
      </c>
      <c r="D122" s="60" t="s">
        <v>150</v>
      </c>
      <c r="E122" s="30">
        <v>42517.784884259258</v>
      </c>
      <c r="F122" s="30">
        <v>42517.786030092589</v>
      </c>
      <c r="G122" s="38">
        <v>1</v>
      </c>
      <c r="H122" s="30" t="s">
        <v>407</v>
      </c>
      <c r="I122" s="30">
        <v>42517.815671296295</v>
      </c>
      <c r="J122" s="60">
        <v>0</v>
      </c>
      <c r="K122" s="60" t="str">
        <f t="shared" si="33"/>
        <v>4037/4038</v>
      </c>
      <c r="L122" s="60" t="str">
        <f>VLOOKUP(A122,'Trips&amp;Operators'!$C$1:$E$9999,3,FALSE)</f>
        <v>WEBSTER</v>
      </c>
      <c r="M122" s="12">
        <f t="shared" si="34"/>
        <v>2.9641203705978114E-2</v>
      </c>
      <c r="N122" s="13">
        <f t="shared" si="29"/>
        <v>42.683333336608484</v>
      </c>
      <c r="O122" s="13"/>
      <c r="P122" s="13"/>
      <c r="Q122" s="61"/>
      <c r="R122" s="61"/>
      <c r="S122" s="94">
        <f t="shared" si="27"/>
        <v>1</v>
      </c>
      <c r="T122" s="2" t="str">
        <f t="shared" si="28"/>
        <v>Southbound</v>
      </c>
      <c r="U122" s="67">
        <f>COUNTIFS([3]Variables!$M$2:$M$19,IF(T122="NorthBound","&gt;=","&lt;=")&amp;Z122,[3]Variables!$M$2:$M$19,IF(T122="NorthBound","&lt;=","&gt;=")&amp;AA122)</f>
        <v>12</v>
      </c>
      <c r="W12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18:49:14-0600',mode:absolute,to:'2016-05-27 19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22" s="73" t="str">
        <f t="shared" si="36"/>
        <v>N</v>
      </c>
      <c r="Y122" s="73">
        <f t="shared" si="32"/>
        <v>1</v>
      </c>
      <c r="Z122" s="73">
        <f t="shared" si="37"/>
        <v>23.298400000000001</v>
      </c>
      <c r="AA122" s="73">
        <f t="shared" si="39"/>
        <v>0.1419</v>
      </c>
      <c r="AB122" s="73">
        <f t="shared" si="38"/>
        <v>23.156500000000001</v>
      </c>
      <c r="AC122" s="74" t="e">
        <f>VLOOKUP(A122,Enforcements!$C$3:$J$69,8,0)</f>
        <v>#N/A</v>
      </c>
      <c r="AD122" s="74" t="e">
        <f>VLOOKUP(A122,Enforcements!$C$3:$J$69,3,0)</f>
        <v>#N/A</v>
      </c>
    </row>
    <row r="123" spans="1:30" s="2" customFormat="1" x14ac:dyDescent="0.25">
      <c r="A123" s="60" t="s">
        <v>408</v>
      </c>
      <c r="B123" s="60">
        <v>4029</v>
      </c>
      <c r="C123" s="60" t="s">
        <v>62</v>
      </c>
      <c r="D123" s="60" t="s">
        <v>68</v>
      </c>
      <c r="E123" s="30">
        <v>42517.761805555558</v>
      </c>
      <c r="F123" s="30">
        <v>42517.762939814813</v>
      </c>
      <c r="G123" s="38">
        <v>1</v>
      </c>
      <c r="H123" s="30" t="s">
        <v>162</v>
      </c>
      <c r="I123" s="30">
        <v>42517.793043981481</v>
      </c>
      <c r="J123" s="60">
        <v>0</v>
      </c>
      <c r="K123" s="60" t="str">
        <f t="shared" si="33"/>
        <v>4029/4030</v>
      </c>
      <c r="L123" s="60" t="str">
        <f>VLOOKUP(A123,'Trips&amp;Operators'!$C$1:$E$9999,3,FALSE)</f>
        <v>YORK</v>
      </c>
      <c r="M123" s="12">
        <f t="shared" si="34"/>
        <v>3.0104166668024845E-2</v>
      </c>
      <c r="N123" s="13">
        <f t="shared" si="29"/>
        <v>43.350000001955777</v>
      </c>
      <c r="O123" s="13"/>
      <c r="P123" s="13"/>
      <c r="Q123" s="61"/>
      <c r="R123" s="61"/>
      <c r="S123" s="94">
        <f t="shared" si="27"/>
        <v>1</v>
      </c>
      <c r="T123" s="2" t="str">
        <f t="shared" si="28"/>
        <v>NorthBound</v>
      </c>
      <c r="U123" s="67">
        <f>COUNTIFS([3]Variables!$M$2:$M$19,IF(T123="NorthBound","&gt;=","&lt;=")&amp;Z123,[3]Variables!$M$2:$M$19,IF(T123="NorthBound","&lt;=","&gt;=")&amp;AA123)</f>
        <v>12</v>
      </c>
      <c r="W123" s="73" t="str">
        <f t="shared" ref="W123:W124" si="40"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https://search-rtdc-monitor-bjffxe2xuh6vdkpspy63sjmuny.us-east-1.es.amazonaws.com/_plugin/kibana/#/discover/Steve-Slow-Train-Analysis-(2080s-and-2083s)?_g=(refreshInterval:(display:Off,section:0,value:0),time:(from:'2016-05-27 18:16:00-0600',mode:absolute,to:'2016-05-27 19:02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23" s="73" t="str">
        <f t="shared" si="36"/>
        <v>N</v>
      </c>
      <c r="Y123" s="73">
        <f t="shared" si="32"/>
        <v>1</v>
      </c>
      <c r="Z123" s="73">
        <f t="shared" si="37"/>
        <v>4.5499999999999999E-2</v>
      </c>
      <c r="AA123" s="73">
        <f t="shared" si="39"/>
        <v>23.308700000000002</v>
      </c>
      <c r="AB123" s="73">
        <f t="shared" si="38"/>
        <v>23.263200000000001</v>
      </c>
      <c r="AC123" s="74" t="e">
        <f>VLOOKUP(A123,Enforcements!$C$3:$J$69,8,0)</f>
        <v>#N/A</v>
      </c>
      <c r="AD123" s="74" t="e">
        <f>VLOOKUP(A123,Enforcements!$C$3:$J$69,3,0)</f>
        <v>#N/A</v>
      </c>
    </row>
    <row r="124" spans="1:30" s="2" customFormat="1" x14ac:dyDescent="0.25">
      <c r="A124" s="60" t="s">
        <v>409</v>
      </c>
      <c r="B124" s="60">
        <v>4030</v>
      </c>
      <c r="C124" s="60" t="s">
        <v>62</v>
      </c>
      <c r="D124" s="60" t="s">
        <v>410</v>
      </c>
      <c r="E124" s="30">
        <v>42517.794618055559</v>
      </c>
      <c r="F124" s="30">
        <v>42517.795648148145</v>
      </c>
      <c r="G124" s="38">
        <v>1</v>
      </c>
      <c r="H124" s="30" t="s">
        <v>116</v>
      </c>
      <c r="I124" s="30">
        <v>42517.8278125</v>
      </c>
      <c r="J124" s="60">
        <v>0</v>
      </c>
      <c r="K124" s="60" t="str">
        <f t="shared" si="33"/>
        <v>4029/4030</v>
      </c>
      <c r="L124" s="60" t="str">
        <f>VLOOKUP(A124,'Trips&amp;Operators'!$C$1:$E$9999,3,FALSE)</f>
        <v>YORK</v>
      </c>
      <c r="M124" s="12">
        <f t="shared" si="34"/>
        <v>3.2164351854589768E-2</v>
      </c>
      <c r="N124" s="13">
        <f t="shared" si="29"/>
        <v>46.316666670609266</v>
      </c>
      <c r="O124" s="13"/>
      <c r="P124" s="13"/>
      <c r="Q124" s="61"/>
      <c r="R124" s="61"/>
      <c r="S124" s="94">
        <f t="shared" si="27"/>
        <v>1</v>
      </c>
      <c r="T124" s="2" t="str">
        <f t="shared" si="28"/>
        <v>Southbound</v>
      </c>
      <c r="U124" s="67">
        <f>COUNTIFS([3]Variables!$M$2:$M$19,IF(T124="NorthBound","&gt;=","&lt;=")&amp;Z124,[3]Variables!$M$2:$M$19,IF(T124="NorthBound","&lt;=","&gt;=")&amp;AA124)</f>
        <v>12</v>
      </c>
      <c r="W124" s="73" t="str">
        <f t="shared" si="40"/>
        <v>https://search-rtdc-monitor-bjffxe2xuh6vdkpspy63sjmuny.us-east-1.es.amazonaws.com/_plugin/kibana/#/discover/Steve-Slow-Train-Analysis-(2080s-and-2083s)?_g=(refreshInterval:(display:Off,section:0,value:0),time:(from:'2016-05-27 19:03:15-0600',mode:absolute,to:'2016-05-27 19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24" s="73" t="str">
        <f t="shared" si="36"/>
        <v>N</v>
      </c>
      <c r="Y124" s="73">
        <f t="shared" si="32"/>
        <v>1</v>
      </c>
      <c r="Z124" s="73">
        <f t="shared" si="37"/>
        <v>23.2942</v>
      </c>
      <c r="AA124" s="73">
        <f t="shared" si="39"/>
        <v>1.3899999999999999E-2</v>
      </c>
      <c r="AB124" s="73">
        <f t="shared" si="38"/>
        <v>23.2803</v>
      </c>
      <c r="AC124" s="74" t="e">
        <f>VLOOKUP(A124,Enforcements!$C$3:$J$69,8,0)</f>
        <v>#N/A</v>
      </c>
      <c r="AD124" s="74" t="e">
        <f>VLOOKUP(A124,Enforcements!$C$3:$J$69,3,0)</f>
        <v>#N/A</v>
      </c>
    </row>
    <row r="125" spans="1:30" s="2" customFormat="1" x14ac:dyDescent="0.25">
      <c r="A125" s="60" t="s">
        <v>411</v>
      </c>
      <c r="B125" s="60">
        <v>4016</v>
      </c>
      <c r="C125" s="60" t="s">
        <v>62</v>
      </c>
      <c r="D125" s="60" t="s">
        <v>66</v>
      </c>
      <c r="E125" s="30">
        <v>42517.770370370374</v>
      </c>
      <c r="F125" s="30">
        <v>42517.771423611113</v>
      </c>
      <c r="G125" s="38">
        <v>1</v>
      </c>
      <c r="H125" s="30" t="s">
        <v>412</v>
      </c>
      <c r="I125" s="30">
        <v>42517.798020833332</v>
      </c>
      <c r="J125" s="60">
        <v>0</v>
      </c>
      <c r="K125" s="60" t="str">
        <f t="shared" si="33"/>
        <v>4015/4016</v>
      </c>
      <c r="L125" s="60" t="str">
        <f>VLOOKUP(A125,'Trips&amp;Operators'!$C$1:$E$9999,3,FALSE)</f>
        <v>GRASTON</v>
      </c>
      <c r="M125" s="12">
        <f t="shared" si="34"/>
        <v>2.6597222218697425E-2</v>
      </c>
      <c r="N125" s="13">
        <f t="shared" si="29"/>
        <v>38.299999994924292</v>
      </c>
      <c r="O125" s="13"/>
      <c r="P125" s="13"/>
      <c r="Q125" s="61"/>
      <c r="R125" s="61"/>
      <c r="S125" s="94">
        <f t="shared" si="27"/>
        <v>1</v>
      </c>
      <c r="T125" s="2" t="str">
        <f t="shared" si="28"/>
        <v>NorthBound</v>
      </c>
      <c r="U125" s="67">
        <f>COUNTIFS([3]Variables!$M$2:$M$19,IF(T125="NorthBound","&gt;=","&lt;=")&amp;Z125,[3]Variables!$M$2:$M$19,IF(T125="NorthBound","&lt;=","&gt;=")&amp;AA125)</f>
        <v>12</v>
      </c>
      <c r="W125" s="73" t="str">
        <f t="shared" ref="W125:W136" si="41"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https://search-rtdc-monitor-bjffxe2xuh6vdkpspy63sjmuny.us-east-1.es.amazonaws.com/_plugin/kibana/#/discover/Steve-Slow-Train-Analysis-(2080s-and-2083s)?_g=(refreshInterval:(display:Off,section:0,value:0),time:(from:'2016-05-27 18:28:20-0600',mode:absolute,to:'2016-05-27 19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5" s="73" t="str">
        <f t="shared" ref="X125:X136" si="42">IF(AB125&lt;23,"Y","N")</f>
        <v>N</v>
      </c>
      <c r="Y125" s="73">
        <f t="shared" ref="Y125:Y127" si="43">VALUE(LEFT(A125,3))-VALUE(LEFT(A124,3))</f>
        <v>1</v>
      </c>
      <c r="Z125" s="73">
        <f t="shared" si="37"/>
        <v>4.4699999999999997E-2</v>
      </c>
      <c r="AA125" s="73">
        <f t="shared" si="39"/>
        <v>23.322800000000001</v>
      </c>
      <c r="AB125" s="73">
        <f t="shared" si="38"/>
        <v>23.278100000000002</v>
      </c>
      <c r="AC125" s="74" t="e">
        <f>VLOOKUP(A125,Enforcements!$C$3:$J$69,8,0)</f>
        <v>#N/A</v>
      </c>
      <c r="AD125" s="74" t="e">
        <f>VLOOKUP(A125,Enforcements!$C$3:$J$69,3,0)</f>
        <v>#N/A</v>
      </c>
    </row>
    <row r="126" spans="1:30" s="2" customFormat="1" x14ac:dyDescent="0.25">
      <c r="A126" s="60" t="s">
        <v>413</v>
      </c>
      <c r="B126" s="60">
        <v>4015</v>
      </c>
      <c r="C126" s="60" t="s">
        <v>62</v>
      </c>
      <c r="D126" s="60" t="s">
        <v>153</v>
      </c>
      <c r="E126" s="30">
        <v>42517.807256944441</v>
      </c>
      <c r="F126" s="30">
        <v>42517.808703703704</v>
      </c>
      <c r="G126" s="38">
        <v>2</v>
      </c>
      <c r="H126" s="30" t="s">
        <v>110</v>
      </c>
      <c r="I126" s="30">
        <v>42517.837766203702</v>
      </c>
      <c r="J126" s="60">
        <v>0</v>
      </c>
      <c r="K126" s="60" t="str">
        <f t="shared" si="33"/>
        <v>4015/4016</v>
      </c>
      <c r="L126" s="60" t="str">
        <f>VLOOKUP(A126,'Trips&amp;Operators'!$C$1:$E$9999,3,FALSE)</f>
        <v>GRASTON</v>
      </c>
      <c r="M126" s="12">
        <f t="shared" si="34"/>
        <v>2.9062499997962732E-2</v>
      </c>
      <c r="N126" s="13">
        <f t="shared" si="29"/>
        <v>41.849999997066334</v>
      </c>
      <c r="O126" s="13"/>
      <c r="P126" s="13"/>
      <c r="Q126" s="61"/>
      <c r="R126" s="61"/>
      <c r="S126" s="94">
        <f t="shared" si="27"/>
        <v>1</v>
      </c>
      <c r="T126" s="2" t="str">
        <f t="shared" si="28"/>
        <v>Southbound</v>
      </c>
      <c r="U126" s="67">
        <f>COUNTIFS([3]Variables!$M$2:$M$19,IF(T126="NorthBound","&gt;=","&lt;=")&amp;Z126,[3]Variables!$M$2:$M$19,IF(T126="NorthBound","&lt;=","&gt;=")&amp;AA126)</f>
        <v>12</v>
      </c>
      <c r="W12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19:21:27-0600',mode:absolute,to:'2016-05-27 20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6" s="73" t="str">
        <f t="shared" si="42"/>
        <v>N</v>
      </c>
      <c r="Y126" s="73">
        <f t="shared" si="43"/>
        <v>1</v>
      </c>
      <c r="Z126" s="73">
        <f t="shared" si="37"/>
        <v>23.296299999999999</v>
      </c>
      <c r="AA126" s="73">
        <f t="shared" si="39"/>
        <v>1.6500000000000001E-2</v>
      </c>
      <c r="AB126" s="73">
        <f t="shared" si="38"/>
        <v>23.279799999999998</v>
      </c>
      <c r="AC126" s="74" t="e">
        <f>VLOOKUP(A126,Enforcements!$C$3:$J$69,8,0)</f>
        <v>#N/A</v>
      </c>
      <c r="AD126" s="74" t="e">
        <f>VLOOKUP(A126,Enforcements!$C$3:$J$69,3,0)</f>
        <v>#N/A</v>
      </c>
    </row>
    <row r="127" spans="1:30" s="2" customFormat="1" x14ac:dyDescent="0.25">
      <c r="A127" s="60" t="s">
        <v>414</v>
      </c>
      <c r="B127" s="60">
        <v>4044</v>
      </c>
      <c r="C127" s="60" t="s">
        <v>62</v>
      </c>
      <c r="D127" s="60" t="s">
        <v>256</v>
      </c>
      <c r="E127" s="30">
        <v>42517.793506944443</v>
      </c>
      <c r="F127" s="30">
        <v>42517.794236111113</v>
      </c>
      <c r="G127" s="38">
        <v>1</v>
      </c>
      <c r="H127" s="30" t="s">
        <v>151</v>
      </c>
      <c r="I127" s="30">
        <v>42517.823495370372</v>
      </c>
      <c r="J127" s="60">
        <v>1</v>
      </c>
      <c r="K127" s="60" t="str">
        <f t="shared" si="33"/>
        <v>4043/4044</v>
      </c>
      <c r="L127" s="60" t="str">
        <f>VLOOKUP(A127,'Trips&amp;Operators'!$C$1:$E$9999,3,FALSE)</f>
        <v>ADANE</v>
      </c>
      <c r="M127" s="12">
        <f t="shared" si="34"/>
        <v>2.9259259259561077E-2</v>
      </c>
      <c r="N127" s="13">
        <f t="shared" si="29"/>
        <v>42.133333333767951</v>
      </c>
      <c r="O127" s="13"/>
      <c r="P127" s="13"/>
      <c r="Q127" s="61"/>
      <c r="R127" s="61"/>
      <c r="S127" s="94">
        <f t="shared" si="27"/>
        <v>1</v>
      </c>
      <c r="T127" s="2" t="str">
        <f t="shared" si="28"/>
        <v>NorthBound</v>
      </c>
      <c r="U127" s="67">
        <f>COUNTIFS([3]Variables!$M$2:$M$19,IF(T127="NorthBound","&gt;=","&lt;=")&amp;Z127,[3]Variables!$M$2:$M$19,IF(T127="NorthBound","&lt;=","&gt;=")&amp;AA127)</f>
        <v>12</v>
      </c>
      <c r="W127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19:01:39-0600',mode:absolute,to:'2016-05-27 19:46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7" s="73" t="str">
        <f t="shared" si="42"/>
        <v>N</v>
      </c>
      <c r="Y127" s="73">
        <f t="shared" si="43"/>
        <v>1</v>
      </c>
      <c r="Z127" s="73">
        <f t="shared" si="37"/>
        <v>4.6899999999999997E-2</v>
      </c>
      <c r="AA127" s="73">
        <f t="shared" si="39"/>
        <v>23.3247</v>
      </c>
      <c r="AB127" s="73">
        <f t="shared" si="38"/>
        <v>23.277799999999999</v>
      </c>
      <c r="AC127" s="74">
        <f>VLOOKUP(A127,Enforcements!$C$3:$J$69,8,0)</f>
        <v>233491</v>
      </c>
      <c r="AD127" s="74" t="str">
        <f>VLOOKUP(A127,Enforcements!$C$3:$J$69,3,0)</f>
        <v>TRACK WARRANT AUTHORITY</v>
      </c>
    </row>
    <row r="128" spans="1:30" s="2" customFormat="1" x14ac:dyDescent="0.25">
      <c r="A128" s="60" t="s">
        <v>415</v>
      </c>
      <c r="B128" s="60">
        <v>4043</v>
      </c>
      <c r="C128" s="60" t="s">
        <v>62</v>
      </c>
      <c r="D128" s="60" t="s">
        <v>416</v>
      </c>
      <c r="E128" s="30">
        <v>42517.826932870368</v>
      </c>
      <c r="F128" s="30">
        <v>42517.8281712963</v>
      </c>
      <c r="G128" s="38">
        <v>1</v>
      </c>
      <c r="H128" s="30" t="s">
        <v>110</v>
      </c>
      <c r="I128" s="30">
        <v>42517.859097222223</v>
      </c>
      <c r="J128" s="60">
        <v>0</v>
      </c>
      <c r="K128" s="60" t="str">
        <f t="shared" si="33"/>
        <v>4043/4044</v>
      </c>
      <c r="L128" s="60" t="str">
        <f>VLOOKUP(A128,'Trips&amp;Operators'!$C$1:$E$9999,3,FALSE)</f>
        <v>ADANE</v>
      </c>
      <c r="M128" s="12">
        <f t="shared" si="34"/>
        <v>3.0925925922929309E-2</v>
      </c>
      <c r="N128" s="13">
        <f t="shared" si="29"/>
        <v>44.533333329018205</v>
      </c>
      <c r="O128" s="13"/>
      <c r="P128" s="13"/>
      <c r="Q128" s="61"/>
      <c r="R128" s="61"/>
      <c r="S128" s="94">
        <f t="shared" si="27"/>
        <v>1</v>
      </c>
      <c r="T128" s="2" t="str">
        <f t="shared" si="28"/>
        <v>Southbound</v>
      </c>
      <c r="U128" s="67">
        <f>COUNTIFS([3]Variables!$M$2:$M$19,IF(T128="NorthBound","&gt;=","&lt;=")&amp;Z128,[3]Variables!$M$2:$M$19,IF(T128="NorthBound","&lt;=","&gt;=")&amp;AA128)</f>
        <v>12</v>
      </c>
      <c r="W128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19:49:47-0600',mode:absolute,to:'2016-05-27 20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8" s="73" t="str">
        <f t="shared" si="42"/>
        <v>N</v>
      </c>
      <c r="Y128" s="73">
        <f t="shared" ref="Y128:Y136" si="44">VALUE(LEFT(A128,3))-VALUE(LEFT(A127,3))</f>
        <v>1</v>
      </c>
      <c r="Z128" s="73">
        <f t="shared" si="37"/>
        <v>23.2944</v>
      </c>
      <c r="AA128" s="73">
        <f t="shared" si="39"/>
        <v>1.6500000000000001E-2</v>
      </c>
      <c r="AB128" s="73">
        <f t="shared" si="38"/>
        <v>23.277899999999999</v>
      </c>
      <c r="AC128" s="74" t="e">
        <f>VLOOKUP(A128,Enforcements!$C$3:$J$69,8,0)</f>
        <v>#N/A</v>
      </c>
      <c r="AD128" s="74" t="e">
        <f>VLOOKUP(A128,Enforcements!$C$3:$J$69,3,0)</f>
        <v>#N/A</v>
      </c>
    </row>
    <row r="129" spans="1:30" s="2" customFormat="1" x14ac:dyDescent="0.25">
      <c r="A129" s="60" t="s">
        <v>417</v>
      </c>
      <c r="B129" s="60">
        <v>4040</v>
      </c>
      <c r="C129" s="60" t="s">
        <v>62</v>
      </c>
      <c r="D129" s="60" t="s">
        <v>418</v>
      </c>
      <c r="E129" s="30">
        <v>42517.808912037035</v>
      </c>
      <c r="F129" s="30">
        <v>42517.809756944444</v>
      </c>
      <c r="G129" s="38">
        <v>1</v>
      </c>
      <c r="H129" s="30" t="s">
        <v>97</v>
      </c>
      <c r="I129" s="30">
        <v>42517.837627314817</v>
      </c>
      <c r="J129" s="60">
        <v>0</v>
      </c>
      <c r="K129" s="60" t="str">
        <f t="shared" ref="K129:K152" si="45">IF(ISEVEN(B129),(B129-1)&amp;"/"&amp;B129,B129&amp;"/"&amp;(B129+1))</f>
        <v>4039/4040</v>
      </c>
      <c r="L129" s="60" t="str">
        <f>VLOOKUP(A129,'Trips&amp;Operators'!$C$1:$E$9999,3,FALSE)</f>
        <v>LEVERE</v>
      </c>
      <c r="M129" s="12">
        <f t="shared" ref="M129:M152" si="46">I129-F129</f>
        <v>2.7870370373420883E-2</v>
      </c>
      <c r="N129" s="13">
        <f t="shared" si="29"/>
        <v>40.133333337726071</v>
      </c>
      <c r="O129" s="13"/>
      <c r="P129" s="13"/>
      <c r="Q129" s="61"/>
      <c r="R129" s="61"/>
      <c r="S129" s="94">
        <f t="shared" si="27"/>
        <v>1</v>
      </c>
      <c r="T129" s="2" t="str">
        <f t="shared" si="28"/>
        <v>NorthBound</v>
      </c>
      <c r="U129" s="67">
        <f>COUNTIFS([3]Variables!$M$2:$M$19,IF(T129="NorthBound","&gt;=","&lt;=")&amp;Z129,[3]Variables!$M$2:$M$19,IF(T129="NorthBound","&lt;=","&gt;=")&amp;AA129)</f>
        <v>12</v>
      </c>
      <c r="W129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19:23:50-0600',mode:absolute,to:'2016-05-27 20:07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29" s="73" t="str">
        <f t="shared" si="42"/>
        <v>N</v>
      </c>
      <c r="Y129" s="73">
        <f t="shared" si="44"/>
        <v>1</v>
      </c>
      <c r="Z129" s="73">
        <f t="shared" ref="Z129:Z136" si="47">RIGHT(D129,LEN(D129)-4)/10000</f>
        <v>0.05</v>
      </c>
      <c r="AA129" s="73">
        <f t="shared" si="39"/>
        <v>23.3293</v>
      </c>
      <c r="AB129" s="73">
        <f t="shared" ref="AB129:AB136" si="48">ABS(AA129-Z129)</f>
        <v>23.279299999999999</v>
      </c>
      <c r="AC129" s="74" t="e">
        <f>VLOOKUP(A129,Enforcements!$C$3:$J$69,8,0)</f>
        <v>#N/A</v>
      </c>
      <c r="AD129" s="74" t="e">
        <f>VLOOKUP(A129,Enforcements!$C$3:$J$69,3,0)</f>
        <v>#N/A</v>
      </c>
    </row>
    <row r="130" spans="1:30" s="2" customFormat="1" x14ac:dyDescent="0.25">
      <c r="A130" s="60" t="s">
        <v>299</v>
      </c>
      <c r="B130" s="60">
        <v>4039</v>
      </c>
      <c r="C130" s="60" t="s">
        <v>62</v>
      </c>
      <c r="D130" s="60" t="s">
        <v>153</v>
      </c>
      <c r="E130" s="30">
        <v>42517.842986111114</v>
      </c>
      <c r="F130" s="30">
        <v>42517.843923611108</v>
      </c>
      <c r="G130" s="38">
        <v>1</v>
      </c>
      <c r="H130" s="30" t="s">
        <v>102</v>
      </c>
      <c r="I130" s="30">
        <v>42517.879247685189</v>
      </c>
      <c r="J130" s="60">
        <v>0</v>
      </c>
      <c r="K130" s="60" t="str">
        <f t="shared" si="45"/>
        <v>4039/4040</v>
      </c>
      <c r="L130" s="60" t="str">
        <f>VLOOKUP(A130,'Trips&amp;Operators'!$C$1:$E$9999,3,FALSE)</f>
        <v>LEVERE</v>
      </c>
      <c r="M130" s="12">
        <f t="shared" si="46"/>
        <v>3.532407408056315E-2</v>
      </c>
      <c r="N130" s="13">
        <f t="shared" si="29"/>
        <v>50.866666676010936</v>
      </c>
      <c r="O130" s="13"/>
      <c r="P130" s="13"/>
      <c r="Q130" s="61"/>
      <c r="R130" s="61"/>
      <c r="S130" s="94">
        <f t="shared" si="27"/>
        <v>1</v>
      </c>
      <c r="T130" s="2" t="str">
        <f t="shared" si="28"/>
        <v>Southbound</v>
      </c>
      <c r="U130" s="67">
        <f>COUNTIFS([3]Variables!$M$2:$M$19,IF(T130="NorthBound","&gt;=","&lt;=")&amp;Z130,[3]Variables!$M$2:$M$19,IF(T130="NorthBound","&lt;=","&gt;=")&amp;AA130)</f>
        <v>12</v>
      </c>
      <c r="W130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20:12:54-0600',mode:absolute,to:'2016-05-27 21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0" s="73" t="str">
        <f t="shared" si="42"/>
        <v>N</v>
      </c>
      <c r="Y130" s="73">
        <f t="shared" si="44"/>
        <v>1</v>
      </c>
      <c r="Z130" s="73">
        <f t="shared" si="47"/>
        <v>23.296299999999999</v>
      </c>
      <c r="AA130" s="73">
        <f t="shared" si="39"/>
        <v>1.43E-2</v>
      </c>
      <c r="AB130" s="73">
        <f t="shared" si="48"/>
        <v>23.282</v>
      </c>
      <c r="AC130" s="74" t="e">
        <f>VLOOKUP(A130,Enforcements!$C$3:$J$69,8,0)</f>
        <v>#N/A</v>
      </c>
      <c r="AD130" s="74" t="e">
        <f>VLOOKUP(A130,Enforcements!$C$3:$J$69,3,0)</f>
        <v>#N/A</v>
      </c>
    </row>
    <row r="131" spans="1:30" s="2" customFormat="1" x14ac:dyDescent="0.25">
      <c r="A131" s="60" t="s">
        <v>300</v>
      </c>
      <c r="B131" s="60">
        <v>4029</v>
      </c>
      <c r="C131" s="60" t="s">
        <v>62</v>
      </c>
      <c r="D131" s="60" t="s">
        <v>278</v>
      </c>
      <c r="E131" s="30">
        <v>42517.83221064815</v>
      </c>
      <c r="F131" s="30">
        <v>42517.832939814813</v>
      </c>
      <c r="G131" s="38">
        <v>1</v>
      </c>
      <c r="H131" s="30" t="s">
        <v>109</v>
      </c>
      <c r="I131" s="30">
        <v>42517.858171296299</v>
      </c>
      <c r="J131" s="60">
        <v>0</v>
      </c>
      <c r="K131" s="60" t="str">
        <f t="shared" si="45"/>
        <v>4029/4030</v>
      </c>
      <c r="L131" s="60" t="str">
        <f>VLOOKUP(A131,'Trips&amp;Operators'!$C$1:$E$9999,3,FALSE)</f>
        <v>YORK</v>
      </c>
      <c r="M131" s="12">
        <f t="shared" si="46"/>
        <v>2.5231481486116536E-2</v>
      </c>
      <c r="N131" s="13">
        <f t="shared" si="29"/>
        <v>36.333333340007812</v>
      </c>
      <c r="O131" s="13"/>
      <c r="P131" s="13"/>
      <c r="Q131" s="61"/>
      <c r="R131" s="61"/>
      <c r="S131" s="94">
        <f t="shared" si="27"/>
        <v>1</v>
      </c>
      <c r="T131" s="2" t="str">
        <f t="shared" si="28"/>
        <v>NorthBound</v>
      </c>
      <c r="U131" s="67">
        <f>COUNTIFS([3]Variables!$M$2:$M$19,IF(T131="NorthBound","&gt;=","&lt;=")&amp;Z131,[3]Variables!$M$2:$M$19,IF(T131="NorthBound","&lt;=","&gt;=")&amp;AA131)</f>
        <v>12</v>
      </c>
      <c r="W131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19:57:23-0600',mode:absolute,to:'2016-05-27 20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1" s="73" t="str">
        <f t="shared" si="42"/>
        <v>N</v>
      </c>
      <c r="Y131" s="73">
        <f t="shared" si="44"/>
        <v>1</v>
      </c>
      <c r="Z131" s="73">
        <f t="shared" si="47"/>
        <v>4.4600000000000001E-2</v>
      </c>
      <c r="AA131" s="73">
        <f t="shared" si="39"/>
        <v>23.328900000000001</v>
      </c>
      <c r="AB131" s="73">
        <f t="shared" si="48"/>
        <v>23.284300000000002</v>
      </c>
      <c r="AC131" s="74" t="e">
        <f>VLOOKUP(A131,Enforcements!$C$3:$J$69,8,0)</f>
        <v>#N/A</v>
      </c>
      <c r="AD131" s="74" t="e">
        <f>VLOOKUP(A131,Enforcements!$C$3:$J$69,3,0)</f>
        <v>#N/A</v>
      </c>
    </row>
    <row r="132" spans="1:30" s="2" customFormat="1" x14ac:dyDescent="0.25">
      <c r="A132" s="60" t="s">
        <v>301</v>
      </c>
      <c r="B132" s="60">
        <v>4030</v>
      </c>
      <c r="C132" s="60" t="s">
        <v>62</v>
      </c>
      <c r="D132" s="60" t="s">
        <v>137</v>
      </c>
      <c r="E132" s="30">
        <v>42517.869317129633</v>
      </c>
      <c r="F132" s="30">
        <v>42517.87</v>
      </c>
      <c r="G132" s="38">
        <v>0</v>
      </c>
      <c r="H132" s="30" t="s">
        <v>156</v>
      </c>
      <c r="I132" s="30">
        <v>42517.898368055554</v>
      </c>
      <c r="J132" s="60">
        <v>0</v>
      </c>
      <c r="K132" s="60" t="str">
        <f t="shared" si="45"/>
        <v>4029/4030</v>
      </c>
      <c r="L132" s="60" t="str">
        <f>VLOOKUP(A132,'Trips&amp;Operators'!$C$1:$E$9999,3,FALSE)</f>
        <v>YORK</v>
      </c>
      <c r="M132" s="12">
        <f t="shared" si="46"/>
        <v>2.8368055551254656E-2</v>
      </c>
      <c r="N132" s="13">
        <f t="shared" si="29"/>
        <v>40.849999993806705</v>
      </c>
      <c r="O132" s="13"/>
      <c r="P132" s="13"/>
      <c r="Q132" s="61"/>
      <c r="R132" s="61"/>
      <c r="S132" s="94">
        <f t="shared" ref="S132:S149" si="49">SUM(U132:U132)/12</f>
        <v>1</v>
      </c>
      <c r="T132" s="2" t="str">
        <f t="shared" ref="T132:T149" si="50">IF(ISEVEN(LEFT(A132,3)),"Southbound","NorthBound")</f>
        <v>Southbound</v>
      </c>
      <c r="U132" s="67">
        <f>COUNTIFS([3]Variables!$M$2:$M$19,IF(T132="NorthBound","&gt;=","&lt;=")&amp;Z132,[3]Variables!$M$2:$M$19,IF(T132="NorthBound","&lt;=","&gt;=")&amp;AA132)</f>
        <v>12</v>
      </c>
      <c r="W132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20:50:49-0600',mode:absolute,to:'2016-05-27 21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32" s="73" t="str">
        <f t="shared" si="42"/>
        <v>N</v>
      </c>
      <c r="Y132" s="73">
        <f t="shared" si="44"/>
        <v>1</v>
      </c>
      <c r="Z132" s="73">
        <f t="shared" si="47"/>
        <v>23.2971</v>
      </c>
      <c r="AA132" s="73">
        <f t="shared" si="39"/>
        <v>1.38E-2</v>
      </c>
      <c r="AB132" s="73">
        <f t="shared" si="48"/>
        <v>23.283300000000001</v>
      </c>
      <c r="AC132" s="74" t="e">
        <f>VLOOKUP(A132,Enforcements!$C$3:$J$69,8,0)</f>
        <v>#N/A</v>
      </c>
      <c r="AD132" s="74" t="e">
        <f>VLOOKUP(A132,Enforcements!$C$3:$J$69,3,0)</f>
        <v>#N/A</v>
      </c>
    </row>
    <row r="133" spans="1:30" s="2" customFormat="1" x14ac:dyDescent="0.25">
      <c r="A133" s="60" t="s">
        <v>302</v>
      </c>
      <c r="B133" s="60">
        <v>4016</v>
      </c>
      <c r="C133" s="60" t="s">
        <v>62</v>
      </c>
      <c r="D133" s="60" t="s">
        <v>138</v>
      </c>
      <c r="E133" s="30">
        <v>42517.847604166665</v>
      </c>
      <c r="F133" s="30">
        <v>42517.849016203705</v>
      </c>
      <c r="G133" s="38">
        <v>2</v>
      </c>
      <c r="H133" s="30" t="s">
        <v>303</v>
      </c>
      <c r="I133" s="30">
        <v>42517.879710648151</v>
      </c>
      <c r="J133" s="60">
        <v>0</v>
      </c>
      <c r="K133" s="60" t="str">
        <f t="shared" si="45"/>
        <v>4015/4016</v>
      </c>
      <c r="L133" s="60" t="str">
        <f>VLOOKUP(A133,'Trips&amp;Operators'!$C$1:$E$9999,3,FALSE)</f>
        <v>GRASTON</v>
      </c>
      <c r="M133" s="12">
        <f t="shared" si="46"/>
        <v>3.0694444445543922E-2</v>
      </c>
      <c r="N133" s="13">
        <f t="shared" ref="N133:P152" si="51">24*60*SUM($M133:$M133)</f>
        <v>44.200000001583248</v>
      </c>
      <c r="O133" s="13"/>
      <c r="P133" s="13"/>
      <c r="Q133" s="61"/>
      <c r="R133" s="61"/>
      <c r="S133" s="94">
        <f t="shared" si="49"/>
        <v>1</v>
      </c>
      <c r="T133" s="2" t="str">
        <f t="shared" si="50"/>
        <v>NorthBound</v>
      </c>
      <c r="U133" s="67">
        <f>COUNTIFS([3]Variables!$M$2:$M$19,IF(T133="NorthBound","&gt;=","&lt;=")&amp;Z133,[3]Variables!$M$2:$M$19,IF(T133="NorthBound","&lt;=","&gt;=")&amp;AA133)</f>
        <v>12</v>
      </c>
      <c r="W133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20:19:33-0600',mode:absolute,to:'2016-05-27 21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3" s="73" t="str">
        <f t="shared" si="42"/>
        <v>N</v>
      </c>
      <c r="Y133" s="73">
        <f t="shared" si="44"/>
        <v>1</v>
      </c>
      <c r="Z133" s="73">
        <f t="shared" si="47"/>
        <v>4.8599999999999997E-2</v>
      </c>
      <c r="AA133" s="73">
        <f t="shared" si="39"/>
        <v>23.3307</v>
      </c>
      <c r="AB133" s="73">
        <f t="shared" si="48"/>
        <v>23.2821</v>
      </c>
      <c r="AC133" s="74" t="e">
        <f>VLOOKUP(A133,Enforcements!$C$3:$J$69,8,0)</f>
        <v>#N/A</v>
      </c>
      <c r="AD133" s="74" t="e">
        <f>VLOOKUP(A133,Enforcements!$C$3:$J$69,3,0)</f>
        <v>#N/A</v>
      </c>
    </row>
    <row r="134" spans="1:30" s="2" customFormat="1" x14ac:dyDescent="0.25">
      <c r="A134" s="60" t="s">
        <v>304</v>
      </c>
      <c r="B134" s="60">
        <v>4015</v>
      </c>
      <c r="C134" s="60" t="s">
        <v>62</v>
      </c>
      <c r="D134" s="60" t="s">
        <v>144</v>
      </c>
      <c r="E134" s="30">
        <v>42517.890763888892</v>
      </c>
      <c r="F134" s="30">
        <v>42517.892430555556</v>
      </c>
      <c r="G134" s="38">
        <v>2</v>
      </c>
      <c r="H134" s="30" t="s">
        <v>305</v>
      </c>
      <c r="I134" s="30">
        <v>42517.919895833336</v>
      </c>
      <c r="J134" s="60">
        <v>0</v>
      </c>
      <c r="K134" s="60" t="str">
        <f t="shared" si="45"/>
        <v>4015/4016</v>
      </c>
      <c r="L134" s="60" t="str">
        <f>VLOOKUP(A134,'Trips&amp;Operators'!$C$1:$E$9999,3,FALSE)</f>
        <v>GRASTON</v>
      </c>
      <c r="M134" s="12">
        <f t="shared" si="46"/>
        <v>2.7465277780720498E-2</v>
      </c>
      <c r="N134" s="13">
        <f t="shared" si="51"/>
        <v>39.550000004237518</v>
      </c>
      <c r="O134" s="13"/>
      <c r="P134" s="13"/>
      <c r="Q134" s="61"/>
      <c r="R134" s="61"/>
      <c r="S134" s="94">
        <f t="shared" si="49"/>
        <v>1</v>
      </c>
      <c r="T134" s="2" t="str">
        <f t="shared" si="50"/>
        <v>Southbound</v>
      </c>
      <c r="U134" s="67">
        <f>COUNTIFS([3]Variables!$M$2:$M$19,IF(T134="NorthBound","&gt;=","&lt;=")&amp;Z134,[3]Variables!$M$2:$M$19,IF(T134="NorthBound","&lt;=","&gt;=")&amp;AA134)</f>
        <v>12</v>
      </c>
      <c r="W134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21:21:42-0600',mode:absolute,to:'2016-05-27 22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34" s="73" t="str">
        <f t="shared" si="42"/>
        <v>N</v>
      </c>
      <c r="Y134" s="73">
        <f t="shared" si="44"/>
        <v>1</v>
      </c>
      <c r="Z134" s="73">
        <f t="shared" si="47"/>
        <v>23.296099999999999</v>
      </c>
      <c r="AA134" s="73">
        <f t="shared" si="39"/>
        <v>1.8100000000000002E-2</v>
      </c>
      <c r="AB134" s="73">
        <f t="shared" si="48"/>
        <v>23.277999999999999</v>
      </c>
      <c r="AC134" s="74" t="e">
        <f>VLOOKUP(A134,Enforcements!$C$3:$J$69,8,0)</f>
        <v>#N/A</v>
      </c>
      <c r="AD134" s="74" t="e">
        <f>VLOOKUP(A134,Enforcements!$C$3:$J$69,3,0)</f>
        <v>#N/A</v>
      </c>
    </row>
    <row r="135" spans="1:30" s="2" customFormat="1" x14ac:dyDescent="0.25">
      <c r="A135" s="60" t="s">
        <v>306</v>
      </c>
      <c r="B135" s="60">
        <v>4044</v>
      </c>
      <c r="C135" s="60" t="s">
        <v>62</v>
      </c>
      <c r="D135" s="60" t="s">
        <v>134</v>
      </c>
      <c r="E135" s="30">
        <v>42517.870879629627</v>
      </c>
      <c r="F135" s="30">
        <v>42517.871851851851</v>
      </c>
      <c r="G135" s="38">
        <v>1</v>
      </c>
      <c r="H135" s="30" t="s">
        <v>98</v>
      </c>
      <c r="I135" s="30">
        <v>42517.908275462964</v>
      </c>
      <c r="J135" s="60">
        <v>1</v>
      </c>
      <c r="K135" s="60" t="str">
        <f t="shared" si="45"/>
        <v>4043/4044</v>
      </c>
      <c r="L135" s="60" t="str">
        <f>VLOOKUP(A135,'Trips&amp;Operators'!$C$1:$E$9999,3,FALSE)</f>
        <v>ADANE</v>
      </c>
      <c r="M135" s="12">
        <f t="shared" si="46"/>
        <v>3.6423611112695653E-2</v>
      </c>
      <c r="N135" s="13">
        <f t="shared" si="51"/>
        <v>52.45000000228174</v>
      </c>
      <c r="O135" s="13"/>
      <c r="P135" s="13"/>
      <c r="Q135" s="61"/>
      <c r="R135" s="61"/>
      <c r="S135" s="94">
        <f t="shared" si="49"/>
        <v>1</v>
      </c>
      <c r="T135" s="2" t="str">
        <f t="shared" si="50"/>
        <v>NorthBound</v>
      </c>
      <c r="U135" s="67">
        <f>COUNTIFS([3]Variables!$M$2:$M$19,IF(T135="NorthBound","&gt;=","&lt;=")&amp;Z135,[3]Variables!$M$2:$M$19,IF(T135="NorthBound","&lt;=","&gt;=")&amp;AA135)</f>
        <v>12</v>
      </c>
      <c r="W135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20:53:04-0600',mode:absolute,to:'2016-05-27 21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5" s="73" t="str">
        <f t="shared" si="42"/>
        <v>N</v>
      </c>
      <c r="Y135" s="73">
        <f t="shared" si="44"/>
        <v>1</v>
      </c>
      <c r="Z135" s="73">
        <f t="shared" si="47"/>
        <v>4.7100000000000003E-2</v>
      </c>
      <c r="AA135" s="73">
        <f t="shared" si="39"/>
        <v>23.331399999999999</v>
      </c>
      <c r="AB135" s="73">
        <f t="shared" si="48"/>
        <v>23.284299999999998</v>
      </c>
      <c r="AC135" s="74">
        <f>VLOOKUP(A135,Enforcements!$C$3:$J$69,8,0)</f>
        <v>116838</v>
      </c>
      <c r="AD135" s="74" t="str">
        <f>VLOOKUP(A135,Enforcements!$C$3:$J$69,3,0)</f>
        <v>PERMANENT SPEED RESTRICTION</v>
      </c>
    </row>
    <row r="136" spans="1:30" s="2" customFormat="1" x14ac:dyDescent="0.25">
      <c r="A136" s="60" t="s">
        <v>307</v>
      </c>
      <c r="B136" s="60">
        <v>4043</v>
      </c>
      <c r="C136" s="60" t="s">
        <v>62</v>
      </c>
      <c r="D136" s="60" t="s">
        <v>308</v>
      </c>
      <c r="E136" s="30">
        <v>42517.912372685183</v>
      </c>
      <c r="F136" s="30">
        <v>42517.913078703707</v>
      </c>
      <c r="G136" s="38">
        <v>1</v>
      </c>
      <c r="H136" s="30" t="s">
        <v>127</v>
      </c>
      <c r="I136" s="30">
        <v>42517.940833333334</v>
      </c>
      <c r="J136" s="60">
        <v>0</v>
      </c>
      <c r="K136" s="60" t="str">
        <f t="shared" si="45"/>
        <v>4043/4044</v>
      </c>
      <c r="L136" s="60" t="str">
        <f>VLOOKUP(A136,'Trips&amp;Operators'!$C$1:$E$9999,3,FALSE)</f>
        <v>ADANE</v>
      </c>
      <c r="M136" s="12">
        <f t="shared" si="46"/>
        <v>2.7754629627452232E-2</v>
      </c>
      <c r="N136" s="13">
        <f t="shared" si="51"/>
        <v>39.966666663531214</v>
      </c>
      <c r="O136" s="13"/>
      <c r="P136" s="13"/>
      <c r="Q136" s="61"/>
      <c r="R136" s="61"/>
      <c r="S136" s="94">
        <f t="shared" si="49"/>
        <v>1</v>
      </c>
      <c r="T136" s="2" t="str">
        <f t="shared" si="50"/>
        <v>Southbound</v>
      </c>
      <c r="U136" s="67">
        <f>COUNTIFS([3]Variables!$M$2:$M$19,IF(T136="NorthBound","&gt;=","&lt;=")&amp;Z136,[3]Variables!$M$2:$M$19,IF(T136="NorthBound","&lt;=","&gt;=")&amp;AA136)</f>
        <v>12</v>
      </c>
      <c r="W136" s="73" t="str">
        <f t="shared" si="41"/>
        <v>https://search-rtdc-monitor-bjffxe2xuh6vdkpspy63sjmuny.us-east-1.es.amazonaws.com/_plugin/kibana/#/discover/Steve-Slow-Train-Analysis-(2080s-and-2083s)?_g=(refreshInterval:(display:Off,section:0,value:0),time:(from:'2016-05-27 21:52:49-0600',mode:absolute,to:'2016-05-27 22:35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6" s="73" t="str">
        <f t="shared" si="42"/>
        <v>N</v>
      </c>
      <c r="Y136" s="73">
        <f t="shared" si="44"/>
        <v>1</v>
      </c>
      <c r="Z136" s="73">
        <f t="shared" si="47"/>
        <v>23.298999999999999</v>
      </c>
      <c r="AA136" s="73">
        <f t="shared" si="39"/>
        <v>1.49E-2</v>
      </c>
      <c r="AB136" s="73">
        <f t="shared" si="48"/>
        <v>23.284099999999999</v>
      </c>
      <c r="AC136" s="74" t="e">
        <f>VLOOKUP(A136,Enforcements!$C$3:$J$69,8,0)</f>
        <v>#N/A</v>
      </c>
      <c r="AD136" s="74" t="e">
        <f>VLOOKUP(A136,Enforcements!$C$3:$J$69,3,0)</f>
        <v>#N/A</v>
      </c>
    </row>
    <row r="137" spans="1:30" s="2" customFormat="1" x14ac:dyDescent="0.25">
      <c r="A137" s="60" t="s">
        <v>309</v>
      </c>
      <c r="B137" s="60">
        <v>4040</v>
      </c>
      <c r="C137" s="60" t="s">
        <v>62</v>
      </c>
      <c r="D137" s="60" t="s">
        <v>82</v>
      </c>
      <c r="E137" s="30">
        <v>42517.882777777777</v>
      </c>
      <c r="F137" s="30">
        <v>42517.883726851855</v>
      </c>
      <c r="G137" s="38">
        <v>1</v>
      </c>
      <c r="H137" s="30" t="s">
        <v>310</v>
      </c>
      <c r="I137" s="30">
        <v>42517.922465277778</v>
      </c>
      <c r="J137" s="60">
        <v>0</v>
      </c>
      <c r="K137" s="60" t="str">
        <f t="shared" ref="K137:K146" si="52">IF(ISEVEN(B137),(B137-1)&amp;"/"&amp;B137,B137&amp;"/"&amp;(B137+1))</f>
        <v>4039/4040</v>
      </c>
      <c r="L137" s="60" t="str">
        <f>VLOOKUP(A137,'Trips&amp;Operators'!$C$1:$E$9999,3,FALSE)</f>
        <v>LEVERE</v>
      </c>
      <c r="M137" s="12">
        <f t="shared" ref="M137:M146" si="53">I137-F137</f>
        <v>3.8738425922929309E-2</v>
      </c>
      <c r="N137" s="13">
        <f t="shared" si="51"/>
        <v>55.783333329018205</v>
      </c>
      <c r="O137" s="13"/>
      <c r="P137" s="13"/>
      <c r="Q137" s="61"/>
      <c r="R137" s="61"/>
      <c r="S137" s="94">
        <f t="shared" si="49"/>
        <v>1</v>
      </c>
      <c r="T137" s="2" t="str">
        <f t="shared" si="50"/>
        <v>NorthBound</v>
      </c>
      <c r="U137" s="67">
        <f>COUNTIFS([3]Variables!$M$2:$M$19,IF(T137="NorthBound","&gt;=","&lt;=")&amp;Z137,[3]Variables!$M$2:$M$19,IF(T137="NorthBound","&lt;=","&gt;=")&amp;AA137)</f>
        <v>12</v>
      </c>
      <c r="W137" s="73" t="str">
        <f t="shared" ref="W137:W147" si="54"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https://search-rtdc-monitor-bjffxe2xuh6vdkpspy63sjmuny.us-east-1.es.amazonaws.com/_plugin/kibana/#/discover/Steve-Slow-Train-Analysis-(2080s-and-2083s)?_g=(refreshInterval:(display:Off,section:0,value:0),time:(from:'2016-05-27 21:10:12-0600',mode:absolute,to:'2016-05-27 22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37" s="73" t="str">
        <f t="shared" ref="X137:X147" si="55">IF(AB137&lt;23,"Y","N")</f>
        <v>N</v>
      </c>
      <c r="Y137" s="73">
        <f t="shared" ref="Y137:Y147" si="56">VALUE(LEFT(A137,3))-VALUE(LEFT(A136,3))</f>
        <v>1</v>
      </c>
      <c r="Z137" s="73">
        <f t="shared" ref="Z137:Z147" si="57">RIGHT(D137,LEN(D137)-4)/10000</f>
        <v>4.58E-2</v>
      </c>
      <c r="AA137" s="73">
        <f t="shared" ref="AA137:AA147" si="58">RIGHT(H137,LEN(H137)-4)/10000</f>
        <v>23.321100000000001</v>
      </c>
      <c r="AB137" s="73">
        <f t="shared" ref="AB137:AB147" si="59">ABS(AA137-Z137)</f>
        <v>23.275300000000001</v>
      </c>
      <c r="AC137" s="74" t="e">
        <f>VLOOKUP(A137,Enforcements!$C$3:$J$69,8,0)</f>
        <v>#N/A</v>
      </c>
      <c r="AD137" s="74" t="e">
        <f>VLOOKUP(A137,Enforcements!$C$3:$J$69,3,0)</f>
        <v>#N/A</v>
      </c>
    </row>
    <row r="138" spans="1:30" s="2" customFormat="1" x14ac:dyDescent="0.25">
      <c r="A138" s="60" t="s">
        <v>311</v>
      </c>
      <c r="B138" s="60">
        <v>4039</v>
      </c>
      <c r="C138" s="60" t="s">
        <v>62</v>
      </c>
      <c r="D138" s="60" t="s">
        <v>135</v>
      </c>
      <c r="E138" s="30">
        <v>42517.929629629631</v>
      </c>
      <c r="F138" s="30">
        <v>42517.931435185186</v>
      </c>
      <c r="G138" s="38">
        <v>2</v>
      </c>
      <c r="H138" s="30" t="s">
        <v>140</v>
      </c>
      <c r="I138" s="30">
        <v>42517.962604166663</v>
      </c>
      <c r="J138" s="60">
        <v>0</v>
      </c>
      <c r="K138" s="60" t="str">
        <f t="shared" si="52"/>
        <v>4039/4040</v>
      </c>
      <c r="L138" s="60" t="str">
        <f>VLOOKUP(A138,'Trips&amp;Operators'!$C$1:$E$9999,3,FALSE)</f>
        <v>LEVERE</v>
      </c>
      <c r="M138" s="12">
        <f t="shared" si="53"/>
        <v>3.1168981477094349E-2</v>
      </c>
      <c r="N138" s="13">
        <f t="shared" si="51"/>
        <v>44.883333327015862</v>
      </c>
      <c r="O138" s="13"/>
      <c r="P138" s="13"/>
      <c r="Q138" s="61"/>
      <c r="R138" s="61"/>
      <c r="S138" s="94">
        <f t="shared" si="49"/>
        <v>1</v>
      </c>
      <c r="T138" s="2" t="str">
        <f t="shared" si="50"/>
        <v>Southbound</v>
      </c>
      <c r="U138" s="67">
        <f>COUNTIFS([3]Variables!$M$2:$M$19,IF(T138="NorthBound","&gt;=","&lt;=")&amp;Z138,[3]Variables!$M$2:$M$19,IF(T138="NorthBound","&lt;=","&gt;=")&amp;AA138)</f>
        <v>12</v>
      </c>
      <c r="W138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https://search-rtdc-monitor-bjffxe2xuh6vdkpspy63sjmuny.us-east-1.es.amazonaws.com/_plugin/kibana/#/discover/Steve-Slow-Train-Analysis-(2080s-and-2083s)?_g=(refreshInterval:(display:Off,section:0,value:0),time:(from:'2016-05-27 22:17:40-0600',mode:absolute,to:'2016-05-27 23:07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38" s="73" t="str">
        <f t="shared" si="55"/>
        <v>N</v>
      </c>
      <c r="Y138" s="73">
        <f t="shared" si="56"/>
        <v>1</v>
      </c>
      <c r="Z138" s="73">
        <f t="shared" si="57"/>
        <v>23.2957</v>
      </c>
      <c r="AA138" s="73">
        <f t="shared" si="58"/>
        <v>1.6299999999999999E-2</v>
      </c>
      <c r="AB138" s="73">
        <f t="shared" si="59"/>
        <v>23.279399999999999</v>
      </c>
      <c r="AC138" s="74" t="e">
        <f>VLOOKUP(A138,Enforcements!$C$3:$J$69,8,0)</f>
        <v>#N/A</v>
      </c>
      <c r="AD138" s="74" t="e">
        <f>VLOOKUP(A138,Enforcements!$C$3:$J$69,3,0)</f>
        <v>#N/A</v>
      </c>
    </row>
    <row r="139" spans="1:30" s="2" customFormat="1" x14ac:dyDescent="0.25">
      <c r="A139" s="60" t="s">
        <v>312</v>
      </c>
      <c r="B139" s="60">
        <v>4029</v>
      </c>
      <c r="C139" s="60" t="s">
        <v>62</v>
      </c>
      <c r="D139" s="60" t="s">
        <v>142</v>
      </c>
      <c r="E139" s="30">
        <v>42517.910868055558</v>
      </c>
      <c r="F139" s="30">
        <v>42517.912141203706</v>
      </c>
      <c r="G139" s="38">
        <v>1</v>
      </c>
      <c r="H139" s="30" t="s">
        <v>118</v>
      </c>
      <c r="I139" s="30">
        <v>42517.941446759258</v>
      </c>
      <c r="J139" s="60">
        <v>0</v>
      </c>
      <c r="K139" s="60" t="str">
        <f t="shared" si="52"/>
        <v>4029/4030</v>
      </c>
      <c r="L139" s="60" t="str">
        <f>VLOOKUP(A139,'Trips&amp;Operators'!$C$1:$E$9999,3,FALSE)</f>
        <v>YORK</v>
      </c>
      <c r="M139" s="12">
        <f t="shared" si="53"/>
        <v>2.9305555552127771E-2</v>
      </c>
      <c r="N139" s="13">
        <f t="shared" si="51"/>
        <v>42.19999999506399</v>
      </c>
      <c r="O139" s="13"/>
      <c r="P139" s="13"/>
      <c r="Q139" s="61"/>
      <c r="R139" s="61"/>
      <c r="S139" s="94">
        <f t="shared" si="49"/>
        <v>1</v>
      </c>
      <c r="T139" s="2" t="str">
        <f t="shared" si="50"/>
        <v>NorthBound</v>
      </c>
      <c r="U139" s="67">
        <f>COUNTIFS([3]Variables!$M$2:$M$19,IF(T139="NorthBound","&gt;=","&lt;=")&amp;Z139,[3]Variables!$M$2:$M$19,IF(T139="NorthBound","&lt;=","&gt;=")&amp;AA139)</f>
        <v>12</v>
      </c>
      <c r="W139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https://search-rtdc-monitor-bjffxe2xuh6vdkpspy63sjmuny.us-east-1.es.amazonaws.com/_plugin/kibana/#/discover/Steve-Slow-Train-Analysis-(2080s-and-2083s)?_g=(refreshInterval:(display:Off,section:0,value:0),time:(from:'2016-05-27 21:50:39-0600',mode:absolute,to:'2016-05-27 22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39" s="73" t="str">
        <f t="shared" si="55"/>
        <v>N</v>
      </c>
      <c r="Y139" s="73">
        <f t="shared" si="56"/>
        <v>1</v>
      </c>
      <c r="Z139" s="73">
        <f t="shared" si="57"/>
        <v>4.4400000000000002E-2</v>
      </c>
      <c r="AA139" s="73">
        <f t="shared" si="58"/>
        <v>23.331199999999999</v>
      </c>
      <c r="AB139" s="73">
        <f t="shared" si="59"/>
        <v>23.286799999999999</v>
      </c>
      <c r="AC139" s="74" t="e">
        <f>VLOOKUP(A139,Enforcements!$C$3:$J$69,8,0)</f>
        <v>#N/A</v>
      </c>
      <c r="AD139" s="74" t="e">
        <f>VLOOKUP(A139,Enforcements!$C$3:$J$69,3,0)</f>
        <v>#N/A</v>
      </c>
    </row>
    <row r="140" spans="1:30" s="2" customFormat="1" x14ac:dyDescent="0.25">
      <c r="A140" s="60" t="s">
        <v>313</v>
      </c>
      <c r="B140" s="60">
        <v>4030</v>
      </c>
      <c r="C140" s="60" t="s">
        <v>62</v>
      </c>
      <c r="D140" s="60" t="s">
        <v>150</v>
      </c>
      <c r="E140" s="30">
        <v>42517.952048611114</v>
      </c>
      <c r="F140" s="30">
        <v>42517.952939814815</v>
      </c>
      <c r="G140" s="38">
        <v>1</v>
      </c>
      <c r="H140" s="30" t="s">
        <v>126</v>
      </c>
      <c r="I140" s="30">
        <v>42517.981736111113</v>
      </c>
      <c r="J140" s="60">
        <v>0</v>
      </c>
      <c r="K140" s="60" t="str">
        <f t="shared" si="52"/>
        <v>4029/4030</v>
      </c>
      <c r="L140" s="60" t="str">
        <f>VLOOKUP(A140,'Trips&amp;Operators'!$C$1:$E$9999,3,FALSE)</f>
        <v>YORK</v>
      </c>
      <c r="M140" s="12">
        <f t="shared" si="53"/>
        <v>2.8796296297514345E-2</v>
      </c>
      <c r="N140" s="13">
        <f t="shared" si="51"/>
        <v>41.466666668420658</v>
      </c>
      <c r="O140" s="13"/>
      <c r="P140" s="13"/>
      <c r="Q140" s="61"/>
      <c r="R140" s="61"/>
      <c r="S140" s="94">
        <f t="shared" si="49"/>
        <v>1</v>
      </c>
      <c r="T140" s="2" t="str">
        <f t="shared" si="50"/>
        <v>Southbound</v>
      </c>
      <c r="U140" s="67">
        <f>COUNTIFS([3]Variables!$M$2:$M$19,IF(T140="NorthBound","&gt;=","&lt;=")&amp;Z140,[3]Variables!$M$2:$M$19,IF(T140="NorthBound","&lt;=","&gt;=")&amp;AA140)</f>
        <v>12</v>
      </c>
      <c r="W140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https://search-rtdc-monitor-bjffxe2xuh6vdkpspy63sjmuny.us-east-1.es.amazonaws.com/_plugin/kibana/#/discover/Steve-Slow-Train-Analysis-(2080s-and-2083s)?_g=(refreshInterval:(display:Off,section:0,value:0),time:(from:'2016-05-27 22:49:57-0600',mode:absolute,to:'2016-05-27 23:34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40" s="73" t="str">
        <f t="shared" si="55"/>
        <v>N</v>
      </c>
      <c r="Y140" s="73">
        <f t="shared" si="56"/>
        <v>1</v>
      </c>
      <c r="Z140" s="73">
        <f t="shared" si="57"/>
        <v>23.298400000000001</v>
      </c>
      <c r="AA140" s="73">
        <f t="shared" si="58"/>
        <v>1.5599999999999999E-2</v>
      </c>
      <c r="AB140" s="73">
        <f t="shared" si="59"/>
        <v>23.282800000000002</v>
      </c>
      <c r="AC140" s="74" t="e">
        <f>VLOOKUP(A140,Enforcements!$C$3:$J$69,8,0)</f>
        <v>#N/A</v>
      </c>
      <c r="AD140" s="74" t="e">
        <f>VLOOKUP(A140,Enforcements!$C$3:$J$69,3,0)</f>
        <v>#N/A</v>
      </c>
    </row>
    <row r="141" spans="1:30" s="2" customFormat="1" x14ac:dyDescent="0.25">
      <c r="A141" s="60" t="s">
        <v>314</v>
      </c>
      <c r="B141" s="60">
        <v>4016</v>
      </c>
      <c r="C141" s="60" t="s">
        <v>62</v>
      </c>
      <c r="D141" s="60" t="s">
        <v>72</v>
      </c>
      <c r="E141" s="30">
        <v>42517.931388888886</v>
      </c>
      <c r="F141" s="30">
        <v>42517.93236111111</v>
      </c>
      <c r="G141" s="38">
        <v>1</v>
      </c>
      <c r="H141" s="30" t="s">
        <v>315</v>
      </c>
      <c r="I141" s="30">
        <v>42517.963356481479</v>
      </c>
      <c r="J141" s="60">
        <v>0</v>
      </c>
      <c r="K141" s="60" t="str">
        <f t="shared" si="52"/>
        <v>4015/4016</v>
      </c>
      <c r="L141" s="60" t="str">
        <f>VLOOKUP(A141,'Trips&amp;Operators'!$C$1:$E$9999,3,FALSE)</f>
        <v>GRASTON</v>
      </c>
      <c r="M141" s="12">
        <f t="shared" si="53"/>
        <v>3.0995370369055308E-2</v>
      </c>
      <c r="N141" s="13">
        <f t="shared" si="51"/>
        <v>44.633333331439644</v>
      </c>
      <c r="O141" s="13"/>
      <c r="P141" s="13"/>
      <c r="Q141" s="61"/>
      <c r="R141" s="61"/>
      <c r="S141" s="94">
        <f t="shared" si="49"/>
        <v>1</v>
      </c>
      <c r="T141" s="2" t="str">
        <f t="shared" si="50"/>
        <v>NorthBound</v>
      </c>
      <c r="U141" s="67">
        <f>COUNTIFS([3]Variables!$M$2:$M$19,IF(T141="NorthBound","&gt;=","&lt;=")&amp;Z141,[3]Variables!$M$2:$M$19,IF(T141="NorthBound","&lt;=","&gt;=")&amp;AA141)</f>
        <v>12</v>
      </c>
      <c r="W141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https://search-rtdc-monitor-bjffxe2xuh6vdkpspy63sjmuny.us-east-1.es.amazonaws.com/_plugin/kibana/#/discover/Steve-Slow-Train-Analysis-(2080s-and-2083s)?_g=(refreshInterval:(display:Off,section:0,value:0),time:(from:'2016-05-27 22:20:12-0600',mode:absolute,to:'2016-05-27 23:08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41" s="73" t="str">
        <f t="shared" si="55"/>
        <v>N</v>
      </c>
      <c r="Y141" s="73">
        <f t="shared" si="56"/>
        <v>1</v>
      </c>
      <c r="Z141" s="73">
        <f t="shared" si="57"/>
        <v>4.6399999999999997E-2</v>
      </c>
      <c r="AA141" s="73">
        <f t="shared" si="58"/>
        <v>23.325900000000001</v>
      </c>
      <c r="AB141" s="73">
        <f t="shared" si="59"/>
        <v>23.279500000000002</v>
      </c>
      <c r="AC141" s="74" t="e">
        <f>VLOOKUP(A141,Enforcements!$C$3:$J$69,8,0)</f>
        <v>#N/A</v>
      </c>
      <c r="AD141" s="74" t="e">
        <f>VLOOKUP(A141,Enforcements!$C$3:$J$69,3,0)</f>
        <v>#N/A</v>
      </c>
    </row>
    <row r="142" spans="1:30" s="2" customFormat="1" x14ac:dyDescent="0.25">
      <c r="A142" s="60" t="s">
        <v>316</v>
      </c>
      <c r="B142" s="60">
        <v>4015</v>
      </c>
      <c r="C142" s="60" t="s">
        <v>62</v>
      </c>
      <c r="D142" s="60" t="s">
        <v>153</v>
      </c>
      <c r="E142" s="30">
        <v>42517.973958333336</v>
      </c>
      <c r="F142" s="30">
        <v>42517.97483796296</v>
      </c>
      <c r="G142" s="38">
        <v>1</v>
      </c>
      <c r="H142" s="30" t="s">
        <v>126</v>
      </c>
      <c r="I142" s="30">
        <v>42518.00309027778</v>
      </c>
      <c r="J142" s="60">
        <v>0</v>
      </c>
      <c r="K142" s="60" t="str">
        <f t="shared" si="52"/>
        <v>4015/4016</v>
      </c>
      <c r="L142" s="60" t="str">
        <f>VLOOKUP(A142,'Trips&amp;Operators'!$C$1:$E$9999,3,FALSE)</f>
        <v>GRASTON</v>
      </c>
      <c r="M142" s="12">
        <f t="shared" si="53"/>
        <v>2.825231481983792E-2</v>
      </c>
      <c r="N142" s="13">
        <f t="shared" si="51"/>
        <v>40.683333340566605</v>
      </c>
      <c r="O142" s="13"/>
      <c r="P142" s="13"/>
      <c r="Q142" s="61"/>
      <c r="R142" s="61"/>
      <c r="S142" s="94">
        <f t="shared" si="49"/>
        <v>1</v>
      </c>
      <c r="T142" s="2" t="str">
        <f t="shared" si="50"/>
        <v>Southbound</v>
      </c>
      <c r="U142" s="67">
        <f>COUNTIFS([3]Variables!$M$2:$M$19,IF(T142="NorthBound","&gt;=","&lt;=")&amp;Z142,[3]Variables!$M$2:$M$19,IF(T142="NorthBound","&lt;=","&gt;=")&amp;AA142)</f>
        <v>12</v>
      </c>
      <c r="W142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https://search-rtdc-monitor-bjffxe2xuh6vdkpspy63sjmuny.us-east-1.es.amazonaws.com/_plugin/kibana/#/discover/Steve-Slow-Train-Analysis-(2080s-and-2083s)?_g=(refreshInterval:(display:Off,section:0,value:0),time:(from:'2016-05-27 23:21:30-0600',mode:absolute,to:'2016-05-28 00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42" s="73" t="str">
        <f t="shared" si="55"/>
        <v>N</v>
      </c>
      <c r="Y142" s="73">
        <f t="shared" si="56"/>
        <v>1</v>
      </c>
      <c r="Z142" s="73">
        <f t="shared" si="57"/>
        <v>23.296299999999999</v>
      </c>
      <c r="AA142" s="73">
        <f t="shared" si="58"/>
        <v>1.5599999999999999E-2</v>
      </c>
      <c r="AB142" s="73">
        <f t="shared" si="59"/>
        <v>23.2807</v>
      </c>
      <c r="AC142" s="74" t="e">
        <f>VLOOKUP(A142,Enforcements!$C$3:$J$69,8,0)</f>
        <v>#N/A</v>
      </c>
      <c r="AD142" s="74" t="e">
        <f>VLOOKUP(A142,Enforcements!$C$3:$J$69,3,0)</f>
        <v>#N/A</v>
      </c>
    </row>
    <row r="143" spans="1:30" s="2" customFormat="1" x14ac:dyDescent="0.25">
      <c r="A143" s="60" t="s">
        <v>317</v>
      </c>
      <c r="B143" s="60">
        <v>4044</v>
      </c>
      <c r="C143" s="60" t="s">
        <v>62</v>
      </c>
      <c r="D143" s="60" t="s">
        <v>66</v>
      </c>
      <c r="E143" s="30">
        <v>42517.956261574072</v>
      </c>
      <c r="F143" s="30">
        <v>42517.957372685189</v>
      </c>
      <c r="G143" s="38">
        <v>1</v>
      </c>
      <c r="H143" s="30" t="s">
        <v>318</v>
      </c>
      <c r="I143" s="30">
        <v>42517.982060185182</v>
      </c>
      <c r="J143" s="60">
        <v>1</v>
      </c>
      <c r="K143" s="60" t="str">
        <f t="shared" si="52"/>
        <v>4043/4044</v>
      </c>
      <c r="L143" s="60" t="str">
        <f>VLOOKUP(A143,'Trips&amp;Operators'!$C$1:$E$9999,3,FALSE)</f>
        <v>ADANE</v>
      </c>
      <c r="M143" s="12">
        <f t="shared" si="53"/>
        <v>2.4687499993888196E-2</v>
      </c>
      <c r="N143" s="13"/>
      <c r="O143" s="13"/>
      <c r="P143" s="13">
        <f t="shared" si="51"/>
        <v>35.549999991199002</v>
      </c>
      <c r="Q143" s="61"/>
      <c r="R143" s="61" t="s">
        <v>437</v>
      </c>
      <c r="S143" s="94">
        <f t="shared" si="49"/>
        <v>1</v>
      </c>
      <c r="T143" s="2" t="str">
        <f t="shared" si="50"/>
        <v>NorthBound</v>
      </c>
      <c r="U143" s="67">
        <f>COUNTIFS([3]Variables!$M$2:$M$19,IF(T143="NorthBound","&gt;=","&lt;=")&amp;Z143,[3]Variables!$M$2:$M$19,IF(T143="NorthBound","&lt;=","&gt;=")&amp;AA143)</f>
        <v>12</v>
      </c>
      <c r="W143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https://search-rtdc-monitor-bjffxe2xuh6vdkpspy63sjmuny.us-east-1.es.amazonaws.com/_plugin/kibana/#/discover/Steve-Slow-Train-Analysis-(2080s-and-2083s)?_g=(refreshInterval:(display:Off,section:0,value:0),time:(from:'2016-05-27 22:56:01-0600',mode:absolute,to:'2016-05-27 23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43" s="73" t="str">
        <f t="shared" si="55"/>
        <v>Y</v>
      </c>
      <c r="Y143" s="73">
        <f t="shared" si="56"/>
        <v>1</v>
      </c>
      <c r="Z143" s="73">
        <f t="shared" si="57"/>
        <v>4.4699999999999997E-2</v>
      </c>
      <c r="AA143" s="73">
        <f t="shared" si="58"/>
        <v>22.370699999999999</v>
      </c>
      <c r="AB143" s="73">
        <f t="shared" si="59"/>
        <v>22.326000000000001</v>
      </c>
      <c r="AC143" s="74">
        <f>VLOOKUP(A143,Enforcements!$C$3:$J$69,8,0)</f>
        <v>224231</v>
      </c>
      <c r="AD143" s="74" t="str">
        <f>VLOOKUP(A143,Enforcements!$C$3:$J$69,3,0)</f>
        <v>SIGNAL</v>
      </c>
    </row>
    <row r="144" spans="1:30" s="2" customFormat="1" x14ac:dyDescent="0.25">
      <c r="A144" s="60" t="s">
        <v>319</v>
      </c>
      <c r="B144" s="60">
        <v>4043</v>
      </c>
      <c r="C144" s="60" t="s">
        <v>62</v>
      </c>
      <c r="D144" s="60" t="s">
        <v>150</v>
      </c>
      <c r="E144" s="30">
        <v>42517.994652777779</v>
      </c>
      <c r="F144" s="30">
        <v>42517.995717592596</v>
      </c>
      <c r="G144" s="38">
        <v>1</v>
      </c>
      <c r="H144" s="30" t="s">
        <v>123</v>
      </c>
      <c r="I144" s="30">
        <v>42518.024305555555</v>
      </c>
      <c r="J144" s="60">
        <v>2</v>
      </c>
      <c r="K144" s="60" t="str">
        <f t="shared" si="52"/>
        <v>4043/4044</v>
      </c>
      <c r="L144" s="60" t="str">
        <f>VLOOKUP(A144,'Trips&amp;Operators'!$C$1:$E$9999,3,FALSE)</f>
        <v>ADANE</v>
      </c>
      <c r="M144" s="12">
        <f t="shared" si="53"/>
        <v>2.8587962959136348E-2</v>
      </c>
      <c r="N144" s="13">
        <f t="shared" si="51"/>
        <v>41.166666661156341</v>
      </c>
      <c r="O144" s="13"/>
      <c r="P144" s="13"/>
      <c r="Q144" s="61"/>
      <c r="R144" s="61"/>
      <c r="S144" s="94">
        <f t="shared" si="49"/>
        <v>1</v>
      </c>
      <c r="T144" s="2" t="str">
        <f t="shared" si="50"/>
        <v>Southbound</v>
      </c>
      <c r="U144" s="67">
        <f>COUNTIFS([3]Variables!$M$2:$M$19,IF(T144="NorthBound","&gt;=","&lt;=")&amp;Z144,[3]Variables!$M$2:$M$19,IF(T144="NorthBound","&lt;=","&gt;=")&amp;AA144)</f>
        <v>12</v>
      </c>
      <c r="W144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https://search-rtdc-monitor-bjffxe2xuh6vdkpspy63sjmuny.us-east-1.es.amazonaws.com/_plugin/kibana/#/discover/Steve-Slow-Train-Analysis-(2080s-and-2083s)?_g=(refreshInterval:(display:Off,section:0,value:0),time:(from:'2016-05-27 23:51:18-0600',mode:absolute,to:'2016-05-28 00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4" s="73" t="str">
        <f t="shared" si="55"/>
        <v>N</v>
      </c>
      <c r="Y144" s="73">
        <f t="shared" si="56"/>
        <v>1</v>
      </c>
      <c r="Z144" s="73">
        <f t="shared" si="57"/>
        <v>23.298400000000001</v>
      </c>
      <c r="AA144" s="73">
        <f t="shared" si="58"/>
        <v>1.34E-2</v>
      </c>
      <c r="AB144" s="73">
        <f t="shared" si="59"/>
        <v>23.285</v>
      </c>
      <c r="AC144" s="74">
        <f>VLOOKUP(A144,Enforcements!$C$3:$J$69,8,0)</f>
        <v>1</v>
      </c>
      <c r="AD144" s="74" t="str">
        <f>VLOOKUP(A144,Enforcements!$C$3:$J$69,3,0)</f>
        <v>TRACK WARRANT AUTHORITY</v>
      </c>
    </row>
    <row r="145" spans="1:30" s="2" customFormat="1" x14ac:dyDescent="0.25">
      <c r="A145" s="60" t="s">
        <v>320</v>
      </c>
      <c r="B145" s="60">
        <v>4040</v>
      </c>
      <c r="C145" s="60" t="s">
        <v>62</v>
      </c>
      <c r="D145" s="60" t="s">
        <v>321</v>
      </c>
      <c r="E145" s="30">
        <v>42517.971666666665</v>
      </c>
      <c r="F145" s="30">
        <v>42517.972500000003</v>
      </c>
      <c r="G145" s="38">
        <v>1</v>
      </c>
      <c r="H145" s="30" t="s">
        <v>120</v>
      </c>
      <c r="I145" s="30">
        <v>42518.004756944443</v>
      </c>
      <c r="J145" s="60">
        <v>0</v>
      </c>
      <c r="K145" s="60" t="str">
        <f t="shared" si="52"/>
        <v>4039/4040</v>
      </c>
      <c r="L145" s="60" t="str">
        <f>VLOOKUP(A145,'Trips&amp;Operators'!$C$1:$E$9999,3,FALSE)</f>
        <v>LEVERE</v>
      </c>
      <c r="M145" s="12">
        <f t="shared" si="53"/>
        <v>3.2256944439723156E-2</v>
      </c>
      <c r="N145" s="13">
        <f t="shared" si="51"/>
        <v>46.449999993201345</v>
      </c>
      <c r="O145" s="13"/>
      <c r="P145" s="13"/>
      <c r="Q145" s="61"/>
      <c r="R145" s="61"/>
      <c r="S145" s="94">
        <f t="shared" si="49"/>
        <v>1</v>
      </c>
      <c r="T145" s="2" t="str">
        <f t="shared" si="50"/>
        <v>NorthBound</v>
      </c>
      <c r="U145" s="67">
        <f>COUNTIFS([3]Variables!$M$2:$M$19,IF(T145="NorthBound","&gt;=","&lt;=")&amp;Z145,[3]Variables!$M$2:$M$19,IF(T145="NorthBound","&lt;=","&gt;=")&amp;AA145)</f>
        <v>12</v>
      </c>
      <c r="W145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https://search-rtdc-monitor-bjffxe2xuh6vdkpspy63sjmuny.us-east-1.es.amazonaws.com/_plugin/kibana/#/discover/Steve-Slow-Train-Analysis-(2080s-and-2083s)?_g=(refreshInterval:(display:Off,section:0,value:0),time:(from:'2016-05-27 23:18:12-0600',mode:absolute,to:'2016-05-28 00:07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45" s="73" t="str">
        <f t="shared" si="55"/>
        <v>N</v>
      </c>
      <c r="Y145" s="73">
        <f t="shared" si="56"/>
        <v>1</v>
      </c>
      <c r="Z145" s="73">
        <f t="shared" si="57"/>
        <v>4.8899999999999999E-2</v>
      </c>
      <c r="AA145" s="73">
        <f t="shared" si="58"/>
        <v>23.328399999999998</v>
      </c>
      <c r="AB145" s="73">
        <f t="shared" si="59"/>
        <v>23.279499999999999</v>
      </c>
      <c r="AC145" s="74" t="e">
        <f>VLOOKUP(A145,Enforcements!$C$3:$J$69,8,0)</f>
        <v>#N/A</v>
      </c>
      <c r="AD145" s="74" t="e">
        <f>VLOOKUP(A145,Enforcements!$C$3:$J$69,3,0)</f>
        <v>#N/A</v>
      </c>
    </row>
    <row r="146" spans="1:30" s="2" customFormat="1" x14ac:dyDescent="0.25">
      <c r="A146" s="60" t="s">
        <v>322</v>
      </c>
      <c r="B146" s="60">
        <v>4039</v>
      </c>
      <c r="C146" s="60" t="s">
        <v>62</v>
      </c>
      <c r="D146" s="60" t="s">
        <v>234</v>
      </c>
      <c r="E146" s="30">
        <v>42518.013159722221</v>
      </c>
      <c r="F146" s="30">
        <v>42518.014918981484</v>
      </c>
      <c r="G146" s="38">
        <v>2</v>
      </c>
      <c r="H146" s="30" t="s">
        <v>90</v>
      </c>
      <c r="I146" s="30">
        <v>42518.045266203706</v>
      </c>
      <c r="J146" s="60">
        <v>0</v>
      </c>
      <c r="K146" s="60" t="str">
        <f t="shared" si="52"/>
        <v>4039/4040</v>
      </c>
      <c r="L146" s="60" t="str">
        <f>VLOOKUP(A146,'Trips&amp;Operators'!$C$1:$E$9999,3,FALSE)</f>
        <v>LEVERE</v>
      </c>
      <c r="M146" s="12">
        <f t="shared" si="53"/>
        <v>3.0347222222189885E-2</v>
      </c>
      <c r="N146" s="13">
        <f t="shared" si="51"/>
        <v>43.699999999953434</v>
      </c>
      <c r="O146" s="13"/>
      <c r="P146" s="13"/>
      <c r="Q146" s="61"/>
      <c r="R146" s="61"/>
      <c r="S146" s="94">
        <f t="shared" si="49"/>
        <v>1</v>
      </c>
      <c r="T146" s="2" t="str">
        <f t="shared" si="50"/>
        <v>Southbound</v>
      </c>
      <c r="U146" s="67">
        <f>COUNTIFS([3]Variables!$M$2:$M$19,IF(T146="NorthBound","&gt;=","&lt;=")&amp;Z146,[3]Variables!$M$2:$M$19,IF(T146="NorthBound","&lt;=","&gt;=")&amp;AA146)</f>
        <v>12</v>
      </c>
      <c r="W146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https://search-rtdc-monitor-bjffxe2xuh6vdkpspy63sjmuny.us-east-1.es.amazonaws.com/_plugin/kibana/#/discover/Steve-Slow-Train-Analysis-(2080s-and-2083s)?_g=(refreshInterval:(display:Off,section:0,value:0),time:(from:'2016-05-28 00:17:57-0600',mode:absolute,to:'2016-05-28 01:06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46" s="73" t="str">
        <f t="shared" si="55"/>
        <v>N</v>
      </c>
      <c r="Y146" s="73">
        <f t="shared" si="56"/>
        <v>1</v>
      </c>
      <c r="Z146" s="73">
        <f t="shared" si="57"/>
        <v>23.295500000000001</v>
      </c>
      <c r="AA146" s="73">
        <f t="shared" si="58"/>
        <v>1.6E-2</v>
      </c>
      <c r="AB146" s="73">
        <f t="shared" si="59"/>
        <v>23.279500000000002</v>
      </c>
      <c r="AC146" s="74" t="e">
        <f>VLOOKUP(A146,Enforcements!$C$3:$J$69,8,0)</f>
        <v>#N/A</v>
      </c>
      <c r="AD146" s="74" t="e">
        <f>VLOOKUP(A146,Enforcements!$C$3:$J$69,3,0)</f>
        <v>#N/A</v>
      </c>
    </row>
    <row r="147" spans="1:30" s="2" customFormat="1" x14ac:dyDescent="0.25">
      <c r="A147" s="60" t="s">
        <v>323</v>
      </c>
      <c r="B147" s="60">
        <v>4029</v>
      </c>
      <c r="C147" s="60" t="s">
        <v>62</v>
      </c>
      <c r="D147" s="60" t="s">
        <v>101</v>
      </c>
      <c r="E147" s="30">
        <v>42517.994016203702</v>
      </c>
      <c r="F147" s="30">
        <v>42517.99486111111</v>
      </c>
      <c r="G147" s="38">
        <v>1</v>
      </c>
      <c r="H147" s="30" t="s">
        <v>130</v>
      </c>
      <c r="I147" s="30">
        <v>42518.024467592593</v>
      </c>
      <c r="J147" s="60">
        <v>0</v>
      </c>
      <c r="K147" s="60" t="str">
        <f t="shared" si="45"/>
        <v>4029/4030</v>
      </c>
      <c r="L147" s="60" t="str">
        <f>VLOOKUP(A147,'Trips&amp;Operators'!$C$1:$E$9999,3,FALSE)</f>
        <v>YORK</v>
      </c>
      <c r="M147" s="12">
        <f t="shared" si="46"/>
        <v>2.9606481482915115E-2</v>
      </c>
      <c r="N147" s="13">
        <f t="shared" si="51"/>
        <v>42.633333335397765</v>
      </c>
      <c r="O147" s="13"/>
      <c r="P147" s="13"/>
      <c r="Q147" s="61"/>
      <c r="R147" s="61"/>
      <c r="S147" s="94">
        <f t="shared" si="49"/>
        <v>1</v>
      </c>
      <c r="T147" s="2" t="str">
        <f t="shared" si="50"/>
        <v>NorthBound</v>
      </c>
      <c r="U147" s="67">
        <f>COUNTIFS([3]Variables!$M$2:$M$19,IF(T147="NorthBound","&gt;=","&lt;=")&amp;Z147,[3]Variables!$M$2:$M$19,IF(T147="NorthBound","&lt;=","&gt;=")&amp;AA147)</f>
        <v>12</v>
      </c>
      <c r="W147" s="73" t="str">
        <f t="shared" si="54"/>
        <v>https://search-rtdc-monitor-bjffxe2xuh6vdkpspy63sjmuny.us-east-1.es.amazonaws.com/_plugin/kibana/#/discover/Steve-Slow-Train-Analysis-(2080s-and-2083s)?_g=(refreshInterval:(display:Off,section:0,value:0),time:(from:'2016-05-27 23:50:23-0600',mode:absolute,to:'2016-05-28 00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47" s="73" t="str">
        <f t="shared" si="55"/>
        <v>N</v>
      </c>
      <c r="Y147" s="73">
        <f t="shared" si="56"/>
        <v>1</v>
      </c>
      <c r="Z147" s="73">
        <f t="shared" si="57"/>
        <v>4.6600000000000003E-2</v>
      </c>
      <c r="AA147" s="73">
        <f t="shared" si="58"/>
        <v>23.329699999999999</v>
      </c>
      <c r="AB147" s="73">
        <f t="shared" si="59"/>
        <v>23.283099999999997</v>
      </c>
      <c r="AC147" s="74" t="e">
        <f>VLOOKUP(A147,Enforcements!$C$3:$J$69,8,0)</f>
        <v>#N/A</v>
      </c>
      <c r="AD147" s="74" t="e">
        <f>VLOOKUP(A147,Enforcements!$C$3:$J$69,3,0)</f>
        <v>#N/A</v>
      </c>
    </row>
    <row r="148" spans="1:30" s="2" customFormat="1" x14ac:dyDescent="0.25">
      <c r="A148" s="60" t="s">
        <v>324</v>
      </c>
      <c r="B148" s="60">
        <v>4030</v>
      </c>
      <c r="C148" s="60" t="s">
        <v>62</v>
      </c>
      <c r="D148" s="60" t="s">
        <v>274</v>
      </c>
      <c r="E148" s="30">
        <v>42518.031747685185</v>
      </c>
      <c r="F148" s="30">
        <v>42518.032465277778</v>
      </c>
      <c r="G148" s="38">
        <v>1</v>
      </c>
      <c r="H148" s="30" t="s">
        <v>265</v>
      </c>
      <c r="I148" s="30">
        <v>42518.068113425928</v>
      </c>
      <c r="J148" s="60">
        <v>2</v>
      </c>
      <c r="K148" s="60" t="str">
        <f t="shared" si="45"/>
        <v>4029/4030</v>
      </c>
      <c r="L148" s="60" t="str">
        <f>VLOOKUP(A148,'Trips&amp;Operators'!$C$1:$E$9999,3,FALSE)</f>
        <v>YORK</v>
      </c>
      <c r="M148" s="12">
        <f t="shared" si="46"/>
        <v>3.5648148150357883E-2</v>
      </c>
      <c r="N148" s="13">
        <f t="shared" si="51"/>
        <v>51.333333336515352</v>
      </c>
      <c r="O148" s="13"/>
      <c r="P148" s="13"/>
      <c r="Q148" s="61"/>
      <c r="R148" s="61"/>
      <c r="S148" s="94">
        <f t="shared" si="49"/>
        <v>1</v>
      </c>
      <c r="T148" s="2" t="str">
        <f t="shared" si="50"/>
        <v>Southbound</v>
      </c>
      <c r="U148" s="67">
        <f>COUNTIFS([3]Variables!$M$2:$M$19,IF(T148="NorthBound","&gt;=","&lt;=")&amp;Z148,[3]Variables!$M$2:$M$19,IF(T148="NorthBound","&lt;=","&gt;=")&amp;AA148)</f>
        <v>12</v>
      </c>
      <c r="W148" s="73" t="str">
        <f t="shared" ref="W148:W152" si="60"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https://search-rtdc-monitor-bjffxe2xuh6vdkpspy63sjmuny.us-east-1.es.amazonaws.com/_plugin/kibana/#/discover/Steve-Slow-Train-Analysis-(2080s-and-2083s)?_g=(refreshInterval:(display:Off,section:0,value:0),time:(from:'2016-05-28 00:44:43-0600',mode:absolute,to:'2016-05-28 01:39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48" s="73" t="str">
        <f t="shared" ref="X148:X152" si="61">IF(AB148&lt;23,"Y","N")</f>
        <v>N</v>
      </c>
      <c r="Y148" s="73">
        <f t="shared" ref="Y148:Y152" si="62">VALUE(LEFT(A148,3))-VALUE(LEFT(A147,3))</f>
        <v>1</v>
      </c>
      <c r="Z148" s="73">
        <f t="shared" ref="Z148:Z152" si="63">RIGHT(D148,LEN(D148)-4)/10000</f>
        <v>23.297999999999998</v>
      </c>
      <c r="AA148" s="73">
        <f t="shared" ref="AA148:AA152" si="64">RIGHT(H148,LEN(H148)-4)/10000</f>
        <v>1.61E-2</v>
      </c>
      <c r="AB148" s="73">
        <f t="shared" ref="AB148:AB152" si="65">ABS(AA148-Z148)</f>
        <v>23.281899999999997</v>
      </c>
      <c r="AC148" s="74" t="e">
        <f>VLOOKUP(A148,Enforcements!$C$3:$J$69,8,0)</f>
        <v>#N/A</v>
      </c>
      <c r="AD148" s="74" t="e">
        <f>VLOOKUP(A148,Enforcements!$C$3:$J$69,3,0)</f>
        <v>#N/A</v>
      </c>
    </row>
    <row r="149" spans="1:30" s="2" customFormat="1" x14ac:dyDescent="0.25">
      <c r="A149" s="60" t="s">
        <v>325</v>
      </c>
      <c r="B149" s="60">
        <v>4016</v>
      </c>
      <c r="C149" s="60" t="s">
        <v>62</v>
      </c>
      <c r="D149" s="60" t="s">
        <v>106</v>
      </c>
      <c r="E149" s="30">
        <v>42518.016539351855</v>
      </c>
      <c r="F149" s="30">
        <v>42518.017141203702</v>
      </c>
      <c r="G149" s="38">
        <v>0</v>
      </c>
      <c r="H149" s="30" t="s">
        <v>117</v>
      </c>
      <c r="I149" s="30">
        <v>42518.046319444446</v>
      </c>
      <c r="J149" s="60">
        <v>0</v>
      </c>
      <c r="K149" s="60" t="str">
        <f t="shared" si="45"/>
        <v>4015/4016</v>
      </c>
      <c r="L149" s="60" t="str">
        <f>VLOOKUP(A149,'Trips&amp;Operators'!$C$1:$E$9999,3,FALSE)</f>
        <v>GRASTON</v>
      </c>
      <c r="M149" s="12">
        <f t="shared" si="46"/>
        <v>2.9178240743931383E-2</v>
      </c>
      <c r="N149" s="13">
        <f t="shared" si="51"/>
        <v>42.016666671261191</v>
      </c>
      <c r="O149" s="13"/>
      <c r="P149" s="13"/>
      <c r="Q149" s="61"/>
      <c r="R149" s="61"/>
      <c r="S149" s="94">
        <f t="shared" ref="S149:S152" si="66">SUM(U149:U149)/12</f>
        <v>1</v>
      </c>
      <c r="T149" s="2" t="str">
        <f t="shared" ref="T149:T152" si="67">IF(ISEVEN(LEFT(A149,3)),"Southbound","NorthBound")</f>
        <v>NorthBound</v>
      </c>
      <c r="U149" s="67">
        <f>COUNTIFS([3]Variables!$M$2:$M$19,IF(T149="NorthBound","&gt;=","&lt;=")&amp;Z149,[3]Variables!$M$2:$M$19,IF(T149="NorthBound","&lt;=","&gt;=")&amp;AA149)</f>
        <v>12</v>
      </c>
      <c r="W149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https://search-rtdc-monitor-bjffxe2xuh6vdkpspy63sjmuny.us-east-1.es.amazonaws.com/_plugin/kibana/#/discover/Steve-Slow-Train-Analysis-(2080s-and-2083s)?_g=(refreshInterval:(display:Off,section:0,value:0),time:(from:'2016-05-28 00:22:49-0600',mode:absolute,to:'2016-05-28 01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49" s="73" t="str">
        <f t="shared" si="61"/>
        <v>N</v>
      </c>
      <c r="Y149" s="73">
        <f t="shared" si="62"/>
        <v>1</v>
      </c>
      <c r="Z149" s="73">
        <f t="shared" si="63"/>
        <v>4.6199999999999998E-2</v>
      </c>
      <c r="AA149" s="73">
        <f t="shared" si="64"/>
        <v>23.327999999999999</v>
      </c>
      <c r="AB149" s="73">
        <f t="shared" si="65"/>
        <v>23.2818</v>
      </c>
      <c r="AC149" s="74" t="e">
        <f>VLOOKUP(A149,Enforcements!$C$3:$J$69,8,0)</f>
        <v>#N/A</v>
      </c>
      <c r="AD149" s="74" t="e">
        <f>VLOOKUP(A149,Enforcements!$C$3:$J$69,3,0)</f>
        <v>#N/A</v>
      </c>
    </row>
    <row r="150" spans="1:30" s="2" customFormat="1" x14ac:dyDescent="0.25">
      <c r="A150" s="60" t="s">
        <v>326</v>
      </c>
      <c r="B150" s="60">
        <v>4015</v>
      </c>
      <c r="C150" s="60" t="s">
        <v>62</v>
      </c>
      <c r="D150" s="60" t="s">
        <v>150</v>
      </c>
      <c r="E150" s="30">
        <v>42518.057060185187</v>
      </c>
      <c r="F150" s="30">
        <v>42518.057754629626</v>
      </c>
      <c r="G150" s="38">
        <v>0</v>
      </c>
      <c r="H150" s="30" t="s">
        <v>265</v>
      </c>
      <c r="I150" s="30">
        <v>42518.085462962961</v>
      </c>
      <c r="J150" s="60">
        <v>0</v>
      </c>
      <c r="K150" s="60" t="str">
        <f t="shared" si="45"/>
        <v>4015/4016</v>
      </c>
      <c r="L150" s="60" t="str">
        <f>VLOOKUP(A150,'Trips&amp;Operators'!$C$1:$E$9999,3,FALSE)</f>
        <v>GRASTON</v>
      </c>
      <c r="M150" s="12">
        <f t="shared" si="46"/>
        <v>2.7708333334885538E-2</v>
      </c>
      <c r="N150" s="13">
        <f t="shared" si="51"/>
        <v>39.900000002235174</v>
      </c>
      <c r="O150" s="13"/>
      <c r="P150" s="13"/>
      <c r="Q150" s="61"/>
      <c r="R150" s="61"/>
      <c r="S150" s="94">
        <f t="shared" si="66"/>
        <v>1</v>
      </c>
      <c r="T150" s="2" t="str">
        <f t="shared" si="67"/>
        <v>Southbound</v>
      </c>
      <c r="U150" s="67">
        <f>COUNTIFS([3]Variables!$M$2:$M$19,IF(T150="NorthBound","&gt;=","&lt;=")&amp;Z150,[3]Variables!$M$2:$M$19,IF(T150="NorthBound","&lt;=","&gt;=")&amp;AA150)</f>
        <v>12</v>
      </c>
      <c r="W150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https://search-rtdc-monitor-bjffxe2xuh6vdkpspy63sjmuny.us-east-1.es.amazonaws.com/_plugin/kibana/#/discover/Steve-Slow-Train-Analysis-(2080s-and-2083s)?_g=(refreshInterval:(display:Off,section:0,value:0),time:(from:'2016-05-28 01:21:10-0600',mode:absolute,to:'2016-05-28 02:04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50" s="73" t="str">
        <f t="shared" si="61"/>
        <v>N</v>
      </c>
      <c r="Y150" s="73">
        <f t="shared" si="62"/>
        <v>1</v>
      </c>
      <c r="Z150" s="73">
        <f t="shared" si="63"/>
        <v>23.298400000000001</v>
      </c>
      <c r="AA150" s="73">
        <f t="shared" si="64"/>
        <v>1.61E-2</v>
      </c>
      <c r="AB150" s="73">
        <f t="shared" si="65"/>
        <v>23.282299999999999</v>
      </c>
      <c r="AC150" s="74" t="e">
        <f>VLOOKUP(A150,Enforcements!$C$3:$J$69,8,0)</f>
        <v>#N/A</v>
      </c>
      <c r="AD150" s="74" t="e">
        <f>VLOOKUP(A150,Enforcements!$C$3:$J$69,3,0)</f>
        <v>#N/A</v>
      </c>
    </row>
    <row r="151" spans="1:30" s="2" customFormat="1" x14ac:dyDescent="0.25">
      <c r="A151" s="60" t="s">
        <v>327</v>
      </c>
      <c r="B151" s="60">
        <v>4044</v>
      </c>
      <c r="C151" s="60" t="s">
        <v>62</v>
      </c>
      <c r="D151" s="60" t="s">
        <v>101</v>
      </c>
      <c r="E151" s="30">
        <v>42518.038287037038</v>
      </c>
      <c r="F151" s="30">
        <v>42518.039293981485</v>
      </c>
      <c r="G151" s="38">
        <v>1</v>
      </c>
      <c r="H151" s="30" t="s">
        <v>328</v>
      </c>
      <c r="I151" s="30">
        <v>42518.067766203705</v>
      </c>
      <c r="J151" s="60">
        <v>0</v>
      </c>
      <c r="K151" s="60" t="str">
        <f t="shared" si="45"/>
        <v>4043/4044</v>
      </c>
      <c r="L151" s="60" t="str">
        <f>VLOOKUP(A151,'Trips&amp;Operators'!$C$1:$E$9999,3,FALSE)</f>
        <v>ADANE</v>
      </c>
      <c r="M151" s="12">
        <f t="shared" si="46"/>
        <v>2.8472222220443655E-2</v>
      </c>
      <c r="N151" s="13">
        <f t="shared" si="51"/>
        <v>40.999999997438863</v>
      </c>
      <c r="O151" s="13"/>
      <c r="P151" s="13"/>
      <c r="Q151" s="61"/>
      <c r="R151" s="61"/>
      <c r="S151" s="94">
        <f t="shared" si="66"/>
        <v>1</v>
      </c>
      <c r="T151" s="2" t="str">
        <f t="shared" si="67"/>
        <v>NorthBound</v>
      </c>
      <c r="U151" s="67">
        <f>COUNTIFS([3]Variables!$M$2:$M$19,IF(T151="NorthBound","&gt;=","&lt;=")&amp;Z151,[3]Variables!$M$2:$M$19,IF(T151="NorthBound","&lt;=","&gt;=")&amp;AA151)</f>
        <v>12</v>
      </c>
      <c r="W151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https://search-rtdc-monitor-bjffxe2xuh6vdkpspy63sjmuny.us-east-1.es.amazonaws.com/_plugin/kibana/#/discover/Steve-Slow-Train-Analysis-(2080s-and-2083s)?_g=(refreshInterval:(display:Off,section:0,value:0),time:(from:'2016-05-28 00:54:08-0600',mode:absolute,to:'2016-05-28 01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51" s="73" t="str">
        <f t="shared" si="61"/>
        <v>N</v>
      </c>
      <c r="Y151" s="73">
        <f t="shared" si="62"/>
        <v>1</v>
      </c>
      <c r="Z151" s="73">
        <f t="shared" si="63"/>
        <v>4.6600000000000003E-2</v>
      </c>
      <c r="AA151" s="73">
        <f t="shared" si="64"/>
        <v>23.3322</v>
      </c>
      <c r="AB151" s="73">
        <f t="shared" si="65"/>
        <v>23.285599999999999</v>
      </c>
      <c r="AC151" s="74" t="e">
        <f>VLOOKUP(A151,Enforcements!$C$3:$J$69,8,0)</f>
        <v>#N/A</v>
      </c>
      <c r="AD151" s="74" t="e">
        <f>VLOOKUP(A151,Enforcements!$C$3:$J$69,3,0)</f>
        <v>#N/A</v>
      </c>
    </row>
    <row r="152" spans="1:30" s="2" customFormat="1" x14ac:dyDescent="0.25">
      <c r="A152" s="60" t="s">
        <v>329</v>
      </c>
      <c r="B152" s="60">
        <v>4043</v>
      </c>
      <c r="C152" s="60" t="s">
        <v>62</v>
      </c>
      <c r="D152" s="60" t="s">
        <v>308</v>
      </c>
      <c r="E152" s="30">
        <v>42518.076874999999</v>
      </c>
      <c r="F152" s="30">
        <v>42518.078287037039</v>
      </c>
      <c r="G152" s="38">
        <v>2</v>
      </c>
      <c r="H152" s="30" t="s">
        <v>160</v>
      </c>
      <c r="I152" s="30">
        <v>42518.107453703706</v>
      </c>
      <c r="J152" s="60">
        <v>1</v>
      </c>
      <c r="K152" s="60" t="str">
        <f t="shared" si="45"/>
        <v>4043/4044</v>
      </c>
      <c r="L152" s="60" t="e">
        <f>VLOOKUP(A152,'Trips&amp;Operators'!$C$1:$E$9999,3,FALSE)</f>
        <v>#N/A</v>
      </c>
      <c r="M152" s="12">
        <f t="shared" si="46"/>
        <v>2.9166666667151731E-2</v>
      </c>
      <c r="N152" s="13">
        <f t="shared" si="51"/>
        <v>42.000000000698492</v>
      </c>
      <c r="O152" s="13"/>
      <c r="P152" s="13"/>
      <c r="Q152" s="61"/>
      <c r="R152" s="61"/>
      <c r="S152" s="94">
        <f t="shared" si="66"/>
        <v>1</v>
      </c>
      <c r="T152" s="2" t="str">
        <f t="shared" si="67"/>
        <v>Southbound</v>
      </c>
      <c r="U152" s="67">
        <f>COUNTIFS([3]Variables!$M$2:$M$19,IF(T152="NorthBound","&gt;=","&lt;=")&amp;Z152,[3]Variables!$M$2:$M$19,IF(T152="NorthBound","&lt;=","&gt;=")&amp;AA152)</f>
        <v>12</v>
      </c>
      <c r="W152" s="73" t="str">
        <f t="shared" si="60"/>
        <v>https://search-rtdc-monitor-bjffxe2xuh6vdkpspy63sjmuny.us-east-1.es.amazonaws.com/_plugin/kibana/#/discover/Steve-Slow-Train-Analysis-(2080s-and-2083s)?_g=(refreshInterval:(display:Off,section:0,value:0),time:(from:'2016-05-28 01:49:42-0600',mode:absolute,to:'2016-05-28 02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52" s="73" t="str">
        <f t="shared" si="61"/>
        <v>N</v>
      </c>
      <c r="Y152" s="73">
        <f t="shared" si="62"/>
        <v>1</v>
      </c>
      <c r="Z152" s="73">
        <f t="shared" si="63"/>
        <v>23.298999999999999</v>
      </c>
      <c r="AA152" s="73">
        <f t="shared" si="64"/>
        <v>1.6899999999999998E-2</v>
      </c>
      <c r="AB152" s="73">
        <f t="shared" si="65"/>
        <v>23.2821</v>
      </c>
      <c r="AC152" s="74" t="e">
        <f>VLOOKUP(A152,Enforcements!$C$3:$J$69,8,0)</f>
        <v>#N/A</v>
      </c>
      <c r="AD152" s="74" t="e">
        <f>VLOOKUP(A152,Enforcements!$C$3:$J$69,3,0)</f>
        <v>#N/A</v>
      </c>
    </row>
    <row r="153" spans="1:30" s="2" customFormat="1" ht="15.75" thickBot="1" x14ac:dyDescent="0.3">
      <c r="A153" s="62"/>
      <c r="B153" s="62"/>
      <c r="C153" s="62"/>
      <c r="D153" s="62"/>
      <c r="E153" s="63"/>
      <c r="F153" s="63"/>
      <c r="G153" s="64"/>
      <c r="H153" s="63"/>
      <c r="I153" s="63"/>
      <c r="J153" s="62"/>
      <c r="K153" s="62"/>
      <c r="L153" s="62"/>
      <c r="M153" s="65"/>
      <c r="N153" s="66"/>
      <c r="O153" s="66"/>
      <c r="P153" s="66"/>
      <c r="Q153" s="67"/>
      <c r="R153" s="67"/>
      <c r="S153" s="94"/>
      <c r="U153" s="67"/>
      <c r="W153" s="68"/>
      <c r="X153" s="68"/>
      <c r="Y153" s="68"/>
      <c r="Z153" s="68"/>
      <c r="AA153" s="68"/>
      <c r="AB153" s="68"/>
      <c r="AC153" s="69"/>
      <c r="AD153" s="69"/>
    </row>
    <row r="154" spans="1:30" s="2" customFormat="1" ht="15.75" thickBot="1" x14ac:dyDescent="0.3">
      <c r="E154" s="31"/>
      <c r="F154" s="31"/>
      <c r="G154" s="39"/>
      <c r="H154" s="31"/>
      <c r="I154" s="85">
        <f>Variables!A2</f>
        <v>42517</v>
      </c>
      <c r="J154" s="86"/>
      <c r="K154" s="75"/>
      <c r="L154" s="75"/>
      <c r="M154" s="87" t="s">
        <v>8</v>
      </c>
      <c r="N154" s="88"/>
      <c r="O154" s="89"/>
      <c r="P154" s="5"/>
      <c r="S154" s="94"/>
      <c r="T154" s="59"/>
      <c r="U154" s="67"/>
      <c r="W154" s="56"/>
      <c r="X154" s="56"/>
      <c r="Y154" s="56"/>
      <c r="Z154" s="56"/>
      <c r="AA154" s="56"/>
      <c r="AB154" s="56"/>
      <c r="AC154" s="57"/>
      <c r="AD154" s="57"/>
    </row>
    <row r="155" spans="1:30" s="2" customFormat="1" ht="15.75" thickBot="1" x14ac:dyDescent="0.3">
      <c r="E155" s="31"/>
      <c r="F155" s="31"/>
      <c r="G155" s="39"/>
      <c r="H155" s="31"/>
      <c r="I155" s="90" t="s">
        <v>10</v>
      </c>
      <c r="J155" s="91"/>
      <c r="K155" s="35"/>
      <c r="L155" s="58"/>
      <c r="M155" s="9" t="s">
        <v>11</v>
      </c>
      <c r="N155" s="6" t="s">
        <v>12</v>
      </c>
      <c r="O155" s="7" t="s">
        <v>13</v>
      </c>
      <c r="P155" s="5"/>
      <c r="S155" s="59"/>
      <c r="T155" s="59"/>
      <c r="U155" s="59"/>
      <c r="W155" s="56"/>
      <c r="X155" s="56"/>
      <c r="Y155" s="56"/>
      <c r="Z155" s="56"/>
      <c r="AA155" s="56"/>
      <c r="AB155" s="56"/>
      <c r="AC155" s="57"/>
      <c r="AD155" s="57"/>
    </row>
    <row r="156" spans="1:30" s="2" customFormat="1" ht="15.75" thickBot="1" x14ac:dyDescent="0.3">
      <c r="E156" s="31"/>
      <c r="F156" s="31"/>
      <c r="G156" s="39"/>
      <c r="H156" s="31"/>
      <c r="I156" s="32" t="s">
        <v>14</v>
      </c>
      <c r="J156" s="3">
        <f>COUNT(N3:P152)</f>
        <v>144</v>
      </c>
      <c r="K156" s="3"/>
      <c r="L156" s="3"/>
      <c r="M156" s="70" t="s">
        <v>15</v>
      </c>
      <c r="N156" s="6" t="s">
        <v>15</v>
      </c>
      <c r="O156" s="7" t="s">
        <v>15</v>
      </c>
      <c r="P156" s="5"/>
      <c r="S156" s="59"/>
      <c r="T156" s="59"/>
      <c r="U156" s="59"/>
      <c r="W156" s="56"/>
      <c r="X156" s="56"/>
      <c r="Y156" s="56"/>
      <c r="Z156" s="56"/>
      <c r="AA156" s="56"/>
      <c r="AB156" s="56"/>
      <c r="AC156" s="57"/>
      <c r="AD156" s="57"/>
    </row>
    <row r="157" spans="1:30" s="2" customFormat="1" ht="15.75" thickBot="1" x14ac:dyDescent="0.3">
      <c r="E157" s="31"/>
      <c r="F157" s="31"/>
      <c r="G157" s="39"/>
      <c r="H157" s="31"/>
      <c r="I157" s="32" t="s">
        <v>17</v>
      </c>
      <c r="J157" s="3">
        <f>COUNT(N3:N152)</f>
        <v>136</v>
      </c>
      <c r="K157" s="3"/>
      <c r="L157" s="3"/>
      <c r="M157" s="70">
        <f>AVERAGE(N3:N152)</f>
        <v>43.309558823504418</v>
      </c>
      <c r="N157" s="6">
        <f>MIN(N3:N152)</f>
        <v>36.333333329530433</v>
      </c>
      <c r="O157" s="7">
        <f>MAX(N3:N152)</f>
        <v>55.783333329018205</v>
      </c>
      <c r="P157" s="5"/>
      <c r="S157" s="59"/>
      <c r="T157" s="59"/>
      <c r="U157" s="59"/>
      <c r="W157" s="56"/>
      <c r="X157" s="56"/>
      <c r="Y157" s="56"/>
      <c r="Z157" s="56"/>
      <c r="AA157" s="56"/>
      <c r="AB157" s="56"/>
      <c r="AC157" s="57"/>
      <c r="AD157" s="57"/>
    </row>
    <row r="158" spans="1:30" s="2" customFormat="1" ht="15.75" thickBot="1" x14ac:dyDescent="0.3">
      <c r="B158" s="59"/>
      <c r="C158" s="59"/>
      <c r="D158" s="59"/>
      <c r="E158" s="14"/>
      <c r="F158" s="14"/>
      <c r="G158" s="40"/>
      <c r="H158" s="14"/>
      <c r="I158" s="33" t="s">
        <v>45</v>
      </c>
      <c r="J158" s="3">
        <f>COUNT(O3:O152)</f>
        <v>0</v>
      </c>
      <c r="K158" s="3"/>
      <c r="L158" s="3"/>
      <c r="M158" s="70">
        <f>IFERROR(AVERAGE(O3:O152),0)</f>
        <v>0</v>
      </c>
      <c r="N158" s="6">
        <f>MIN(O3:O152)</f>
        <v>0</v>
      </c>
      <c r="O158" s="7">
        <f>MAX(O3:O152)</f>
        <v>0</v>
      </c>
      <c r="P158" s="4"/>
      <c r="Q158"/>
      <c r="R158"/>
      <c r="S158" s="59"/>
      <c r="T158" s="59"/>
      <c r="U158" s="59"/>
      <c r="V158"/>
      <c r="W158" s="54"/>
      <c r="X158" s="54"/>
      <c r="Y158" s="54"/>
      <c r="Z158" s="54"/>
      <c r="AA158" s="54"/>
      <c r="AB158" s="54"/>
      <c r="AC158" s="55"/>
      <c r="AD158" s="55"/>
    </row>
    <row r="159" spans="1:30" s="2" customFormat="1" ht="15.75" thickBot="1" x14ac:dyDescent="0.3">
      <c r="B159" s="59"/>
      <c r="C159" s="59"/>
      <c r="D159" s="59"/>
      <c r="E159" s="14"/>
      <c r="F159" s="14"/>
      <c r="G159" s="40"/>
      <c r="H159" s="14"/>
      <c r="I159" s="34" t="s">
        <v>9</v>
      </c>
      <c r="J159" s="3">
        <f>COUNT(P3:P152)</f>
        <v>8</v>
      </c>
      <c r="K159" s="3"/>
      <c r="L159" s="3"/>
      <c r="M159" s="70" t="s">
        <v>15</v>
      </c>
      <c r="N159" s="6" t="s">
        <v>15</v>
      </c>
      <c r="O159" s="7" t="s">
        <v>15</v>
      </c>
      <c r="P159" s="4"/>
      <c r="Q159"/>
      <c r="R159"/>
      <c r="V159"/>
      <c r="W159" s="54"/>
      <c r="X159" s="54"/>
      <c r="Y159" s="54"/>
      <c r="Z159" s="54"/>
      <c r="AA159" s="54"/>
      <c r="AB159" s="54"/>
      <c r="AC159" s="55"/>
      <c r="AD159" s="55"/>
    </row>
    <row r="160" spans="1:30" s="2" customFormat="1" ht="30.75" thickBot="1" x14ac:dyDescent="0.3">
      <c r="E160" s="31"/>
      <c r="F160" s="31"/>
      <c r="G160" s="39"/>
      <c r="H160" s="31"/>
      <c r="I160" s="32" t="s">
        <v>16</v>
      </c>
      <c r="J160" s="3">
        <f>COUNT(N3:O152)</f>
        <v>136</v>
      </c>
      <c r="K160" s="3"/>
      <c r="L160" s="3"/>
      <c r="M160" s="70">
        <f>AVERAGE(N3:P152)</f>
        <v>42.940740740596084</v>
      </c>
      <c r="N160" s="6">
        <f>MIN(N3:O152)</f>
        <v>36.333333329530433</v>
      </c>
      <c r="O160" s="7">
        <f>MAX(N3:O152)</f>
        <v>55.783333329018205</v>
      </c>
      <c r="P160" s="5"/>
      <c r="W160" s="56"/>
      <c r="X160" s="56"/>
      <c r="Y160" s="56"/>
      <c r="Z160" s="56"/>
      <c r="AA160" s="56"/>
      <c r="AB160" s="56"/>
      <c r="AC160" s="57"/>
      <c r="AD160" s="57"/>
    </row>
    <row r="161" spans="2:30" s="2" customFormat="1" ht="30.75" thickBot="1" x14ac:dyDescent="0.3">
      <c r="B161" s="59"/>
      <c r="C161" s="59"/>
      <c r="D161" s="59"/>
      <c r="E161" s="14"/>
      <c r="F161" s="14"/>
      <c r="G161" s="40"/>
      <c r="H161" s="14"/>
      <c r="I161" s="32" t="s">
        <v>19</v>
      </c>
      <c r="J161" s="8">
        <f>J160/J156</f>
        <v>0.94444444444444442</v>
      </c>
      <c r="K161" s="8"/>
      <c r="L161" s="8"/>
      <c r="M161" s="1"/>
      <c r="N161" s="4"/>
      <c r="O161" s="4"/>
      <c r="P161" s="4"/>
      <c r="Q161"/>
      <c r="R161"/>
      <c r="S161" s="59"/>
      <c r="T161" s="59"/>
      <c r="U161" s="59"/>
      <c r="V161"/>
      <c r="W161" s="54"/>
      <c r="X161" s="54"/>
      <c r="Y161" s="54"/>
      <c r="Z161" s="54"/>
      <c r="AA161" s="54"/>
      <c r="AB161" s="54"/>
      <c r="AC161" s="55"/>
      <c r="AD161" s="55"/>
    </row>
    <row r="162" spans="2:30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 s="59"/>
      <c r="T162" s="59"/>
      <c r="U162" s="59"/>
      <c r="V162"/>
      <c r="W162" s="54"/>
      <c r="X162" s="54"/>
      <c r="Y162" s="54"/>
      <c r="Z162" s="54"/>
      <c r="AA162" s="54"/>
      <c r="AB162" s="54"/>
      <c r="AC162" s="55"/>
      <c r="AD162" s="55"/>
    </row>
    <row r="163" spans="2:30" s="2" customFormat="1" ht="45" x14ac:dyDescent="0.25">
      <c r="B163" s="59"/>
      <c r="C163" s="59"/>
      <c r="D163" s="59"/>
      <c r="E163" s="14"/>
      <c r="F163" s="14"/>
      <c r="G163" s="40"/>
      <c r="H163" s="14"/>
      <c r="I163" s="95" t="s">
        <v>448</v>
      </c>
      <c r="J163" s="96" t="s">
        <v>449</v>
      </c>
      <c r="K163" s="96" t="s">
        <v>450</v>
      </c>
      <c r="L163" s="97" t="s">
        <v>451</v>
      </c>
      <c r="M163" s="1"/>
      <c r="N163" s="4"/>
      <c r="O163" s="4"/>
      <c r="P163" s="4"/>
      <c r="Q163"/>
      <c r="R163"/>
      <c r="S163" s="59"/>
      <c r="T163" s="59"/>
      <c r="U163" s="59"/>
      <c r="V163"/>
      <c r="W163" s="54"/>
      <c r="X163" s="54"/>
      <c r="Y163" s="54"/>
      <c r="Z163" s="54"/>
      <c r="AA163" s="54"/>
      <c r="AB163" s="54"/>
      <c r="AC163" s="55"/>
      <c r="AD163" s="55"/>
    </row>
    <row r="164" spans="2:30" s="2" customFormat="1" x14ac:dyDescent="0.25">
      <c r="B164" s="59"/>
      <c r="C164" s="59"/>
      <c r="D164" s="59"/>
      <c r="E164" s="14"/>
      <c r="F164" s="14"/>
      <c r="G164" s="40"/>
      <c r="H164" s="14"/>
      <c r="I164" s="40">
        <f>J160</f>
        <v>136</v>
      </c>
      <c r="J164" s="59">
        <f>J159</f>
        <v>8</v>
      </c>
      <c r="K164" s="98">
        <f>J161</f>
        <v>0.94444444444444442</v>
      </c>
      <c r="L164" s="99">
        <f>AVERAGE(S:S)</f>
        <v>0.94333333333333336</v>
      </c>
      <c r="M164" s="1"/>
      <c r="N164" s="4"/>
      <c r="O164" s="4"/>
      <c r="P164" s="4"/>
      <c r="Q164"/>
      <c r="R164"/>
      <c r="S164" s="59"/>
      <c r="T164" s="59"/>
      <c r="U164" s="59"/>
      <c r="V164"/>
      <c r="W164" s="54"/>
      <c r="X164" s="54"/>
      <c r="Y164" s="54"/>
      <c r="Z164" s="54"/>
      <c r="AA164" s="54"/>
      <c r="AB164" s="54"/>
      <c r="AC164" s="55"/>
      <c r="AD164" s="55"/>
    </row>
    <row r="165" spans="2:30" s="2" customFormat="1" x14ac:dyDescent="0.25">
      <c r="B165" s="59"/>
      <c r="C165" s="59"/>
      <c r="D165" s="59"/>
      <c r="E165" s="14"/>
      <c r="F165" s="14"/>
      <c r="G165" s="40"/>
      <c r="H165" s="14"/>
      <c r="I165" s="14"/>
      <c r="J165" s="59"/>
      <c r="K165"/>
      <c r="L165" s="59"/>
      <c r="M165" s="1"/>
      <c r="N165" s="4"/>
      <c r="O165" s="4"/>
      <c r="P165" s="4"/>
      <c r="Q165"/>
      <c r="R165"/>
      <c r="S165" s="59"/>
      <c r="T165" s="59"/>
      <c r="U165" s="59"/>
      <c r="V165"/>
      <c r="W165" s="54"/>
      <c r="X165" s="54"/>
      <c r="Y165" s="54"/>
      <c r="Z165" s="54"/>
      <c r="AA165" s="54"/>
      <c r="AB165" s="54"/>
      <c r="AC165" s="55"/>
      <c r="AD165" s="55"/>
    </row>
    <row r="166" spans="2:30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 s="59"/>
      <c r="T166" s="59"/>
      <c r="U166" s="59"/>
      <c r="V166"/>
      <c r="W166" s="54"/>
      <c r="X166" s="54"/>
      <c r="Y166" s="54"/>
      <c r="Z166" s="54"/>
      <c r="AA166" s="54"/>
      <c r="AB166" s="54"/>
      <c r="AC166" s="55"/>
      <c r="AD166" s="55"/>
    </row>
    <row r="169" spans="2:30" s="2" customFormat="1" x14ac:dyDescent="0.25">
      <c r="B169" s="59"/>
      <c r="C169" s="59"/>
      <c r="D169" s="59"/>
      <c r="E169" s="14"/>
      <c r="F169" s="14"/>
      <c r="G169" s="40"/>
      <c r="H169" s="14"/>
      <c r="I169" s="14"/>
      <c r="J169" s="59"/>
      <c r="K169"/>
      <c r="L169" s="59"/>
      <c r="M169" s="1"/>
      <c r="N169" s="4"/>
      <c r="O169" s="4"/>
      <c r="P169" s="4"/>
      <c r="Q169"/>
      <c r="R169"/>
      <c r="S169" s="59"/>
      <c r="T169" s="59"/>
      <c r="U169" s="59"/>
      <c r="V169"/>
      <c r="W169" s="54"/>
      <c r="X169" s="54"/>
      <c r="Y169" s="54"/>
      <c r="Z169" s="54"/>
      <c r="AA169" s="54"/>
      <c r="AB169" s="54"/>
      <c r="AC169" s="55"/>
      <c r="AD169" s="55"/>
    </row>
  </sheetData>
  <autoFilter ref="A2:AD152">
    <sortState ref="A3:AA152">
      <sortCondition ref="A2:A152"/>
    </sortState>
  </autoFilter>
  <sortState ref="A3:Y144">
    <sortCondition ref="A3:A144"/>
  </sortState>
  <mergeCells count="4">
    <mergeCell ref="I154:J154"/>
    <mergeCell ref="M154:O154"/>
    <mergeCell ref="I155:J155"/>
    <mergeCell ref="A1:P1"/>
  </mergeCells>
  <conditionalFormatting sqref="X1:X2 X3:Y1048576">
    <cfRule type="cellIs" dxfId="29" priority="36" operator="equal">
      <formula>"Y"</formula>
    </cfRule>
  </conditionalFormatting>
  <conditionalFormatting sqref="Y3:Y1048576">
    <cfRule type="cellIs" dxfId="28" priority="19" operator="greaterThan">
      <formula>1</formula>
    </cfRule>
  </conditionalFormatting>
  <conditionalFormatting sqref="Y2:Y1048576">
    <cfRule type="cellIs" dxfId="27" priority="16" operator="equal">
      <formula>0</formula>
    </cfRule>
  </conditionalFormatting>
  <conditionalFormatting sqref="A3:R17 A19:R152 A18:Q18">
    <cfRule type="expression" dxfId="26" priority="11">
      <formula>$P3&gt;0</formula>
    </cfRule>
    <cfRule type="expression" dxfId="25" priority="12">
      <formula>$O3&gt;0</formula>
    </cfRule>
  </conditionalFormatting>
  <conditionalFormatting sqref="R18">
    <cfRule type="expression" dxfId="24" priority="8">
      <formula>$P18&gt;0</formula>
    </cfRule>
    <cfRule type="expression" dxfId="23" priority="9">
      <formula>$O18&gt;0</formula>
    </cfRule>
  </conditionalFormatting>
  <conditionalFormatting sqref="S3:S154">
    <cfRule type="expression" dxfId="17" priority="3">
      <formula>$O3&gt;0</formula>
    </cfRule>
  </conditionalFormatting>
  <conditionalFormatting sqref="S3:S154">
    <cfRule type="expression" dxfId="15" priority="2">
      <formula>$P3&gt;0</formula>
    </cfRule>
  </conditionalFormatting>
  <conditionalFormatting sqref="U3:U154">
    <cfRule type="expression" dxfId="11" priority="4">
      <formula>$M3&gt;$AE$2</formula>
    </cfRule>
    <cfRule type="expression" dxfId="10" priority="5">
      <formula>$O3&gt;0</formula>
    </cfRule>
    <cfRule type="expression" dxfId="9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A3:R17 A19:R152 A18:Q18</xm:sqref>
        </x14:conditionalFormatting>
        <x14:conditionalFormatting xmlns:xm="http://schemas.microsoft.com/office/excel/2006/main">
          <x14:cfRule type="expression" priority="7" id="{9B9C940E-59BE-4140-9B00-DD1A370907F7}">
            <xm:f>$N18&gt;'[Train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expression" priority="1" id="{C9A959E3-31D7-44BC-A573-33971C1377AD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zoomScale="85" zoomScaleNormal="85" workbookViewId="0">
      <selection activeCell="N4" sqref="N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6.710937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107</v>
      </c>
    </row>
    <row r="3" spans="1:17" s="19" customFormat="1" x14ac:dyDescent="0.25">
      <c r="A3" s="23">
        <v>42517.258287037039</v>
      </c>
      <c r="B3" s="22" t="s">
        <v>424</v>
      </c>
      <c r="C3" s="22" t="s">
        <v>197</v>
      </c>
      <c r="D3" s="22" t="s">
        <v>52</v>
      </c>
      <c r="E3" s="22" t="s">
        <v>132</v>
      </c>
      <c r="F3" s="22">
        <v>0</v>
      </c>
      <c r="G3" s="22">
        <v>101</v>
      </c>
      <c r="H3" s="22">
        <v>48328</v>
      </c>
      <c r="I3" s="22" t="s">
        <v>133</v>
      </c>
      <c r="J3" s="22">
        <v>48048</v>
      </c>
      <c r="K3" s="21" t="s">
        <v>56</v>
      </c>
      <c r="L3" s="21" t="str">
        <f>VLOOKUP(C3,'Trips&amp;Operators'!$C$1:$E$9999,3,FALSE)</f>
        <v>MALAVE</v>
      </c>
      <c r="M3" s="20" t="s">
        <v>73</v>
      </c>
      <c r="N3" s="21" t="s">
        <v>442</v>
      </c>
      <c r="P3" s="80" t="str">
        <f>VLOOKUP(C3,'Train Runs'!$A$3:$W$261,20,0)</f>
        <v>Southbound</v>
      </c>
      <c r="Q3" s="19" t="str">
        <f>MID(B3,13,4)</f>
        <v>4043</v>
      </c>
    </row>
    <row r="4" spans="1:17" s="19" customFormat="1" x14ac:dyDescent="0.25">
      <c r="A4" s="23">
        <v>42517.279108796298</v>
      </c>
      <c r="B4" s="22" t="s">
        <v>422</v>
      </c>
      <c r="C4" s="22" t="s">
        <v>216</v>
      </c>
      <c r="D4" s="22" t="s">
        <v>52</v>
      </c>
      <c r="E4" s="22" t="s">
        <v>132</v>
      </c>
      <c r="F4" s="22">
        <v>0</v>
      </c>
      <c r="G4" s="22">
        <v>51</v>
      </c>
      <c r="H4" s="22">
        <v>47726</v>
      </c>
      <c r="I4" s="22" t="s">
        <v>133</v>
      </c>
      <c r="J4" s="22">
        <v>47865</v>
      </c>
      <c r="K4" s="21" t="s">
        <v>55</v>
      </c>
      <c r="L4" s="21" t="str">
        <f>VLOOKUP(C4,'Trips&amp;Operators'!$C$1:$E$9999,3,FALSE)</f>
        <v>MALAVE</v>
      </c>
      <c r="M4" s="20" t="s">
        <v>73</v>
      </c>
      <c r="N4" s="21" t="s">
        <v>442</v>
      </c>
      <c r="P4" s="80" t="str">
        <f>VLOOKUP(C4,'Train Runs'!$A$3:$W$261,20,0)</f>
        <v>NorthBound</v>
      </c>
      <c r="Q4" s="19" t="str">
        <f t="shared" ref="Q4:Q57" si="0">MID(B4,13,4)</f>
        <v>4044</v>
      </c>
    </row>
    <row r="5" spans="1:17" s="19" customFormat="1" x14ac:dyDescent="0.25">
      <c r="A5" s="23">
        <v>42517.378668981481</v>
      </c>
      <c r="B5" s="22" t="s">
        <v>165</v>
      </c>
      <c r="C5" s="22" t="s">
        <v>233</v>
      </c>
      <c r="D5" s="22" t="s">
        <v>52</v>
      </c>
      <c r="E5" s="22" t="s">
        <v>132</v>
      </c>
      <c r="F5" s="22">
        <v>50</v>
      </c>
      <c r="G5" s="22">
        <v>162</v>
      </c>
      <c r="H5" s="22">
        <v>63868</v>
      </c>
      <c r="I5" s="22" t="s">
        <v>133</v>
      </c>
      <c r="J5" s="22">
        <v>63309</v>
      </c>
      <c r="K5" s="21" t="s">
        <v>56</v>
      </c>
      <c r="L5" s="21" t="str">
        <f>VLOOKUP(C5,'Trips&amp;Operators'!$C$1:$E$9999,3,FALSE)</f>
        <v>BEAM</v>
      </c>
      <c r="M5" s="20" t="s">
        <v>73</v>
      </c>
      <c r="N5" s="21"/>
      <c r="P5" s="80" t="str">
        <f>VLOOKUP(C5,'Train Runs'!$A$3:$W$261,20,0)</f>
        <v>Southbound</v>
      </c>
      <c r="Q5" s="19" t="str">
        <f t="shared" si="0"/>
        <v>4030</v>
      </c>
    </row>
    <row r="6" spans="1:17" s="19" customFormat="1" x14ac:dyDescent="0.25">
      <c r="A6" s="23">
        <v>42517.409456018519</v>
      </c>
      <c r="B6" s="22" t="s">
        <v>166</v>
      </c>
      <c r="C6" s="22" t="s">
        <v>246</v>
      </c>
      <c r="D6" s="22" t="s">
        <v>52</v>
      </c>
      <c r="E6" s="22" t="s">
        <v>132</v>
      </c>
      <c r="F6" s="22">
        <v>0</v>
      </c>
      <c r="G6" s="22">
        <v>168</v>
      </c>
      <c r="H6" s="22">
        <v>79262</v>
      </c>
      <c r="I6" s="22" t="s">
        <v>133</v>
      </c>
      <c r="J6" s="22">
        <v>78469</v>
      </c>
      <c r="K6" s="21" t="s">
        <v>56</v>
      </c>
      <c r="L6" s="21" t="str">
        <f>VLOOKUP(C6,'Trips&amp;Operators'!$C$1:$E$9999,3,FALSE)</f>
        <v>GEBRETEKLE</v>
      </c>
      <c r="M6" s="20" t="s">
        <v>73</v>
      </c>
      <c r="N6" s="21" t="s">
        <v>442</v>
      </c>
      <c r="P6" s="80" t="str">
        <f>VLOOKUP(C6,'Train Runs'!$A$3:$W$261,20,0)</f>
        <v>Southbound</v>
      </c>
      <c r="Q6" s="19" t="str">
        <f t="shared" si="0"/>
        <v>4023</v>
      </c>
    </row>
    <row r="7" spans="1:17" s="19" customFormat="1" x14ac:dyDescent="0.25">
      <c r="A7" s="23">
        <v>42517.473229166666</v>
      </c>
      <c r="B7" s="22" t="s">
        <v>94</v>
      </c>
      <c r="C7" s="22" t="s">
        <v>264</v>
      </c>
      <c r="D7" s="22" t="s">
        <v>52</v>
      </c>
      <c r="E7" s="22" t="s">
        <v>132</v>
      </c>
      <c r="F7" s="22">
        <v>0</v>
      </c>
      <c r="G7" s="22">
        <v>99</v>
      </c>
      <c r="H7" s="22">
        <v>78685</v>
      </c>
      <c r="I7" s="22" t="s">
        <v>133</v>
      </c>
      <c r="J7" s="22">
        <v>78469</v>
      </c>
      <c r="K7" s="21" t="s">
        <v>56</v>
      </c>
      <c r="L7" s="21" t="str">
        <f>VLOOKUP(C7,'Trips&amp;Operators'!$C$1:$E$9999,3,FALSE)</f>
        <v>MALAVE</v>
      </c>
      <c r="M7" s="20" t="s">
        <v>73</v>
      </c>
      <c r="N7" s="21" t="s">
        <v>442</v>
      </c>
      <c r="P7" s="80" t="str">
        <f>VLOOKUP(C7,'Train Runs'!$A$3:$W$261,20,0)</f>
        <v>Southbound</v>
      </c>
      <c r="Q7" s="19" t="str">
        <f t="shared" si="0"/>
        <v>4032</v>
      </c>
    </row>
    <row r="8" spans="1:17" s="19" customFormat="1" x14ac:dyDescent="0.25">
      <c r="A8" s="23">
        <v>42517.635497685187</v>
      </c>
      <c r="B8" s="22" t="s">
        <v>424</v>
      </c>
      <c r="C8" s="22" t="s">
        <v>343</v>
      </c>
      <c r="D8" s="22" t="s">
        <v>52</v>
      </c>
      <c r="E8" s="22" t="s">
        <v>132</v>
      </c>
      <c r="F8" s="22">
        <v>0</v>
      </c>
      <c r="G8" s="22">
        <v>57</v>
      </c>
      <c r="H8" s="22">
        <v>31050</v>
      </c>
      <c r="I8" s="22" t="s">
        <v>133</v>
      </c>
      <c r="J8" s="22">
        <v>30970</v>
      </c>
      <c r="K8" s="21" t="s">
        <v>56</v>
      </c>
      <c r="L8" s="21" t="str">
        <f>VLOOKUP(C8,'Trips&amp;Operators'!$C$1:$E$9999,3,FALSE)</f>
        <v>GOODNIGHT</v>
      </c>
      <c r="M8" s="20" t="s">
        <v>73</v>
      </c>
      <c r="N8" s="21" t="s">
        <v>442</v>
      </c>
      <c r="P8" s="80" t="str">
        <f>VLOOKUP(C8,'Train Runs'!$A$3:$W$261,20,0)</f>
        <v>Southbound</v>
      </c>
      <c r="Q8" s="19" t="str">
        <f t="shared" si="0"/>
        <v>4043</v>
      </c>
    </row>
    <row r="9" spans="1:17" s="19" customFormat="1" x14ac:dyDescent="0.25">
      <c r="A9" s="23">
        <v>42517.649398148147</v>
      </c>
      <c r="B9" s="22" t="s">
        <v>87</v>
      </c>
      <c r="C9" s="22" t="s">
        <v>364</v>
      </c>
      <c r="D9" s="22" t="s">
        <v>52</v>
      </c>
      <c r="E9" s="22" t="s">
        <v>132</v>
      </c>
      <c r="F9" s="22">
        <v>0</v>
      </c>
      <c r="G9" s="22">
        <v>320</v>
      </c>
      <c r="H9" s="22">
        <v>76970</v>
      </c>
      <c r="I9" s="22" t="s">
        <v>133</v>
      </c>
      <c r="J9" s="22">
        <v>78349</v>
      </c>
      <c r="K9" s="21" t="s">
        <v>55</v>
      </c>
      <c r="L9" s="21" t="str">
        <f>VLOOKUP(C9,'Trips&amp;Operators'!$C$1:$E$9999,3,FALSE)</f>
        <v>LOCKLEAR</v>
      </c>
      <c r="M9" s="20" t="s">
        <v>73</v>
      </c>
      <c r="N9" s="21" t="s">
        <v>442</v>
      </c>
      <c r="P9" s="80" t="str">
        <f>VLOOKUP(C9,'Train Runs'!$A$3:$W$261,20,0)</f>
        <v>NorthBound</v>
      </c>
      <c r="Q9" s="19" t="str">
        <f t="shared" si="0"/>
        <v>4031</v>
      </c>
    </row>
    <row r="10" spans="1:17" s="19" customFormat="1" x14ac:dyDescent="0.25">
      <c r="A10" s="23">
        <v>42517.138344907406</v>
      </c>
      <c r="B10" s="22" t="s">
        <v>171</v>
      </c>
      <c r="C10" s="22" t="s">
        <v>174</v>
      </c>
      <c r="D10" s="22" t="s">
        <v>52</v>
      </c>
      <c r="E10" s="22" t="s">
        <v>60</v>
      </c>
      <c r="F10" s="22">
        <v>400</v>
      </c>
      <c r="G10" s="22">
        <v>522</v>
      </c>
      <c r="H10" s="22">
        <v>15888</v>
      </c>
      <c r="I10" s="22" t="s">
        <v>61</v>
      </c>
      <c r="J10" s="22">
        <v>17867</v>
      </c>
      <c r="K10" s="21" t="s">
        <v>55</v>
      </c>
      <c r="L10" s="21" t="str">
        <f>VLOOKUP(C10,'Trips&amp;Operators'!$C$1:$E$9999,3,FALSE)</f>
        <v>LEDERHAUSE</v>
      </c>
      <c r="M10" s="20" t="s">
        <v>73</v>
      </c>
      <c r="N10" s="21"/>
      <c r="P10" s="80" t="str">
        <f>VLOOKUP(C10,'Train Runs'!$A$3:$W$261,20,0)</f>
        <v>NorthBound</v>
      </c>
      <c r="Q10" s="19" t="str">
        <f t="shared" si="0"/>
        <v>4024</v>
      </c>
    </row>
    <row r="11" spans="1:17" s="19" customFormat="1" x14ac:dyDescent="0.25">
      <c r="A11" s="23">
        <v>42517.230393518519</v>
      </c>
      <c r="B11" s="22" t="s">
        <v>423</v>
      </c>
      <c r="C11" s="22" t="s">
        <v>193</v>
      </c>
      <c r="D11" s="22" t="s">
        <v>52</v>
      </c>
      <c r="E11" s="22" t="s">
        <v>60</v>
      </c>
      <c r="F11" s="22">
        <v>750</v>
      </c>
      <c r="G11" s="22">
        <v>791</v>
      </c>
      <c r="H11" s="22">
        <v>202349</v>
      </c>
      <c r="I11" s="22" t="s">
        <v>61</v>
      </c>
      <c r="J11" s="22">
        <v>200464</v>
      </c>
      <c r="K11" s="21" t="s">
        <v>56</v>
      </c>
      <c r="L11" s="21" t="str">
        <f>VLOOKUP(C11,'Trips&amp;Operators'!$C$1:$E$9999,3,FALSE)</f>
        <v>STARKS</v>
      </c>
      <c r="M11" s="20" t="s">
        <v>73</v>
      </c>
      <c r="N11" s="21"/>
      <c r="P11" s="80" t="str">
        <f>VLOOKUP(C11,'Train Runs'!$A$3:$W$261,20,0)</f>
        <v>Southbound</v>
      </c>
      <c r="Q11" s="19" t="str">
        <f t="shared" si="0"/>
        <v>4015</v>
      </c>
    </row>
    <row r="12" spans="1:17" s="19" customFormat="1" x14ac:dyDescent="0.25">
      <c r="A12" s="23">
        <v>42517.303020833337</v>
      </c>
      <c r="B12" s="22" t="s">
        <v>423</v>
      </c>
      <c r="C12" s="22" t="s">
        <v>215</v>
      </c>
      <c r="D12" s="22" t="s">
        <v>52</v>
      </c>
      <c r="E12" s="22" t="s">
        <v>60</v>
      </c>
      <c r="F12" s="22">
        <v>750</v>
      </c>
      <c r="G12" s="22">
        <v>790</v>
      </c>
      <c r="H12" s="22">
        <v>202520</v>
      </c>
      <c r="I12" s="22" t="s">
        <v>61</v>
      </c>
      <c r="J12" s="22">
        <v>200464</v>
      </c>
      <c r="K12" s="21" t="s">
        <v>56</v>
      </c>
      <c r="L12" s="21" t="str">
        <f>VLOOKUP(C12,'Trips&amp;Operators'!$C$1:$E$9999,3,FALSE)</f>
        <v>STARKS</v>
      </c>
      <c r="M12" s="20" t="s">
        <v>73</v>
      </c>
      <c r="N12" s="21"/>
      <c r="P12" s="80" t="str">
        <f>VLOOKUP(C12,'Train Runs'!$A$3:$W$261,20,0)</f>
        <v>Southbound</v>
      </c>
      <c r="Q12" s="19" t="str">
        <f t="shared" si="0"/>
        <v>4015</v>
      </c>
    </row>
    <row r="13" spans="1:17" s="19" customFormat="1" x14ac:dyDescent="0.25">
      <c r="A13" s="23">
        <v>42517.31453703704</v>
      </c>
      <c r="B13" s="22" t="s">
        <v>165</v>
      </c>
      <c r="C13" s="22" t="s">
        <v>212</v>
      </c>
      <c r="D13" s="22" t="s">
        <v>52</v>
      </c>
      <c r="E13" s="22" t="s">
        <v>60</v>
      </c>
      <c r="F13" s="22">
        <v>150</v>
      </c>
      <c r="G13" s="22">
        <v>195</v>
      </c>
      <c r="H13" s="22">
        <v>5165</v>
      </c>
      <c r="I13" s="22" t="s">
        <v>61</v>
      </c>
      <c r="J13" s="22">
        <v>4677</v>
      </c>
      <c r="K13" s="21" t="s">
        <v>56</v>
      </c>
      <c r="L13" s="21" t="str">
        <f>VLOOKUP(C13,'Trips&amp;Operators'!$C$1:$E$9999,3,FALSE)</f>
        <v>BEAM</v>
      </c>
      <c r="M13" s="20" t="s">
        <v>73</v>
      </c>
      <c r="N13" s="21"/>
      <c r="P13" s="80" t="str">
        <f>VLOOKUP(C13,'Train Runs'!$A$3:$W$261,20,0)</f>
        <v>Southbound</v>
      </c>
      <c r="Q13" s="19" t="str">
        <f t="shared" si="0"/>
        <v>4030</v>
      </c>
    </row>
    <row r="14" spans="1:17" s="19" customFormat="1" x14ac:dyDescent="0.25">
      <c r="A14" s="23">
        <v>42517.322881944441</v>
      </c>
      <c r="B14" s="22" t="s">
        <v>423</v>
      </c>
      <c r="C14" s="22" t="s">
        <v>215</v>
      </c>
      <c r="D14" s="22" t="s">
        <v>52</v>
      </c>
      <c r="E14" s="22" t="s">
        <v>60</v>
      </c>
      <c r="F14" s="22">
        <v>200</v>
      </c>
      <c r="G14" s="22">
        <v>215</v>
      </c>
      <c r="H14" s="22">
        <v>30854</v>
      </c>
      <c r="I14" s="22" t="s">
        <v>61</v>
      </c>
      <c r="J14" s="22">
        <v>30562</v>
      </c>
      <c r="K14" s="21" t="s">
        <v>56</v>
      </c>
      <c r="L14" s="21" t="str">
        <f>VLOOKUP(C14,'Trips&amp;Operators'!$C$1:$E$9999,3,FALSE)</f>
        <v>STARKS</v>
      </c>
      <c r="M14" s="20" t="s">
        <v>73</v>
      </c>
      <c r="N14" s="21"/>
      <c r="P14" s="80" t="str">
        <f>VLOOKUP(C14,'Train Runs'!$A$3:$W$261,20,0)</f>
        <v>Southbound</v>
      </c>
      <c r="Q14" s="19" t="str">
        <f t="shared" si="0"/>
        <v>4015</v>
      </c>
    </row>
    <row r="15" spans="1:17" s="19" customFormat="1" x14ac:dyDescent="0.25">
      <c r="A15" s="23">
        <v>42517.36582175926</v>
      </c>
      <c r="B15" s="22" t="s">
        <v>84</v>
      </c>
      <c r="C15" s="22" t="s">
        <v>227</v>
      </c>
      <c r="D15" s="22" t="s">
        <v>52</v>
      </c>
      <c r="E15" s="22" t="s">
        <v>60</v>
      </c>
      <c r="F15" s="22">
        <v>450</v>
      </c>
      <c r="G15" s="22">
        <v>439</v>
      </c>
      <c r="H15" s="22">
        <v>17486</v>
      </c>
      <c r="I15" s="22" t="s">
        <v>61</v>
      </c>
      <c r="J15" s="22">
        <v>15167</v>
      </c>
      <c r="K15" s="21" t="s">
        <v>56</v>
      </c>
      <c r="L15" s="21" t="str">
        <f>VLOOKUP(C15,'Trips&amp;Operators'!$C$1:$E$9999,3,FALSE)</f>
        <v>SANTIZO</v>
      </c>
      <c r="M15" s="20" t="s">
        <v>73</v>
      </c>
      <c r="N15" s="21"/>
      <c r="P15" s="80" t="str">
        <f>VLOOKUP(C15,'Train Runs'!$A$3:$W$261,20,0)</f>
        <v>Southbound</v>
      </c>
      <c r="Q15" s="19" t="str">
        <f t="shared" si="0"/>
        <v>4039</v>
      </c>
    </row>
    <row r="16" spans="1:17" s="19" customFormat="1" x14ac:dyDescent="0.25">
      <c r="A16" s="23">
        <v>42517.402071759258</v>
      </c>
      <c r="B16" s="22" t="s">
        <v>94</v>
      </c>
      <c r="C16" s="22" t="s">
        <v>243</v>
      </c>
      <c r="D16" s="22" t="s">
        <v>52</v>
      </c>
      <c r="E16" s="22" t="s">
        <v>60</v>
      </c>
      <c r="F16" s="22">
        <v>200</v>
      </c>
      <c r="G16" s="22">
        <v>325</v>
      </c>
      <c r="H16" s="22">
        <v>31867</v>
      </c>
      <c r="I16" s="22" t="s">
        <v>61</v>
      </c>
      <c r="J16" s="22">
        <v>30562</v>
      </c>
      <c r="K16" s="21" t="s">
        <v>56</v>
      </c>
      <c r="L16" s="21" t="str">
        <f>VLOOKUP(C16,'Trips&amp;Operators'!$C$1:$E$9999,3,FALSE)</f>
        <v>CUSHING</v>
      </c>
      <c r="M16" s="20" t="s">
        <v>73</v>
      </c>
      <c r="N16" s="21"/>
      <c r="P16" s="80" t="str">
        <f>VLOOKUP(C16,'Train Runs'!$A$3:$W$261,20,0)</f>
        <v>Southbound</v>
      </c>
      <c r="Q16" s="19" t="str">
        <f t="shared" si="0"/>
        <v>4032</v>
      </c>
    </row>
    <row r="17" spans="1:18" s="19" customFormat="1" x14ac:dyDescent="0.25">
      <c r="A17" s="23">
        <v>42517.433055555557</v>
      </c>
      <c r="B17" s="22" t="s">
        <v>421</v>
      </c>
      <c r="C17" s="22" t="s">
        <v>260</v>
      </c>
      <c r="D17" s="22" t="s">
        <v>52</v>
      </c>
      <c r="E17" s="22" t="s">
        <v>60</v>
      </c>
      <c r="F17" s="22">
        <v>150</v>
      </c>
      <c r="G17" s="22">
        <v>162</v>
      </c>
      <c r="H17" s="22">
        <v>229598</v>
      </c>
      <c r="I17" s="22" t="s">
        <v>61</v>
      </c>
      <c r="J17" s="22">
        <v>230436</v>
      </c>
      <c r="K17" s="21" t="s">
        <v>55</v>
      </c>
      <c r="L17" s="21" t="str">
        <f>VLOOKUP(C17,'Trips&amp;Operators'!$C$1:$E$9999,3,FALSE)</f>
        <v>STARKS</v>
      </c>
      <c r="M17" s="20" t="s">
        <v>73</v>
      </c>
      <c r="N17" s="21"/>
      <c r="P17" s="80" t="str">
        <f>VLOOKUP(C17,'Train Runs'!$A$3:$W$261,20,0)</f>
        <v>NorthBound</v>
      </c>
      <c r="Q17" s="19" t="str">
        <f t="shared" si="0"/>
        <v>4016</v>
      </c>
    </row>
    <row r="18" spans="1:18" s="19" customFormat="1" x14ac:dyDescent="0.25">
      <c r="A18" s="23">
        <v>42517.491712962961</v>
      </c>
      <c r="B18" s="22" t="s">
        <v>166</v>
      </c>
      <c r="C18" s="22" t="s">
        <v>267</v>
      </c>
      <c r="D18" s="22" t="s">
        <v>52</v>
      </c>
      <c r="E18" s="22" t="s">
        <v>60</v>
      </c>
      <c r="F18" s="22">
        <v>450</v>
      </c>
      <c r="G18" s="22">
        <v>453</v>
      </c>
      <c r="H18" s="22">
        <v>17333</v>
      </c>
      <c r="I18" s="22" t="s">
        <v>61</v>
      </c>
      <c r="J18" s="22">
        <v>15167</v>
      </c>
      <c r="K18" s="21" t="s">
        <v>56</v>
      </c>
      <c r="L18" s="21" t="str">
        <f>VLOOKUP(C18,'Trips&amp;Operators'!$C$1:$E$9999,3,FALSE)</f>
        <v>GOODNIGHT</v>
      </c>
      <c r="M18" s="20" t="s">
        <v>73</v>
      </c>
      <c r="N18" s="21"/>
      <c r="P18" s="80" t="str">
        <f>VLOOKUP(C18,'Train Runs'!$A$3:$W$261,20,0)</f>
        <v>Southbound</v>
      </c>
      <c r="Q18" s="19" t="str">
        <f t="shared" si="0"/>
        <v>4023</v>
      </c>
    </row>
    <row r="19" spans="1:18" s="19" customFormat="1" x14ac:dyDescent="0.25">
      <c r="A19" s="23">
        <v>42517.494363425925</v>
      </c>
      <c r="B19" s="22" t="s">
        <v>87</v>
      </c>
      <c r="C19" s="22" t="s">
        <v>289</v>
      </c>
      <c r="D19" s="22" t="s">
        <v>57</v>
      </c>
      <c r="E19" s="22" t="s">
        <v>60</v>
      </c>
      <c r="F19" s="22">
        <v>400</v>
      </c>
      <c r="G19" s="22">
        <v>450</v>
      </c>
      <c r="H19" s="22">
        <v>7185</v>
      </c>
      <c r="I19" s="22" t="s">
        <v>61</v>
      </c>
      <c r="J19" s="22">
        <v>5457</v>
      </c>
      <c r="K19" s="21" t="s">
        <v>55</v>
      </c>
      <c r="L19" s="21" t="str">
        <f>VLOOKUP(C19,'Trips&amp;Operators'!$C$1:$E$9999,3,FALSE)</f>
        <v>LOCKLEAR</v>
      </c>
      <c r="M19" s="20" t="s">
        <v>73</v>
      </c>
      <c r="N19" s="21"/>
      <c r="P19" s="80" t="str">
        <f>VLOOKUP(C19,'Train Runs'!$A$3:$W$261,20,0)</f>
        <v>NorthBound</v>
      </c>
      <c r="Q19" s="19" t="str">
        <f t="shared" si="0"/>
        <v>4031</v>
      </c>
    </row>
    <row r="20" spans="1:18" s="19" customFormat="1" x14ac:dyDescent="0.25">
      <c r="A20" s="23">
        <v>42517.595659722225</v>
      </c>
      <c r="B20" s="22" t="s">
        <v>104</v>
      </c>
      <c r="C20" s="22" t="s">
        <v>332</v>
      </c>
      <c r="D20" s="22" t="s">
        <v>52</v>
      </c>
      <c r="E20" s="22" t="s">
        <v>60</v>
      </c>
      <c r="F20" s="22">
        <v>450</v>
      </c>
      <c r="G20" s="22">
        <v>437</v>
      </c>
      <c r="H20" s="22">
        <v>17248</v>
      </c>
      <c r="I20" s="22" t="s">
        <v>61</v>
      </c>
      <c r="J20" s="22">
        <v>15167</v>
      </c>
      <c r="K20" s="21" t="s">
        <v>56</v>
      </c>
      <c r="L20" s="21" t="str">
        <f>VLOOKUP(C20,'Trips&amp;Operators'!$C$1:$E$9999,3,FALSE)</f>
        <v>WEBSTER</v>
      </c>
      <c r="M20" s="20" t="s">
        <v>73</v>
      </c>
      <c r="N20" s="21"/>
      <c r="P20" s="80" t="str">
        <f>VLOOKUP(C20,'Train Runs'!$A$3:$W$261,20,0)</f>
        <v>Southbound</v>
      </c>
      <c r="Q20" s="19" t="str">
        <f t="shared" si="0"/>
        <v>4037</v>
      </c>
    </row>
    <row r="21" spans="1:18" s="19" customFormat="1" x14ac:dyDescent="0.25">
      <c r="A21" s="23">
        <v>42517.605578703704</v>
      </c>
      <c r="B21" s="22" t="s">
        <v>422</v>
      </c>
      <c r="C21" s="22" t="s">
        <v>341</v>
      </c>
      <c r="D21" s="22" t="s">
        <v>52</v>
      </c>
      <c r="E21" s="22" t="s">
        <v>60</v>
      </c>
      <c r="F21" s="22">
        <v>550</v>
      </c>
      <c r="G21" s="22">
        <v>715</v>
      </c>
      <c r="H21" s="22">
        <v>219962</v>
      </c>
      <c r="I21" s="22" t="s">
        <v>61</v>
      </c>
      <c r="J21" s="22">
        <v>222090</v>
      </c>
      <c r="K21" s="21" t="s">
        <v>55</v>
      </c>
      <c r="L21" s="21" t="str">
        <f>VLOOKUP(C21,'Trips&amp;Operators'!$C$1:$E$9999,3,FALSE)</f>
        <v>GOODNIGHT</v>
      </c>
      <c r="M21" s="20" t="s">
        <v>73</v>
      </c>
      <c r="N21" s="21"/>
      <c r="P21" s="80" t="str">
        <f>VLOOKUP(C21,'Train Runs'!$A$3:$W$261,20,0)</f>
        <v>NorthBound</v>
      </c>
      <c r="Q21" s="19" t="str">
        <f t="shared" si="0"/>
        <v>4044</v>
      </c>
    </row>
    <row r="22" spans="1:18" s="19" customFormat="1" x14ac:dyDescent="0.25">
      <c r="A22" s="23">
        <v>42517.616388888891</v>
      </c>
      <c r="B22" s="22" t="s">
        <v>423</v>
      </c>
      <c r="C22" s="22" t="s">
        <v>336</v>
      </c>
      <c r="D22" s="22" t="s">
        <v>52</v>
      </c>
      <c r="E22" s="22" t="s">
        <v>60</v>
      </c>
      <c r="F22" s="22">
        <v>450</v>
      </c>
      <c r="G22" s="22">
        <v>443</v>
      </c>
      <c r="H22" s="22">
        <v>17361</v>
      </c>
      <c r="I22" s="22" t="s">
        <v>61</v>
      </c>
      <c r="J22" s="22">
        <v>15167</v>
      </c>
      <c r="K22" s="21" t="s">
        <v>56</v>
      </c>
      <c r="L22" s="21" t="str">
        <f>VLOOKUP(C22,'Trips&amp;Operators'!$C$1:$E$9999,3,FALSE)</f>
        <v>LOZA</v>
      </c>
      <c r="M22" s="20" t="s">
        <v>73</v>
      </c>
      <c r="N22" s="21"/>
      <c r="P22" s="80" t="str">
        <f>VLOOKUP(C22,'Train Runs'!$A$3:$W$261,20,0)</f>
        <v>Southbound</v>
      </c>
      <c r="Q22" s="19" t="str">
        <f t="shared" si="0"/>
        <v>4015</v>
      </c>
    </row>
    <row r="23" spans="1:18" s="19" customFormat="1" x14ac:dyDescent="0.25">
      <c r="A23" s="23">
        <v>42517.625590277778</v>
      </c>
      <c r="B23" s="22" t="s">
        <v>94</v>
      </c>
      <c r="C23" s="22" t="s">
        <v>339</v>
      </c>
      <c r="D23" s="22" t="s">
        <v>52</v>
      </c>
      <c r="E23" s="22" t="s">
        <v>60</v>
      </c>
      <c r="F23" s="22">
        <v>200</v>
      </c>
      <c r="G23" s="22">
        <v>141</v>
      </c>
      <c r="H23" s="22">
        <v>30903</v>
      </c>
      <c r="I23" s="22" t="s">
        <v>61</v>
      </c>
      <c r="J23" s="22">
        <v>30562</v>
      </c>
      <c r="K23" s="21" t="s">
        <v>56</v>
      </c>
      <c r="L23" s="21" t="str">
        <f>VLOOKUP(C23,'Trips&amp;Operators'!$C$1:$E$9999,3,FALSE)</f>
        <v>LOCKLEAR</v>
      </c>
      <c r="M23" s="20" t="s">
        <v>73</v>
      </c>
      <c r="N23" s="21"/>
      <c r="P23" s="80" t="str">
        <f>VLOOKUP(C23,'Train Runs'!$A$3:$W$261,20,0)</f>
        <v>Southbound</v>
      </c>
      <c r="Q23" s="19" t="str">
        <f t="shared" si="0"/>
        <v>4032</v>
      </c>
    </row>
    <row r="24" spans="1:18" s="19" customFormat="1" x14ac:dyDescent="0.25">
      <c r="A24" s="23">
        <v>42517.686840277776</v>
      </c>
      <c r="B24" s="22" t="s">
        <v>424</v>
      </c>
      <c r="C24" s="22" t="s">
        <v>370</v>
      </c>
      <c r="D24" s="22" t="s">
        <v>57</v>
      </c>
      <c r="E24" s="22" t="s">
        <v>60</v>
      </c>
      <c r="F24" s="22">
        <v>350</v>
      </c>
      <c r="G24" s="22">
        <v>400</v>
      </c>
      <c r="H24" s="22">
        <v>225998</v>
      </c>
      <c r="I24" s="22" t="s">
        <v>61</v>
      </c>
      <c r="J24" s="22">
        <v>228668</v>
      </c>
      <c r="K24" s="21" t="s">
        <v>56</v>
      </c>
      <c r="L24" s="21" t="str">
        <f>VLOOKUP(C24,'Trips&amp;Operators'!$C$1:$E$9999,3,FALSE)</f>
        <v>GOODNIGHT</v>
      </c>
      <c r="M24" s="20" t="s">
        <v>73</v>
      </c>
      <c r="N24" s="21"/>
      <c r="P24" s="80" t="str">
        <f>VLOOKUP(C24,'Train Runs'!$A$3:$W$261,20,0)</f>
        <v>Southbound</v>
      </c>
      <c r="Q24" s="19" t="str">
        <f t="shared" si="0"/>
        <v>4043</v>
      </c>
    </row>
    <row r="25" spans="1:18" s="19" customFormat="1" x14ac:dyDescent="0.25">
      <c r="A25" s="23">
        <v>42517.733587962961</v>
      </c>
      <c r="B25" s="22" t="s">
        <v>84</v>
      </c>
      <c r="C25" s="22" t="s">
        <v>377</v>
      </c>
      <c r="D25" s="22" t="s">
        <v>52</v>
      </c>
      <c r="E25" s="22" t="s">
        <v>60</v>
      </c>
      <c r="F25" s="22">
        <v>200</v>
      </c>
      <c r="G25" s="22">
        <v>361</v>
      </c>
      <c r="H25" s="22">
        <v>6860</v>
      </c>
      <c r="I25" s="22" t="s">
        <v>61</v>
      </c>
      <c r="J25" s="22">
        <v>5457</v>
      </c>
      <c r="K25" s="21" t="s">
        <v>56</v>
      </c>
      <c r="L25" s="21" t="str">
        <f>VLOOKUP(C25,'Trips&amp;Operators'!$C$1:$E$9999,3,FALSE)</f>
        <v>ROCHA</v>
      </c>
      <c r="M25" s="20" t="s">
        <v>73</v>
      </c>
      <c r="N25" s="21"/>
      <c r="P25" s="80" t="str">
        <f>VLOOKUP(C25,'Train Runs'!$A$3:$W$261,20,0)</f>
        <v>Southbound</v>
      </c>
      <c r="Q25" s="19" t="str">
        <f t="shared" si="0"/>
        <v>4039</v>
      </c>
    </row>
    <row r="26" spans="1:18" s="19" customFormat="1" x14ac:dyDescent="0.25">
      <c r="A26" s="23">
        <v>42517.745856481481</v>
      </c>
      <c r="B26" s="22" t="s">
        <v>83</v>
      </c>
      <c r="C26" s="22" t="s">
        <v>401</v>
      </c>
      <c r="D26" s="22" t="s">
        <v>52</v>
      </c>
      <c r="E26" s="22" t="s">
        <v>60</v>
      </c>
      <c r="F26" s="22">
        <v>300</v>
      </c>
      <c r="G26" s="22">
        <v>284</v>
      </c>
      <c r="H26" s="22">
        <v>20219</v>
      </c>
      <c r="I26" s="22" t="s">
        <v>61</v>
      </c>
      <c r="J26" s="22">
        <v>20338</v>
      </c>
      <c r="K26" s="21" t="s">
        <v>55</v>
      </c>
      <c r="L26" s="21" t="str">
        <f>VLOOKUP(C26,'Trips&amp;Operators'!$C$1:$E$9999,3,FALSE)</f>
        <v>LEVERE</v>
      </c>
      <c r="M26" s="20" t="s">
        <v>73</v>
      </c>
      <c r="N26" s="21"/>
      <c r="P26" s="80" t="str">
        <f>VLOOKUP(C26,'Train Runs'!$A$3:$W$261,20,0)</f>
        <v>NorthBound</v>
      </c>
      <c r="Q26" s="19" t="str">
        <f t="shared" si="0"/>
        <v>4040</v>
      </c>
    </row>
    <row r="27" spans="1:18" s="19" customFormat="1" x14ac:dyDescent="0.25">
      <c r="A27" s="23">
        <v>42517.890277777777</v>
      </c>
      <c r="B27" s="22" t="s">
        <v>422</v>
      </c>
      <c r="C27" s="22" t="s">
        <v>306</v>
      </c>
      <c r="D27" s="22" t="s">
        <v>52</v>
      </c>
      <c r="E27" s="22" t="s">
        <v>60</v>
      </c>
      <c r="F27" s="22">
        <v>400</v>
      </c>
      <c r="G27" s="22">
        <v>621</v>
      </c>
      <c r="H27" s="22">
        <v>114349</v>
      </c>
      <c r="I27" s="22" t="s">
        <v>61</v>
      </c>
      <c r="J27" s="22">
        <v>116838</v>
      </c>
      <c r="K27" s="21" t="s">
        <v>55</v>
      </c>
      <c r="L27" s="21" t="str">
        <f>VLOOKUP(C27,'Trips&amp;Operators'!$C$1:$E$9999,3,FALSE)</f>
        <v>ADANE</v>
      </c>
      <c r="M27" s="20" t="s">
        <v>73</v>
      </c>
      <c r="N27" s="21"/>
      <c r="P27" s="80" t="str">
        <f>VLOOKUP(C27,'Train Runs'!$A$3:$W$261,20,0)</f>
        <v>NorthBound</v>
      </c>
      <c r="Q27" s="19" t="str">
        <f t="shared" si="0"/>
        <v>4044</v>
      </c>
    </row>
    <row r="28" spans="1:18" s="19" customFormat="1" x14ac:dyDescent="0.25">
      <c r="A28" s="23">
        <v>42517.219375000001</v>
      </c>
      <c r="B28" s="22" t="s">
        <v>94</v>
      </c>
      <c r="C28" s="22" t="s">
        <v>188</v>
      </c>
      <c r="D28" s="22" t="s">
        <v>52</v>
      </c>
      <c r="E28" s="22" t="s">
        <v>58</v>
      </c>
      <c r="F28" s="22">
        <v>0</v>
      </c>
      <c r="G28" s="22">
        <v>602</v>
      </c>
      <c r="H28" s="22">
        <v>195883</v>
      </c>
      <c r="I28" s="22" t="s">
        <v>59</v>
      </c>
      <c r="J28" s="22">
        <v>191723</v>
      </c>
      <c r="K28" s="21" t="s">
        <v>56</v>
      </c>
      <c r="L28" s="21" t="str">
        <f>VLOOKUP(C28,'Trips&amp;Operators'!$C$1:$E$9999,3,FALSE)</f>
        <v>BEAM</v>
      </c>
      <c r="M28" s="20" t="s">
        <v>96</v>
      </c>
      <c r="N28" s="21"/>
      <c r="P28" s="80" t="str">
        <f>VLOOKUP(C28,'Train Runs'!$A$3:$W$261,20,0)</f>
        <v>Southbound</v>
      </c>
      <c r="Q28" s="19" t="str">
        <f t="shared" si="0"/>
        <v>4032</v>
      </c>
    </row>
    <row r="29" spans="1:18" s="19" customFormat="1" x14ac:dyDescent="0.25">
      <c r="A29" s="23">
        <v>42517.346446759257</v>
      </c>
      <c r="B29" s="22" t="s">
        <v>421</v>
      </c>
      <c r="C29" s="22" t="s">
        <v>235</v>
      </c>
      <c r="D29" s="22" t="s">
        <v>57</v>
      </c>
      <c r="E29" s="22" t="s">
        <v>58</v>
      </c>
      <c r="F29" s="22">
        <v>200</v>
      </c>
      <c r="G29" s="22">
        <v>263</v>
      </c>
      <c r="H29" s="22">
        <v>66032</v>
      </c>
      <c r="I29" s="22" t="s">
        <v>59</v>
      </c>
      <c r="J29" s="22">
        <v>63995</v>
      </c>
      <c r="K29" s="21" t="s">
        <v>55</v>
      </c>
      <c r="L29" s="21" t="str">
        <f>VLOOKUP(C29,'Trips&amp;Operators'!$C$1:$E$9999,3,FALSE)</f>
        <v>STARKS</v>
      </c>
      <c r="M29" s="20" t="s">
        <v>96</v>
      </c>
      <c r="N29" s="20"/>
      <c r="P29" s="80" t="str">
        <f>VLOOKUP(C29,'Train Runs'!$A$3:$W$261,20,0)</f>
        <v>NorthBound</v>
      </c>
      <c r="Q29" s="19" t="str">
        <f t="shared" si="0"/>
        <v>4016</v>
      </c>
      <c r="R29" s="83"/>
    </row>
    <row r="30" spans="1:18" s="19" customFormat="1" x14ac:dyDescent="0.25">
      <c r="A30" s="23">
        <v>42517.450127314813</v>
      </c>
      <c r="B30" s="22" t="s">
        <v>83</v>
      </c>
      <c r="C30" s="22" t="s">
        <v>275</v>
      </c>
      <c r="D30" s="22" t="s">
        <v>52</v>
      </c>
      <c r="E30" s="22" t="s">
        <v>58</v>
      </c>
      <c r="F30" s="22">
        <v>0</v>
      </c>
      <c r="G30" s="22">
        <v>447</v>
      </c>
      <c r="H30" s="22">
        <v>7911</v>
      </c>
      <c r="I30" s="22" t="s">
        <v>59</v>
      </c>
      <c r="J30" s="22">
        <v>10800</v>
      </c>
      <c r="K30" s="21" t="s">
        <v>55</v>
      </c>
      <c r="L30" s="21" t="str">
        <f>VLOOKUP(C30,'Trips&amp;Operators'!$C$1:$E$9999,3,FALSE)</f>
        <v>ROCHA</v>
      </c>
      <c r="M30" s="20" t="s">
        <v>96</v>
      </c>
      <c r="N30" s="21"/>
      <c r="P30" s="80" t="str">
        <f>VLOOKUP(C30,'Train Runs'!$A$3:$W$261,20,0)</f>
        <v>NorthBound</v>
      </c>
      <c r="Q30" s="19" t="str">
        <f t="shared" si="0"/>
        <v>4040</v>
      </c>
    </row>
    <row r="31" spans="1:18" s="19" customFormat="1" x14ac:dyDescent="0.25">
      <c r="A31" s="23">
        <v>42517.465891203705</v>
      </c>
      <c r="B31" s="22" t="s">
        <v>83</v>
      </c>
      <c r="C31" s="22" t="s">
        <v>275</v>
      </c>
      <c r="D31" s="22" t="s">
        <v>52</v>
      </c>
      <c r="E31" s="22" t="s">
        <v>58</v>
      </c>
      <c r="F31" s="22">
        <v>0</v>
      </c>
      <c r="G31" s="22">
        <v>296</v>
      </c>
      <c r="H31" s="22">
        <v>148232</v>
      </c>
      <c r="I31" s="22" t="s">
        <v>59</v>
      </c>
      <c r="J31" s="22">
        <v>149694</v>
      </c>
      <c r="K31" s="21" t="s">
        <v>55</v>
      </c>
      <c r="L31" s="21" t="str">
        <f>VLOOKUP(C31,'Trips&amp;Operators'!$C$1:$E$9999,3,FALSE)</f>
        <v>ROCHA</v>
      </c>
      <c r="M31" s="20" t="s">
        <v>96</v>
      </c>
      <c r="N31" s="21"/>
      <c r="P31" s="80" t="str">
        <f>VLOOKUP(C31,'Train Runs'!$A$3:$W$261,20,0)</f>
        <v>NorthBound</v>
      </c>
      <c r="Q31" s="19" t="str">
        <f t="shared" si="0"/>
        <v>4040</v>
      </c>
    </row>
    <row r="32" spans="1:18" s="19" customFormat="1" x14ac:dyDescent="0.25">
      <c r="A32" s="23">
        <v>42517.636388888888</v>
      </c>
      <c r="B32" s="22" t="s">
        <v>87</v>
      </c>
      <c r="C32" s="22" t="s">
        <v>364</v>
      </c>
      <c r="D32" s="22" t="s">
        <v>52</v>
      </c>
      <c r="E32" s="22" t="s">
        <v>58</v>
      </c>
      <c r="F32" s="22">
        <v>0</v>
      </c>
      <c r="G32" s="22">
        <v>52</v>
      </c>
      <c r="H32" s="22">
        <v>1393</v>
      </c>
      <c r="I32" s="22" t="s">
        <v>59</v>
      </c>
      <c r="J32" s="22">
        <v>1692</v>
      </c>
      <c r="K32" s="21" t="s">
        <v>55</v>
      </c>
      <c r="L32" s="21" t="str">
        <f>VLOOKUP(C32,'Trips&amp;Operators'!$C$1:$E$9999,3,FALSE)</f>
        <v>LOCKLEAR</v>
      </c>
      <c r="M32" s="20" t="s">
        <v>96</v>
      </c>
      <c r="N32" s="21"/>
      <c r="P32" s="80" t="str">
        <f>VLOOKUP(C32,'Train Runs'!$A$3:$W$261,20,0)</f>
        <v>NorthBound</v>
      </c>
      <c r="Q32" s="19" t="str">
        <f t="shared" si="0"/>
        <v>4031</v>
      </c>
    </row>
    <row r="33" spans="1:17" s="19" customFormat="1" x14ac:dyDescent="0.25">
      <c r="A33" s="23">
        <v>42517.642187500001</v>
      </c>
      <c r="B33" s="22" t="s">
        <v>84</v>
      </c>
      <c r="C33" s="22" t="s">
        <v>351</v>
      </c>
      <c r="D33" s="22" t="s">
        <v>52</v>
      </c>
      <c r="E33" s="22" t="s">
        <v>58</v>
      </c>
      <c r="F33" s="22">
        <v>0</v>
      </c>
      <c r="G33" s="22">
        <v>111</v>
      </c>
      <c r="H33" s="22">
        <v>127967</v>
      </c>
      <c r="I33" s="22" t="s">
        <v>59</v>
      </c>
      <c r="J33" s="22">
        <v>127587</v>
      </c>
      <c r="K33" s="21" t="s">
        <v>56</v>
      </c>
      <c r="L33" s="21" t="str">
        <f>VLOOKUP(C33,'Trips&amp;Operators'!$C$1:$E$9999,3,FALSE)</f>
        <v>ROCHA</v>
      </c>
      <c r="M33" s="20" t="s">
        <v>96</v>
      </c>
      <c r="N33" s="21"/>
      <c r="P33" s="80" t="str">
        <f>VLOOKUP(C33,'Train Runs'!$A$3:$W$261,20,0)</f>
        <v>Southbound</v>
      </c>
      <c r="Q33" s="19" t="str">
        <f t="shared" si="0"/>
        <v>4039</v>
      </c>
    </row>
    <row r="34" spans="1:17" s="19" customFormat="1" x14ac:dyDescent="0.25">
      <c r="A34" s="23">
        <v>42517.648356481484</v>
      </c>
      <c r="B34" s="22" t="s">
        <v>421</v>
      </c>
      <c r="C34" s="22" t="s">
        <v>360</v>
      </c>
      <c r="D34" s="22" t="s">
        <v>52</v>
      </c>
      <c r="E34" s="22" t="s">
        <v>58</v>
      </c>
      <c r="F34" s="22">
        <v>0</v>
      </c>
      <c r="G34" s="22">
        <v>756</v>
      </c>
      <c r="H34" s="22">
        <v>200946</v>
      </c>
      <c r="I34" s="22" t="s">
        <v>59</v>
      </c>
      <c r="J34" s="22">
        <v>204300</v>
      </c>
      <c r="K34" s="21" t="s">
        <v>55</v>
      </c>
      <c r="L34" s="21" t="str">
        <f>VLOOKUP(C34,'Trips&amp;Operators'!$C$1:$E$9999,3,FALSE)</f>
        <v>LOZA</v>
      </c>
      <c r="M34" s="20" t="s">
        <v>96</v>
      </c>
      <c r="N34" s="21"/>
      <c r="P34" s="80" t="str">
        <f>VLOOKUP(C34,'Train Runs'!$A$3:$W$261,20,0)</f>
        <v>NorthBound</v>
      </c>
      <c r="Q34" s="19" t="str">
        <f t="shared" si="0"/>
        <v>4016</v>
      </c>
    </row>
    <row r="35" spans="1:17" s="19" customFormat="1" x14ac:dyDescent="0.25">
      <c r="A35" s="23">
        <v>42517.652939814812</v>
      </c>
      <c r="B35" s="22" t="s">
        <v>84</v>
      </c>
      <c r="C35" s="22" t="s">
        <v>351</v>
      </c>
      <c r="D35" s="22" t="s">
        <v>52</v>
      </c>
      <c r="E35" s="22" t="s">
        <v>58</v>
      </c>
      <c r="F35" s="22">
        <v>0</v>
      </c>
      <c r="G35" s="22">
        <v>498</v>
      </c>
      <c r="H35" s="22">
        <v>42349</v>
      </c>
      <c r="I35" s="22" t="s">
        <v>59</v>
      </c>
      <c r="J35" s="22">
        <v>38656</v>
      </c>
      <c r="K35" s="21" t="s">
        <v>56</v>
      </c>
      <c r="L35" s="21" t="str">
        <f>VLOOKUP(C35,'Trips&amp;Operators'!$C$1:$E$9999,3,FALSE)</f>
        <v>ROCHA</v>
      </c>
      <c r="M35" s="20" t="s">
        <v>96</v>
      </c>
      <c r="N35" s="21"/>
      <c r="P35" s="80" t="str">
        <f>VLOOKUP(C35,'Train Runs'!$A$3:$W$261,20,0)</f>
        <v>Southbound</v>
      </c>
      <c r="Q35" s="19" t="str">
        <f t="shared" si="0"/>
        <v>4039</v>
      </c>
    </row>
    <row r="36" spans="1:17" s="19" customFormat="1" x14ac:dyDescent="0.25">
      <c r="A36" s="23">
        <v>42517.656168981484</v>
      </c>
      <c r="B36" s="22" t="s">
        <v>164</v>
      </c>
      <c r="C36" s="22" t="s">
        <v>346</v>
      </c>
      <c r="D36" s="22" t="s">
        <v>57</v>
      </c>
      <c r="E36" s="22" t="s">
        <v>58</v>
      </c>
      <c r="F36" s="22">
        <v>200</v>
      </c>
      <c r="G36" s="22">
        <v>258</v>
      </c>
      <c r="H36" s="22">
        <v>18281</v>
      </c>
      <c r="I36" s="22" t="s">
        <v>59</v>
      </c>
      <c r="J36" s="22">
        <v>20632</v>
      </c>
      <c r="K36" s="21" t="s">
        <v>56</v>
      </c>
      <c r="L36" s="21" t="str">
        <f>VLOOKUP(C36,'Trips&amp;Operators'!$C$1:$E$9999,3,FALSE)</f>
        <v>STEWART</v>
      </c>
      <c r="M36" s="20" t="s">
        <v>96</v>
      </c>
      <c r="N36" s="21"/>
      <c r="P36" s="80" t="str">
        <f>VLOOKUP(C36,'Train Runs'!$A$3:$W$261,20,0)</f>
        <v>Southbound</v>
      </c>
      <c r="Q36" s="19" t="str">
        <f t="shared" si="0"/>
        <v>4017</v>
      </c>
    </row>
    <row r="37" spans="1:17" s="19" customFormat="1" x14ac:dyDescent="0.25">
      <c r="A37" s="23">
        <v>42517.656793981485</v>
      </c>
      <c r="B37" s="22" t="s">
        <v>164</v>
      </c>
      <c r="C37" s="22" t="s">
        <v>346</v>
      </c>
      <c r="D37" s="22" t="s">
        <v>57</v>
      </c>
      <c r="E37" s="22" t="s">
        <v>58</v>
      </c>
      <c r="F37" s="22">
        <v>200</v>
      </c>
      <c r="G37" s="22">
        <v>250</v>
      </c>
      <c r="H37" s="22">
        <v>17634</v>
      </c>
      <c r="I37" s="22" t="s">
        <v>59</v>
      </c>
      <c r="J37" s="22">
        <v>20632</v>
      </c>
      <c r="K37" s="21" t="s">
        <v>56</v>
      </c>
      <c r="L37" s="21" t="str">
        <f>VLOOKUP(C37,'Trips&amp;Operators'!$C$1:$E$9999,3,FALSE)</f>
        <v>STEWART</v>
      </c>
      <c r="M37" s="20" t="s">
        <v>96</v>
      </c>
      <c r="N37" s="21"/>
      <c r="P37" s="80" t="str">
        <f>VLOOKUP(C37,'Train Runs'!$A$3:$W$261,20,0)</f>
        <v>Southbound</v>
      </c>
      <c r="Q37" s="19" t="str">
        <f t="shared" si="0"/>
        <v>4017</v>
      </c>
    </row>
    <row r="38" spans="1:17" s="19" customFormat="1" x14ac:dyDescent="0.25">
      <c r="A38" s="23">
        <v>42517.682916666665</v>
      </c>
      <c r="B38" s="22" t="s">
        <v>94</v>
      </c>
      <c r="C38" s="22" t="s">
        <v>367</v>
      </c>
      <c r="D38" s="22" t="s">
        <v>52</v>
      </c>
      <c r="E38" s="22" t="s">
        <v>58</v>
      </c>
      <c r="F38" s="22">
        <v>0</v>
      </c>
      <c r="G38" s="22">
        <v>395</v>
      </c>
      <c r="H38" s="22">
        <v>129872</v>
      </c>
      <c r="I38" s="22" t="s">
        <v>59</v>
      </c>
      <c r="J38" s="22">
        <v>127587</v>
      </c>
      <c r="K38" s="21" t="s">
        <v>56</v>
      </c>
      <c r="L38" s="21" t="str">
        <f>VLOOKUP(C38,'Trips&amp;Operators'!$C$1:$E$9999,3,FALSE)</f>
        <v>LOCKLEAR</v>
      </c>
      <c r="M38" s="20" t="s">
        <v>96</v>
      </c>
      <c r="N38" s="21"/>
      <c r="P38" s="80" t="str">
        <f>VLOOKUP(C38,'Train Runs'!$A$3:$W$261,20,0)</f>
        <v>Southbound</v>
      </c>
      <c r="Q38" s="19" t="str">
        <f t="shared" si="0"/>
        <v>4032</v>
      </c>
    </row>
    <row r="39" spans="1:17" s="19" customFormat="1" x14ac:dyDescent="0.25">
      <c r="A39" s="23">
        <v>42517.691006944442</v>
      </c>
      <c r="B39" s="22" t="s">
        <v>170</v>
      </c>
      <c r="C39" s="22" t="s">
        <v>372</v>
      </c>
      <c r="D39" s="22" t="s">
        <v>52</v>
      </c>
      <c r="E39" s="22" t="s">
        <v>58</v>
      </c>
      <c r="F39" s="22">
        <v>0</v>
      </c>
      <c r="G39" s="22">
        <v>399</v>
      </c>
      <c r="H39" s="22">
        <v>221581</v>
      </c>
      <c r="I39" s="22" t="s">
        <v>59</v>
      </c>
      <c r="J39" s="22">
        <v>224231</v>
      </c>
      <c r="K39" s="21" t="s">
        <v>55</v>
      </c>
      <c r="L39" s="21" t="str">
        <f>VLOOKUP(C39,'Trips&amp;Operators'!$C$1:$E$9999,3,FALSE)</f>
        <v>STEWART</v>
      </c>
      <c r="M39" s="20" t="s">
        <v>96</v>
      </c>
      <c r="N39" s="21"/>
      <c r="P39" s="80" t="str">
        <f>VLOOKUP(C39,'Train Runs'!$A$3:$W$261,20,0)</f>
        <v>NorthBound</v>
      </c>
      <c r="Q39" s="19" t="str">
        <f t="shared" si="0"/>
        <v>4018</v>
      </c>
    </row>
    <row r="40" spans="1:17" s="19" customFormat="1" x14ac:dyDescent="0.25">
      <c r="A40" s="23">
        <v>42517.740636574075</v>
      </c>
      <c r="B40" s="22" t="s">
        <v>423</v>
      </c>
      <c r="C40" s="22" t="s">
        <v>387</v>
      </c>
      <c r="D40" s="22" t="s">
        <v>52</v>
      </c>
      <c r="E40" s="22" t="s">
        <v>58</v>
      </c>
      <c r="F40" s="22">
        <v>0</v>
      </c>
      <c r="G40" s="22">
        <v>403</v>
      </c>
      <c r="H40" s="22">
        <v>193866</v>
      </c>
      <c r="I40" s="22" t="s">
        <v>59</v>
      </c>
      <c r="J40" s="22">
        <v>191723</v>
      </c>
      <c r="K40" s="21" t="s">
        <v>56</v>
      </c>
      <c r="L40" s="21" t="str">
        <f>VLOOKUP(C40,'Trips&amp;Operators'!$C$1:$E$9999,3,FALSE)</f>
        <v>LOZA</v>
      </c>
      <c r="M40" s="20" t="s">
        <v>96</v>
      </c>
      <c r="N40" s="21"/>
      <c r="P40" s="80" t="str">
        <f>VLOOKUP(C40,'Train Runs'!$A$3:$W$261,20,0)</f>
        <v>Southbound</v>
      </c>
      <c r="Q40" s="19" t="str">
        <f t="shared" si="0"/>
        <v>4015</v>
      </c>
    </row>
    <row r="41" spans="1:17" s="19" customFormat="1" x14ac:dyDescent="0.25">
      <c r="A41" s="23">
        <v>42517.747708333336</v>
      </c>
      <c r="B41" s="22" t="s">
        <v>83</v>
      </c>
      <c r="C41" s="22" t="s">
        <v>401</v>
      </c>
      <c r="D41" s="22" t="s">
        <v>52</v>
      </c>
      <c r="E41" s="22" t="s">
        <v>58</v>
      </c>
      <c r="F41" s="22">
        <v>0</v>
      </c>
      <c r="G41" s="22">
        <v>190</v>
      </c>
      <c r="H41" s="22">
        <v>27717</v>
      </c>
      <c r="I41" s="22" t="s">
        <v>59</v>
      </c>
      <c r="J41" s="22">
        <v>28054</v>
      </c>
      <c r="K41" s="21" t="s">
        <v>55</v>
      </c>
      <c r="L41" s="21" t="str">
        <f>VLOOKUP(C41,'Trips&amp;Operators'!$C$1:$E$9999,3,FALSE)</f>
        <v>LEVERE</v>
      </c>
      <c r="M41" s="20" t="s">
        <v>96</v>
      </c>
      <c r="N41" s="21"/>
      <c r="P41" s="80" t="str">
        <f>VLOOKUP(C41,'Train Runs'!$A$3:$W$261,20,0)</f>
        <v>NorthBound</v>
      </c>
      <c r="Q41" s="19" t="str">
        <f t="shared" si="0"/>
        <v>4040</v>
      </c>
    </row>
    <row r="42" spans="1:17" s="19" customFormat="1" x14ac:dyDescent="0.25">
      <c r="A42" s="23">
        <v>42517.981342592589</v>
      </c>
      <c r="B42" s="22" t="s">
        <v>422</v>
      </c>
      <c r="C42" s="22" t="s">
        <v>317</v>
      </c>
      <c r="D42" s="22" t="s">
        <v>52</v>
      </c>
      <c r="E42" s="22" t="s">
        <v>58</v>
      </c>
      <c r="F42" s="22">
        <v>0</v>
      </c>
      <c r="G42" s="22">
        <v>350</v>
      </c>
      <c r="H42" s="22">
        <v>222956</v>
      </c>
      <c r="I42" s="22" t="s">
        <v>59</v>
      </c>
      <c r="J42" s="22">
        <v>224231</v>
      </c>
      <c r="K42" s="21" t="s">
        <v>55</v>
      </c>
      <c r="L42" s="21" t="str">
        <f>VLOOKUP(C42,'Trips&amp;Operators'!$C$1:$E$9999,3,FALSE)</f>
        <v>ADANE</v>
      </c>
      <c r="M42" s="20" t="s">
        <v>96</v>
      </c>
      <c r="N42" s="21"/>
      <c r="P42" s="80" t="str">
        <f>VLOOKUP(C42,'Train Runs'!$A$3:$W$261,20,0)</f>
        <v>NorthBound</v>
      </c>
      <c r="Q42" s="19" t="str">
        <f t="shared" si="0"/>
        <v>4044</v>
      </c>
    </row>
    <row r="43" spans="1:17" s="19" customFormat="1" x14ac:dyDescent="0.25">
      <c r="A43" s="23">
        <v>42517.6721875</v>
      </c>
      <c r="B43" s="22" t="s">
        <v>104</v>
      </c>
      <c r="C43" s="22" t="s">
        <v>354</v>
      </c>
      <c r="D43" s="22" t="s">
        <v>57</v>
      </c>
      <c r="E43" s="22" t="s">
        <v>425</v>
      </c>
      <c r="F43" s="22">
        <v>0</v>
      </c>
      <c r="G43" s="22">
        <v>175</v>
      </c>
      <c r="H43" s="22">
        <v>3463</v>
      </c>
      <c r="I43" s="22" t="s">
        <v>426</v>
      </c>
      <c r="J43" s="22">
        <v>3549</v>
      </c>
      <c r="K43" s="21" t="s">
        <v>56</v>
      </c>
      <c r="L43" s="21" t="str">
        <f>VLOOKUP(C43,'Trips&amp;Operators'!$C$1:$E$9999,3,FALSE)</f>
        <v>WEBSTER</v>
      </c>
      <c r="M43" s="20" t="s">
        <v>96</v>
      </c>
      <c r="N43" s="21"/>
      <c r="P43" s="80" t="str">
        <f>VLOOKUP(C43,'Train Runs'!$A$3:$W$261,20,0)</f>
        <v>Southbound</v>
      </c>
      <c r="Q43" s="19" t="str">
        <f t="shared" si="0"/>
        <v>4037</v>
      </c>
    </row>
    <row r="44" spans="1:17" s="19" customFormat="1" x14ac:dyDescent="0.25">
      <c r="A44" s="23">
        <v>42517.202951388892</v>
      </c>
      <c r="B44" s="22" t="s">
        <v>163</v>
      </c>
      <c r="C44" s="22" t="s">
        <v>185</v>
      </c>
      <c r="D44" s="22" t="s">
        <v>52</v>
      </c>
      <c r="E44" s="22" t="s">
        <v>53</v>
      </c>
      <c r="F44" s="22">
        <v>0</v>
      </c>
      <c r="G44" s="22">
        <v>46</v>
      </c>
      <c r="H44" s="22">
        <v>233346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BEAM</v>
      </c>
      <c r="M44" s="20" t="s">
        <v>73</v>
      </c>
      <c r="N44" s="21"/>
      <c r="P44" s="80" t="str">
        <f>VLOOKUP(C44,'Train Runs'!$A$3:$W$261,20,0)</f>
        <v>NorthBound</v>
      </c>
      <c r="Q44" s="19" t="str">
        <f t="shared" si="0"/>
        <v>4029</v>
      </c>
    </row>
    <row r="45" spans="1:17" s="19" customFormat="1" x14ac:dyDescent="0.25">
      <c r="A45" s="23">
        <v>42517.213113425925</v>
      </c>
      <c r="B45" s="22" t="s">
        <v>421</v>
      </c>
      <c r="C45" s="22" t="s">
        <v>191</v>
      </c>
      <c r="D45" s="22" t="s">
        <v>52</v>
      </c>
      <c r="E45" s="22" t="s">
        <v>53</v>
      </c>
      <c r="F45" s="22">
        <v>0</v>
      </c>
      <c r="G45" s="22">
        <v>7</v>
      </c>
      <c r="H45" s="22">
        <v>233399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STARKS</v>
      </c>
      <c r="M45" s="20" t="s">
        <v>73</v>
      </c>
      <c r="N45" s="21"/>
      <c r="P45" s="80" t="str">
        <f>VLOOKUP(C45,'Train Runs'!$A$3:$W$261,20,0)</f>
        <v>NorthBound</v>
      </c>
      <c r="Q45" s="19" t="str">
        <f t="shared" si="0"/>
        <v>4016</v>
      </c>
    </row>
    <row r="46" spans="1:17" s="19" customFormat="1" x14ac:dyDescent="0.25">
      <c r="A46" s="23">
        <v>42517.22252314815</v>
      </c>
      <c r="B46" s="22" t="s">
        <v>422</v>
      </c>
      <c r="C46" s="22" t="s">
        <v>195</v>
      </c>
      <c r="D46" s="22" t="s">
        <v>52</v>
      </c>
      <c r="E46" s="22" t="s">
        <v>53</v>
      </c>
      <c r="F46" s="22">
        <v>0</v>
      </c>
      <c r="G46" s="22">
        <v>4</v>
      </c>
      <c r="H46" s="22">
        <v>233334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MALAVE</v>
      </c>
      <c r="M46" s="20" t="s">
        <v>73</v>
      </c>
      <c r="N46" s="21"/>
      <c r="P46" s="80" t="str">
        <f>VLOOKUP(C46,'Train Runs'!$A$3:$W$261,20,0)</f>
        <v>NorthBound</v>
      </c>
      <c r="Q46" s="19" t="str">
        <f t="shared" si="0"/>
        <v>4044</v>
      </c>
    </row>
    <row r="47" spans="1:17" s="19" customFormat="1" x14ac:dyDescent="0.25">
      <c r="A47" s="23">
        <v>42517.241643518515</v>
      </c>
      <c r="B47" s="22" t="s">
        <v>94</v>
      </c>
      <c r="C47" s="22" t="s">
        <v>188</v>
      </c>
      <c r="D47" s="22" t="s">
        <v>52</v>
      </c>
      <c r="E47" s="22" t="s">
        <v>53</v>
      </c>
      <c r="F47" s="22">
        <v>0</v>
      </c>
      <c r="G47" s="22">
        <v>54</v>
      </c>
      <c r="H47" s="22">
        <v>192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BEAM</v>
      </c>
      <c r="M47" s="20" t="s">
        <v>73</v>
      </c>
      <c r="N47" s="21"/>
      <c r="P47" s="80" t="str">
        <f>VLOOKUP(C47,'Train Runs'!$A$3:$W$261,20,0)</f>
        <v>Southbound</v>
      </c>
      <c r="Q47" s="19" t="str">
        <f t="shared" si="0"/>
        <v>4032</v>
      </c>
    </row>
    <row r="48" spans="1:17" s="19" customFormat="1" x14ac:dyDescent="0.25">
      <c r="A48" s="23">
        <v>42517.264560185184</v>
      </c>
      <c r="B48" s="22" t="s">
        <v>103</v>
      </c>
      <c r="C48" s="22" t="s">
        <v>206</v>
      </c>
      <c r="D48" s="22" t="s">
        <v>52</v>
      </c>
      <c r="E48" s="22" t="s">
        <v>53</v>
      </c>
      <c r="F48" s="22">
        <v>0</v>
      </c>
      <c r="G48" s="22">
        <v>9</v>
      </c>
      <c r="H48" s="22">
        <v>233331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STURGEON</v>
      </c>
      <c r="M48" s="20" t="s">
        <v>73</v>
      </c>
      <c r="N48" s="21"/>
      <c r="P48" s="80" t="str">
        <f>VLOOKUP(C48,'Train Runs'!$A$3:$W$261,20,0)</f>
        <v>NorthBound</v>
      </c>
      <c r="Q48" s="19" t="str">
        <f t="shared" si="0"/>
        <v>4038</v>
      </c>
    </row>
    <row r="49" spans="1:18" s="19" customFormat="1" x14ac:dyDescent="0.25">
      <c r="A49" s="23">
        <v>42517.267465277779</v>
      </c>
      <c r="B49" s="22" t="s">
        <v>424</v>
      </c>
      <c r="C49" s="22" t="s">
        <v>197</v>
      </c>
      <c r="D49" s="22" t="s">
        <v>52</v>
      </c>
      <c r="E49" s="22" t="s">
        <v>53</v>
      </c>
      <c r="F49" s="22">
        <v>0</v>
      </c>
      <c r="G49" s="22">
        <v>7</v>
      </c>
      <c r="H49" s="22">
        <v>129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MALAVE</v>
      </c>
      <c r="M49" s="20" t="s">
        <v>73</v>
      </c>
      <c r="N49" s="21"/>
      <c r="P49" s="80" t="str">
        <f>VLOOKUP(C49,'Train Runs'!$A$3:$W$261,20,0)</f>
        <v>Southbound</v>
      </c>
      <c r="Q49" s="19" t="str">
        <f t="shared" si="0"/>
        <v>4043</v>
      </c>
    </row>
    <row r="50" spans="1:18" s="19" customFormat="1" x14ac:dyDescent="0.25">
      <c r="A50" s="23">
        <v>42517.296168981484</v>
      </c>
      <c r="B50" s="22" t="s">
        <v>422</v>
      </c>
      <c r="C50" s="22" t="s">
        <v>216</v>
      </c>
      <c r="D50" s="22" t="s">
        <v>52</v>
      </c>
      <c r="E50" s="22" t="s">
        <v>53</v>
      </c>
      <c r="F50" s="22">
        <v>0</v>
      </c>
      <c r="G50" s="22">
        <v>9</v>
      </c>
      <c r="H50" s="22">
        <v>233408</v>
      </c>
      <c r="I50" s="22" t="s">
        <v>54</v>
      </c>
      <c r="J50" s="22">
        <v>233491</v>
      </c>
      <c r="K50" s="21" t="s">
        <v>55</v>
      </c>
      <c r="L50" s="21" t="str">
        <f>VLOOKUP(C50,'Trips&amp;Operators'!$C$1:$E$9999,3,FALSE)</f>
        <v>MALAVE</v>
      </c>
      <c r="M50" s="20" t="s">
        <v>73</v>
      </c>
      <c r="N50" s="21"/>
      <c r="P50" s="80" t="str">
        <f>VLOOKUP(C50,'Train Runs'!$A$3:$W$261,20,0)</f>
        <v>NorthBound</v>
      </c>
      <c r="Q50" s="19" t="str">
        <f t="shared" si="0"/>
        <v>4044</v>
      </c>
    </row>
    <row r="51" spans="1:18" s="19" customFormat="1" x14ac:dyDescent="0.25">
      <c r="A51" s="23">
        <v>42517.338518518518</v>
      </c>
      <c r="B51" s="22" t="s">
        <v>103</v>
      </c>
      <c r="C51" s="22" t="s">
        <v>228</v>
      </c>
      <c r="D51" s="22" t="s">
        <v>52</v>
      </c>
      <c r="E51" s="22" t="s">
        <v>53</v>
      </c>
      <c r="F51" s="22">
        <v>0</v>
      </c>
      <c r="G51" s="22">
        <v>8</v>
      </c>
      <c r="H51" s="22">
        <v>233293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STURGEON</v>
      </c>
      <c r="M51" s="20" t="s">
        <v>73</v>
      </c>
      <c r="N51" s="21"/>
      <c r="P51" s="80" t="str">
        <f>VLOOKUP(C51,'Train Runs'!$A$3:$W$261,20,0)</f>
        <v>NorthBound</v>
      </c>
      <c r="Q51" s="19" t="str">
        <f t="shared" si="0"/>
        <v>4038</v>
      </c>
    </row>
    <row r="52" spans="1:18" s="19" customFormat="1" x14ac:dyDescent="0.25">
      <c r="A52" s="23">
        <v>42517.41065972222</v>
      </c>
      <c r="B52" s="22" t="s">
        <v>103</v>
      </c>
      <c r="C52" s="22" t="s">
        <v>252</v>
      </c>
      <c r="D52" s="22" t="s">
        <v>52</v>
      </c>
      <c r="E52" s="22" t="s">
        <v>53</v>
      </c>
      <c r="F52" s="22">
        <v>0</v>
      </c>
      <c r="G52" s="22">
        <v>6</v>
      </c>
      <c r="H52" s="22">
        <v>233308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STURGEON</v>
      </c>
      <c r="M52" s="20" t="s">
        <v>73</v>
      </c>
      <c r="N52" s="21"/>
      <c r="P52" s="80" t="str">
        <f>VLOOKUP(C52,'Train Runs'!$A$3:$W$261,20,0)</f>
        <v>NorthBound</v>
      </c>
      <c r="Q52" s="19" t="str">
        <f t="shared" si="0"/>
        <v>4038</v>
      </c>
    </row>
    <row r="53" spans="1:18" s="19" customFormat="1" x14ac:dyDescent="0.25">
      <c r="A53" s="23">
        <v>42517.434525462966</v>
      </c>
      <c r="B53" s="22" t="s">
        <v>421</v>
      </c>
      <c r="C53" s="22" t="s">
        <v>260</v>
      </c>
      <c r="D53" s="22" t="s">
        <v>52</v>
      </c>
      <c r="E53" s="22" t="s">
        <v>53</v>
      </c>
      <c r="F53" s="22">
        <v>0</v>
      </c>
      <c r="G53" s="22">
        <v>43</v>
      </c>
      <c r="H53" s="22">
        <v>233332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STARKS</v>
      </c>
      <c r="M53" s="20" t="s">
        <v>73</v>
      </c>
      <c r="N53" s="21"/>
      <c r="P53" s="80" t="str">
        <f>VLOOKUP(C53,'Train Runs'!$A$3:$W$261,20,0)</f>
        <v>NorthBound</v>
      </c>
      <c r="Q53" s="19" t="str">
        <f t="shared" si="0"/>
        <v>4016</v>
      </c>
    </row>
    <row r="54" spans="1:18" s="19" customFormat="1" x14ac:dyDescent="0.25">
      <c r="A54" s="23">
        <v>42517.442974537036</v>
      </c>
      <c r="B54" s="22" t="s">
        <v>87</v>
      </c>
      <c r="C54" s="22" t="s">
        <v>263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233326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MALAVE</v>
      </c>
      <c r="M54" s="20" t="s">
        <v>73</v>
      </c>
      <c r="N54" s="21"/>
      <c r="P54" s="80" t="str">
        <f>VLOOKUP(C54,'Train Runs'!$A$3:$W$261,20,0)</f>
        <v>NorthBound</v>
      </c>
      <c r="Q54" s="19" t="str">
        <f t="shared" si="0"/>
        <v>4031</v>
      </c>
      <c r="R54" s="83"/>
    </row>
    <row r="55" spans="1:18" s="19" customFormat="1" x14ac:dyDescent="0.25">
      <c r="A55" s="23">
        <v>42517.545902777776</v>
      </c>
      <c r="B55" s="22" t="s">
        <v>83</v>
      </c>
      <c r="C55" s="22" t="s">
        <v>296</v>
      </c>
      <c r="D55" s="22" t="s">
        <v>52</v>
      </c>
      <c r="E55" s="22" t="s">
        <v>53</v>
      </c>
      <c r="F55" s="22">
        <v>0</v>
      </c>
      <c r="G55" s="22">
        <v>60</v>
      </c>
      <c r="H55" s="22">
        <v>233261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ROCHA</v>
      </c>
      <c r="M55" s="20" t="s">
        <v>73</v>
      </c>
      <c r="N55" s="21"/>
      <c r="P55" s="80" t="str">
        <f>VLOOKUP(C55,'Train Runs'!$A$3:$W$261,20,0)</f>
        <v>NorthBound</v>
      </c>
      <c r="Q55" s="19" t="str">
        <f t="shared" si="0"/>
        <v>4040</v>
      </c>
    </row>
    <row r="56" spans="1:18" s="19" customFormat="1" x14ac:dyDescent="0.25">
      <c r="A56" s="23">
        <v>42517.558530092596</v>
      </c>
      <c r="B56" s="22" t="s">
        <v>103</v>
      </c>
      <c r="C56" s="22" t="s">
        <v>298</v>
      </c>
      <c r="D56" s="22" t="s">
        <v>52</v>
      </c>
      <c r="E56" s="22" t="s">
        <v>53</v>
      </c>
      <c r="F56" s="22">
        <v>0</v>
      </c>
      <c r="G56" s="22">
        <v>9</v>
      </c>
      <c r="H56" s="22">
        <v>233338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WEBSTER</v>
      </c>
      <c r="M56" s="20" t="s">
        <v>73</v>
      </c>
      <c r="N56" s="21"/>
      <c r="P56" s="80" t="str">
        <f>VLOOKUP(C56,'Train Runs'!$A$3:$W$261,20,0)</f>
        <v>NorthBound</v>
      </c>
      <c r="Q56" s="19" t="str">
        <f t="shared" si="0"/>
        <v>4038</v>
      </c>
    </row>
    <row r="57" spans="1:18" s="19" customFormat="1" x14ac:dyDescent="0.25">
      <c r="A57" s="23">
        <v>42517.570370370369</v>
      </c>
      <c r="B57" s="22" t="s">
        <v>163</v>
      </c>
      <c r="C57" s="22" t="s">
        <v>333</v>
      </c>
      <c r="D57" s="22" t="s">
        <v>52</v>
      </c>
      <c r="E57" s="22" t="s">
        <v>53</v>
      </c>
      <c r="F57" s="22">
        <v>0</v>
      </c>
      <c r="G57" s="22">
        <v>33</v>
      </c>
      <c r="H57" s="22">
        <v>233405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SPECTOR</v>
      </c>
      <c r="M57" s="20" t="s">
        <v>73</v>
      </c>
      <c r="N57" s="21"/>
      <c r="P57" s="80" t="str">
        <f>VLOOKUP(C57,'Train Runs'!$A$3:$W$261,20,0)</f>
        <v>NorthBound</v>
      </c>
      <c r="Q57" s="19" t="str">
        <f t="shared" si="0"/>
        <v>4029</v>
      </c>
    </row>
    <row r="58" spans="1:18" s="19" customFormat="1" x14ac:dyDescent="0.25">
      <c r="A58" s="23">
        <v>42517.590219907404</v>
      </c>
      <c r="B58" s="22" t="s">
        <v>84</v>
      </c>
      <c r="C58" s="22" t="s">
        <v>331</v>
      </c>
      <c r="D58" s="22" t="s">
        <v>52</v>
      </c>
      <c r="E58" s="22" t="s">
        <v>53</v>
      </c>
      <c r="F58" s="22">
        <v>0</v>
      </c>
      <c r="G58" s="22">
        <v>9</v>
      </c>
      <c r="H58" s="22">
        <v>125</v>
      </c>
      <c r="I58" s="22" t="s">
        <v>54</v>
      </c>
      <c r="J58" s="22">
        <v>1</v>
      </c>
      <c r="K58" s="21" t="s">
        <v>56</v>
      </c>
      <c r="L58" s="21" t="str">
        <f>VLOOKUP(C58,'Trips&amp;Operators'!$C$1:$E$9999,3,FALSE)</f>
        <v>ROCHA</v>
      </c>
      <c r="M58" s="20" t="s">
        <v>73</v>
      </c>
      <c r="N58" s="21"/>
      <c r="P58" s="80" t="str">
        <f>VLOOKUP(C58,'Train Runs'!$A$3:$W$261,20,0)</f>
        <v>Southbound</v>
      </c>
      <c r="Q58" s="19" t="str">
        <f t="shared" ref="Q58:Q69" si="1">MID(B58,13,4)</f>
        <v>4039</v>
      </c>
    </row>
    <row r="59" spans="1:18" s="19" customFormat="1" x14ac:dyDescent="0.25">
      <c r="A59" s="23">
        <v>42517.629618055558</v>
      </c>
      <c r="B59" s="22" t="s">
        <v>103</v>
      </c>
      <c r="C59" s="22" t="s">
        <v>352</v>
      </c>
      <c r="D59" s="22" t="s">
        <v>52</v>
      </c>
      <c r="E59" s="22" t="s">
        <v>53</v>
      </c>
      <c r="F59" s="22">
        <v>0</v>
      </c>
      <c r="G59" s="22">
        <v>5</v>
      </c>
      <c r="H59" s="22">
        <v>233332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WEBSTER</v>
      </c>
      <c r="M59" s="20" t="s">
        <v>73</v>
      </c>
      <c r="N59" s="21"/>
      <c r="P59" s="80" t="str">
        <f>VLOOKUP(C59,'Train Runs'!$A$3:$W$261,20,0)</f>
        <v>NorthBound</v>
      </c>
      <c r="Q59" s="19" t="str">
        <f t="shared" ref="Q59:Q64" si="2">MID(B59,13,4)</f>
        <v>4038</v>
      </c>
    </row>
    <row r="60" spans="1:18" s="19" customFormat="1" x14ac:dyDescent="0.25">
      <c r="A60" s="23">
        <v>42517.660555555558</v>
      </c>
      <c r="B60" s="22" t="s">
        <v>164</v>
      </c>
      <c r="C60" s="22" t="s">
        <v>346</v>
      </c>
      <c r="D60" s="22" t="s">
        <v>52</v>
      </c>
      <c r="E60" s="22" t="s">
        <v>53</v>
      </c>
      <c r="F60" s="22">
        <v>0</v>
      </c>
      <c r="G60" s="22">
        <v>73</v>
      </c>
      <c r="H60" s="22">
        <v>240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STEWART</v>
      </c>
      <c r="M60" s="20" t="s">
        <v>73</v>
      </c>
      <c r="N60" s="21"/>
      <c r="P60" s="80" t="str">
        <f>VLOOKUP(C60,'Train Runs'!$A$3:$W$261,20,0)</f>
        <v>Southbound</v>
      </c>
      <c r="Q60" s="19" t="str">
        <f t="shared" si="2"/>
        <v>4017</v>
      </c>
    </row>
    <row r="61" spans="1:18" s="19" customFormat="1" x14ac:dyDescent="0.25">
      <c r="A61" s="23">
        <v>42517.664131944446</v>
      </c>
      <c r="B61" s="22" t="s">
        <v>87</v>
      </c>
      <c r="C61" s="22" t="s">
        <v>364</v>
      </c>
      <c r="D61" s="22" t="s">
        <v>52</v>
      </c>
      <c r="E61" s="22" t="s">
        <v>53</v>
      </c>
      <c r="F61" s="22">
        <v>0</v>
      </c>
      <c r="G61" s="22">
        <v>49</v>
      </c>
      <c r="H61" s="22">
        <v>233319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LOCKLEAR</v>
      </c>
      <c r="M61" s="20" t="s">
        <v>73</v>
      </c>
      <c r="N61" s="21"/>
      <c r="P61" s="80" t="str">
        <f>VLOOKUP(C61,'Train Runs'!$A$3:$W$261,20,0)</f>
        <v>NorthBound</v>
      </c>
      <c r="Q61" s="19" t="str">
        <f t="shared" si="2"/>
        <v>4031</v>
      </c>
    </row>
    <row r="62" spans="1:18" s="19" customFormat="1" x14ac:dyDescent="0.25">
      <c r="A62" s="23">
        <v>42517.671527777777</v>
      </c>
      <c r="B62" s="22" t="s">
        <v>422</v>
      </c>
      <c r="C62" s="22" t="s">
        <v>369</v>
      </c>
      <c r="D62" s="22" t="s">
        <v>52</v>
      </c>
      <c r="E62" s="22" t="s">
        <v>53</v>
      </c>
      <c r="F62" s="22">
        <v>0</v>
      </c>
      <c r="G62" s="22">
        <v>50</v>
      </c>
      <c r="H62" s="22">
        <v>233311</v>
      </c>
      <c r="I62" s="22" t="s">
        <v>54</v>
      </c>
      <c r="J62" s="22">
        <v>233491</v>
      </c>
      <c r="K62" s="21" t="s">
        <v>55</v>
      </c>
      <c r="L62" s="21" t="str">
        <f>VLOOKUP(C62,'Trips&amp;Operators'!$C$1:$E$9999,3,FALSE)</f>
        <v>GOODNIGHT</v>
      </c>
      <c r="M62" s="20" t="s">
        <v>73</v>
      </c>
      <c r="N62" s="21"/>
      <c r="P62" s="80" t="str">
        <f>VLOOKUP(C62,'Train Runs'!$A$3:$W$261,20,0)</f>
        <v>NorthBound</v>
      </c>
      <c r="Q62" s="19" t="str">
        <f t="shared" si="2"/>
        <v>4044</v>
      </c>
    </row>
    <row r="63" spans="1:18" s="19" customFormat="1" x14ac:dyDescent="0.25">
      <c r="A63" s="23">
        <v>42517.694016203706</v>
      </c>
      <c r="B63" s="22" t="s">
        <v>170</v>
      </c>
      <c r="C63" s="22" t="s">
        <v>372</v>
      </c>
      <c r="D63" s="22" t="s">
        <v>52</v>
      </c>
      <c r="E63" s="22" t="s">
        <v>53</v>
      </c>
      <c r="F63" s="22">
        <v>0</v>
      </c>
      <c r="G63" s="22">
        <v>61</v>
      </c>
      <c r="H63" s="22">
        <v>233272</v>
      </c>
      <c r="I63" s="22" t="s">
        <v>54</v>
      </c>
      <c r="J63" s="22">
        <v>233491</v>
      </c>
      <c r="K63" s="21" t="s">
        <v>55</v>
      </c>
      <c r="L63" s="21" t="str">
        <f>VLOOKUP(C63,'Trips&amp;Operators'!$C$1:$E$9999,3,FALSE)</f>
        <v>STEWART</v>
      </c>
      <c r="M63" s="20" t="s">
        <v>73</v>
      </c>
      <c r="N63" s="21"/>
      <c r="P63" s="80" t="str">
        <f>VLOOKUP(C63,'Train Runs'!$A$3:$W$261,20,0)</f>
        <v>NorthBound</v>
      </c>
      <c r="Q63" s="19" t="str">
        <f t="shared" si="2"/>
        <v>4018</v>
      </c>
    </row>
    <row r="64" spans="1:18" s="19" customFormat="1" x14ac:dyDescent="0.25">
      <c r="A64" s="23">
        <v>42517.717048611114</v>
      </c>
      <c r="B64" s="22" t="s">
        <v>163</v>
      </c>
      <c r="C64" s="22" t="s">
        <v>380</v>
      </c>
      <c r="D64" s="22" t="s">
        <v>52</v>
      </c>
      <c r="E64" s="22" t="s">
        <v>53</v>
      </c>
      <c r="F64" s="22">
        <v>0</v>
      </c>
      <c r="G64" s="22">
        <v>53</v>
      </c>
      <c r="H64" s="22">
        <v>233314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SPECTOR</v>
      </c>
      <c r="M64" s="20" t="s">
        <v>73</v>
      </c>
      <c r="N64" s="21"/>
      <c r="P64" s="80" t="str">
        <f>VLOOKUP(C64,'Train Runs'!$A$3:$W$261,20,0)</f>
        <v>NorthBound</v>
      </c>
      <c r="Q64" s="19" t="str">
        <f t="shared" si="2"/>
        <v>4029</v>
      </c>
    </row>
    <row r="65" spans="1:17" s="19" customFormat="1" x14ac:dyDescent="0.25">
      <c r="A65" s="23">
        <v>42517.777118055557</v>
      </c>
      <c r="B65" s="22" t="s">
        <v>103</v>
      </c>
      <c r="C65" s="22" t="s">
        <v>405</v>
      </c>
      <c r="D65" s="22" t="s">
        <v>52</v>
      </c>
      <c r="E65" s="22" t="s">
        <v>53</v>
      </c>
      <c r="F65" s="22">
        <v>0</v>
      </c>
      <c r="G65" s="22">
        <v>7</v>
      </c>
      <c r="H65" s="22">
        <v>233328</v>
      </c>
      <c r="I65" s="22" t="s">
        <v>54</v>
      </c>
      <c r="J65" s="22">
        <v>233491</v>
      </c>
      <c r="K65" s="21" t="s">
        <v>55</v>
      </c>
      <c r="L65" s="21" t="str">
        <f>VLOOKUP(C65,'Trips&amp;Operators'!$C$1:$E$9999,3,FALSE)</f>
        <v>WEBSTER</v>
      </c>
      <c r="M65" s="20" t="s">
        <v>73</v>
      </c>
      <c r="N65" s="21"/>
      <c r="P65" s="80" t="str">
        <f>VLOOKUP(C65,'Train Runs'!$A$3:$W$261,20,0)</f>
        <v>NorthBound</v>
      </c>
      <c r="Q65" s="19" t="str">
        <f t="shared" si="1"/>
        <v>4038</v>
      </c>
    </row>
    <row r="66" spans="1:17" s="19" customFormat="1" x14ac:dyDescent="0.25">
      <c r="A66" s="23">
        <v>42517.807500000003</v>
      </c>
      <c r="B66" s="22" t="s">
        <v>84</v>
      </c>
      <c r="C66" s="22" t="s">
        <v>403</v>
      </c>
      <c r="D66" s="22" t="s">
        <v>52</v>
      </c>
      <c r="E66" s="22" t="s">
        <v>53</v>
      </c>
      <c r="F66" s="22">
        <v>0</v>
      </c>
      <c r="G66" s="22">
        <v>4</v>
      </c>
      <c r="H66" s="22">
        <v>180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LEVERE</v>
      </c>
      <c r="M66" s="20" t="s">
        <v>73</v>
      </c>
      <c r="N66" s="21"/>
      <c r="P66" s="80" t="str">
        <f>VLOOKUP(C66,'Train Runs'!$A$3:$W$261,20,0)</f>
        <v>Southbound</v>
      </c>
      <c r="Q66" s="19" t="str">
        <f t="shared" si="1"/>
        <v>4039</v>
      </c>
    </row>
    <row r="67" spans="1:17" s="19" customFormat="1" x14ac:dyDescent="0.25">
      <c r="A67" s="23">
        <v>42517.823391203703</v>
      </c>
      <c r="B67" s="22" t="s">
        <v>422</v>
      </c>
      <c r="C67" s="22" t="s">
        <v>414</v>
      </c>
      <c r="D67" s="22" t="s">
        <v>52</v>
      </c>
      <c r="E67" s="22" t="s">
        <v>53</v>
      </c>
      <c r="F67" s="22">
        <v>0</v>
      </c>
      <c r="G67" s="22">
        <v>9</v>
      </c>
      <c r="H67" s="22">
        <v>233280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ADANE</v>
      </c>
      <c r="M67" s="20" t="s">
        <v>73</v>
      </c>
      <c r="N67" s="21"/>
      <c r="P67" s="80" t="str">
        <f>VLOOKUP(C67,'Train Runs'!$A$3:$W$261,20,0)</f>
        <v>NorthBound</v>
      </c>
      <c r="Q67" s="19" t="str">
        <f t="shared" si="1"/>
        <v>4044</v>
      </c>
    </row>
    <row r="68" spans="1:17" s="19" customFormat="1" x14ac:dyDescent="0.25">
      <c r="A68" s="23">
        <v>42518.023564814815</v>
      </c>
      <c r="B68" s="22" t="s">
        <v>424</v>
      </c>
      <c r="C68" s="22" t="s">
        <v>319</v>
      </c>
      <c r="D68" s="22" t="s">
        <v>52</v>
      </c>
      <c r="E68" s="22" t="s">
        <v>53</v>
      </c>
      <c r="F68" s="22">
        <v>0</v>
      </c>
      <c r="G68" s="22">
        <v>74</v>
      </c>
      <c r="H68" s="22">
        <v>260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ADANE</v>
      </c>
      <c r="M68" s="20" t="s">
        <v>73</v>
      </c>
      <c r="N68" s="21"/>
      <c r="P68" s="80" t="str">
        <f>VLOOKUP(C68,'Train Runs'!$A$3:$W$261,20,0)</f>
        <v>Southbound</v>
      </c>
      <c r="Q68" s="19" t="str">
        <f t="shared" si="1"/>
        <v>4043</v>
      </c>
    </row>
    <row r="69" spans="1:17" s="19" customFormat="1" x14ac:dyDescent="0.25">
      <c r="A69" s="23">
        <v>42518.024062500001</v>
      </c>
      <c r="B69" s="22" t="s">
        <v>424</v>
      </c>
      <c r="C69" s="22" t="s">
        <v>319</v>
      </c>
      <c r="D69" s="22" t="s">
        <v>52</v>
      </c>
      <c r="E69" s="22" t="s">
        <v>53</v>
      </c>
      <c r="F69" s="22">
        <v>0</v>
      </c>
      <c r="G69" s="22">
        <v>3</v>
      </c>
      <c r="H69" s="22">
        <v>109</v>
      </c>
      <c r="I69" s="22" t="s">
        <v>54</v>
      </c>
      <c r="J69" s="22">
        <v>1</v>
      </c>
      <c r="K69" s="21" t="s">
        <v>56</v>
      </c>
      <c r="L69" s="21" t="str">
        <f>VLOOKUP(C69,'Trips&amp;Operators'!$C$1:$E$9999,3,FALSE)</f>
        <v>ADANE</v>
      </c>
      <c r="M69" s="20" t="s">
        <v>73</v>
      </c>
      <c r="N69" s="21"/>
      <c r="P69" s="80" t="str">
        <f>VLOOKUP(C69,'Train Runs'!$A$3:$W$261,20,0)</f>
        <v>Southbound</v>
      </c>
      <c r="Q69" s="19" t="str">
        <f t="shared" si="1"/>
        <v>4043</v>
      </c>
    </row>
    <row r="70" spans="1:17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  <c r="P70" s="80"/>
    </row>
    <row r="71" spans="1:17" ht="30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18" t="s">
        <v>28</v>
      </c>
      <c r="L71" s="52"/>
      <c r="M71" s="17">
        <f>COUNTIF(M3:M69,"=Y")</f>
        <v>16</v>
      </c>
      <c r="N71" s="77"/>
    </row>
    <row r="72" spans="1:17" ht="15.75" thickBot="1" x14ac:dyDescent="0.3">
      <c r="B72" s="59"/>
      <c r="C72" s="59"/>
      <c r="D72" s="59"/>
      <c r="E72" s="59"/>
      <c r="F72" s="59"/>
      <c r="G72" s="59"/>
      <c r="H72" s="59"/>
      <c r="I72" s="59"/>
      <c r="J72" s="59"/>
      <c r="K72" s="16" t="s">
        <v>27</v>
      </c>
      <c r="L72" s="53"/>
      <c r="M72" s="15">
        <f>COUNTA(M3:M69)-M71</f>
        <v>51</v>
      </c>
    </row>
  </sheetData>
  <autoFilter ref="A2:N69">
    <sortState ref="A3:N69">
      <sortCondition ref="E2:E69"/>
    </sortState>
  </autoFilter>
  <sortState ref="A3:N63">
    <sortCondition ref="E3:E63"/>
  </sortState>
  <mergeCells count="1">
    <mergeCell ref="A1:M1"/>
  </mergeCells>
  <conditionalFormatting sqref="N2 P2 M2:M1048576">
    <cfRule type="cellIs" dxfId="20" priority="8" operator="equal">
      <formula>"Y"</formula>
    </cfRule>
  </conditionalFormatting>
  <conditionalFormatting sqref="A17:M17 A18:N18 A19:M19 M11:M43 A20:N69 A3:N16">
    <cfRule type="expression" dxfId="19" priority="1">
      <formula>$M3="Y"</formula>
    </cfRule>
  </conditionalFormatting>
  <conditionalFormatting sqref="N17">
    <cfRule type="expression" dxfId="18" priority="29">
      <formula>$M19="Y"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C6" sqref="C6"/>
    </sheetView>
  </sheetViews>
  <sheetFormatPr defaultRowHeight="15" x14ac:dyDescent="0.25"/>
  <cols>
    <col min="2" max="2" width="31" bestFit="1" customWidth="1"/>
  </cols>
  <sheetData>
    <row r="1" spans="1:14" s="59" customFormat="1" x14ac:dyDescent="0.25">
      <c r="A1" s="76" t="str">
        <f>"Trips that did not appear in PTC Data "&amp;TEXT(Variables!$A$2,"YYYY-mm-dd")</f>
        <v>Trips that did not appear in PTC Data 2016-05-27</v>
      </c>
      <c r="B1" s="77"/>
    </row>
    <row r="2" spans="1:14" x14ac:dyDescent="0.25">
      <c r="A2" s="77" t="s">
        <v>419</v>
      </c>
      <c r="B2" s="77" t="s">
        <v>436</v>
      </c>
    </row>
    <row r="3" spans="1:14" x14ac:dyDescent="0.25">
      <c r="A3" s="77" t="s">
        <v>420</v>
      </c>
      <c r="B3" s="77" t="s">
        <v>435</v>
      </c>
    </row>
    <row r="4" spans="1:14" x14ac:dyDescent="0.25">
      <c r="A4" s="78"/>
      <c r="B4" s="77"/>
    </row>
    <row r="5" spans="1:14" x14ac:dyDescent="0.25">
      <c r="A5" s="78"/>
      <c r="B5" s="77"/>
    </row>
    <row r="6" spans="1:14" x14ac:dyDescent="0.25">
      <c r="A6" s="78"/>
      <c r="B6" s="77"/>
    </row>
    <row r="7" spans="1:14" x14ac:dyDescent="0.25">
      <c r="A7" s="78"/>
      <c r="B7" s="77"/>
    </row>
    <row r="8" spans="1:14" x14ac:dyDescent="0.25">
      <c r="A8" s="78"/>
      <c r="B8" s="77"/>
    </row>
    <row r="9" spans="1:14" x14ac:dyDescent="0.25">
      <c r="A9" s="78"/>
      <c r="B9" s="77"/>
    </row>
    <row r="10" spans="1:14" x14ac:dyDescent="0.25">
      <c r="A10" s="78"/>
      <c r="B10" s="77"/>
      <c r="N10" t="s">
        <v>433</v>
      </c>
    </row>
    <row r="11" spans="1:14" x14ac:dyDescent="0.25">
      <c r="A11" s="78"/>
      <c r="B11" s="77"/>
    </row>
    <row r="12" spans="1:14" x14ac:dyDescent="0.25">
      <c r="A12" s="78"/>
      <c r="B12" s="77"/>
    </row>
    <row r="13" spans="1:14" x14ac:dyDescent="0.25">
      <c r="A13" s="78"/>
      <c r="B13" s="77"/>
    </row>
    <row r="14" spans="1:14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8"/>
  <sheetViews>
    <sheetView workbookViewId="0">
      <selection activeCell="L25" sqref="L25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42517.319027777776</v>
      </c>
      <c r="B1" t="s">
        <v>163</v>
      </c>
      <c r="C1" t="s">
        <v>231</v>
      </c>
      <c r="D1">
        <v>1340000</v>
      </c>
      <c r="E1" t="s">
        <v>427</v>
      </c>
    </row>
    <row r="2" spans="1:5" x14ac:dyDescent="0.25">
      <c r="A2" s="14">
        <v>42517.790763888886</v>
      </c>
      <c r="B2" t="s">
        <v>422</v>
      </c>
      <c r="C2" t="s">
        <v>414</v>
      </c>
      <c r="D2">
        <v>1820000</v>
      </c>
      <c r="E2" t="s">
        <v>168</v>
      </c>
    </row>
    <row r="3" spans="1:5" x14ac:dyDescent="0.25">
      <c r="A3" s="14">
        <v>42517.843356481484</v>
      </c>
      <c r="B3" t="s">
        <v>84</v>
      </c>
      <c r="C3" t="s">
        <v>299</v>
      </c>
      <c r="D3">
        <v>1180000</v>
      </c>
      <c r="E3" t="s">
        <v>167</v>
      </c>
    </row>
    <row r="4" spans="1:5" x14ac:dyDescent="0.25">
      <c r="A4" s="14">
        <v>42518.037488425929</v>
      </c>
      <c r="B4" t="s">
        <v>422</v>
      </c>
      <c r="C4" t="s">
        <v>327</v>
      </c>
      <c r="D4">
        <v>1820000</v>
      </c>
      <c r="E4" t="s">
        <v>168</v>
      </c>
    </row>
    <row r="5" spans="1:5" x14ac:dyDescent="0.25">
      <c r="A5" s="14">
        <v>42517.249606481484</v>
      </c>
      <c r="B5" t="s">
        <v>163</v>
      </c>
      <c r="C5" t="s">
        <v>209</v>
      </c>
      <c r="D5">
        <v>1340000</v>
      </c>
      <c r="E5" t="s">
        <v>427</v>
      </c>
    </row>
    <row r="6" spans="1:5" x14ac:dyDescent="0.25">
      <c r="A6" s="14">
        <v>42517.706226851849</v>
      </c>
      <c r="B6" t="s">
        <v>164</v>
      </c>
      <c r="C6" t="s">
        <v>373</v>
      </c>
      <c r="D6">
        <v>880000</v>
      </c>
      <c r="E6" t="s">
        <v>85</v>
      </c>
    </row>
    <row r="7" spans="1:5" x14ac:dyDescent="0.25">
      <c r="A7" s="14">
        <v>42517.380879629629</v>
      </c>
      <c r="B7" t="s">
        <v>94</v>
      </c>
      <c r="C7" t="s">
        <v>243</v>
      </c>
      <c r="D7">
        <v>1200000</v>
      </c>
      <c r="E7" t="s">
        <v>428</v>
      </c>
    </row>
    <row r="8" spans="1:5" ht="15.75" thickBot="1" x14ac:dyDescent="0.3">
      <c r="A8" s="84">
        <v>42517.474340277775</v>
      </c>
      <c r="B8" t="s">
        <v>164</v>
      </c>
      <c r="C8" t="s">
        <v>273</v>
      </c>
      <c r="D8">
        <v>1100000</v>
      </c>
      <c r="E8" t="s">
        <v>92</v>
      </c>
    </row>
    <row r="9" spans="1:5" x14ac:dyDescent="0.25">
      <c r="A9" s="14">
        <v>42517.516481481478</v>
      </c>
      <c r="B9" t="s">
        <v>423</v>
      </c>
      <c r="C9" t="s">
        <v>286</v>
      </c>
      <c r="D9">
        <v>890000</v>
      </c>
      <c r="E9" t="s">
        <v>429</v>
      </c>
    </row>
    <row r="10" spans="1:5" x14ac:dyDescent="0.25">
      <c r="A10" s="14">
        <v>42517.530509259261</v>
      </c>
      <c r="B10" t="s">
        <v>103</v>
      </c>
      <c r="C10" t="s">
        <v>298</v>
      </c>
      <c r="D10">
        <v>950000</v>
      </c>
      <c r="E10" t="s">
        <v>146</v>
      </c>
    </row>
    <row r="11" spans="1:5" x14ac:dyDescent="0.25">
      <c r="A11" s="14">
        <v>42517.55431712963</v>
      </c>
      <c r="B11" t="s">
        <v>84</v>
      </c>
      <c r="C11" t="s">
        <v>331</v>
      </c>
      <c r="D11">
        <v>900000</v>
      </c>
      <c r="E11" t="s">
        <v>430</v>
      </c>
    </row>
    <row r="12" spans="1:5" x14ac:dyDescent="0.25">
      <c r="A12" s="14">
        <v>42517.660231481481</v>
      </c>
      <c r="B12" t="s">
        <v>423</v>
      </c>
      <c r="C12" t="s">
        <v>362</v>
      </c>
      <c r="D12">
        <v>890000</v>
      </c>
      <c r="E12" t="s">
        <v>429</v>
      </c>
    </row>
    <row r="13" spans="1:5" x14ac:dyDescent="0.25">
      <c r="A13" s="14">
        <v>42517.599398148152</v>
      </c>
      <c r="B13" t="s">
        <v>94</v>
      </c>
      <c r="C13" t="s">
        <v>339</v>
      </c>
      <c r="D13">
        <v>1120000</v>
      </c>
      <c r="E13" t="s">
        <v>145</v>
      </c>
    </row>
    <row r="14" spans="1:5" x14ac:dyDescent="0.25">
      <c r="A14" s="14">
        <v>42517.493888888886</v>
      </c>
      <c r="B14" t="s">
        <v>104</v>
      </c>
      <c r="C14" t="s">
        <v>279</v>
      </c>
      <c r="D14">
        <v>1360000</v>
      </c>
      <c r="E14" t="s">
        <v>108</v>
      </c>
    </row>
    <row r="15" spans="1:5" x14ac:dyDescent="0.25">
      <c r="A15" s="14">
        <v>42517.6719212963</v>
      </c>
      <c r="B15" t="s">
        <v>94</v>
      </c>
      <c r="C15" t="s">
        <v>367</v>
      </c>
      <c r="D15">
        <v>1120000</v>
      </c>
      <c r="E15" t="s">
        <v>145</v>
      </c>
    </row>
    <row r="16" spans="1:5" x14ac:dyDescent="0.25">
      <c r="A16" s="14">
        <v>42517.753645833334</v>
      </c>
      <c r="B16" t="s">
        <v>424</v>
      </c>
      <c r="C16" t="s">
        <v>397</v>
      </c>
      <c r="D16">
        <v>1500000</v>
      </c>
      <c r="E16" t="s">
        <v>431</v>
      </c>
    </row>
    <row r="17" spans="1:5" x14ac:dyDescent="0.25">
      <c r="A17" s="14">
        <v>42517.930046296293</v>
      </c>
      <c r="B17" t="s">
        <v>84</v>
      </c>
      <c r="C17" t="s">
        <v>311</v>
      </c>
      <c r="D17">
        <v>1180000</v>
      </c>
      <c r="E17" t="s">
        <v>167</v>
      </c>
    </row>
    <row r="18" spans="1:5" x14ac:dyDescent="0.25">
      <c r="A18" s="14">
        <v>42517.695636574077</v>
      </c>
      <c r="B18" t="s">
        <v>421</v>
      </c>
      <c r="C18" t="s">
        <v>384</v>
      </c>
      <c r="D18">
        <v>890000</v>
      </c>
      <c r="E18" t="s">
        <v>429</v>
      </c>
    </row>
    <row r="19" spans="1:5" x14ac:dyDescent="0.25">
      <c r="A19" s="14">
        <v>42517.458090277774</v>
      </c>
      <c r="B19" t="s">
        <v>103</v>
      </c>
      <c r="C19" t="s">
        <v>277</v>
      </c>
      <c r="D19">
        <v>1360000</v>
      </c>
      <c r="E19" t="s">
        <v>108</v>
      </c>
    </row>
    <row r="20" spans="1:5" x14ac:dyDescent="0.25">
      <c r="A20" s="14">
        <v>42517.601597222223</v>
      </c>
      <c r="B20" t="s">
        <v>103</v>
      </c>
      <c r="C20" t="s">
        <v>352</v>
      </c>
      <c r="D20">
        <v>950000</v>
      </c>
      <c r="E20" t="s">
        <v>146</v>
      </c>
    </row>
    <row r="21" spans="1:5" x14ac:dyDescent="0.25">
      <c r="A21" s="14">
        <v>42517.345497685186</v>
      </c>
      <c r="B21" t="s">
        <v>421</v>
      </c>
      <c r="C21" t="s">
        <v>235</v>
      </c>
      <c r="D21">
        <v>1110000</v>
      </c>
      <c r="E21" t="s">
        <v>173</v>
      </c>
    </row>
    <row r="22" spans="1:5" x14ac:dyDescent="0.25">
      <c r="A22" s="14">
        <v>42517.467499999999</v>
      </c>
      <c r="B22" t="s">
        <v>163</v>
      </c>
      <c r="C22" t="s">
        <v>280</v>
      </c>
      <c r="D22">
        <v>1090000</v>
      </c>
      <c r="E22" t="s">
        <v>432</v>
      </c>
    </row>
    <row r="23" spans="1:5" x14ac:dyDescent="0.25">
      <c r="A23" s="14">
        <v>42517.456250000003</v>
      </c>
      <c r="B23" t="s">
        <v>94</v>
      </c>
      <c r="C23" t="s">
        <v>264</v>
      </c>
      <c r="D23">
        <v>1310000</v>
      </c>
      <c r="E23" t="s">
        <v>125</v>
      </c>
    </row>
    <row r="24" spans="1:5" x14ac:dyDescent="0.25">
      <c r="A24" s="14">
        <v>42517.382199074076</v>
      </c>
      <c r="B24" t="s">
        <v>103</v>
      </c>
      <c r="C24" t="s">
        <v>252</v>
      </c>
      <c r="D24">
        <v>1480000</v>
      </c>
      <c r="E24" t="s">
        <v>169</v>
      </c>
    </row>
    <row r="25" spans="1:5" x14ac:dyDescent="0.25">
      <c r="A25" s="14">
        <v>42517.510648148149</v>
      </c>
      <c r="B25" t="s">
        <v>170</v>
      </c>
      <c r="C25" t="s">
        <v>295</v>
      </c>
      <c r="D25">
        <v>880000</v>
      </c>
      <c r="E25" t="s">
        <v>85</v>
      </c>
    </row>
    <row r="26" spans="1:5" x14ac:dyDescent="0.25">
      <c r="A26" s="14">
        <v>42517.370439814818</v>
      </c>
      <c r="B26" t="s">
        <v>423</v>
      </c>
      <c r="C26" t="s">
        <v>240</v>
      </c>
      <c r="D26">
        <v>1110000</v>
      </c>
      <c r="E26" t="s">
        <v>173</v>
      </c>
    </row>
    <row r="27" spans="1:5" x14ac:dyDescent="0.25">
      <c r="A27" s="14">
        <v>42517.520543981482</v>
      </c>
      <c r="B27" t="s">
        <v>83</v>
      </c>
      <c r="C27" t="s">
        <v>296</v>
      </c>
      <c r="D27">
        <v>900000</v>
      </c>
      <c r="E27" t="s">
        <v>430</v>
      </c>
    </row>
    <row r="28" spans="1:5" x14ac:dyDescent="0.25">
      <c r="A28" s="14">
        <v>42517.270208333335</v>
      </c>
      <c r="B28" t="s">
        <v>422</v>
      </c>
      <c r="C28" t="s">
        <v>216</v>
      </c>
      <c r="D28">
        <v>1310000</v>
      </c>
      <c r="E28" t="s">
        <v>125</v>
      </c>
    </row>
    <row r="29" spans="1:5" x14ac:dyDescent="0.25">
      <c r="A29" s="14">
        <v>42517.676666666666</v>
      </c>
      <c r="B29" t="s">
        <v>103</v>
      </c>
      <c r="C29" t="s">
        <v>378</v>
      </c>
      <c r="D29">
        <v>950000</v>
      </c>
      <c r="E29" t="s">
        <v>146</v>
      </c>
    </row>
    <row r="30" spans="1:5" x14ac:dyDescent="0.25">
      <c r="A30" s="14">
        <v>42517.718564814815</v>
      </c>
      <c r="B30" t="s">
        <v>422</v>
      </c>
      <c r="C30" t="s">
        <v>395</v>
      </c>
      <c r="D30">
        <v>1500000</v>
      </c>
      <c r="E30" t="s">
        <v>431</v>
      </c>
    </row>
    <row r="31" spans="1:5" x14ac:dyDescent="0.25">
      <c r="A31" s="14">
        <v>42517.681168981479</v>
      </c>
      <c r="B31" t="s">
        <v>424</v>
      </c>
      <c r="C31" t="s">
        <v>370</v>
      </c>
      <c r="D31">
        <v>1500000</v>
      </c>
      <c r="E31" t="s">
        <v>431</v>
      </c>
    </row>
    <row r="32" spans="1:5" x14ac:dyDescent="0.25">
      <c r="A32" s="14">
        <v>42517.634872685187</v>
      </c>
      <c r="B32" t="s">
        <v>87</v>
      </c>
      <c r="C32" t="s">
        <v>364</v>
      </c>
      <c r="D32">
        <v>1120000</v>
      </c>
      <c r="E32" t="s">
        <v>145</v>
      </c>
    </row>
    <row r="33" spans="1:5" x14ac:dyDescent="0.25">
      <c r="A33" s="14">
        <v>42517.186168981483</v>
      </c>
      <c r="B33" t="s">
        <v>421</v>
      </c>
      <c r="C33" t="s">
        <v>191</v>
      </c>
      <c r="D33">
        <v>1110000</v>
      </c>
      <c r="E33" t="s">
        <v>173</v>
      </c>
    </row>
    <row r="34" spans="1:5" x14ac:dyDescent="0.25">
      <c r="A34" s="14">
        <v>42517.610625000001</v>
      </c>
      <c r="B34" t="s">
        <v>424</v>
      </c>
      <c r="C34" t="s">
        <v>343</v>
      </c>
      <c r="D34">
        <v>1500000</v>
      </c>
      <c r="E34" t="s">
        <v>431</v>
      </c>
    </row>
    <row r="35" spans="1:5" x14ac:dyDescent="0.25">
      <c r="A35" s="14">
        <v>42517.279027777775</v>
      </c>
      <c r="B35" t="s">
        <v>171</v>
      </c>
      <c r="C35" t="s">
        <v>219</v>
      </c>
      <c r="D35">
        <v>1100000</v>
      </c>
      <c r="E35" t="s">
        <v>92</v>
      </c>
    </row>
    <row r="36" spans="1:5" x14ac:dyDescent="0.25">
      <c r="A36" s="14">
        <v>42517.260150462964</v>
      </c>
      <c r="B36" t="s">
        <v>84</v>
      </c>
      <c r="C36" t="s">
        <v>204</v>
      </c>
      <c r="D36">
        <v>1360000</v>
      </c>
      <c r="E36" t="s">
        <v>108</v>
      </c>
    </row>
    <row r="37" spans="1:5" x14ac:dyDescent="0.25">
      <c r="A37" s="14">
        <v>42517.337442129632</v>
      </c>
      <c r="B37" t="s">
        <v>84</v>
      </c>
      <c r="C37" t="s">
        <v>227</v>
      </c>
      <c r="D37">
        <v>1360000</v>
      </c>
      <c r="E37" t="s">
        <v>108</v>
      </c>
    </row>
    <row r="38" spans="1:5" x14ac:dyDescent="0.25">
      <c r="A38" s="14">
        <v>42517.994340277779</v>
      </c>
      <c r="B38" t="s">
        <v>163</v>
      </c>
      <c r="C38" t="s">
        <v>323</v>
      </c>
      <c r="D38">
        <v>1830000</v>
      </c>
      <c r="E38" t="s">
        <v>95</v>
      </c>
    </row>
    <row r="39" spans="1:5" x14ac:dyDescent="0.25">
      <c r="A39" s="14">
        <v>42517.348715277774</v>
      </c>
      <c r="B39" t="s">
        <v>104</v>
      </c>
      <c r="C39" t="s">
        <v>230</v>
      </c>
      <c r="D39">
        <v>1480000</v>
      </c>
      <c r="E39" t="s">
        <v>169</v>
      </c>
    </row>
    <row r="40" spans="1:5" x14ac:dyDescent="0.25">
      <c r="A40" s="14">
        <v>42517.731180555558</v>
      </c>
      <c r="B40" t="s">
        <v>170</v>
      </c>
      <c r="C40" t="s">
        <v>399</v>
      </c>
      <c r="D40">
        <v>880000</v>
      </c>
      <c r="E40" t="s">
        <v>85</v>
      </c>
    </row>
    <row r="41" spans="1:5" x14ac:dyDescent="0.25">
      <c r="A41" s="14">
        <v>42517.224988425929</v>
      </c>
      <c r="B41" t="s">
        <v>423</v>
      </c>
      <c r="C41" t="s">
        <v>193</v>
      </c>
      <c r="D41">
        <v>1110000</v>
      </c>
      <c r="E41" t="s">
        <v>173</v>
      </c>
    </row>
    <row r="42" spans="1:5" x14ac:dyDescent="0.25">
      <c r="A42" s="14">
        <v>42517.614004629628</v>
      </c>
      <c r="B42" t="s">
        <v>163</v>
      </c>
      <c r="C42" t="s">
        <v>355</v>
      </c>
      <c r="D42">
        <v>1090000</v>
      </c>
      <c r="E42" t="s">
        <v>432</v>
      </c>
    </row>
    <row r="43" spans="1:5" x14ac:dyDescent="0.25">
      <c r="A43" s="14">
        <v>42517.5778125</v>
      </c>
      <c r="B43" t="s">
        <v>165</v>
      </c>
      <c r="C43" t="s">
        <v>334</v>
      </c>
      <c r="D43">
        <v>1090000</v>
      </c>
      <c r="E43" t="s">
        <v>432</v>
      </c>
    </row>
    <row r="44" spans="1:5" x14ac:dyDescent="0.25">
      <c r="A44" s="14">
        <v>42517.227407407408</v>
      </c>
      <c r="B44" t="s">
        <v>83</v>
      </c>
      <c r="C44" t="s">
        <v>203</v>
      </c>
      <c r="D44">
        <v>1360000</v>
      </c>
      <c r="E44" t="s">
        <v>108</v>
      </c>
    </row>
    <row r="45" spans="1:5" x14ac:dyDescent="0.25">
      <c r="A45" s="14">
        <v>42517.190729166665</v>
      </c>
      <c r="B45" t="s">
        <v>422</v>
      </c>
      <c r="C45" t="s">
        <v>195</v>
      </c>
      <c r="D45">
        <v>1310000</v>
      </c>
      <c r="E45" t="s">
        <v>125</v>
      </c>
    </row>
    <row r="46" spans="1:5" x14ac:dyDescent="0.25">
      <c r="A46" s="14">
        <v>42517.127395833333</v>
      </c>
      <c r="B46" t="s">
        <v>171</v>
      </c>
      <c r="C46" t="s">
        <v>174</v>
      </c>
      <c r="D46">
        <v>1430000</v>
      </c>
      <c r="E46" t="s">
        <v>93</v>
      </c>
    </row>
    <row r="47" spans="1:5" x14ac:dyDescent="0.25">
      <c r="A47" s="14">
        <v>42517.193368055552</v>
      </c>
      <c r="B47" t="s">
        <v>104</v>
      </c>
      <c r="C47" t="s">
        <v>183</v>
      </c>
      <c r="D47">
        <v>1480000</v>
      </c>
      <c r="E47" t="s">
        <v>169</v>
      </c>
    </row>
    <row r="48" spans="1:5" x14ac:dyDescent="0.25">
      <c r="A48" s="14">
        <v>42517.17050925926</v>
      </c>
      <c r="B48" t="s">
        <v>164</v>
      </c>
      <c r="C48" t="s">
        <v>177</v>
      </c>
      <c r="D48">
        <v>1430000</v>
      </c>
      <c r="E48" t="s">
        <v>93</v>
      </c>
    </row>
    <row r="49" spans="1:5" x14ac:dyDescent="0.25">
      <c r="A49" s="14">
        <v>42517.256481481483</v>
      </c>
      <c r="B49" t="s">
        <v>163</v>
      </c>
      <c r="C49" t="s">
        <v>209</v>
      </c>
      <c r="D49">
        <v>1340000</v>
      </c>
      <c r="E49" t="s">
        <v>427</v>
      </c>
    </row>
    <row r="50" spans="1:5" x14ac:dyDescent="0.25">
      <c r="A50" s="14">
        <v>42517.71738425926</v>
      </c>
      <c r="B50" t="s">
        <v>422</v>
      </c>
      <c r="C50" t="s">
        <v>395</v>
      </c>
      <c r="D50">
        <v>1500000</v>
      </c>
      <c r="E50" t="s">
        <v>431</v>
      </c>
    </row>
    <row r="51" spans="1:5" x14ac:dyDescent="0.25">
      <c r="A51" s="14">
        <v>42517.371724537035</v>
      </c>
      <c r="B51" t="s">
        <v>83</v>
      </c>
      <c r="C51" t="s">
        <v>250</v>
      </c>
      <c r="D51">
        <v>1360000</v>
      </c>
      <c r="E51" t="s">
        <v>108</v>
      </c>
    </row>
    <row r="52" spans="1:5" x14ac:dyDescent="0.25">
      <c r="A52" s="14">
        <v>42517.712592592594</v>
      </c>
      <c r="B52" t="s">
        <v>104</v>
      </c>
      <c r="C52" t="s">
        <v>379</v>
      </c>
      <c r="D52">
        <v>950000</v>
      </c>
      <c r="E52" t="s">
        <v>146</v>
      </c>
    </row>
    <row r="53" spans="1:5" x14ac:dyDescent="0.25">
      <c r="A53" s="14">
        <v>42517.592928240738</v>
      </c>
      <c r="B53" t="s">
        <v>83</v>
      </c>
      <c r="C53" t="s">
        <v>350</v>
      </c>
      <c r="D53">
        <v>900000</v>
      </c>
      <c r="E53" t="s">
        <v>430</v>
      </c>
    </row>
    <row r="54" spans="1:5" x14ac:dyDescent="0.25">
      <c r="A54" s="14">
        <v>42517.70511574074</v>
      </c>
      <c r="B54" t="s">
        <v>84</v>
      </c>
      <c r="C54" t="s">
        <v>377</v>
      </c>
      <c r="D54">
        <v>900000</v>
      </c>
      <c r="E54" t="s">
        <v>430</v>
      </c>
    </row>
    <row r="55" spans="1:5" x14ac:dyDescent="0.25">
      <c r="A55" s="14">
        <v>42517.644537037035</v>
      </c>
      <c r="B55" t="s">
        <v>422</v>
      </c>
      <c r="C55" t="s">
        <v>369</v>
      </c>
      <c r="D55">
        <v>1500000</v>
      </c>
      <c r="E55" t="s">
        <v>431</v>
      </c>
    </row>
    <row r="56" spans="1:5" x14ac:dyDescent="0.25">
      <c r="A56" s="14">
        <v>42517.587476851855</v>
      </c>
      <c r="B56" t="s">
        <v>423</v>
      </c>
      <c r="C56" t="s">
        <v>336</v>
      </c>
      <c r="D56">
        <v>890000</v>
      </c>
      <c r="E56" t="s">
        <v>429</v>
      </c>
    </row>
    <row r="57" spans="1:5" x14ac:dyDescent="0.25">
      <c r="A57" s="14">
        <v>42517.728773148148</v>
      </c>
      <c r="B57" t="s">
        <v>165</v>
      </c>
      <c r="C57" t="s">
        <v>382</v>
      </c>
      <c r="D57">
        <v>1090000</v>
      </c>
      <c r="E57" t="s">
        <v>432</v>
      </c>
    </row>
    <row r="58" spans="1:5" x14ac:dyDescent="0.25">
      <c r="A58" s="14">
        <v>42518.038703703707</v>
      </c>
      <c r="B58" t="s">
        <v>422</v>
      </c>
      <c r="C58" t="s">
        <v>327</v>
      </c>
      <c r="D58">
        <v>1820000</v>
      </c>
      <c r="E58" t="s">
        <v>168</v>
      </c>
    </row>
    <row r="59" spans="1:5" x14ac:dyDescent="0.25">
      <c r="A59" s="14">
        <v>42517.762326388889</v>
      </c>
      <c r="B59" t="s">
        <v>163</v>
      </c>
      <c r="C59" t="s">
        <v>408</v>
      </c>
      <c r="D59">
        <v>1830000</v>
      </c>
      <c r="E59" t="s">
        <v>95</v>
      </c>
    </row>
    <row r="60" spans="1:5" x14ac:dyDescent="0.25">
      <c r="A60" s="14">
        <v>42517.995127314818</v>
      </c>
      <c r="B60" t="s">
        <v>424</v>
      </c>
      <c r="C60" t="s">
        <v>319</v>
      </c>
      <c r="D60">
        <v>1820000</v>
      </c>
      <c r="E60" t="s">
        <v>168</v>
      </c>
    </row>
    <row r="61" spans="1:5" x14ac:dyDescent="0.25">
      <c r="A61" s="14">
        <v>42517.869675925926</v>
      </c>
      <c r="B61" t="s">
        <v>165</v>
      </c>
      <c r="C61" t="s">
        <v>301</v>
      </c>
      <c r="D61">
        <v>1830000</v>
      </c>
      <c r="E61" t="s">
        <v>95</v>
      </c>
    </row>
    <row r="62" spans="1:5" x14ac:dyDescent="0.25">
      <c r="A62" s="14">
        <v>42517.809305555558</v>
      </c>
      <c r="B62" t="s">
        <v>83</v>
      </c>
      <c r="C62" t="s">
        <v>417</v>
      </c>
      <c r="D62">
        <v>1180000</v>
      </c>
      <c r="E62" t="s">
        <v>167</v>
      </c>
    </row>
    <row r="63" spans="1:5" x14ac:dyDescent="0.25">
      <c r="A63" s="14">
        <v>42517.795162037037</v>
      </c>
      <c r="B63" t="s">
        <v>165</v>
      </c>
      <c r="C63" t="s">
        <v>409</v>
      </c>
      <c r="D63">
        <v>1830000</v>
      </c>
      <c r="E63" t="s">
        <v>95</v>
      </c>
    </row>
    <row r="64" spans="1:5" x14ac:dyDescent="0.25">
      <c r="A64" s="14">
        <v>42517.764178240737</v>
      </c>
      <c r="B64" t="s">
        <v>164</v>
      </c>
      <c r="C64" t="s">
        <v>400</v>
      </c>
      <c r="D64">
        <v>880000</v>
      </c>
      <c r="E64" t="s">
        <v>85</v>
      </c>
    </row>
    <row r="65" spans="1:5" x14ac:dyDescent="0.25">
      <c r="A65" s="14">
        <v>42517.871354166666</v>
      </c>
      <c r="B65" t="s">
        <v>422</v>
      </c>
      <c r="C65" t="s">
        <v>306</v>
      </c>
      <c r="D65">
        <v>1820000</v>
      </c>
      <c r="E65" t="s">
        <v>168</v>
      </c>
    </row>
    <row r="66" spans="1:5" x14ac:dyDescent="0.25">
      <c r="A66" s="14">
        <v>42517.550208333334</v>
      </c>
      <c r="B66" t="s">
        <v>421</v>
      </c>
      <c r="C66" t="s">
        <v>335</v>
      </c>
      <c r="D66">
        <v>890000</v>
      </c>
      <c r="E66" t="s">
        <v>429</v>
      </c>
    </row>
    <row r="67" spans="1:5" x14ac:dyDescent="0.25">
      <c r="A67" s="14">
        <v>42517.972037037034</v>
      </c>
      <c r="B67" t="s">
        <v>83</v>
      </c>
      <c r="C67" t="s">
        <v>320</v>
      </c>
      <c r="D67">
        <v>1180000</v>
      </c>
      <c r="E67" t="s">
        <v>167</v>
      </c>
    </row>
    <row r="68" spans="1:5" x14ac:dyDescent="0.25">
      <c r="A68" s="14">
        <v>42517.808148148149</v>
      </c>
      <c r="B68" t="s">
        <v>423</v>
      </c>
      <c r="C68" t="s">
        <v>413</v>
      </c>
      <c r="D68">
        <v>1240000</v>
      </c>
      <c r="E68" t="s">
        <v>172</v>
      </c>
    </row>
    <row r="69" spans="1:5" x14ac:dyDescent="0.25">
      <c r="A69" s="14">
        <v>42517.791909722226</v>
      </c>
      <c r="B69" t="s">
        <v>422</v>
      </c>
      <c r="C69" t="s">
        <v>414</v>
      </c>
      <c r="D69">
        <v>1820000</v>
      </c>
      <c r="E69" t="s">
        <v>168</v>
      </c>
    </row>
    <row r="70" spans="1:5" x14ac:dyDescent="0.25">
      <c r="A70" s="14">
        <v>42517.735138888886</v>
      </c>
      <c r="B70" t="s">
        <v>423</v>
      </c>
      <c r="C70" t="s">
        <v>387</v>
      </c>
      <c r="D70">
        <v>890000</v>
      </c>
      <c r="E70" t="s">
        <v>429</v>
      </c>
    </row>
    <row r="71" spans="1:5" x14ac:dyDescent="0.25">
      <c r="A71" s="14">
        <v>42517.952488425923</v>
      </c>
      <c r="B71" t="s">
        <v>165</v>
      </c>
      <c r="C71" t="s">
        <v>313</v>
      </c>
      <c r="D71">
        <v>1830000</v>
      </c>
      <c r="E71" t="s">
        <v>95</v>
      </c>
    </row>
    <row r="72" spans="1:5" x14ac:dyDescent="0.25">
      <c r="A72" s="14">
        <v>42518.057395833333</v>
      </c>
      <c r="B72" t="s">
        <v>423</v>
      </c>
      <c r="C72" t="s">
        <v>326</v>
      </c>
      <c r="D72">
        <v>1240000</v>
      </c>
      <c r="E72" t="s">
        <v>172</v>
      </c>
    </row>
    <row r="73" spans="1:5" x14ac:dyDescent="0.25">
      <c r="A73" s="14">
        <v>42517.793854166666</v>
      </c>
      <c r="B73" t="s">
        <v>422</v>
      </c>
      <c r="C73" t="s">
        <v>414</v>
      </c>
      <c r="D73">
        <v>1820000</v>
      </c>
      <c r="E73" t="s">
        <v>168</v>
      </c>
    </row>
    <row r="74" spans="1:5" x14ac:dyDescent="0.25">
      <c r="A74" s="14">
        <v>42518.032141203701</v>
      </c>
      <c r="B74" t="s">
        <v>165</v>
      </c>
      <c r="C74" t="s">
        <v>324</v>
      </c>
      <c r="D74">
        <v>1830000</v>
      </c>
      <c r="E74" t="s">
        <v>95</v>
      </c>
    </row>
    <row r="75" spans="1:5" x14ac:dyDescent="0.25">
      <c r="A75" s="14">
        <v>42517.883252314816</v>
      </c>
      <c r="B75" t="s">
        <v>83</v>
      </c>
      <c r="C75" t="s">
        <v>309</v>
      </c>
      <c r="D75">
        <v>1180000</v>
      </c>
      <c r="E75" t="s">
        <v>167</v>
      </c>
    </row>
    <row r="76" spans="1:5" x14ac:dyDescent="0.25">
      <c r="A76" s="14">
        <v>42517.739224537036</v>
      </c>
      <c r="B76" t="s">
        <v>83</v>
      </c>
      <c r="C76" t="s">
        <v>401</v>
      </c>
      <c r="D76">
        <v>1180000</v>
      </c>
      <c r="E76" t="s">
        <v>167</v>
      </c>
    </row>
    <row r="77" spans="1:5" x14ac:dyDescent="0.25">
      <c r="A77" s="14">
        <v>42517.243391203701</v>
      </c>
      <c r="B77" t="s">
        <v>166</v>
      </c>
      <c r="C77" t="s">
        <v>200</v>
      </c>
      <c r="D77">
        <v>1100000</v>
      </c>
      <c r="E77" t="s">
        <v>92</v>
      </c>
    </row>
    <row r="78" spans="1:5" x14ac:dyDescent="0.25">
      <c r="A78" s="14">
        <v>42517.561736111114</v>
      </c>
      <c r="B78" t="s">
        <v>87</v>
      </c>
      <c r="C78" t="s">
        <v>337</v>
      </c>
      <c r="D78">
        <v>1120000</v>
      </c>
      <c r="E78" t="s">
        <v>145</v>
      </c>
    </row>
    <row r="79" spans="1:5" x14ac:dyDescent="0.25">
      <c r="A79" s="14">
        <v>42517.248703703706</v>
      </c>
      <c r="B79" t="s">
        <v>163</v>
      </c>
      <c r="C79" t="s">
        <v>209</v>
      </c>
      <c r="D79">
        <v>1340000</v>
      </c>
      <c r="E79" t="s">
        <v>427</v>
      </c>
    </row>
    <row r="80" spans="1:5" x14ac:dyDescent="0.25">
      <c r="A80" s="14">
        <v>42517.288865740738</v>
      </c>
      <c r="B80" t="s">
        <v>170</v>
      </c>
      <c r="C80" t="s">
        <v>223</v>
      </c>
      <c r="D80">
        <v>1430000</v>
      </c>
      <c r="E80" t="s">
        <v>93</v>
      </c>
    </row>
    <row r="81" spans="1:5" x14ac:dyDescent="0.25">
      <c r="A81" s="14">
        <v>42517.258101851854</v>
      </c>
      <c r="B81" t="s">
        <v>421</v>
      </c>
      <c r="C81" t="s">
        <v>214</v>
      </c>
      <c r="D81">
        <v>1110000</v>
      </c>
      <c r="E81" t="s">
        <v>173</v>
      </c>
    </row>
    <row r="82" spans="1:5" x14ac:dyDescent="0.25">
      <c r="A82" s="14">
        <v>42517.212175925924</v>
      </c>
      <c r="B82" t="s">
        <v>94</v>
      </c>
      <c r="C82" t="s">
        <v>188</v>
      </c>
      <c r="D82">
        <v>1340000</v>
      </c>
      <c r="E82" t="s">
        <v>427</v>
      </c>
    </row>
    <row r="83" spans="1:5" x14ac:dyDescent="0.25">
      <c r="A83" s="14">
        <v>42517.338159722225</v>
      </c>
      <c r="B83" t="s">
        <v>87</v>
      </c>
      <c r="C83" t="s">
        <v>242</v>
      </c>
      <c r="D83">
        <v>1200000</v>
      </c>
      <c r="E83" t="s">
        <v>428</v>
      </c>
    </row>
    <row r="84" spans="1:5" x14ac:dyDescent="0.25">
      <c r="A84" s="14">
        <v>42517.207094907404</v>
      </c>
      <c r="B84" t="s">
        <v>171</v>
      </c>
      <c r="C84" t="s">
        <v>198</v>
      </c>
      <c r="D84">
        <v>1100000</v>
      </c>
      <c r="E84" t="s">
        <v>92</v>
      </c>
    </row>
    <row r="85" spans="1:5" x14ac:dyDescent="0.25">
      <c r="A85" s="14">
        <v>42517.641516203701</v>
      </c>
      <c r="B85" t="s">
        <v>104</v>
      </c>
      <c r="C85" t="s">
        <v>354</v>
      </c>
      <c r="D85">
        <v>950000</v>
      </c>
      <c r="E85" t="s">
        <v>146</v>
      </c>
    </row>
    <row r="86" spans="1:5" x14ac:dyDescent="0.25">
      <c r="A86" s="14">
        <v>42517.388298611113</v>
      </c>
      <c r="B86" t="s">
        <v>166</v>
      </c>
      <c r="C86" t="s">
        <v>246</v>
      </c>
      <c r="D86">
        <v>1100000</v>
      </c>
      <c r="E86" t="s">
        <v>92</v>
      </c>
    </row>
    <row r="87" spans="1:5" x14ac:dyDescent="0.25">
      <c r="A87" s="14">
        <v>42517.170844907407</v>
      </c>
      <c r="B87" t="s">
        <v>163</v>
      </c>
      <c r="C87" t="s">
        <v>185</v>
      </c>
      <c r="D87">
        <v>1340000</v>
      </c>
      <c r="E87" t="s">
        <v>427</v>
      </c>
    </row>
    <row r="88" spans="1:5" x14ac:dyDescent="0.25">
      <c r="A88" s="14">
        <v>42517.302314814813</v>
      </c>
      <c r="B88" t="s">
        <v>83</v>
      </c>
      <c r="C88" t="s">
        <v>225</v>
      </c>
      <c r="D88">
        <v>1360000</v>
      </c>
      <c r="E88" t="s">
        <v>108</v>
      </c>
    </row>
    <row r="89" spans="1:5" x14ac:dyDescent="0.25">
      <c r="A89" s="14">
        <v>42517.298680555556</v>
      </c>
      <c r="B89" t="s">
        <v>423</v>
      </c>
      <c r="C89" t="s">
        <v>215</v>
      </c>
      <c r="D89">
        <v>1110000</v>
      </c>
      <c r="E89" t="s">
        <v>173</v>
      </c>
    </row>
    <row r="90" spans="1:5" x14ac:dyDescent="0.25">
      <c r="A90" s="14">
        <v>42517.269421296296</v>
      </c>
      <c r="B90" t="s">
        <v>104</v>
      </c>
      <c r="C90" t="s">
        <v>207</v>
      </c>
      <c r="D90">
        <v>1480000</v>
      </c>
      <c r="E90" t="s">
        <v>169</v>
      </c>
    </row>
    <row r="91" spans="1:5" x14ac:dyDescent="0.25">
      <c r="A91" s="14">
        <v>42517.443356481483</v>
      </c>
      <c r="B91" t="s">
        <v>423</v>
      </c>
      <c r="C91" t="s">
        <v>261</v>
      </c>
      <c r="D91">
        <v>1110000</v>
      </c>
      <c r="E91" t="s">
        <v>173</v>
      </c>
    </row>
    <row r="92" spans="1:5" x14ac:dyDescent="0.25">
      <c r="A92" s="14">
        <v>42517.251226851855</v>
      </c>
      <c r="B92" t="s">
        <v>163</v>
      </c>
      <c r="C92" t="s">
        <v>209</v>
      </c>
      <c r="D92">
        <v>1340000</v>
      </c>
      <c r="E92" t="s">
        <v>427</v>
      </c>
    </row>
    <row r="93" spans="1:5" x14ac:dyDescent="0.25">
      <c r="A93" s="14">
        <v>42517.542002314818</v>
      </c>
      <c r="B93" t="s">
        <v>163</v>
      </c>
      <c r="C93" t="s">
        <v>333</v>
      </c>
      <c r="D93">
        <v>1090000</v>
      </c>
      <c r="E93" t="s">
        <v>432</v>
      </c>
    </row>
    <row r="94" spans="1:5" x14ac:dyDescent="0.25">
      <c r="A94" s="14">
        <v>42517.213171296295</v>
      </c>
      <c r="B94" t="s">
        <v>94</v>
      </c>
      <c r="C94" t="s">
        <v>188</v>
      </c>
      <c r="D94">
        <v>1340000</v>
      </c>
      <c r="E94" t="s">
        <v>427</v>
      </c>
    </row>
    <row r="95" spans="1:5" x14ac:dyDescent="0.25">
      <c r="A95" s="14">
        <v>42517.621851851851</v>
      </c>
      <c r="B95" t="s">
        <v>164</v>
      </c>
      <c r="C95" t="s">
        <v>346</v>
      </c>
      <c r="D95">
        <v>880000</v>
      </c>
      <c r="E95" t="s">
        <v>85</v>
      </c>
    </row>
    <row r="96" spans="1:5" x14ac:dyDescent="0.25">
      <c r="A96" s="14">
        <v>42517.410729166666</v>
      </c>
      <c r="B96" t="s">
        <v>84</v>
      </c>
      <c r="C96" t="s">
        <v>251</v>
      </c>
      <c r="D96">
        <v>1360000</v>
      </c>
      <c r="E96" t="s">
        <v>108</v>
      </c>
    </row>
    <row r="97" spans="1:5" x14ac:dyDescent="0.25">
      <c r="A97" s="14">
        <v>42517.652129629627</v>
      </c>
      <c r="B97" t="s">
        <v>165</v>
      </c>
      <c r="C97" t="s">
        <v>358</v>
      </c>
      <c r="D97">
        <v>1090000</v>
      </c>
      <c r="E97" t="s">
        <v>432</v>
      </c>
    </row>
    <row r="98" spans="1:5" x14ac:dyDescent="0.25">
      <c r="A98" s="14">
        <v>42517.718449074076</v>
      </c>
      <c r="B98" t="s">
        <v>87</v>
      </c>
      <c r="C98" t="s">
        <v>389</v>
      </c>
      <c r="D98">
        <v>1120000</v>
      </c>
      <c r="E98" t="s">
        <v>145</v>
      </c>
    </row>
    <row r="99" spans="1:5" x14ac:dyDescent="0.25">
      <c r="A99" s="14">
        <v>42517.705231481479</v>
      </c>
      <c r="B99" t="s">
        <v>87</v>
      </c>
      <c r="C99" t="s">
        <v>389</v>
      </c>
      <c r="D99">
        <v>1120000</v>
      </c>
      <c r="E99" t="s">
        <v>145</v>
      </c>
    </row>
    <row r="100" spans="1:5" x14ac:dyDescent="0.25">
      <c r="A100" s="14">
        <v>42517.688738425924</v>
      </c>
      <c r="B100" t="s">
        <v>163</v>
      </c>
      <c r="C100" t="s">
        <v>380</v>
      </c>
      <c r="D100">
        <v>1090000</v>
      </c>
      <c r="E100" t="s">
        <v>432</v>
      </c>
    </row>
    <row r="101" spans="1:5" x14ac:dyDescent="0.25">
      <c r="A101" s="14">
        <v>42517.931770833333</v>
      </c>
      <c r="B101" t="s">
        <v>421</v>
      </c>
      <c r="C101" t="s">
        <v>314</v>
      </c>
      <c r="D101">
        <v>1240000</v>
      </c>
      <c r="E101" t="s">
        <v>172</v>
      </c>
    </row>
    <row r="102" spans="1:5" x14ac:dyDescent="0.25">
      <c r="A102" s="14">
        <v>42517.525208333333</v>
      </c>
      <c r="B102" t="s">
        <v>94</v>
      </c>
      <c r="C102" t="s">
        <v>291</v>
      </c>
      <c r="D102">
        <v>1120000</v>
      </c>
      <c r="E102" t="s">
        <v>145</v>
      </c>
    </row>
    <row r="103" spans="1:5" x14ac:dyDescent="0.25">
      <c r="A103" s="14">
        <v>42517.421539351853</v>
      </c>
      <c r="B103" t="s">
        <v>104</v>
      </c>
      <c r="C103" t="s">
        <v>254</v>
      </c>
      <c r="D103">
        <v>1480000</v>
      </c>
      <c r="E103" t="s">
        <v>169</v>
      </c>
    </row>
    <row r="104" spans="1:5" x14ac:dyDescent="0.25">
      <c r="A104" s="14">
        <v>42517.911307870374</v>
      </c>
      <c r="B104" t="s">
        <v>163</v>
      </c>
      <c r="C104" t="s">
        <v>312</v>
      </c>
      <c r="D104">
        <v>1830000</v>
      </c>
      <c r="E104" t="s">
        <v>95</v>
      </c>
    </row>
    <row r="105" spans="1:5" x14ac:dyDescent="0.25">
      <c r="A105" s="14">
        <v>42517.497465277775</v>
      </c>
      <c r="B105" t="s">
        <v>171</v>
      </c>
      <c r="C105" t="s">
        <v>292</v>
      </c>
      <c r="D105">
        <v>1500000</v>
      </c>
      <c r="E105" t="s">
        <v>431</v>
      </c>
    </row>
    <row r="106" spans="1:5" x14ac:dyDescent="0.25">
      <c r="A106" s="14">
        <v>42517.785405092596</v>
      </c>
      <c r="B106" t="s">
        <v>104</v>
      </c>
      <c r="C106" t="s">
        <v>406</v>
      </c>
      <c r="D106">
        <v>950000</v>
      </c>
      <c r="E106" t="s">
        <v>146</v>
      </c>
    </row>
    <row r="107" spans="1:5" x14ac:dyDescent="0.25">
      <c r="A107" s="14">
        <v>42517.536041666666</v>
      </c>
      <c r="B107" t="s">
        <v>166</v>
      </c>
      <c r="C107" t="s">
        <v>420</v>
      </c>
      <c r="D107">
        <v>1500000</v>
      </c>
      <c r="E107" t="s">
        <v>431</v>
      </c>
    </row>
    <row r="108" spans="1:5" x14ac:dyDescent="0.25">
      <c r="A108" s="14">
        <v>42517.770983796298</v>
      </c>
      <c r="B108" t="s">
        <v>421</v>
      </c>
      <c r="C108" t="s">
        <v>411</v>
      </c>
      <c r="D108">
        <v>1240000</v>
      </c>
      <c r="E108" t="s">
        <v>172</v>
      </c>
    </row>
    <row r="109" spans="1:5" x14ac:dyDescent="0.25">
      <c r="A109" s="14">
        <v>42517.66578703704</v>
      </c>
      <c r="B109" t="s">
        <v>83</v>
      </c>
      <c r="C109" t="s">
        <v>376</v>
      </c>
      <c r="D109">
        <v>900000</v>
      </c>
      <c r="E109" t="s">
        <v>430</v>
      </c>
    </row>
    <row r="110" spans="1:5" x14ac:dyDescent="0.25">
      <c r="A110" s="14">
        <v>42517.547106481485</v>
      </c>
      <c r="B110" t="s">
        <v>164</v>
      </c>
      <c r="C110" t="s">
        <v>330</v>
      </c>
      <c r="D110">
        <v>880000</v>
      </c>
      <c r="E110" t="s">
        <v>85</v>
      </c>
    </row>
    <row r="111" spans="1:5" x14ac:dyDescent="0.25">
      <c r="A111" s="14">
        <v>42517.696875000001</v>
      </c>
      <c r="B111" t="s">
        <v>164</v>
      </c>
      <c r="C111" t="s">
        <v>373</v>
      </c>
      <c r="D111">
        <v>880000</v>
      </c>
      <c r="E111" t="s">
        <v>85</v>
      </c>
    </row>
    <row r="112" spans="1:5" x14ac:dyDescent="0.25">
      <c r="A112" s="14">
        <v>42517.654965277776</v>
      </c>
      <c r="B112" t="s">
        <v>164</v>
      </c>
      <c r="C112" t="s">
        <v>346</v>
      </c>
      <c r="D112">
        <v>880000</v>
      </c>
      <c r="E112" t="s">
        <v>85</v>
      </c>
    </row>
    <row r="113" spans="1:5" x14ac:dyDescent="0.25">
      <c r="A113" s="14">
        <v>42517.83253472222</v>
      </c>
      <c r="B113" t="s">
        <v>163</v>
      </c>
      <c r="C113" t="s">
        <v>300</v>
      </c>
      <c r="D113">
        <v>1830000</v>
      </c>
      <c r="E113" t="s">
        <v>95</v>
      </c>
    </row>
    <row r="114" spans="1:5" x14ac:dyDescent="0.25">
      <c r="A114" s="14">
        <v>42517.579444444447</v>
      </c>
      <c r="B114" t="s">
        <v>422</v>
      </c>
      <c r="C114" t="s">
        <v>341</v>
      </c>
      <c r="D114">
        <v>1500000</v>
      </c>
      <c r="E114" t="s">
        <v>431</v>
      </c>
    </row>
    <row r="115" spans="1:5" x14ac:dyDescent="0.25">
      <c r="A115" s="14">
        <v>42518.016828703701</v>
      </c>
      <c r="B115" t="s">
        <v>421</v>
      </c>
      <c r="C115" t="s">
        <v>325</v>
      </c>
      <c r="D115">
        <v>1240000</v>
      </c>
      <c r="E115" t="s">
        <v>172</v>
      </c>
    </row>
    <row r="116" spans="1:5" x14ac:dyDescent="0.25">
      <c r="A116" s="14">
        <v>42517.956747685188</v>
      </c>
      <c r="B116" t="s">
        <v>422</v>
      </c>
      <c r="C116" t="s">
        <v>317</v>
      </c>
      <c r="D116">
        <v>1820000</v>
      </c>
      <c r="E116" t="s">
        <v>168</v>
      </c>
    </row>
    <row r="117" spans="1:5" x14ac:dyDescent="0.25">
      <c r="A117" s="14">
        <v>42517.15111111111</v>
      </c>
      <c r="B117" t="s">
        <v>83</v>
      </c>
      <c r="C117" t="s">
        <v>180</v>
      </c>
      <c r="D117">
        <v>1480000</v>
      </c>
      <c r="E117" t="s">
        <v>169</v>
      </c>
    </row>
    <row r="118" spans="1:5" x14ac:dyDescent="0.25">
      <c r="A118" s="14">
        <v>42517.631828703707</v>
      </c>
      <c r="B118" t="s">
        <v>84</v>
      </c>
      <c r="C118" t="s">
        <v>351</v>
      </c>
      <c r="D118">
        <v>900000</v>
      </c>
      <c r="E118" t="s">
        <v>430</v>
      </c>
    </row>
    <row r="119" spans="1:5" x14ac:dyDescent="0.25">
      <c r="A119" s="14">
        <v>42517.20685185185</v>
      </c>
      <c r="B119" t="s">
        <v>170</v>
      </c>
      <c r="C119" t="s">
        <v>201</v>
      </c>
      <c r="D119">
        <v>1430000</v>
      </c>
      <c r="E119" t="s">
        <v>93</v>
      </c>
    </row>
    <row r="120" spans="1:5" x14ac:dyDescent="0.25">
      <c r="A120" s="14">
        <v>42518.013553240744</v>
      </c>
      <c r="B120" t="s">
        <v>84</v>
      </c>
      <c r="C120" t="s">
        <v>322</v>
      </c>
      <c r="D120">
        <v>1180000</v>
      </c>
      <c r="E120" t="s">
        <v>167</v>
      </c>
    </row>
    <row r="121" spans="1:5" x14ac:dyDescent="0.25">
      <c r="A121" s="14">
        <v>42517.285243055558</v>
      </c>
      <c r="B121" t="s">
        <v>165</v>
      </c>
      <c r="C121" t="s">
        <v>212</v>
      </c>
      <c r="D121">
        <v>1340000</v>
      </c>
      <c r="E121" t="s">
        <v>427</v>
      </c>
    </row>
    <row r="122" spans="1:5" x14ac:dyDescent="0.25">
      <c r="A122" s="14">
        <v>42517.584201388891</v>
      </c>
      <c r="B122" t="s">
        <v>170</v>
      </c>
      <c r="C122" t="s">
        <v>345</v>
      </c>
      <c r="D122">
        <v>880000</v>
      </c>
      <c r="E122" t="s">
        <v>85</v>
      </c>
    </row>
    <row r="123" spans="1:5" x14ac:dyDescent="0.25">
      <c r="A123" s="14">
        <v>42517.309583333335</v>
      </c>
      <c r="B123" t="s">
        <v>103</v>
      </c>
      <c r="C123" t="s">
        <v>228</v>
      </c>
      <c r="D123">
        <v>1480000</v>
      </c>
      <c r="E123" t="s">
        <v>169</v>
      </c>
    </row>
    <row r="124" spans="1:5" x14ac:dyDescent="0.25">
      <c r="A124" s="14">
        <v>42517.974259259259</v>
      </c>
      <c r="B124" t="s">
        <v>423</v>
      </c>
      <c r="C124" t="s">
        <v>316</v>
      </c>
      <c r="D124">
        <v>1240000</v>
      </c>
      <c r="E124" t="s">
        <v>172</v>
      </c>
    </row>
    <row r="125" spans="1:5" x14ac:dyDescent="0.25">
      <c r="A125" s="14">
        <v>42517.318055555559</v>
      </c>
      <c r="B125" t="s">
        <v>166</v>
      </c>
      <c r="C125" t="s">
        <v>221</v>
      </c>
      <c r="D125">
        <v>1100000</v>
      </c>
      <c r="E125" t="s">
        <v>92</v>
      </c>
    </row>
    <row r="126" spans="1:5" x14ac:dyDescent="0.25">
      <c r="A126" s="14">
        <v>42517.827592592592</v>
      </c>
      <c r="B126" t="s">
        <v>424</v>
      </c>
      <c r="C126" t="s">
        <v>415</v>
      </c>
      <c r="D126">
        <v>1820000</v>
      </c>
      <c r="E126" t="s">
        <v>168</v>
      </c>
    </row>
    <row r="127" spans="1:5" x14ac:dyDescent="0.25">
      <c r="A127" s="14">
        <v>42517.33699074074</v>
      </c>
      <c r="B127" t="s">
        <v>87</v>
      </c>
      <c r="C127" t="s">
        <v>242</v>
      </c>
      <c r="D127">
        <v>1200000</v>
      </c>
      <c r="E127" t="s">
        <v>428</v>
      </c>
    </row>
    <row r="128" spans="1:5" x14ac:dyDescent="0.25">
      <c r="A128" s="14">
        <v>42517.775821759256</v>
      </c>
      <c r="B128" t="s">
        <v>84</v>
      </c>
      <c r="C128" t="s">
        <v>403</v>
      </c>
      <c r="D128">
        <v>1180000</v>
      </c>
      <c r="E128" t="s">
        <v>167</v>
      </c>
    </row>
    <row r="129" spans="1:5" x14ac:dyDescent="0.25">
      <c r="A129" s="14">
        <v>42517.45453703704</v>
      </c>
      <c r="B129" t="s">
        <v>94</v>
      </c>
      <c r="C129" t="s">
        <v>264</v>
      </c>
      <c r="D129">
        <v>1310000</v>
      </c>
      <c r="E129" t="s">
        <v>125</v>
      </c>
    </row>
    <row r="130" spans="1:5" x14ac:dyDescent="0.25">
      <c r="A130" s="14">
        <v>42517.641157407408</v>
      </c>
      <c r="B130" t="s">
        <v>87</v>
      </c>
      <c r="C130" t="s">
        <v>364</v>
      </c>
      <c r="D130">
        <v>1120000</v>
      </c>
      <c r="E130" t="s">
        <v>145</v>
      </c>
    </row>
    <row r="131" spans="1:5" x14ac:dyDescent="0.25">
      <c r="A131" s="14">
        <v>42517.643622685187</v>
      </c>
      <c r="B131" t="s">
        <v>422</v>
      </c>
      <c r="C131" t="s">
        <v>369</v>
      </c>
      <c r="D131">
        <v>1500000</v>
      </c>
      <c r="E131" t="s">
        <v>431</v>
      </c>
    </row>
    <row r="132" spans="1:5" x14ac:dyDescent="0.25">
      <c r="A132" s="14">
        <v>42517.571064814816</v>
      </c>
      <c r="B132" t="s">
        <v>171</v>
      </c>
      <c r="C132" t="s">
        <v>341</v>
      </c>
      <c r="D132">
        <v>1500000</v>
      </c>
      <c r="E132" t="s">
        <v>431</v>
      </c>
    </row>
    <row r="133" spans="1:5" x14ac:dyDescent="0.25">
      <c r="A133" s="14">
        <v>42517.747627314813</v>
      </c>
      <c r="B133" t="s">
        <v>103</v>
      </c>
      <c r="C133" t="s">
        <v>405</v>
      </c>
      <c r="D133">
        <v>950000</v>
      </c>
      <c r="E133" t="s">
        <v>146</v>
      </c>
    </row>
    <row r="134" spans="1:5" x14ac:dyDescent="0.25">
      <c r="A134" s="14">
        <v>42517.502118055556</v>
      </c>
      <c r="B134" t="s">
        <v>165</v>
      </c>
      <c r="C134" t="s">
        <v>282</v>
      </c>
      <c r="D134">
        <v>1090000</v>
      </c>
      <c r="E134" t="s">
        <v>432</v>
      </c>
    </row>
    <row r="135" spans="1:5" x14ac:dyDescent="0.25">
      <c r="A135" s="14">
        <v>42517.400300925925</v>
      </c>
      <c r="B135" t="s">
        <v>164</v>
      </c>
      <c r="C135" t="s">
        <v>249</v>
      </c>
      <c r="D135">
        <v>1430000</v>
      </c>
      <c r="E135" t="s">
        <v>93</v>
      </c>
    </row>
    <row r="136" spans="1:5" x14ac:dyDescent="0.25">
      <c r="A136" s="14">
        <v>42517.468935185185</v>
      </c>
      <c r="B136" t="s">
        <v>163</v>
      </c>
      <c r="C136" t="s">
        <v>280</v>
      </c>
      <c r="D136">
        <v>1090000</v>
      </c>
      <c r="E136" t="s">
        <v>432</v>
      </c>
    </row>
    <row r="137" spans="1:5" x14ac:dyDescent="0.25">
      <c r="A137" s="14">
        <v>42517.433287037034</v>
      </c>
      <c r="B137" t="s">
        <v>165</v>
      </c>
      <c r="C137" t="s">
        <v>258</v>
      </c>
      <c r="D137">
        <v>1340000</v>
      </c>
      <c r="E137" t="s">
        <v>427</v>
      </c>
    </row>
    <row r="138" spans="1:5" x14ac:dyDescent="0.25">
      <c r="A138" s="14">
        <v>42517.463888888888</v>
      </c>
      <c r="B138" t="s">
        <v>166</v>
      </c>
      <c r="C138" t="s">
        <v>267</v>
      </c>
      <c r="D138">
        <v>1500000</v>
      </c>
      <c r="E138" t="s">
        <v>431</v>
      </c>
    </row>
    <row r="139" spans="1:5" x14ac:dyDescent="0.25">
      <c r="A139" s="14">
        <v>42517.445972222224</v>
      </c>
      <c r="B139" t="s">
        <v>83</v>
      </c>
      <c r="C139" t="s">
        <v>275</v>
      </c>
      <c r="D139">
        <v>900000</v>
      </c>
      <c r="E139" t="s">
        <v>430</v>
      </c>
    </row>
    <row r="140" spans="1:5" x14ac:dyDescent="0.25">
      <c r="A140" s="14">
        <v>42517.232094907406</v>
      </c>
      <c r="B140" t="s">
        <v>103</v>
      </c>
      <c r="C140" t="s">
        <v>206</v>
      </c>
      <c r="D140">
        <v>1480000</v>
      </c>
      <c r="E140" t="s">
        <v>169</v>
      </c>
    </row>
    <row r="141" spans="1:5" x14ac:dyDescent="0.25">
      <c r="A141" s="14">
        <v>42517.622650462959</v>
      </c>
      <c r="B141" t="s">
        <v>421</v>
      </c>
      <c r="C141" t="s">
        <v>360</v>
      </c>
      <c r="D141">
        <v>890000</v>
      </c>
      <c r="E141" t="s">
        <v>429</v>
      </c>
    </row>
    <row r="142" spans="1:5" x14ac:dyDescent="0.25">
      <c r="A142" s="14">
        <v>42517.484155092592</v>
      </c>
      <c r="B142" t="s">
        <v>84</v>
      </c>
      <c r="C142" t="s">
        <v>276</v>
      </c>
      <c r="D142">
        <v>900000</v>
      </c>
      <c r="E142" t="s">
        <v>430</v>
      </c>
    </row>
    <row r="143" spans="1:5" x14ac:dyDescent="0.25">
      <c r="A143" s="14">
        <v>42517.664224537039</v>
      </c>
      <c r="B143" t="s">
        <v>170</v>
      </c>
      <c r="C143" t="s">
        <v>372</v>
      </c>
      <c r="D143">
        <v>880000</v>
      </c>
      <c r="E143" t="s">
        <v>85</v>
      </c>
    </row>
    <row r="144" spans="1:5" x14ac:dyDescent="0.25">
      <c r="A144" s="14">
        <v>42517.357916666668</v>
      </c>
      <c r="B144" t="s">
        <v>165</v>
      </c>
      <c r="C144" t="s">
        <v>233</v>
      </c>
      <c r="D144">
        <v>1340000</v>
      </c>
      <c r="E144" t="s">
        <v>427</v>
      </c>
    </row>
    <row r="145" spans="1:5" x14ac:dyDescent="0.25">
      <c r="A145" s="14">
        <v>42517.706018518518</v>
      </c>
      <c r="B145" t="s">
        <v>103</v>
      </c>
      <c r="C145" t="s">
        <v>378</v>
      </c>
      <c r="D145">
        <v>950000</v>
      </c>
      <c r="E145" t="s">
        <v>146</v>
      </c>
    </row>
    <row r="146" spans="1:5" x14ac:dyDescent="0.25">
      <c r="A146" s="14">
        <v>42517.40289351852</v>
      </c>
      <c r="B146" t="s">
        <v>421</v>
      </c>
      <c r="C146" t="s">
        <v>260</v>
      </c>
      <c r="D146">
        <v>1110000</v>
      </c>
      <c r="E146" t="s">
        <v>173</v>
      </c>
    </row>
    <row r="147" spans="1:5" x14ac:dyDescent="0.25">
      <c r="A147" s="14">
        <v>42517.912743055553</v>
      </c>
      <c r="B147" t="s">
        <v>424</v>
      </c>
      <c r="C147" t="s">
        <v>307</v>
      </c>
      <c r="D147">
        <v>1820000</v>
      </c>
      <c r="E147" t="s">
        <v>168</v>
      </c>
    </row>
    <row r="148" spans="1:5" x14ac:dyDescent="0.25">
      <c r="A148" s="14">
        <v>42517.453287037039</v>
      </c>
      <c r="B148" t="s">
        <v>170</v>
      </c>
      <c r="C148" t="s">
        <v>269</v>
      </c>
      <c r="D148">
        <v>1100000</v>
      </c>
      <c r="E148" t="s">
        <v>92</v>
      </c>
    </row>
    <row r="149" spans="1:5" x14ac:dyDescent="0.25">
      <c r="A149" s="14">
        <v>42517.32</v>
      </c>
      <c r="B149" t="s">
        <v>163</v>
      </c>
      <c r="C149" t="s">
        <v>231</v>
      </c>
      <c r="D149">
        <v>1340000</v>
      </c>
      <c r="E149" t="s">
        <v>427</v>
      </c>
    </row>
    <row r="150" spans="1:5" x14ac:dyDescent="0.25">
      <c r="A150" s="14">
        <v>42517.414224537039</v>
      </c>
      <c r="B150" t="s">
        <v>87</v>
      </c>
      <c r="C150" t="s">
        <v>263</v>
      </c>
      <c r="D150">
        <v>1310000</v>
      </c>
      <c r="E150" t="s">
        <v>125</v>
      </c>
    </row>
    <row r="151" spans="1:5" x14ac:dyDescent="0.25">
      <c r="A151" s="14">
        <v>42517.328182870369</v>
      </c>
      <c r="B151" t="s">
        <v>164</v>
      </c>
      <c r="C151" t="s">
        <v>224</v>
      </c>
      <c r="D151">
        <v>1430000</v>
      </c>
      <c r="E151" t="s">
        <v>93</v>
      </c>
    </row>
    <row r="152" spans="1:5" x14ac:dyDescent="0.25">
      <c r="A152" s="14">
        <v>42517.392731481479</v>
      </c>
      <c r="B152" t="s">
        <v>163</v>
      </c>
      <c r="C152" t="s">
        <v>255</v>
      </c>
      <c r="D152">
        <v>1340000</v>
      </c>
      <c r="E152" t="s">
        <v>427</v>
      </c>
    </row>
    <row r="153" spans="1:5" x14ac:dyDescent="0.25">
      <c r="A153" s="14">
        <v>42517.378969907404</v>
      </c>
      <c r="B153" t="s">
        <v>94</v>
      </c>
      <c r="C153" t="s">
        <v>243</v>
      </c>
      <c r="D153">
        <v>1200000</v>
      </c>
      <c r="E153" t="s">
        <v>428</v>
      </c>
    </row>
    <row r="154" spans="1:5" x14ac:dyDescent="0.25">
      <c r="A154" s="14">
        <v>42517.350439814814</v>
      </c>
      <c r="B154" t="s">
        <v>171</v>
      </c>
      <c r="C154" t="s">
        <v>245</v>
      </c>
      <c r="D154">
        <v>1100000</v>
      </c>
      <c r="E154" t="s">
        <v>92</v>
      </c>
    </row>
    <row r="155" spans="1:5" x14ac:dyDescent="0.25">
      <c r="A155" s="14">
        <v>42517.425347222219</v>
      </c>
      <c r="B155" t="s">
        <v>171</v>
      </c>
      <c r="C155" t="s">
        <v>266</v>
      </c>
      <c r="D155">
        <v>1500000</v>
      </c>
      <c r="E155" t="s">
        <v>431</v>
      </c>
    </row>
    <row r="156" spans="1:5" x14ac:dyDescent="0.25">
      <c r="A156" s="14">
        <v>42517.235798611109</v>
      </c>
      <c r="B156" t="s">
        <v>424</v>
      </c>
      <c r="C156" t="s">
        <v>197</v>
      </c>
      <c r="D156">
        <v>1310000</v>
      </c>
      <c r="E156" t="s">
        <v>125</v>
      </c>
    </row>
    <row r="157" spans="1:5" x14ac:dyDescent="0.25">
      <c r="A157" s="14">
        <v>42517.478819444441</v>
      </c>
      <c r="B157" t="s">
        <v>421</v>
      </c>
      <c r="C157" t="s">
        <v>284</v>
      </c>
      <c r="D157">
        <v>890000</v>
      </c>
      <c r="E157" t="s">
        <v>429</v>
      </c>
    </row>
    <row r="158" spans="1:5" x14ac:dyDescent="0.25">
      <c r="A158" s="14">
        <v>42517.488657407404</v>
      </c>
      <c r="B158" t="s">
        <v>87</v>
      </c>
      <c r="C158" t="s">
        <v>289</v>
      </c>
      <c r="D158">
        <v>1120000</v>
      </c>
      <c r="E158" t="s">
        <v>145</v>
      </c>
    </row>
    <row r="159" spans="1:5" x14ac:dyDescent="0.25">
      <c r="A159" s="14">
        <v>42517.568842592591</v>
      </c>
      <c r="B159" t="s">
        <v>104</v>
      </c>
      <c r="C159" t="s">
        <v>332</v>
      </c>
      <c r="D159">
        <v>950000</v>
      </c>
      <c r="E159" t="s">
        <v>146</v>
      </c>
    </row>
    <row r="160" spans="1:5" x14ac:dyDescent="0.25">
      <c r="A160" s="14">
        <v>42517.358402777776</v>
      </c>
      <c r="B160" t="s">
        <v>170</v>
      </c>
      <c r="C160" t="s">
        <v>247</v>
      </c>
      <c r="D160">
        <v>1430000</v>
      </c>
      <c r="E160" t="s">
        <v>93</v>
      </c>
    </row>
    <row r="161" spans="1:5" x14ac:dyDescent="0.25">
      <c r="A161" s="14">
        <v>42517.744976851849</v>
      </c>
      <c r="B161" t="s">
        <v>94</v>
      </c>
      <c r="C161" t="s">
        <v>393</v>
      </c>
      <c r="D161">
        <v>1120000</v>
      </c>
      <c r="E161" t="s">
        <v>145</v>
      </c>
    </row>
    <row r="162" spans="1:5" x14ac:dyDescent="0.25">
      <c r="A162" s="14">
        <v>42517.331319444442</v>
      </c>
      <c r="B162" t="s">
        <v>421</v>
      </c>
      <c r="C162" t="s">
        <v>235</v>
      </c>
      <c r="D162">
        <v>1110000</v>
      </c>
      <c r="E162" t="s">
        <v>173</v>
      </c>
    </row>
    <row r="163" spans="1:5" x14ac:dyDescent="0.25">
      <c r="A163" s="14">
        <v>42517.848425925928</v>
      </c>
      <c r="B163" t="s">
        <v>421</v>
      </c>
      <c r="C163" t="s">
        <v>302</v>
      </c>
      <c r="D163">
        <v>1240000</v>
      </c>
      <c r="E163" t="s">
        <v>172</v>
      </c>
    </row>
    <row r="164" spans="1:5" x14ac:dyDescent="0.25">
      <c r="A164" s="14">
        <v>42517.253483796296</v>
      </c>
      <c r="B164" t="s">
        <v>164</v>
      </c>
      <c r="C164" t="s">
        <v>202</v>
      </c>
      <c r="D164">
        <v>1430000</v>
      </c>
      <c r="E164" t="s">
        <v>93</v>
      </c>
    </row>
    <row r="165" spans="1:5" x14ac:dyDescent="0.25">
      <c r="A165" s="14">
        <v>42517.891064814816</v>
      </c>
      <c r="B165" t="s">
        <v>423</v>
      </c>
      <c r="C165" t="s">
        <v>304</v>
      </c>
      <c r="D165">
        <v>1240000</v>
      </c>
      <c r="E165" t="s">
        <v>172</v>
      </c>
    </row>
    <row r="166" spans="1:5" x14ac:dyDescent="0.25">
      <c r="A166" s="14">
        <v>42517.437002314815</v>
      </c>
      <c r="B166" t="s">
        <v>170</v>
      </c>
      <c r="C166" t="s">
        <v>269</v>
      </c>
      <c r="D166">
        <v>1100000</v>
      </c>
      <c r="E166" t="s">
        <v>92</v>
      </c>
    </row>
    <row r="167" spans="1:5" x14ac:dyDescent="0.25">
      <c r="A167" s="14">
        <v>42517.955462962964</v>
      </c>
      <c r="B167" t="s">
        <v>422</v>
      </c>
      <c r="C167" t="s">
        <v>317</v>
      </c>
      <c r="D167">
        <v>1820000</v>
      </c>
      <c r="E167" t="s">
        <v>168</v>
      </c>
    </row>
    <row r="168" spans="1:5" x14ac:dyDescent="0.25">
      <c r="A168" s="14">
        <v>42517.308622685188</v>
      </c>
      <c r="B168" t="s">
        <v>424</v>
      </c>
      <c r="C168" t="s">
        <v>419</v>
      </c>
      <c r="D168">
        <v>1310000</v>
      </c>
      <c r="E168" t="s">
        <v>125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42517</v>
      </c>
      <c r="B2" s="10"/>
      <c r="C2" s="37">
        <v>50</v>
      </c>
      <c r="F2" t="s">
        <v>74</v>
      </c>
    </row>
    <row r="3" spans="1:6" x14ac:dyDescent="0.25">
      <c r="F3" t="s">
        <v>75</v>
      </c>
    </row>
    <row r="4" spans="1:6" x14ac:dyDescent="0.25">
      <c r="F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2016-06-29T15:00:43Z</dcterms:modified>
</cp:coreProperties>
</file>