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Enforcements!$A$2:$N$60</definedName>
    <definedName name="_xlnm._FilterDatabase" localSheetId="0" hidden="1">'Train Runs'!$A$2:$AD$146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8" i="1" l="1"/>
  <c r="K158" i="1"/>
  <c r="J158" i="1"/>
  <c r="I158" i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U140" i="1"/>
  <c r="T140" i="1"/>
  <c r="S140" i="1"/>
  <c r="T139" i="1"/>
  <c r="U139" i="1" s="1"/>
  <c r="S139" i="1" s="1"/>
  <c r="U138" i="1"/>
  <c r="S138" i="1" s="1"/>
  <c r="T138" i="1"/>
  <c r="T137" i="1"/>
  <c r="U137" i="1" s="1"/>
  <c r="S137" i="1" s="1"/>
  <c r="U136" i="1"/>
  <c r="T136" i="1"/>
  <c r="S136" i="1"/>
  <c r="T135" i="1"/>
  <c r="U135" i="1" s="1"/>
  <c r="S135" i="1" s="1"/>
  <c r="U134" i="1"/>
  <c r="S134" i="1" s="1"/>
  <c r="T134" i="1"/>
  <c r="T133" i="1"/>
  <c r="U133" i="1" s="1"/>
  <c r="S133" i="1" s="1"/>
  <c r="U132" i="1"/>
  <c r="T132" i="1"/>
  <c r="S132" i="1"/>
  <c r="T131" i="1"/>
  <c r="U131" i="1" s="1"/>
  <c r="S131" i="1" s="1"/>
  <c r="U130" i="1"/>
  <c r="S130" i="1" s="1"/>
  <c r="T130" i="1"/>
  <c r="T129" i="1"/>
  <c r="U129" i="1" s="1"/>
  <c r="S129" i="1" s="1"/>
  <c r="U128" i="1"/>
  <c r="T128" i="1"/>
  <c r="S128" i="1"/>
  <c r="T127" i="1"/>
  <c r="U127" i="1" s="1"/>
  <c r="S127" i="1" s="1"/>
  <c r="U126" i="1"/>
  <c r="S126" i="1" s="1"/>
  <c r="T126" i="1"/>
  <c r="T125" i="1"/>
  <c r="U125" i="1" s="1"/>
  <c r="S125" i="1" s="1"/>
  <c r="U124" i="1"/>
  <c r="T124" i="1"/>
  <c r="S124" i="1"/>
  <c r="T123" i="1"/>
  <c r="U123" i="1" s="1"/>
  <c r="S123" i="1" s="1"/>
  <c r="U122" i="1"/>
  <c r="S122" i="1" s="1"/>
  <c r="T122" i="1"/>
  <c r="T121" i="1"/>
  <c r="U121" i="1" s="1"/>
  <c r="S121" i="1" s="1"/>
  <c r="U120" i="1"/>
  <c r="T120" i="1"/>
  <c r="S120" i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T96" i="1"/>
  <c r="S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T84" i="1"/>
  <c r="S84" i="1"/>
  <c r="T83" i="1"/>
  <c r="U83" i="1" s="1"/>
  <c r="S83" i="1" s="1"/>
  <c r="U82" i="1"/>
  <c r="S82" i="1" s="1"/>
  <c r="T82" i="1"/>
  <c r="T81" i="1"/>
  <c r="U81" i="1" s="1"/>
  <c r="S81" i="1" s="1"/>
  <c r="U80" i="1"/>
  <c r="T80" i="1"/>
  <c r="S80" i="1"/>
  <c r="T79" i="1"/>
  <c r="U79" i="1" s="1"/>
  <c r="S79" i="1" s="1"/>
  <c r="U78" i="1"/>
  <c r="S78" i="1" s="1"/>
  <c r="T78" i="1"/>
  <c r="T77" i="1"/>
  <c r="U77" i="1" s="1"/>
  <c r="S77" i="1" s="1"/>
  <c r="U76" i="1"/>
  <c r="T76" i="1"/>
  <c r="S76" i="1"/>
  <c r="T75" i="1"/>
  <c r="U75" i="1" s="1"/>
  <c r="S75" i="1" s="1"/>
  <c r="U74" i="1"/>
  <c r="S74" i="1" s="1"/>
  <c r="T74" i="1"/>
  <c r="T73" i="1"/>
  <c r="U73" i="1" s="1"/>
  <c r="S73" i="1" s="1"/>
  <c r="U72" i="1"/>
  <c r="T72" i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S44" i="1" s="1"/>
  <c r="T44" i="1"/>
  <c r="T43" i="1"/>
  <c r="U43" i="1" s="1"/>
  <c r="S43" i="1" s="1"/>
  <c r="U42" i="1"/>
  <c r="S42" i="1" s="1"/>
  <c r="T42" i="1"/>
  <c r="T41" i="1"/>
  <c r="U41" i="1" s="1"/>
  <c r="S41" i="1" s="1"/>
  <c r="U40" i="1"/>
  <c r="S40" i="1" s="1"/>
  <c r="T40" i="1"/>
  <c r="T39" i="1"/>
  <c r="U39" i="1" s="1"/>
  <c r="S39" i="1" s="1"/>
  <c r="U38" i="1"/>
  <c r="S38" i="1" s="1"/>
  <c r="T38" i="1"/>
  <c r="T37" i="1"/>
  <c r="U37" i="1" s="1"/>
  <c r="S37" i="1" s="1"/>
  <c r="U36" i="1"/>
  <c r="S36" i="1" s="1"/>
  <c r="T36" i="1"/>
  <c r="T35" i="1"/>
  <c r="U35" i="1" s="1"/>
  <c r="S35" i="1" s="1"/>
  <c r="U34" i="1"/>
  <c r="S34" i="1" s="1"/>
  <c r="T34" i="1"/>
  <c r="T33" i="1"/>
  <c r="U33" i="1" s="1"/>
  <c r="S33" i="1" s="1"/>
  <c r="U32" i="1"/>
  <c r="S32" i="1" s="1"/>
  <c r="T32" i="1"/>
  <c r="T31" i="1"/>
  <c r="U31" i="1" s="1"/>
  <c r="S31" i="1" s="1"/>
  <c r="U30" i="1"/>
  <c r="S30" i="1" s="1"/>
  <c r="T30" i="1"/>
  <c r="T29" i="1"/>
  <c r="U29" i="1" s="1"/>
  <c r="S29" i="1" s="1"/>
  <c r="U28" i="1"/>
  <c r="S28" i="1" s="1"/>
  <c r="T28" i="1"/>
  <c r="T27" i="1"/>
  <c r="U27" i="1" s="1"/>
  <c r="S27" i="1" s="1"/>
  <c r="U26" i="1"/>
  <c r="S26" i="1" s="1"/>
  <c r="T26" i="1"/>
  <c r="T25" i="1"/>
  <c r="U25" i="1" s="1"/>
  <c r="S25" i="1" s="1"/>
  <c r="U24" i="1"/>
  <c r="S24" i="1" s="1"/>
  <c r="T24" i="1"/>
  <c r="T23" i="1"/>
  <c r="U23" i="1" s="1"/>
  <c r="S23" i="1" s="1"/>
  <c r="U22" i="1"/>
  <c r="S22" i="1" s="1"/>
  <c r="T22" i="1"/>
  <c r="T21" i="1"/>
  <c r="U21" i="1" s="1"/>
  <c r="S21" i="1" s="1"/>
  <c r="U20" i="1"/>
  <c r="S20" i="1" s="1"/>
  <c r="T20" i="1"/>
  <c r="T19" i="1"/>
  <c r="U19" i="1" s="1"/>
  <c r="S19" i="1" s="1"/>
  <c r="U18" i="1"/>
  <c r="S18" i="1" s="1"/>
  <c r="T18" i="1"/>
  <c r="T17" i="1"/>
  <c r="U17" i="1" s="1"/>
  <c r="S17" i="1" s="1"/>
  <c r="U16" i="1"/>
  <c r="S16" i="1" s="1"/>
  <c r="T16" i="1"/>
  <c r="T15" i="1"/>
  <c r="U15" i="1" s="1"/>
  <c r="S15" i="1" s="1"/>
  <c r="U14" i="1"/>
  <c r="S14" i="1" s="1"/>
  <c r="T14" i="1"/>
  <c r="T13" i="1"/>
  <c r="U13" i="1" s="1"/>
  <c r="S13" i="1" s="1"/>
  <c r="U12" i="1"/>
  <c r="S12" i="1" s="1"/>
  <c r="T12" i="1"/>
  <c r="T11" i="1"/>
  <c r="U11" i="1" s="1"/>
  <c r="S11" i="1" s="1"/>
  <c r="U10" i="1"/>
  <c r="S10" i="1" s="1"/>
  <c r="T10" i="1"/>
  <c r="T9" i="1"/>
  <c r="U9" i="1" s="1"/>
  <c r="S9" i="1" s="1"/>
  <c r="U8" i="1"/>
  <c r="S8" i="1" s="1"/>
  <c r="T8" i="1"/>
  <c r="T7" i="1"/>
  <c r="U7" i="1" s="1"/>
  <c r="S7" i="1" s="1"/>
  <c r="U6" i="1"/>
  <c r="S6" i="1" s="1"/>
  <c r="T6" i="1"/>
  <c r="T5" i="1"/>
  <c r="U5" i="1" s="1"/>
  <c r="S5" i="1" s="1"/>
  <c r="U4" i="1"/>
  <c r="S4" i="1" s="1"/>
  <c r="T4" i="1"/>
  <c r="T3" i="1"/>
  <c r="U3" i="1" s="1"/>
  <c r="S3" i="1" s="1"/>
  <c r="A1" i="1" l="1"/>
  <c r="L145" i="1"/>
  <c r="L146" i="1"/>
  <c r="P106" i="1"/>
  <c r="P55" i="1"/>
  <c r="P20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L7" i="3"/>
  <c r="L28" i="3"/>
  <c r="L55" i="3"/>
  <c r="L56" i="3"/>
  <c r="L57" i="3"/>
  <c r="L58" i="3"/>
  <c r="L59" i="3"/>
  <c r="L60" i="3"/>
  <c r="W145" i="1"/>
  <c r="Y145" i="1"/>
  <c r="W146" i="1"/>
  <c r="X146" i="1"/>
  <c r="Y146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57" i="1"/>
  <c r="Y58" i="1"/>
  <c r="Y59" i="1"/>
  <c r="Y60" i="1"/>
  <c r="Y61" i="1"/>
  <c r="Y62" i="1"/>
  <c r="Y63" i="1"/>
  <c r="Y64" i="1"/>
  <c r="Y65" i="1"/>
  <c r="Y66" i="1"/>
  <c r="Y67" i="1"/>
  <c r="Y18" i="1"/>
  <c r="Y19" i="1"/>
  <c r="Y20" i="1"/>
  <c r="Y21" i="1"/>
  <c r="Y22" i="1"/>
  <c r="Y23" i="1"/>
  <c r="Y24" i="1"/>
  <c r="Y25" i="1"/>
  <c r="W125" i="1"/>
  <c r="Y125" i="1"/>
  <c r="Z125" i="1"/>
  <c r="AA125" i="1"/>
  <c r="AB125" i="1" s="1"/>
  <c r="X125" i="1" s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B127" i="1" s="1"/>
  <c r="X127" i="1" s="1"/>
  <c r="AC127" i="1"/>
  <c r="AD127" i="1"/>
  <c r="W128" i="1"/>
  <c r="Y128" i="1"/>
  <c r="Z128" i="1"/>
  <c r="AA128" i="1"/>
  <c r="AB128" i="1"/>
  <c r="X128" i="1" s="1"/>
  <c r="AC128" i="1"/>
  <c r="AD128" i="1"/>
  <c r="W129" i="1"/>
  <c r="P55" i="3" s="1"/>
  <c r="Y129" i="1"/>
  <c r="Z129" i="1"/>
  <c r="AA129" i="1"/>
  <c r="AC129" i="1"/>
  <c r="AD129" i="1"/>
  <c r="W130" i="1"/>
  <c r="Y130" i="1"/>
  <c r="Z130" i="1"/>
  <c r="AA130" i="1"/>
  <c r="AB130" i="1"/>
  <c r="X130" i="1" s="1"/>
  <c r="AC130" i="1"/>
  <c r="AD130" i="1"/>
  <c r="W131" i="1"/>
  <c r="Y131" i="1"/>
  <c r="Z131" i="1"/>
  <c r="AA131" i="1"/>
  <c r="AB131" i="1"/>
  <c r="X131" i="1" s="1"/>
  <c r="AC131" i="1"/>
  <c r="AD131" i="1"/>
  <c r="W132" i="1"/>
  <c r="P56" i="3" s="1"/>
  <c r="Y132" i="1"/>
  <c r="Z132" i="1"/>
  <c r="AA132" i="1"/>
  <c r="AC132" i="1"/>
  <c r="AD132" i="1"/>
  <c r="W133" i="1"/>
  <c r="P57" i="3" s="1"/>
  <c r="Y133" i="1"/>
  <c r="Z133" i="1"/>
  <c r="AB133" i="1" s="1"/>
  <c r="X133" i="1" s="1"/>
  <c r="AA133" i="1"/>
  <c r="AC133" i="1"/>
  <c r="AD133" i="1"/>
  <c r="W134" i="1"/>
  <c r="Y134" i="1"/>
  <c r="Z134" i="1"/>
  <c r="AA134" i="1"/>
  <c r="AB134" i="1"/>
  <c r="X134" i="1" s="1"/>
  <c r="AC134" i="1"/>
  <c r="AD134" i="1"/>
  <c r="W135" i="1"/>
  <c r="Y135" i="1"/>
  <c r="Z135" i="1"/>
  <c r="AA135" i="1"/>
  <c r="AC135" i="1"/>
  <c r="AD135" i="1"/>
  <c r="W136" i="1"/>
  <c r="Y136" i="1"/>
  <c r="Z136" i="1"/>
  <c r="AA136" i="1"/>
  <c r="AB136" i="1"/>
  <c r="X136" i="1" s="1"/>
  <c r="AC136" i="1"/>
  <c r="AD136" i="1"/>
  <c r="W137" i="1"/>
  <c r="Y137" i="1"/>
  <c r="Z137" i="1"/>
  <c r="AA137" i="1"/>
  <c r="AB137" i="1" s="1"/>
  <c r="X137" i="1" s="1"/>
  <c r="AC137" i="1"/>
  <c r="AD137" i="1"/>
  <c r="W138" i="1"/>
  <c r="P58" i="3" s="1"/>
  <c r="Y138" i="1"/>
  <c r="Z138" i="1"/>
  <c r="AA138" i="1"/>
  <c r="AC138" i="1"/>
  <c r="AD138" i="1"/>
  <c r="W139" i="1"/>
  <c r="Y139" i="1"/>
  <c r="Z139" i="1"/>
  <c r="AA139" i="1"/>
  <c r="AB139" i="1"/>
  <c r="X139" i="1" s="1"/>
  <c r="AC139" i="1"/>
  <c r="AD139" i="1"/>
  <c r="W140" i="1"/>
  <c r="P59" i="3" s="1"/>
  <c r="Y140" i="1"/>
  <c r="Z140" i="1"/>
  <c r="AB140" i="1" s="1"/>
  <c r="X140" i="1" s="1"/>
  <c r="AA140" i="1"/>
  <c r="AC140" i="1"/>
  <c r="AD140" i="1"/>
  <c r="W141" i="1"/>
  <c r="P60" i="3" s="1"/>
  <c r="Y141" i="1"/>
  <c r="Z141" i="1"/>
  <c r="AB141" i="1" s="1"/>
  <c r="X141" i="1" s="1"/>
  <c r="AA141" i="1"/>
  <c r="AC141" i="1"/>
  <c r="AD141" i="1"/>
  <c r="W142" i="1"/>
  <c r="Y142" i="1"/>
  <c r="Z142" i="1"/>
  <c r="AA142" i="1"/>
  <c r="AB142" i="1"/>
  <c r="X142" i="1" s="1"/>
  <c r="AC142" i="1"/>
  <c r="AD142" i="1"/>
  <c r="W143" i="1"/>
  <c r="Y143" i="1"/>
  <c r="Z143" i="1"/>
  <c r="AA143" i="1"/>
  <c r="AB143" i="1"/>
  <c r="X143" i="1" s="1"/>
  <c r="AC143" i="1"/>
  <c r="AD143" i="1"/>
  <c r="W144" i="1"/>
  <c r="Y144" i="1"/>
  <c r="Z144" i="1"/>
  <c r="AB144" i="1" s="1"/>
  <c r="X144" i="1" s="1"/>
  <c r="AA144" i="1"/>
  <c r="AC144" i="1"/>
  <c r="AD144" i="1"/>
  <c r="Z145" i="1"/>
  <c r="AB145" i="1" s="1"/>
  <c r="X145" i="1" s="1"/>
  <c r="AA145" i="1"/>
  <c r="AC145" i="1"/>
  <c r="AD145" i="1"/>
  <c r="Z146" i="1"/>
  <c r="AA146" i="1"/>
  <c r="AB146" i="1"/>
  <c r="AC146" i="1"/>
  <c r="AD146" i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L126" i="1"/>
  <c r="L127" i="1"/>
  <c r="L128" i="1"/>
  <c r="L129" i="1"/>
  <c r="L130" i="1"/>
  <c r="L131" i="1"/>
  <c r="L132" i="1"/>
  <c r="L133" i="1"/>
  <c r="L134" i="1"/>
  <c r="L135" i="1"/>
  <c r="K126" i="1"/>
  <c r="K127" i="1"/>
  <c r="K128" i="1"/>
  <c r="K129" i="1"/>
  <c r="K130" i="1"/>
  <c r="K131" i="1"/>
  <c r="K132" i="1"/>
  <c r="K133" i="1"/>
  <c r="K134" i="1"/>
  <c r="K135" i="1"/>
  <c r="K136" i="1"/>
  <c r="N137" i="1"/>
  <c r="I148" i="1"/>
  <c r="J152" i="1"/>
  <c r="AB138" i="1" l="1"/>
  <c r="X138" i="1" s="1"/>
  <c r="AB132" i="1"/>
  <c r="X132" i="1" s="1"/>
  <c r="AB129" i="1"/>
  <c r="X129" i="1" s="1"/>
  <c r="AB135" i="1"/>
  <c r="X135" i="1" s="1"/>
  <c r="AB126" i="1"/>
  <c r="X126" i="1" s="1"/>
  <c r="Y40" i="1"/>
  <c r="Z40" i="1"/>
  <c r="AA40" i="1"/>
  <c r="Y41" i="1"/>
  <c r="Z41" i="1"/>
  <c r="AA41" i="1"/>
  <c r="Y42" i="1"/>
  <c r="Z42" i="1"/>
  <c r="AA42" i="1"/>
  <c r="L8" i="3"/>
  <c r="L9" i="3"/>
  <c r="L46" i="3"/>
  <c r="L17" i="3"/>
  <c r="L42" i="3"/>
  <c r="L4" i="3"/>
  <c r="L33" i="3"/>
  <c r="L34" i="3"/>
  <c r="L18" i="3"/>
  <c r="L29" i="3"/>
  <c r="L16" i="3"/>
  <c r="L47" i="3"/>
  <c r="L10" i="3"/>
  <c r="L35" i="3"/>
  <c r="L48" i="3"/>
  <c r="L49" i="3"/>
  <c r="L50" i="3"/>
  <c r="L19" i="3"/>
  <c r="L36" i="3"/>
  <c r="L24" i="3"/>
  <c r="L43" i="3"/>
  <c r="L51" i="3"/>
  <c r="L11" i="3"/>
  <c r="L52" i="3"/>
  <c r="L44" i="3"/>
  <c r="L20" i="3"/>
  <c r="L53" i="3"/>
  <c r="L26" i="3"/>
  <c r="L27" i="3"/>
  <c r="L37" i="3"/>
  <c r="L5" i="3"/>
  <c r="L6" i="3"/>
  <c r="L38" i="3"/>
  <c r="L21" i="3"/>
  <c r="L54" i="3"/>
  <c r="L30" i="3"/>
  <c r="L23" i="3"/>
  <c r="L3" i="3"/>
  <c r="L22" i="3"/>
  <c r="L25" i="3"/>
  <c r="L12" i="3"/>
  <c r="L31" i="3"/>
  <c r="L13" i="3"/>
  <c r="L39" i="3"/>
  <c r="L14" i="3"/>
  <c r="L40" i="3"/>
  <c r="L41" i="3"/>
  <c r="L32" i="3"/>
  <c r="L15" i="3"/>
  <c r="M5" i="1"/>
  <c r="N5" i="1" s="1"/>
  <c r="W5" i="1"/>
  <c r="Y5" i="1"/>
  <c r="Z5" i="1"/>
  <c r="AA5" i="1"/>
  <c r="AC5" i="1"/>
  <c r="AD5" i="1"/>
  <c r="M6" i="1"/>
  <c r="N6" i="1" s="1"/>
  <c r="W6" i="1"/>
  <c r="Y6" i="1"/>
  <c r="Z6" i="1"/>
  <c r="AA6" i="1"/>
  <c r="AC6" i="1"/>
  <c r="AD6" i="1"/>
  <c r="M7" i="1"/>
  <c r="N7" i="1" s="1"/>
  <c r="W7" i="1"/>
  <c r="Y7" i="1"/>
  <c r="Z7" i="1"/>
  <c r="AA7" i="1"/>
  <c r="AC7" i="1"/>
  <c r="AD7" i="1"/>
  <c r="M8" i="1"/>
  <c r="N8" i="1" s="1"/>
  <c r="W8" i="1"/>
  <c r="Y8" i="1"/>
  <c r="Z8" i="1"/>
  <c r="AA8" i="1"/>
  <c r="AC8" i="1"/>
  <c r="AD8" i="1"/>
  <c r="M9" i="1"/>
  <c r="N9" i="1" s="1"/>
  <c r="W9" i="1"/>
  <c r="P30" i="3" s="1"/>
  <c r="Y9" i="1"/>
  <c r="Z9" i="1"/>
  <c r="AA9" i="1"/>
  <c r="AC9" i="1"/>
  <c r="AD9" i="1"/>
  <c r="M10" i="1"/>
  <c r="N10" i="1" s="1"/>
  <c r="W10" i="1"/>
  <c r="Y10" i="1"/>
  <c r="Z10" i="1"/>
  <c r="AA10" i="1"/>
  <c r="AC10" i="1"/>
  <c r="AD10" i="1"/>
  <c r="M11" i="1"/>
  <c r="N11" i="1" s="1"/>
  <c r="W11" i="1"/>
  <c r="Y11" i="1"/>
  <c r="Z11" i="1"/>
  <c r="AA11" i="1"/>
  <c r="AC11" i="1"/>
  <c r="AD11" i="1"/>
  <c r="M12" i="1"/>
  <c r="N12" i="1" s="1"/>
  <c r="W12" i="1"/>
  <c r="Y12" i="1"/>
  <c r="Z12" i="1"/>
  <c r="AA12" i="1"/>
  <c r="AC12" i="1"/>
  <c r="AD12" i="1"/>
  <c r="M13" i="1"/>
  <c r="N13" i="1" s="1"/>
  <c r="W13" i="1"/>
  <c r="Y13" i="1"/>
  <c r="Z13" i="1"/>
  <c r="AA13" i="1"/>
  <c r="AC13" i="1"/>
  <c r="AD13" i="1"/>
  <c r="M14" i="1"/>
  <c r="N14" i="1" s="1"/>
  <c r="W14" i="1"/>
  <c r="Y14" i="1"/>
  <c r="Z14" i="1"/>
  <c r="AA14" i="1"/>
  <c r="AC14" i="1"/>
  <c r="AD14" i="1"/>
  <c r="M15" i="1"/>
  <c r="N15" i="1" s="1"/>
  <c r="W15" i="1"/>
  <c r="Y15" i="1"/>
  <c r="Z15" i="1"/>
  <c r="AA15" i="1"/>
  <c r="AC15" i="1"/>
  <c r="AD15" i="1"/>
  <c r="M16" i="1"/>
  <c r="N16" i="1" s="1"/>
  <c r="W16" i="1"/>
  <c r="Y16" i="1"/>
  <c r="Z16" i="1"/>
  <c r="AA16" i="1"/>
  <c r="AC16" i="1"/>
  <c r="AD16" i="1"/>
  <c r="M17" i="1"/>
  <c r="N17" i="1" s="1"/>
  <c r="W17" i="1"/>
  <c r="P9" i="3" s="1"/>
  <c r="Y17" i="1"/>
  <c r="Z17" i="1"/>
  <c r="AA17" i="1"/>
  <c r="AC17" i="1"/>
  <c r="AD17" i="1"/>
  <c r="M18" i="1"/>
  <c r="N18" i="1" s="1"/>
  <c r="W18" i="1"/>
  <c r="Z18" i="1"/>
  <c r="AA18" i="1"/>
  <c r="AC18" i="1"/>
  <c r="AD18" i="1"/>
  <c r="M19" i="1"/>
  <c r="N19" i="1" s="1"/>
  <c r="W19" i="1"/>
  <c r="Z19" i="1"/>
  <c r="AA19" i="1"/>
  <c r="AC19" i="1"/>
  <c r="AD19" i="1"/>
  <c r="M20" i="1"/>
  <c r="W20" i="1"/>
  <c r="P23" i="3" s="1"/>
  <c r="Z20" i="1"/>
  <c r="AA20" i="1"/>
  <c r="AC20" i="1"/>
  <c r="AD20" i="1"/>
  <c r="M21" i="1"/>
  <c r="N21" i="1" s="1"/>
  <c r="W21" i="1"/>
  <c r="Z21" i="1"/>
  <c r="AA21" i="1"/>
  <c r="AC21" i="1"/>
  <c r="AD21" i="1"/>
  <c r="M22" i="1"/>
  <c r="N22" i="1" s="1"/>
  <c r="W22" i="1"/>
  <c r="Z22" i="1"/>
  <c r="AA22" i="1"/>
  <c r="AC22" i="1"/>
  <c r="AD22" i="1"/>
  <c r="M23" i="1"/>
  <c r="N23" i="1" s="1"/>
  <c r="W23" i="1"/>
  <c r="Z23" i="1"/>
  <c r="AA23" i="1"/>
  <c r="AC23" i="1"/>
  <c r="AD23" i="1"/>
  <c r="M24" i="1"/>
  <c r="N24" i="1" s="1"/>
  <c r="W24" i="1"/>
  <c r="Z24" i="1"/>
  <c r="AA24" i="1"/>
  <c r="AC24" i="1"/>
  <c r="AD24" i="1"/>
  <c r="M25" i="1"/>
  <c r="N25" i="1" s="1"/>
  <c r="W25" i="1"/>
  <c r="Z25" i="1"/>
  <c r="AA25" i="1"/>
  <c r="AC25" i="1"/>
  <c r="AD25" i="1"/>
  <c r="M26" i="1"/>
  <c r="N26" i="1" s="1"/>
  <c r="W26" i="1"/>
  <c r="Y26" i="1"/>
  <c r="Z26" i="1"/>
  <c r="AA26" i="1"/>
  <c r="AC26" i="1"/>
  <c r="AD26" i="1"/>
  <c r="M27" i="1"/>
  <c r="N27" i="1" s="1"/>
  <c r="W27" i="1"/>
  <c r="Y27" i="1"/>
  <c r="Z27" i="1"/>
  <c r="AA27" i="1"/>
  <c r="AC27" i="1"/>
  <c r="AD27" i="1"/>
  <c r="M28" i="1"/>
  <c r="N28" i="1" s="1"/>
  <c r="W28" i="1"/>
  <c r="P33" i="3" s="1"/>
  <c r="Y28" i="1"/>
  <c r="Z28" i="1"/>
  <c r="AA28" i="1"/>
  <c r="AC28" i="1"/>
  <c r="AD28" i="1"/>
  <c r="M29" i="1"/>
  <c r="N29" i="1" s="1"/>
  <c r="W29" i="1"/>
  <c r="Y29" i="1"/>
  <c r="Z29" i="1"/>
  <c r="AA29" i="1"/>
  <c r="AC29" i="1"/>
  <c r="AD29" i="1"/>
  <c r="M30" i="1"/>
  <c r="N30" i="1" s="1"/>
  <c r="W30" i="1"/>
  <c r="Y30" i="1"/>
  <c r="Z30" i="1"/>
  <c r="AA30" i="1"/>
  <c r="AC30" i="1"/>
  <c r="AD30" i="1"/>
  <c r="M31" i="1"/>
  <c r="N31" i="1" s="1"/>
  <c r="W31" i="1"/>
  <c r="Y31" i="1"/>
  <c r="Z31" i="1"/>
  <c r="AA31" i="1"/>
  <c r="AC31" i="1"/>
  <c r="AD31" i="1"/>
  <c r="M32" i="1"/>
  <c r="N32" i="1" s="1"/>
  <c r="W32" i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M34" i="1"/>
  <c r="N34" i="1" s="1"/>
  <c r="W34" i="1"/>
  <c r="Y34" i="1"/>
  <c r="Z34" i="1"/>
  <c r="AA34" i="1"/>
  <c r="AC34" i="1"/>
  <c r="AD34" i="1"/>
  <c r="M35" i="1"/>
  <c r="N35" i="1" s="1"/>
  <c r="W35" i="1"/>
  <c r="Y35" i="1"/>
  <c r="Z35" i="1"/>
  <c r="AA35" i="1"/>
  <c r="AC35" i="1"/>
  <c r="AD35" i="1"/>
  <c r="M36" i="1"/>
  <c r="N36" i="1" s="1"/>
  <c r="W36" i="1"/>
  <c r="Y36" i="1"/>
  <c r="Z36" i="1"/>
  <c r="AA36" i="1"/>
  <c r="AC36" i="1"/>
  <c r="AD36" i="1"/>
  <c r="M37" i="1"/>
  <c r="N37" i="1" s="1"/>
  <c r="W37" i="1"/>
  <c r="P35" i="3" s="1"/>
  <c r="Y37" i="1"/>
  <c r="Z37" i="1"/>
  <c r="AA37" i="1"/>
  <c r="AC37" i="1"/>
  <c r="AD37" i="1"/>
  <c r="M38" i="1"/>
  <c r="N38" i="1" s="1"/>
  <c r="W38" i="1"/>
  <c r="P34" i="3" s="1"/>
  <c r="Y38" i="1"/>
  <c r="Z38" i="1"/>
  <c r="AC38" i="1"/>
  <c r="AD38" i="1"/>
  <c r="M39" i="1"/>
  <c r="N39" i="1" s="1"/>
  <c r="W39" i="1"/>
  <c r="Y39" i="1"/>
  <c r="Z39" i="1"/>
  <c r="AA39" i="1"/>
  <c r="AC39" i="1"/>
  <c r="AD39" i="1"/>
  <c r="M40" i="1"/>
  <c r="N40" i="1" s="1"/>
  <c r="W40" i="1"/>
  <c r="AC40" i="1"/>
  <c r="AD40" i="1"/>
  <c r="M41" i="1"/>
  <c r="N41" i="1" s="1"/>
  <c r="W41" i="1"/>
  <c r="AC41" i="1"/>
  <c r="AD41" i="1"/>
  <c r="M42" i="1"/>
  <c r="N42" i="1" s="1"/>
  <c r="W42" i="1"/>
  <c r="AC42" i="1"/>
  <c r="AD42" i="1"/>
  <c r="M43" i="1"/>
  <c r="N43" i="1" s="1"/>
  <c r="W43" i="1"/>
  <c r="Y43" i="1"/>
  <c r="Z43" i="1"/>
  <c r="AA43" i="1"/>
  <c r="AC43" i="1"/>
  <c r="AD43" i="1"/>
  <c r="M44" i="1"/>
  <c r="N44" i="1" s="1"/>
  <c r="W44" i="1"/>
  <c r="Y44" i="1"/>
  <c r="Z44" i="1"/>
  <c r="AA44" i="1"/>
  <c r="AC44" i="1"/>
  <c r="AD44" i="1"/>
  <c r="M45" i="1"/>
  <c r="N45" i="1" s="1"/>
  <c r="W45" i="1"/>
  <c r="Y45" i="1"/>
  <c r="Z45" i="1"/>
  <c r="AA45" i="1"/>
  <c r="AC45" i="1"/>
  <c r="AD45" i="1"/>
  <c r="M46" i="1"/>
  <c r="N46" i="1" s="1"/>
  <c r="W46" i="1"/>
  <c r="Y46" i="1"/>
  <c r="Z46" i="1"/>
  <c r="AA46" i="1"/>
  <c r="AC46" i="1"/>
  <c r="AD46" i="1"/>
  <c r="M47" i="1"/>
  <c r="N47" i="1" s="1"/>
  <c r="W47" i="1"/>
  <c r="P38" i="3" s="1"/>
  <c r="Y47" i="1"/>
  <c r="Z47" i="1"/>
  <c r="AA47" i="1"/>
  <c r="AC47" i="1"/>
  <c r="AD47" i="1"/>
  <c r="M48" i="1"/>
  <c r="N48" i="1" s="1"/>
  <c r="W48" i="1"/>
  <c r="Y48" i="1"/>
  <c r="Z48" i="1"/>
  <c r="AA48" i="1"/>
  <c r="AC48" i="1"/>
  <c r="AD48" i="1"/>
  <c r="M49" i="1"/>
  <c r="N49" i="1" s="1"/>
  <c r="W49" i="1"/>
  <c r="Y49" i="1"/>
  <c r="Z49" i="1"/>
  <c r="AA49" i="1"/>
  <c r="AC49" i="1"/>
  <c r="AD49" i="1"/>
  <c r="M50" i="1"/>
  <c r="N50" i="1" s="1"/>
  <c r="W50" i="1"/>
  <c r="P11" i="3" s="1"/>
  <c r="Y50" i="1"/>
  <c r="Z50" i="1"/>
  <c r="AA50" i="1"/>
  <c r="AC50" i="1"/>
  <c r="AD50" i="1"/>
  <c r="M51" i="1"/>
  <c r="N51" i="1" s="1"/>
  <c r="W51" i="1"/>
  <c r="Y51" i="1"/>
  <c r="Z51" i="1"/>
  <c r="AA51" i="1"/>
  <c r="AC51" i="1"/>
  <c r="AD51" i="1"/>
  <c r="M52" i="1"/>
  <c r="N52" i="1" s="1"/>
  <c r="W52" i="1"/>
  <c r="Y52" i="1"/>
  <c r="Z52" i="1"/>
  <c r="AA52" i="1"/>
  <c r="AC52" i="1"/>
  <c r="AD52" i="1"/>
  <c r="M53" i="1"/>
  <c r="N53" i="1" s="1"/>
  <c r="W53" i="1"/>
  <c r="Y53" i="1"/>
  <c r="Z53" i="1"/>
  <c r="AA53" i="1"/>
  <c r="AC53" i="1"/>
  <c r="AD53" i="1"/>
  <c r="M54" i="1"/>
  <c r="N54" i="1" s="1"/>
  <c r="W54" i="1"/>
  <c r="Y54" i="1"/>
  <c r="Z54" i="1"/>
  <c r="AA54" i="1"/>
  <c r="AC54" i="1"/>
  <c r="AD54" i="1"/>
  <c r="M55" i="1"/>
  <c r="W55" i="1"/>
  <c r="Y55" i="1"/>
  <c r="Z55" i="1"/>
  <c r="AC55" i="1"/>
  <c r="AD55" i="1"/>
  <c r="M56" i="1"/>
  <c r="N56" i="1" s="1"/>
  <c r="W56" i="1"/>
  <c r="Y56" i="1"/>
  <c r="Z56" i="1"/>
  <c r="AA56" i="1"/>
  <c r="AC56" i="1"/>
  <c r="AD56" i="1"/>
  <c r="M57" i="1"/>
  <c r="N57" i="1" s="1"/>
  <c r="W57" i="1"/>
  <c r="Z57" i="1"/>
  <c r="AA57" i="1"/>
  <c r="AC57" i="1"/>
  <c r="AD57" i="1"/>
  <c r="M58" i="1"/>
  <c r="N58" i="1" s="1"/>
  <c r="W58" i="1"/>
  <c r="Z58" i="1"/>
  <c r="AC58" i="1"/>
  <c r="AD58" i="1"/>
  <c r="M59" i="1"/>
  <c r="N59" i="1" s="1"/>
  <c r="W59" i="1"/>
  <c r="Z59" i="1"/>
  <c r="AA59" i="1"/>
  <c r="AC59" i="1"/>
  <c r="AD59" i="1"/>
  <c r="M60" i="1"/>
  <c r="N60" i="1" s="1"/>
  <c r="W60" i="1"/>
  <c r="Z60" i="1"/>
  <c r="AA60" i="1"/>
  <c r="AC60" i="1"/>
  <c r="AD60" i="1"/>
  <c r="M61" i="1"/>
  <c r="N61" i="1" s="1"/>
  <c r="W61" i="1"/>
  <c r="Z61" i="1"/>
  <c r="AA61" i="1"/>
  <c r="AC61" i="1"/>
  <c r="AD61" i="1"/>
  <c r="M62" i="1"/>
  <c r="N62" i="1" s="1"/>
  <c r="W62" i="1"/>
  <c r="Z62" i="1"/>
  <c r="AA62" i="1"/>
  <c r="AC62" i="1"/>
  <c r="AD62" i="1"/>
  <c r="M63" i="1"/>
  <c r="N63" i="1" s="1"/>
  <c r="W63" i="1"/>
  <c r="Z63" i="1"/>
  <c r="AA63" i="1"/>
  <c r="AC63" i="1"/>
  <c r="AD63" i="1"/>
  <c r="M64" i="1"/>
  <c r="N64" i="1" s="1"/>
  <c r="W64" i="1"/>
  <c r="Z64" i="1"/>
  <c r="AA64" i="1"/>
  <c r="AC64" i="1"/>
  <c r="AD64" i="1"/>
  <c r="M65" i="1"/>
  <c r="N65" i="1" s="1"/>
  <c r="W65" i="1"/>
  <c r="P42" i="3" s="1"/>
  <c r="Z65" i="1"/>
  <c r="AA65" i="1"/>
  <c r="AC65" i="1"/>
  <c r="AD65" i="1"/>
  <c r="M66" i="1"/>
  <c r="N66" i="1" s="1"/>
  <c r="W66" i="1"/>
  <c r="P41" i="3" s="1"/>
  <c r="Z66" i="1"/>
  <c r="AA66" i="1"/>
  <c r="AC66" i="1"/>
  <c r="AD66" i="1"/>
  <c r="M67" i="1"/>
  <c r="N67" i="1" s="1"/>
  <c r="W67" i="1"/>
  <c r="Z67" i="1"/>
  <c r="AA67" i="1"/>
  <c r="AC67" i="1"/>
  <c r="AD67" i="1"/>
  <c r="M68" i="1"/>
  <c r="N68" i="1" s="1"/>
  <c r="W68" i="1"/>
  <c r="Y68" i="1"/>
  <c r="Z68" i="1"/>
  <c r="AA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Y70" i="1"/>
  <c r="Z70" i="1"/>
  <c r="AA70" i="1"/>
  <c r="AC70" i="1"/>
  <c r="AD70" i="1"/>
  <c r="M71" i="1"/>
  <c r="N71" i="1" s="1"/>
  <c r="W71" i="1"/>
  <c r="Y71" i="1"/>
  <c r="Z71" i="1"/>
  <c r="AA71" i="1"/>
  <c r="AC71" i="1"/>
  <c r="AD71" i="1"/>
  <c r="M72" i="1"/>
  <c r="N72" i="1" s="1"/>
  <c r="W72" i="1"/>
  <c r="P15" i="3" s="1"/>
  <c r="Y72" i="1"/>
  <c r="Z72" i="1"/>
  <c r="AA72" i="1"/>
  <c r="AC72" i="1"/>
  <c r="AD72" i="1"/>
  <c r="M73" i="1"/>
  <c r="N73" i="1" s="1"/>
  <c r="W73" i="1"/>
  <c r="P16" i="3" s="1"/>
  <c r="Y73" i="1"/>
  <c r="Z73" i="1"/>
  <c r="AA73" i="1"/>
  <c r="AC73" i="1"/>
  <c r="AD73" i="1"/>
  <c r="M74" i="1"/>
  <c r="N74" i="1" s="1"/>
  <c r="W74" i="1"/>
  <c r="Y74" i="1"/>
  <c r="Z74" i="1"/>
  <c r="AA74" i="1"/>
  <c r="AC74" i="1"/>
  <c r="AD74" i="1"/>
  <c r="M75" i="1"/>
  <c r="N75" i="1" s="1"/>
  <c r="W75" i="1"/>
  <c r="Y75" i="1"/>
  <c r="Z75" i="1"/>
  <c r="AA75" i="1"/>
  <c r="AC75" i="1"/>
  <c r="AD75" i="1"/>
  <c r="M76" i="1"/>
  <c r="N76" i="1" s="1"/>
  <c r="W76" i="1"/>
  <c r="Y76" i="1"/>
  <c r="Z76" i="1"/>
  <c r="AA76" i="1"/>
  <c r="AC76" i="1"/>
  <c r="AD76" i="1"/>
  <c r="M77" i="1"/>
  <c r="N77" i="1" s="1"/>
  <c r="W77" i="1"/>
  <c r="Y77" i="1"/>
  <c r="Z77" i="1"/>
  <c r="AA77" i="1"/>
  <c r="AC77" i="1"/>
  <c r="AD77" i="1"/>
  <c r="M78" i="1"/>
  <c r="N78" i="1" s="1"/>
  <c r="W78" i="1"/>
  <c r="Y78" i="1"/>
  <c r="Z78" i="1"/>
  <c r="AB78" i="1" s="1"/>
  <c r="X78" i="1" s="1"/>
  <c r="AC78" i="1"/>
  <c r="AD78" i="1"/>
  <c r="M79" i="1"/>
  <c r="N79" i="1" s="1"/>
  <c r="W79" i="1"/>
  <c r="Y79" i="1"/>
  <c r="Z79" i="1"/>
  <c r="AA79" i="1"/>
  <c r="AC79" i="1"/>
  <c r="AD79" i="1"/>
  <c r="M80" i="1"/>
  <c r="N80" i="1" s="1"/>
  <c r="W80" i="1"/>
  <c r="P43" i="3" s="1"/>
  <c r="Y80" i="1"/>
  <c r="Z80" i="1"/>
  <c r="AA80" i="1"/>
  <c r="AC80" i="1"/>
  <c r="AD80" i="1"/>
  <c r="M81" i="1"/>
  <c r="N81" i="1" s="1"/>
  <c r="W81" i="1"/>
  <c r="Y81" i="1"/>
  <c r="Z81" i="1"/>
  <c r="AA81" i="1"/>
  <c r="AC81" i="1"/>
  <c r="AD81" i="1"/>
  <c r="M82" i="1"/>
  <c r="N82" i="1" s="1"/>
  <c r="W82" i="1"/>
  <c r="Y82" i="1"/>
  <c r="Z82" i="1"/>
  <c r="AA82" i="1"/>
  <c r="AC82" i="1"/>
  <c r="AD82" i="1"/>
  <c r="M83" i="1"/>
  <c r="N83" i="1" s="1"/>
  <c r="W83" i="1"/>
  <c r="Y83" i="1"/>
  <c r="Z83" i="1"/>
  <c r="AA83" i="1"/>
  <c r="AC83" i="1"/>
  <c r="AD83" i="1"/>
  <c r="M84" i="1"/>
  <c r="N84" i="1" s="1"/>
  <c r="W84" i="1"/>
  <c r="Y84" i="1"/>
  <c r="Z84" i="1"/>
  <c r="AA84" i="1"/>
  <c r="AC84" i="1"/>
  <c r="AD84" i="1"/>
  <c r="M85" i="1"/>
  <c r="N85" i="1" s="1"/>
  <c r="W85" i="1"/>
  <c r="P18" i="3" s="1"/>
  <c r="Y85" i="1"/>
  <c r="Z85" i="1"/>
  <c r="AA85" i="1"/>
  <c r="AC85" i="1"/>
  <c r="AD85" i="1"/>
  <c r="M86" i="1"/>
  <c r="N86" i="1" s="1"/>
  <c r="W86" i="1"/>
  <c r="P17" i="3" s="1"/>
  <c r="Y86" i="1"/>
  <c r="Z86" i="1"/>
  <c r="AA86" i="1"/>
  <c r="AC86" i="1"/>
  <c r="AD86" i="1"/>
  <c r="M87" i="1"/>
  <c r="N87" i="1" s="1"/>
  <c r="W87" i="1"/>
  <c r="P47" i="3" s="1"/>
  <c r="Y87" i="1"/>
  <c r="Z87" i="1"/>
  <c r="AA87" i="1"/>
  <c r="AC87" i="1"/>
  <c r="AD87" i="1"/>
  <c r="M88" i="1"/>
  <c r="N88" i="1" s="1"/>
  <c r="W88" i="1"/>
  <c r="Y88" i="1"/>
  <c r="Z88" i="1"/>
  <c r="AA88" i="1"/>
  <c r="AC88" i="1"/>
  <c r="AD88" i="1"/>
  <c r="M89" i="1"/>
  <c r="N89" i="1" s="1"/>
  <c r="W89" i="1"/>
  <c r="Y89" i="1"/>
  <c r="Z89" i="1"/>
  <c r="AA89" i="1"/>
  <c r="AC89" i="1"/>
  <c r="AD89" i="1"/>
  <c r="M90" i="1"/>
  <c r="N90" i="1" s="1"/>
  <c r="W90" i="1"/>
  <c r="Y90" i="1"/>
  <c r="Z90" i="1"/>
  <c r="AA90" i="1"/>
  <c r="AC90" i="1"/>
  <c r="AD90" i="1"/>
  <c r="M91" i="1"/>
  <c r="N91" i="1" s="1"/>
  <c r="W91" i="1"/>
  <c r="Y91" i="1"/>
  <c r="Z91" i="1"/>
  <c r="AA91" i="1"/>
  <c r="AC91" i="1"/>
  <c r="AD91" i="1"/>
  <c r="M92" i="1"/>
  <c r="N92" i="1" s="1"/>
  <c r="W92" i="1"/>
  <c r="P4" i="3" s="1"/>
  <c r="Y92" i="1"/>
  <c r="Z92" i="1"/>
  <c r="AA92" i="1"/>
  <c r="AC92" i="1"/>
  <c r="AD92" i="1"/>
  <c r="M93" i="1"/>
  <c r="N93" i="1" s="1"/>
  <c r="W93" i="1"/>
  <c r="P50" i="3" s="1"/>
  <c r="Y93" i="1"/>
  <c r="Z93" i="1"/>
  <c r="AA93" i="1"/>
  <c r="AC93" i="1"/>
  <c r="AD93" i="1"/>
  <c r="M94" i="1"/>
  <c r="N94" i="1" s="1"/>
  <c r="W94" i="1"/>
  <c r="P48" i="3" s="1"/>
  <c r="Y94" i="1"/>
  <c r="Z94" i="1"/>
  <c r="AA94" i="1"/>
  <c r="AC94" i="1"/>
  <c r="AD94" i="1"/>
  <c r="M95" i="1"/>
  <c r="N95" i="1" s="1"/>
  <c r="W95" i="1"/>
  <c r="Y95" i="1"/>
  <c r="Z95" i="1"/>
  <c r="AA95" i="1"/>
  <c r="AC95" i="1"/>
  <c r="AD95" i="1"/>
  <c r="M96" i="1"/>
  <c r="N96" i="1" s="1"/>
  <c r="W96" i="1"/>
  <c r="P49" i="3" s="1"/>
  <c r="Y96" i="1"/>
  <c r="Z96" i="1"/>
  <c r="AA96" i="1"/>
  <c r="AC96" i="1"/>
  <c r="AD96" i="1"/>
  <c r="M97" i="1"/>
  <c r="N97" i="1" s="1"/>
  <c r="W97" i="1"/>
  <c r="Y97" i="1"/>
  <c r="Z97" i="1"/>
  <c r="AA97" i="1"/>
  <c r="AC97" i="1"/>
  <c r="AD97" i="1"/>
  <c r="M98" i="1"/>
  <c r="N98" i="1" s="1"/>
  <c r="W98" i="1"/>
  <c r="Y98" i="1"/>
  <c r="Z98" i="1"/>
  <c r="AA98" i="1"/>
  <c r="AC98" i="1"/>
  <c r="AD98" i="1"/>
  <c r="M99" i="1"/>
  <c r="N99" i="1" s="1"/>
  <c r="W99" i="1"/>
  <c r="Y99" i="1"/>
  <c r="Z99" i="1"/>
  <c r="AA99" i="1"/>
  <c r="AC99" i="1"/>
  <c r="AD99" i="1"/>
  <c r="M100" i="1"/>
  <c r="N100" i="1" s="1"/>
  <c r="W100" i="1"/>
  <c r="Y100" i="1"/>
  <c r="Z100" i="1"/>
  <c r="AA100" i="1"/>
  <c r="AC100" i="1"/>
  <c r="AD100" i="1"/>
  <c r="M101" i="1"/>
  <c r="N101" i="1" s="1"/>
  <c r="W101" i="1"/>
  <c r="Y101" i="1"/>
  <c r="Z101" i="1"/>
  <c r="AA101" i="1"/>
  <c r="AC101" i="1"/>
  <c r="AD101" i="1"/>
  <c r="M102" i="1"/>
  <c r="N102" i="1" s="1"/>
  <c r="W102" i="1"/>
  <c r="Y102" i="1"/>
  <c r="Z102" i="1"/>
  <c r="AA102" i="1"/>
  <c r="AC102" i="1"/>
  <c r="AD102" i="1"/>
  <c r="M103" i="1"/>
  <c r="N103" i="1" s="1"/>
  <c r="W103" i="1"/>
  <c r="Y103" i="1"/>
  <c r="Z103" i="1"/>
  <c r="AA103" i="1"/>
  <c r="AC103" i="1"/>
  <c r="AD103" i="1"/>
  <c r="M104" i="1"/>
  <c r="N104" i="1" s="1"/>
  <c r="W104" i="1"/>
  <c r="Y104" i="1"/>
  <c r="Z104" i="1"/>
  <c r="AA104" i="1"/>
  <c r="AC104" i="1"/>
  <c r="AD104" i="1"/>
  <c r="M105" i="1"/>
  <c r="N105" i="1" s="1"/>
  <c r="W105" i="1"/>
  <c r="Y105" i="1"/>
  <c r="Z105" i="1"/>
  <c r="AA105" i="1"/>
  <c r="AC105" i="1"/>
  <c r="AD105" i="1"/>
  <c r="M106" i="1"/>
  <c r="W106" i="1"/>
  <c r="Z106" i="1"/>
  <c r="AA106" i="1"/>
  <c r="AB106" i="1" s="1"/>
  <c r="X106" i="1" s="1"/>
  <c r="AC106" i="1"/>
  <c r="AD106" i="1"/>
  <c r="M107" i="1"/>
  <c r="N107" i="1" s="1"/>
  <c r="W107" i="1"/>
  <c r="Z107" i="1"/>
  <c r="AA107" i="1"/>
  <c r="AC107" i="1"/>
  <c r="AD107" i="1"/>
  <c r="M108" i="1"/>
  <c r="N108" i="1" s="1"/>
  <c r="W108" i="1"/>
  <c r="P51" i="3" s="1"/>
  <c r="Z108" i="1"/>
  <c r="AA108" i="1"/>
  <c r="AC108" i="1"/>
  <c r="AD108" i="1"/>
  <c r="M109" i="1"/>
  <c r="N109" i="1" s="1"/>
  <c r="W109" i="1"/>
  <c r="Z109" i="1"/>
  <c r="AA109" i="1"/>
  <c r="AC109" i="1"/>
  <c r="AD109" i="1"/>
  <c r="M110" i="1"/>
  <c r="N110" i="1" s="1"/>
  <c r="W110" i="1"/>
  <c r="Z110" i="1"/>
  <c r="AA110" i="1"/>
  <c r="AC110" i="1"/>
  <c r="AD110" i="1"/>
  <c r="M111" i="1"/>
  <c r="N111" i="1" s="1"/>
  <c r="W111" i="1"/>
  <c r="Z111" i="1"/>
  <c r="AA111" i="1"/>
  <c r="AC111" i="1"/>
  <c r="AD111" i="1"/>
  <c r="M112" i="1"/>
  <c r="N112" i="1" s="1"/>
  <c r="W112" i="1"/>
  <c r="Z112" i="1"/>
  <c r="AA112" i="1"/>
  <c r="AC112" i="1"/>
  <c r="AD112" i="1"/>
  <c r="M113" i="1"/>
  <c r="N113" i="1" s="1"/>
  <c r="W113" i="1"/>
  <c r="Z113" i="1"/>
  <c r="AA113" i="1"/>
  <c r="AC113" i="1"/>
  <c r="AD113" i="1"/>
  <c r="M114" i="1"/>
  <c r="N114" i="1" s="1"/>
  <c r="W114" i="1"/>
  <c r="Z114" i="1"/>
  <c r="AA114" i="1"/>
  <c r="AC114" i="1"/>
  <c r="AD114" i="1"/>
  <c r="M115" i="1"/>
  <c r="N115" i="1" s="1"/>
  <c r="W115" i="1"/>
  <c r="Z115" i="1"/>
  <c r="AA115" i="1"/>
  <c r="AC115" i="1"/>
  <c r="AD115" i="1"/>
  <c r="M116" i="1"/>
  <c r="N116" i="1" s="1"/>
  <c r="W116" i="1"/>
  <c r="Z116" i="1"/>
  <c r="AA116" i="1"/>
  <c r="AC116" i="1"/>
  <c r="AD116" i="1"/>
  <c r="M117" i="1"/>
  <c r="N117" i="1" s="1"/>
  <c r="W117" i="1"/>
  <c r="Z117" i="1"/>
  <c r="AA117" i="1"/>
  <c r="AC117" i="1"/>
  <c r="AD117" i="1"/>
  <c r="M118" i="1"/>
  <c r="N118" i="1" s="1"/>
  <c r="W118" i="1"/>
  <c r="Z118" i="1"/>
  <c r="AA118" i="1"/>
  <c r="AC118" i="1"/>
  <c r="AD118" i="1"/>
  <c r="M119" i="1"/>
  <c r="N119" i="1" s="1"/>
  <c r="W119" i="1"/>
  <c r="P28" i="3" s="1"/>
  <c r="Y119" i="1"/>
  <c r="Z119" i="1"/>
  <c r="AA119" i="1"/>
  <c r="AC119" i="1"/>
  <c r="AD119" i="1"/>
  <c r="M120" i="1"/>
  <c r="N120" i="1" s="1"/>
  <c r="W120" i="1"/>
  <c r="Y120" i="1"/>
  <c r="Z120" i="1"/>
  <c r="AA120" i="1"/>
  <c r="AC120" i="1"/>
  <c r="AD120" i="1"/>
  <c r="M121" i="1"/>
  <c r="N121" i="1" s="1"/>
  <c r="W121" i="1"/>
  <c r="Y121" i="1"/>
  <c r="Z121" i="1"/>
  <c r="AA121" i="1"/>
  <c r="AC121" i="1"/>
  <c r="AD121" i="1"/>
  <c r="M122" i="1"/>
  <c r="N122" i="1" s="1"/>
  <c r="W122" i="1"/>
  <c r="Y122" i="1"/>
  <c r="Z122" i="1"/>
  <c r="AA122" i="1"/>
  <c r="AC122" i="1"/>
  <c r="AD122" i="1"/>
  <c r="M123" i="1"/>
  <c r="N123" i="1" s="1"/>
  <c r="W123" i="1"/>
  <c r="Y123" i="1"/>
  <c r="Z123" i="1"/>
  <c r="AA123" i="1"/>
  <c r="AC123" i="1"/>
  <c r="AD123" i="1"/>
  <c r="M124" i="1"/>
  <c r="N124" i="1" s="1"/>
  <c r="W124" i="1"/>
  <c r="Y124" i="1"/>
  <c r="Z124" i="1"/>
  <c r="AA124" i="1"/>
  <c r="AC124" i="1"/>
  <c r="AD124" i="1"/>
  <c r="M125" i="1"/>
  <c r="N125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P20" i="3" l="1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10" i="3"/>
  <c r="P36" i="3"/>
  <c r="P7" i="3"/>
  <c r="P22" i="3"/>
  <c r="P6" i="3"/>
  <c r="P21" i="3"/>
  <c r="P27" i="3"/>
  <c r="P26" i="3"/>
  <c r="P39" i="3"/>
  <c r="P25" i="3"/>
  <c r="P44" i="3"/>
  <c r="P45" i="3"/>
  <c r="P46" i="3"/>
  <c r="AB119" i="1"/>
  <c r="X119" i="1" s="1"/>
  <c r="AB102" i="1"/>
  <c r="X102" i="1" s="1"/>
  <c r="AB116" i="1"/>
  <c r="X116" i="1" s="1"/>
  <c r="AB111" i="1"/>
  <c r="X111" i="1" s="1"/>
  <c r="AB44" i="1"/>
  <c r="X44" i="1" s="1"/>
  <c r="AB123" i="1"/>
  <c r="X123" i="1" s="1"/>
  <c r="AB124" i="1"/>
  <c r="X124" i="1" s="1"/>
  <c r="AB113" i="1"/>
  <c r="X113" i="1" s="1"/>
  <c r="AB121" i="1"/>
  <c r="X121" i="1" s="1"/>
  <c r="AB115" i="1"/>
  <c r="X115" i="1" s="1"/>
  <c r="AB108" i="1"/>
  <c r="X108" i="1" s="1"/>
  <c r="AB104" i="1"/>
  <c r="X104" i="1" s="1"/>
  <c r="AB100" i="1"/>
  <c r="X100" i="1" s="1"/>
  <c r="AB52" i="1"/>
  <c r="X52" i="1" s="1"/>
  <c r="AB120" i="1"/>
  <c r="X120" i="1" s="1"/>
  <c r="AB118" i="1"/>
  <c r="X118" i="1" s="1"/>
  <c r="AB110" i="1"/>
  <c r="X110" i="1" s="1"/>
  <c r="AB112" i="1"/>
  <c r="X112" i="1" s="1"/>
  <c r="AB122" i="1"/>
  <c r="X122" i="1" s="1"/>
  <c r="AB117" i="1"/>
  <c r="X117" i="1" s="1"/>
  <c r="AB114" i="1"/>
  <c r="X114" i="1" s="1"/>
  <c r="AB109" i="1"/>
  <c r="X109" i="1" s="1"/>
  <c r="AB107" i="1"/>
  <c r="X107" i="1" s="1"/>
  <c r="AB105" i="1"/>
  <c r="X105" i="1" s="1"/>
  <c r="AB103" i="1"/>
  <c r="X103" i="1" s="1"/>
  <c r="AB101" i="1"/>
  <c r="X101" i="1" s="1"/>
  <c r="AB94" i="1"/>
  <c r="X94" i="1" s="1"/>
  <c r="AB90" i="1"/>
  <c r="X90" i="1" s="1"/>
  <c r="AB86" i="1"/>
  <c r="X86" i="1" s="1"/>
  <c r="AB82" i="1"/>
  <c r="X82" i="1" s="1"/>
  <c r="AB74" i="1"/>
  <c r="X74" i="1" s="1"/>
  <c r="AB70" i="1"/>
  <c r="X70" i="1" s="1"/>
  <c r="AB66" i="1"/>
  <c r="X66" i="1" s="1"/>
  <c r="AB62" i="1"/>
  <c r="X62" i="1" s="1"/>
  <c r="AB43" i="1"/>
  <c r="X43" i="1" s="1"/>
  <c r="AB96" i="1"/>
  <c r="X96" i="1" s="1"/>
  <c r="AB59" i="1"/>
  <c r="X59" i="1" s="1"/>
  <c r="AB38" i="1"/>
  <c r="X38" i="1" s="1"/>
  <c r="AB34" i="1"/>
  <c r="X34" i="1" s="1"/>
  <c r="AB30" i="1"/>
  <c r="X30" i="1" s="1"/>
  <c r="AB26" i="1"/>
  <c r="X26" i="1" s="1"/>
  <c r="AB22" i="1"/>
  <c r="X22" i="1" s="1"/>
  <c r="AB18" i="1"/>
  <c r="X18" i="1" s="1"/>
  <c r="AB14" i="1"/>
  <c r="X14" i="1" s="1"/>
  <c r="AB10" i="1"/>
  <c r="X10" i="1" s="1"/>
  <c r="AB6" i="1"/>
  <c r="X6" i="1" s="1"/>
  <c r="AB99" i="1"/>
  <c r="X99" i="1" s="1"/>
  <c r="AB51" i="1"/>
  <c r="X51" i="1" s="1"/>
  <c r="AB95" i="1"/>
  <c r="X95" i="1" s="1"/>
  <c r="AB92" i="1"/>
  <c r="X92" i="1" s="1"/>
  <c r="AB88" i="1"/>
  <c r="X88" i="1" s="1"/>
  <c r="AB84" i="1"/>
  <c r="X84" i="1" s="1"/>
  <c r="AB80" i="1"/>
  <c r="X80" i="1" s="1"/>
  <c r="AB76" i="1"/>
  <c r="X76" i="1" s="1"/>
  <c r="AB72" i="1"/>
  <c r="X72" i="1" s="1"/>
  <c r="AB68" i="1"/>
  <c r="X68" i="1" s="1"/>
  <c r="AB64" i="1"/>
  <c r="X64" i="1" s="1"/>
  <c r="AB60" i="1"/>
  <c r="X60" i="1" s="1"/>
  <c r="AB36" i="1"/>
  <c r="X36" i="1" s="1"/>
  <c r="AB32" i="1"/>
  <c r="X32" i="1" s="1"/>
  <c r="AB28" i="1"/>
  <c r="X28" i="1" s="1"/>
  <c r="AB24" i="1"/>
  <c r="X24" i="1" s="1"/>
  <c r="AB20" i="1"/>
  <c r="X20" i="1" s="1"/>
  <c r="AB16" i="1"/>
  <c r="X16" i="1" s="1"/>
  <c r="AB12" i="1"/>
  <c r="X12" i="1" s="1"/>
  <c r="AB8" i="1"/>
  <c r="X8" i="1" s="1"/>
  <c r="AB93" i="1"/>
  <c r="X93" i="1" s="1"/>
  <c r="AB89" i="1"/>
  <c r="X89" i="1" s="1"/>
  <c r="AB85" i="1"/>
  <c r="X85" i="1" s="1"/>
  <c r="AB81" i="1"/>
  <c r="X81" i="1" s="1"/>
  <c r="AB77" i="1"/>
  <c r="X77" i="1" s="1"/>
  <c r="AB73" i="1"/>
  <c r="X73" i="1" s="1"/>
  <c r="AB69" i="1"/>
  <c r="X69" i="1" s="1"/>
  <c r="AB65" i="1"/>
  <c r="X65" i="1" s="1"/>
  <c r="AB61" i="1"/>
  <c r="X61" i="1" s="1"/>
  <c r="AB55" i="1"/>
  <c r="X55" i="1" s="1"/>
  <c r="AB49" i="1"/>
  <c r="X49" i="1" s="1"/>
  <c r="AB45" i="1"/>
  <c r="X45" i="1" s="1"/>
  <c r="AB29" i="1"/>
  <c r="X29" i="1" s="1"/>
  <c r="AB13" i="1"/>
  <c r="X13" i="1" s="1"/>
  <c r="AB97" i="1"/>
  <c r="X97" i="1" s="1"/>
  <c r="AB91" i="1"/>
  <c r="X91" i="1" s="1"/>
  <c r="AB87" i="1"/>
  <c r="X87" i="1" s="1"/>
  <c r="AB83" i="1"/>
  <c r="X83" i="1" s="1"/>
  <c r="AB79" i="1"/>
  <c r="X79" i="1" s="1"/>
  <c r="AB75" i="1"/>
  <c r="X75" i="1" s="1"/>
  <c r="AB71" i="1"/>
  <c r="X71" i="1" s="1"/>
  <c r="AB67" i="1"/>
  <c r="X67" i="1" s="1"/>
  <c r="AB63" i="1"/>
  <c r="X63" i="1" s="1"/>
  <c r="AB57" i="1"/>
  <c r="X57" i="1" s="1"/>
  <c r="AB53" i="1"/>
  <c r="X53" i="1" s="1"/>
  <c r="AB47" i="1"/>
  <c r="X47" i="1" s="1"/>
  <c r="AB41" i="1"/>
  <c r="X41" i="1" s="1"/>
  <c r="AB37" i="1"/>
  <c r="X37" i="1" s="1"/>
  <c r="AB21" i="1"/>
  <c r="X21" i="1" s="1"/>
  <c r="AB9" i="1"/>
  <c r="X9" i="1" s="1"/>
  <c r="AB5" i="1"/>
  <c r="X5" i="1" s="1"/>
  <c r="AB98" i="1"/>
  <c r="X98" i="1" s="1"/>
  <c r="AB56" i="1"/>
  <c r="X56" i="1" s="1"/>
  <c r="AB48" i="1"/>
  <c r="X48" i="1" s="1"/>
  <c r="AB40" i="1"/>
  <c r="X40" i="1" s="1"/>
  <c r="AB33" i="1"/>
  <c r="X33" i="1" s="1"/>
  <c r="AB25" i="1"/>
  <c r="X25" i="1" s="1"/>
  <c r="AB17" i="1"/>
  <c r="X17" i="1" s="1"/>
  <c r="AB54" i="1"/>
  <c r="X54" i="1" s="1"/>
  <c r="AB46" i="1"/>
  <c r="X46" i="1" s="1"/>
  <c r="AB39" i="1"/>
  <c r="X39" i="1" s="1"/>
  <c r="AB31" i="1"/>
  <c r="X31" i="1" s="1"/>
  <c r="AB23" i="1"/>
  <c r="X23" i="1" s="1"/>
  <c r="AB15" i="1"/>
  <c r="X15" i="1" s="1"/>
  <c r="AB7" i="1"/>
  <c r="X7" i="1" s="1"/>
  <c r="AB58" i="1"/>
  <c r="X58" i="1" s="1"/>
  <c r="AB50" i="1"/>
  <c r="X50" i="1" s="1"/>
  <c r="AB42" i="1"/>
  <c r="X42" i="1" s="1"/>
  <c r="AB35" i="1"/>
  <c r="X35" i="1" s="1"/>
  <c r="AB27" i="1"/>
  <c r="X27" i="1" s="1"/>
  <c r="AB19" i="1"/>
  <c r="X19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K146" i="1"/>
  <c r="L3" i="1" l="1"/>
  <c r="K4" i="1"/>
  <c r="L4" i="1"/>
  <c r="M4" i="1"/>
  <c r="N4" i="1" s="1"/>
  <c r="M3" i="1"/>
  <c r="N3" i="1" s="1"/>
  <c r="K3" i="1"/>
  <c r="J151" i="1" l="1"/>
  <c r="J150" i="1"/>
  <c r="N154" i="1"/>
  <c r="J154" i="1"/>
  <c r="J153" i="1"/>
  <c r="L45" i="3"/>
  <c r="J155" i="1" l="1"/>
  <c r="A1" i="6"/>
  <c r="M62" i="3"/>
  <c r="M63" i="3" s="1"/>
  <c r="Q3" i="3"/>
  <c r="P3" i="3"/>
  <c r="A1" i="3"/>
  <c r="O152" i="1"/>
  <c r="N152" i="1"/>
  <c r="M152" i="1"/>
  <c r="AD4" i="1"/>
  <c r="AC4" i="1"/>
  <c r="AA4" i="1"/>
  <c r="Z4" i="1"/>
  <c r="Y4" i="1"/>
  <c r="W4" i="1"/>
  <c r="AD3" i="1"/>
  <c r="AC3" i="1"/>
  <c r="AA3" i="1"/>
  <c r="Z3" i="1"/>
  <c r="Y3" i="1"/>
  <c r="W3" i="1"/>
  <c r="AB4" i="1" l="1"/>
  <c r="X4" i="1" s="1"/>
  <c r="AB3" i="1"/>
  <c r="X3" i="1" s="1"/>
  <c r="O154" i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<sst xmlns="http://schemas.openxmlformats.org/spreadsheetml/2006/main" count="1521" uniqueCount="409">
  <si>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</si>
  <si>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</si>
  <si>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</si>
  <si>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</si>
  <si>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</si>
  <si>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</si>
  <si>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</si>
  <si>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</si>
  <si>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</si>
  <si>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</si>
  <si>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</si>
  <si>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</si>
  <si>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</si>
  <si>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</si>
  <si>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</si>
  <si>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</si>
  <si>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</si>
  <si>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</si>
  <si>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</si>
  <si>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</si>
  <si>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</si>
  <si>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</si>
  <si>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</si>
  <si>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</si>
  <si>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</si>
  <si>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</si>
  <si>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</si>
  <si>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</si>
  <si>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</si>
  <si>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</si>
  <si>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</si>
  <si>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</si>
  <si>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</si>
  <si>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</si>
  <si>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</si>
  <si>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</si>
  <si>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</si>
  <si>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</si>
  <si>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</si>
  <si>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</si>
  <si>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</si>
  <si>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</si>
  <si>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</si>
  <si>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</si>
  <si>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</si>
  <si>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</si>
  <si>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</si>
  <si>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</si>
  <si>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</si>
  <si>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</si>
  <si>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</si>
  <si>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</si>
  <si>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</si>
  <si>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</si>
  <si>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</si>
  <si>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</si>
  <si>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</si>
  <si>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</si>
  <si>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</si>
  <si>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</si>
  <si>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</si>
  <si>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</si>
  <si>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BARTLETT</t>
  </si>
  <si>
    <t>rtdc.l.rtdc.4020:itc</t>
  </si>
  <si>
    <t>rtdc.l.rtdc.4019:itc</t>
  </si>
  <si>
    <t>DE.1.0.6.0</t>
  </si>
  <si>
    <t>204:233295</t>
  </si>
  <si>
    <t>204:232978</t>
  </si>
  <si>
    <t>204:154</t>
  </si>
  <si>
    <t>204:232989</t>
  </si>
  <si>
    <t>204:145</t>
  </si>
  <si>
    <t>204:447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</si>
  <si>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</si>
  <si>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</si>
  <si>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</si>
  <si>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</si>
  <si>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</si>
  <si>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</si>
  <si>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</si>
  <si>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</si>
  <si>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</si>
  <si>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</si>
  <si>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</si>
  <si>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</si>
  <si>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</si>
  <si>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</si>
  <si>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</si>
  <si>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</si>
  <si>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</si>
  <si>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CHANDLER</t>
  </si>
  <si>
    <t>204:158</t>
  </si>
  <si>
    <t>204:467</t>
  </si>
  <si>
    <t>204:458</t>
  </si>
  <si>
    <t>rtdc.l.rtdc.4040:itc</t>
  </si>
  <si>
    <t>rtdc.l.rtdc.4039:itc</t>
  </si>
  <si>
    <t>STEWART</t>
  </si>
  <si>
    <t>DE LA ROSA</t>
  </si>
  <si>
    <t>LEVIN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</si>
  <si>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</si>
  <si>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</si>
  <si>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</si>
  <si>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</si>
  <si>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</si>
  <si>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</si>
  <si>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</si>
  <si>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</si>
  <si>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</si>
  <si>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rtdc.l.rtdc.4012:itc</t>
  </si>
  <si>
    <t>rtdc.l.rtdc.4011:itc</t>
  </si>
  <si>
    <t>rtdc.l.rtdc.4043:itc</t>
  </si>
  <si>
    <t>rtdc.l.rtdc.4044:itc</t>
  </si>
  <si>
    <t>rtdc.l.rtdc.4042:itc</t>
  </si>
  <si>
    <t>YORK</t>
  </si>
  <si>
    <t>rtdc.l.rtdc.4041:itc</t>
  </si>
  <si>
    <t>STRICKLAND</t>
  </si>
  <si>
    <t>Y</t>
  </si>
  <si>
    <t>204:233293</t>
  </si>
  <si>
    <t>204:233314</t>
  </si>
  <si>
    <t>204:232993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</si>
  <si>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</si>
  <si>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</si>
  <si>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</si>
  <si>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</si>
  <si>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</si>
  <si>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</si>
  <si>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</si>
  <si>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</si>
  <si>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</si>
  <si>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</si>
  <si>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</si>
  <si>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</si>
  <si>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</si>
  <si>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</si>
  <si>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</si>
  <si>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</si>
  <si>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204:233319</t>
  </si>
  <si>
    <t>NELSON</t>
  </si>
  <si>
    <t>rtdc.l.rtdc.4015:itc</t>
  </si>
  <si>
    <t>RIVERA</t>
  </si>
  <si>
    <t>204:233305</t>
  </si>
  <si>
    <t>204:232990</t>
  </si>
  <si>
    <t>204:233288</t>
  </si>
  <si>
    <t>204:232986</t>
  </si>
  <si>
    <t>204:232967</t>
  </si>
  <si>
    <t>204:232972</t>
  </si>
  <si>
    <t>204:139</t>
  </si>
  <si>
    <t>204:446</t>
  </si>
  <si>
    <t>204:233280</t>
  </si>
  <si>
    <t>204:233312</t>
  </si>
  <si>
    <t>204:232666</t>
  </si>
  <si>
    <t>204:453</t>
  </si>
  <si>
    <t>204:141</t>
  </si>
  <si>
    <t>204:233284</t>
  </si>
  <si>
    <t>204:232982</t>
  </si>
  <si>
    <t>204:449</t>
  </si>
  <si>
    <t>204:233008</t>
  </si>
  <si>
    <t>204:232985</t>
  </si>
  <si>
    <t>204:134</t>
  </si>
  <si>
    <t>204:232981</t>
  </si>
  <si>
    <t>204:232953</t>
  </si>
  <si>
    <t>MALAVE</t>
  </si>
  <si>
    <t>204:156</t>
  </si>
  <si>
    <t>204:233285</t>
  </si>
  <si>
    <t>204:149</t>
  </si>
  <si>
    <t>204:469</t>
  </si>
  <si>
    <t>204:233307</t>
  </si>
  <si>
    <t>204:132</t>
  </si>
  <si>
    <t>204:473</t>
  </si>
  <si>
    <t>204:233298</t>
  </si>
  <si>
    <t>204:232983</t>
  </si>
  <si>
    <t>204:170</t>
  </si>
  <si>
    <t>204:233323</t>
  </si>
  <si>
    <t>204:233297</t>
  </si>
  <si>
    <t>204:524</t>
  </si>
  <si>
    <t>204:233359</t>
  </si>
  <si>
    <t>204:233393</t>
  </si>
  <si>
    <t>204:233002</t>
  </si>
  <si>
    <t>204:233268</t>
  </si>
  <si>
    <t>204:233300</t>
  </si>
  <si>
    <t>GRADE CROSSING</t>
  </si>
  <si>
    <t>Bulletin (2)</t>
  </si>
  <si>
    <t>MAYBERRY</t>
  </si>
  <si>
    <t>http://stevetu21.github.io/eaglep3/load_kml.html?kml=http://rtdc.gmaps-snips.s3.amazonaws.com/915944c6-cedc-4241-af25-4db6bfa41ff2.kml</t>
  </si>
  <si>
    <t>102-29</t>
  </si>
  <si>
    <t>204:232698</t>
  </si>
  <si>
    <t>103-29</t>
  </si>
  <si>
    <t>204:772</t>
  </si>
  <si>
    <t>104-29</t>
  </si>
  <si>
    <t>204:232662</t>
  </si>
  <si>
    <t>105-29</t>
  </si>
  <si>
    <t>204:783</t>
  </si>
  <si>
    <t>106-29</t>
  </si>
  <si>
    <t>107-29</t>
  </si>
  <si>
    <t>204:471</t>
  </si>
  <si>
    <t>108-29</t>
  </si>
  <si>
    <t>109-29</t>
  </si>
  <si>
    <t>204:477</t>
  </si>
  <si>
    <t>110-29</t>
  </si>
  <si>
    <t>111-29</t>
  </si>
  <si>
    <t>204:774</t>
  </si>
  <si>
    <t>112-29</t>
  </si>
  <si>
    <t>113-29</t>
  </si>
  <si>
    <t>204:233321</t>
  </si>
  <si>
    <t>114-29</t>
  </si>
  <si>
    <t>115-29</t>
  </si>
  <si>
    <t>204:706</t>
  </si>
  <si>
    <t>116-29</t>
  </si>
  <si>
    <t>117-29</t>
  </si>
  <si>
    <t>118-29</t>
  </si>
  <si>
    <t>204:232987</t>
  </si>
  <si>
    <t>119-29</t>
  </si>
  <si>
    <t>204:98911</t>
  </si>
  <si>
    <t>204:100355</t>
  </si>
  <si>
    <t>120-29</t>
  </si>
  <si>
    <t>121-29</t>
  </si>
  <si>
    <t>204:484</t>
  </si>
  <si>
    <t>122-29</t>
  </si>
  <si>
    <t>123-29</t>
  </si>
  <si>
    <t>124-29</t>
  </si>
  <si>
    <t>125-29</t>
  </si>
  <si>
    <t>204:233327</t>
  </si>
  <si>
    <t>126-29</t>
  </si>
  <si>
    <t>127-29</t>
  </si>
  <si>
    <t>204:233144</t>
  </si>
  <si>
    <t>128-29</t>
  </si>
  <si>
    <t>204:232817</t>
  </si>
  <si>
    <t>129-29</t>
  </si>
  <si>
    <t>130-29</t>
  </si>
  <si>
    <t>131-29</t>
  </si>
  <si>
    <t>204:233334</t>
  </si>
  <si>
    <t>132-29</t>
  </si>
  <si>
    <t>133-29</t>
  </si>
  <si>
    <t>134-29</t>
  </si>
  <si>
    <t>135-29</t>
  </si>
  <si>
    <t>136-29</t>
  </si>
  <si>
    <t>204:232992</t>
  </si>
  <si>
    <t>137-29</t>
  </si>
  <si>
    <t>138-29</t>
  </si>
  <si>
    <t>139-29</t>
  </si>
  <si>
    <t>204:233276</t>
  </si>
  <si>
    <t>140-29</t>
  </si>
  <si>
    <t>204:232957</t>
  </si>
  <si>
    <t>141-29</t>
  </si>
  <si>
    <t>204:478</t>
  </si>
  <si>
    <t>142-29</t>
  </si>
  <si>
    <t>143-29</t>
  </si>
  <si>
    <t>204:233309</t>
  </si>
  <si>
    <t>144-29</t>
  </si>
  <si>
    <t>204:232971</t>
  </si>
  <si>
    <t>145-29</t>
  </si>
  <si>
    <t>146-29</t>
  </si>
  <si>
    <t>204:232964</t>
  </si>
  <si>
    <t>147-29</t>
  </si>
  <si>
    <t>148-29</t>
  </si>
  <si>
    <t>149-29</t>
  </si>
  <si>
    <t>204:486</t>
  </si>
  <si>
    <t>150-29</t>
  </si>
  <si>
    <t>151-29</t>
  </si>
  <si>
    <t>152-29</t>
  </si>
  <si>
    <t>204:232969</t>
  </si>
  <si>
    <t>153-29</t>
  </si>
  <si>
    <t>204:233281</t>
  </si>
  <si>
    <t>154-29</t>
  </si>
  <si>
    <t>155-29</t>
  </si>
  <si>
    <t>156-29</t>
  </si>
  <si>
    <t>157-29</t>
  </si>
  <si>
    <t>204:420</t>
  </si>
  <si>
    <t>158-29</t>
  </si>
  <si>
    <t>204:163</t>
  </si>
  <si>
    <t>159-29</t>
  </si>
  <si>
    <t>204:480</t>
  </si>
  <si>
    <t>204:233389</t>
  </si>
  <si>
    <t>160-29</t>
  </si>
  <si>
    <t>204:233080</t>
  </si>
  <si>
    <t>161-29</t>
  </si>
  <si>
    <t>162-29</t>
  </si>
  <si>
    <t>163-29</t>
  </si>
  <si>
    <t>164-29</t>
  </si>
  <si>
    <t>165-29</t>
  </si>
  <si>
    <t>166-29</t>
  </si>
  <si>
    <t>204:233043</t>
  </si>
  <si>
    <t>167-29</t>
  </si>
  <si>
    <t>204:444</t>
  </si>
  <si>
    <t>168-29</t>
  </si>
  <si>
    <t>169-29</t>
  </si>
  <si>
    <t>170-29</t>
  </si>
  <si>
    <t>171-29</t>
  </si>
  <si>
    <t>172-29</t>
  </si>
  <si>
    <t>173-29</t>
  </si>
  <si>
    <t>174-29</t>
  </si>
  <si>
    <t>204:233011</t>
  </si>
  <si>
    <t>175-29</t>
  </si>
  <si>
    <t>176-29</t>
  </si>
  <si>
    <t>177-29</t>
  </si>
  <si>
    <t>204:593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</si>
  <si>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</si>
  <si>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</si>
  <si>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</si>
  <si>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</si>
  <si>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</si>
  <si>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</si>
  <si>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</si>
  <si>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</si>
  <si>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</si>
  <si>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204:232966</t>
  </si>
  <si>
    <t>187-29</t>
  </si>
  <si>
    <t>188-29</t>
  </si>
  <si>
    <t>189-29</t>
  </si>
  <si>
    <t>190-29</t>
  </si>
  <si>
    <t>191-29</t>
  </si>
  <si>
    <t>204:582</t>
  </si>
  <si>
    <t>204:233303</t>
  </si>
  <si>
    <t>192-29</t>
  </si>
  <si>
    <t>193-29</t>
  </si>
  <si>
    <t>204:233353</t>
  </si>
  <si>
    <t>194-29</t>
  </si>
  <si>
    <t>195-29</t>
  </si>
  <si>
    <t>196-29</t>
  </si>
  <si>
    <t>197-29</t>
  </si>
  <si>
    <t>198-29</t>
  </si>
  <si>
    <t>204:232998</t>
  </si>
  <si>
    <t>199-29</t>
  </si>
  <si>
    <t>204:442</t>
  </si>
  <si>
    <t>200-29</t>
  </si>
  <si>
    <t>201-29</t>
  </si>
  <si>
    <t>204:233329</t>
  </si>
  <si>
    <t>202-29</t>
  </si>
  <si>
    <t>203-29</t>
  </si>
  <si>
    <t>204-29</t>
  </si>
  <si>
    <t>205-29</t>
  </si>
  <si>
    <t>204:86376</t>
  </si>
  <si>
    <t>206-29</t>
  </si>
  <si>
    <t>204:5190</t>
  </si>
  <si>
    <t>207-29</t>
  </si>
  <si>
    <t>208-29</t>
  </si>
  <si>
    <t>204:233067</t>
  </si>
  <si>
    <t>209-29</t>
  </si>
  <si>
    <t>210-29</t>
  </si>
  <si>
    <t>204:232962</t>
  </si>
  <si>
    <t>211-29</t>
  </si>
  <si>
    <t>212-29</t>
  </si>
  <si>
    <t>213-29</t>
  </si>
  <si>
    <t>214-29</t>
  </si>
  <si>
    <t>215-29</t>
  </si>
  <si>
    <t>216-29</t>
  </si>
  <si>
    <t>204:232988</t>
  </si>
  <si>
    <t>217-29</t>
  </si>
  <si>
    <t>218-29</t>
  </si>
  <si>
    <t>219-29</t>
  </si>
  <si>
    <t>220-29</t>
  </si>
  <si>
    <t>204:362</t>
  </si>
  <si>
    <t>221-29</t>
  </si>
  <si>
    <t>222-29</t>
  </si>
  <si>
    <t>223-29</t>
  </si>
  <si>
    <t>224-29</t>
  </si>
  <si>
    <t>204:172</t>
  </si>
  <si>
    <t>225-29</t>
  </si>
  <si>
    <t>226-29</t>
  </si>
  <si>
    <t>227-29</t>
  </si>
  <si>
    <t>204:522</t>
  </si>
  <si>
    <t>228-29</t>
  </si>
  <si>
    <t>204:427</t>
  </si>
  <si>
    <t>229-29</t>
  </si>
  <si>
    <t>230-29</t>
  </si>
  <si>
    <t>231-29</t>
  </si>
  <si>
    <t>232-29</t>
  </si>
  <si>
    <t>204:232961</t>
  </si>
  <si>
    <t>233-29</t>
  </si>
  <si>
    <t>204:233287</t>
  </si>
  <si>
    <t>234-29</t>
  </si>
  <si>
    <t>204:232970</t>
  </si>
  <si>
    <t>235-29</t>
  </si>
  <si>
    <t>204:591</t>
  </si>
  <si>
    <t>236-29</t>
  </si>
  <si>
    <t>204:380</t>
  </si>
  <si>
    <t>237-29</t>
  </si>
  <si>
    <t>238-29</t>
  </si>
  <si>
    <t>239-29</t>
  </si>
  <si>
    <t>240-29</t>
  </si>
  <si>
    <t>241-29</t>
  </si>
  <si>
    <t>242-29</t>
  </si>
  <si>
    <t>204:176</t>
  </si>
  <si>
    <t>243-29</t>
  </si>
  <si>
    <t>244-29</t>
  </si>
  <si>
    <t>246-28</t>
  </si>
  <si>
    <t>204:185</t>
  </si>
  <si>
    <t>SPEED RESTRICTION</t>
  </si>
  <si>
    <t>245-29</t>
  </si>
  <si>
    <t>LOCKLEAR</t>
  </si>
  <si>
    <t>ACKERMAN</t>
  </si>
  <si>
    <t>BONDS</t>
  </si>
  <si>
    <t>GOODNIGHT</t>
  </si>
  <si>
    <t>WEBSTER</t>
  </si>
  <si>
    <t>101-29</t>
  </si>
  <si>
    <t>Open</t>
  </si>
  <si>
    <t>Exceeded Restricted Speed</t>
  </si>
  <si>
    <t>Exceeded Restricted Speed Then Cutout</t>
  </si>
  <si>
    <t>Form C</t>
  </si>
  <si>
    <t>Unknown Signal 2S EC1981RH Wayside to check.</t>
  </si>
  <si>
    <t>Routing</t>
  </si>
  <si>
    <t>Enroute Failure</t>
  </si>
  <si>
    <t xml:space="preserve">ID Not Offered 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</si>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</sst>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3"/>
  <sheetViews>
    <sheetView showGridLines="0" tabSelected="1" topLeftCell="A127" zoomScale="85" zoomScaleNormal="85" workbookViewId="0">
      <selection activeCell="I158" sqref="I158:L15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9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402</v>
      </c>
      <c r="T2" s="10" t="s">
        <v>403</v>
      </c>
      <c r="U2" s="10" t="s">
        <v>404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183</v>
      </c>
      <c r="B3" s="60">
        <v>4041</v>
      </c>
      <c r="C3" s="60" t="s">
        <v>65</v>
      </c>
      <c r="D3" s="60" t="s">
        <v>184</v>
      </c>
      <c r="E3" s="30">
        <v>42519.168356481481</v>
      </c>
      <c r="F3" s="30">
        <v>42519.16982638889</v>
      </c>
      <c r="G3" s="38">
        <v>2</v>
      </c>
      <c r="H3" s="30" t="s">
        <v>102</v>
      </c>
      <c r="I3" s="30">
        <v>42519.200914351852</v>
      </c>
      <c r="J3" s="60">
        <v>0</v>
      </c>
      <c r="K3" s="60" t="str">
        <f t="shared" ref="K3:K34" si="0">IF(ISEVEN(B3),(B3-1)&amp;"/"&amp;B3,B3&amp;"/"&amp;(B3+1))</f>
        <v>4041/4042</v>
      </c>
      <c r="L3" s="60" t="str">
        <f>VLOOKUP(A3,'Trips&amp;Operators'!$C$1:$E$9999,3,FALSE)</f>
        <v>LEVIN</v>
      </c>
      <c r="M3" s="12">
        <f t="shared" ref="M3:M34" si="1">I3-F3</f>
        <v>3.1087962961464655E-2</v>
      </c>
      <c r="N3" s="13">
        <f t="shared" ref="N3:N19" si="2">24*60*SUM($M3:$M3)</f>
        <v>44.766666664509103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Southbound</v>
      </c>
      <c r="U3" s="67">
        <f>COUNTIFS([2]Variables!$M$2:$M$19,IF(T3="NorthBound","&gt;=","&lt;=")&amp;Z3,[2]Variables!$M$2:$M$19,IF(T3="NorthBound","&lt;=","&gt;=")&amp;AA3)</f>
        <v>12</v>
      </c>
      <c r="W3" s="73" t="str">
        <f t="shared" ref="W3:W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https://search-rtdc-monitor-bjffxe2xuh6vdkpspy63sjmuny.us-east-1.es.amazonaws.com/_plugin/kibana/#/discover/Steve-Slow-Train-Analysis-(2080s-and-2083s)?_g=(refreshInterval:(display:Off,section:0,value:0),time:(from:'2016-05-29 04:01:26-0600',mode:absolute,to:'2016-05-29 04:50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" s="73" t="str">
        <f t="shared" ref="X3:X34" si="4">IF(AB3&lt;23,"Y","N")</f>
        <v>N</v>
      </c>
      <c r="Y3" s="73" t="e">
        <f t="shared" ref="Y3:Y34" si="5">VALUE(LEFT(A3,3))-VALUE(LEFT(A2,3))</f>
        <v>#VALUE!</v>
      </c>
      <c r="Z3" s="73">
        <f t="shared" ref="Z3:Z34" si="6">RIGHT(D3,LEN(D3)-4)/10000</f>
        <v>23.2698</v>
      </c>
      <c r="AA3" s="73">
        <f t="shared" ref="AA3:AA37" si="7">RIGHT(H3,LEN(H3)-4)/10000</f>
        <v>1.6E-2</v>
      </c>
      <c r="AB3" s="73">
        <f t="shared" ref="AB3:AB34" si="8">ABS(AA3-Z3)</f>
        <v>23.253800000000002</v>
      </c>
      <c r="AC3" s="74" t="e">
        <f>VLOOKUP(A3,Enforcements!$C$3:$J$60,8,0)</f>
        <v>#N/A</v>
      </c>
      <c r="AD3" s="74" t="e">
        <f>VLOOKUP(A3,Enforcements!$C$3:$J$60,3,0)</f>
        <v>#N/A</v>
      </c>
    </row>
    <row r="4" spans="1:92" s="2" customFormat="1" x14ac:dyDescent="0.25">
      <c r="A4" s="60" t="s">
        <v>185</v>
      </c>
      <c r="B4" s="60">
        <v>4020</v>
      </c>
      <c r="C4" s="60" t="s">
        <v>65</v>
      </c>
      <c r="D4" s="60" t="s">
        <v>186</v>
      </c>
      <c r="E4" s="30">
        <v>42519.154513888891</v>
      </c>
      <c r="F4" s="30">
        <v>42519.155706018515</v>
      </c>
      <c r="G4" s="38">
        <v>1</v>
      </c>
      <c r="H4" s="30" t="s">
        <v>129</v>
      </c>
      <c r="I4" s="30">
        <v>42519.184178240743</v>
      </c>
      <c r="J4" s="60">
        <v>0</v>
      </c>
      <c r="K4" s="60" t="str">
        <f t="shared" si="0"/>
        <v>4019/4020</v>
      </c>
      <c r="L4" s="60" t="str">
        <f>VLOOKUP(A4,'Trips&amp;Operators'!$C$1:$E$9999,3,FALSE)</f>
        <v>NELSON</v>
      </c>
      <c r="M4" s="12">
        <f t="shared" si="1"/>
        <v>2.8472222227719612E-2</v>
      </c>
      <c r="N4" s="13">
        <f t="shared" si="2"/>
        <v>41.000000007916242</v>
      </c>
      <c r="O4" s="13"/>
      <c r="P4" s="13"/>
      <c r="Q4" s="61"/>
      <c r="R4" s="61"/>
      <c r="S4" s="94">
        <f t="shared" ref="S4:S67" si="9">SUM(U4:U4)/12</f>
        <v>1</v>
      </c>
      <c r="T4" s="2" t="str">
        <f t="shared" ref="T4:T67" si="10">IF(ISEVEN(LEFT(A4,3)),"Southbound","NorthBound")</f>
        <v>NorthBound</v>
      </c>
      <c r="U4" s="67">
        <f>COUNTIFS([2]Variables!$M$2:$M$19,IF(T4="NorthBound","&gt;=","&lt;=")&amp;Z4,[2]Variables!$M$2:$M$19,IF(T4="NorthBound","&lt;=","&gt;=")&amp;AA4)</f>
        <v>12</v>
      </c>
      <c r="W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03:41:30-0600',mode:absolute,to:'2016-05-29 04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" s="73" t="str">
        <f t="shared" si="4"/>
        <v>N</v>
      </c>
      <c r="Y4" s="73">
        <f t="shared" si="5"/>
        <v>1</v>
      </c>
      <c r="Z4" s="73">
        <f t="shared" si="6"/>
        <v>7.7200000000000005E-2</v>
      </c>
      <c r="AA4" s="73">
        <f t="shared" si="7"/>
        <v>23.328900000000001</v>
      </c>
      <c r="AB4" s="73">
        <f t="shared" si="8"/>
        <v>23.2517</v>
      </c>
      <c r="AC4" s="74" t="e">
        <f>VLOOKUP(A4,Enforcements!$C$3:$J$60,8,0)</f>
        <v>#N/A</v>
      </c>
      <c r="AD4" s="74" t="e">
        <f>VLOOKUP(A4,Enforcements!$C$3:$J$60,3,0)</f>
        <v>#N/A</v>
      </c>
    </row>
    <row r="5" spans="1:92" s="2" customFormat="1" x14ac:dyDescent="0.25">
      <c r="A5" s="60" t="s">
        <v>187</v>
      </c>
      <c r="B5" s="60">
        <v>4032</v>
      </c>
      <c r="C5" s="60" t="s">
        <v>65</v>
      </c>
      <c r="D5" s="60" t="s">
        <v>188</v>
      </c>
      <c r="E5" s="30">
        <v>42519.194849537038</v>
      </c>
      <c r="F5" s="30">
        <v>42519.195763888885</v>
      </c>
      <c r="G5" s="38">
        <v>1</v>
      </c>
      <c r="H5" s="30" t="s">
        <v>76</v>
      </c>
      <c r="I5" s="30">
        <v>42519.228206018517</v>
      </c>
      <c r="J5" s="60">
        <v>0</v>
      </c>
      <c r="K5" s="60" t="str">
        <f t="shared" si="0"/>
        <v>4031/4032</v>
      </c>
      <c r="L5" s="60" t="str">
        <f>VLOOKUP(A5,'Trips&amp;Operators'!$C$1:$E$9999,3,FALSE)</f>
        <v>NELSON</v>
      </c>
      <c r="M5" s="12">
        <f t="shared" si="1"/>
        <v>3.2442129631817807E-2</v>
      </c>
      <c r="N5" s="13">
        <f t="shared" si="2"/>
        <v>46.716666669817641</v>
      </c>
      <c r="O5" s="13"/>
      <c r="P5" s="13"/>
      <c r="Q5" s="61"/>
      <c r="R5" s="61"/>
      <c r="S5" s="94">
        <f t="shared" si="9"/>
        <v>1</v>
      </c>
      <c r="T5" s="2" t="str">
        <f t="shared" si="10"/>
        <v>Southbound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04:39:35-0600',mode:absolute,to:'2016-05-29 05:29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" s="73" t="str">
        <f t="shared" si="4"/>
        <v>N</v>
      </c>
      <c r="Y5" s="73">
        <f t="shared" si="5"/>
        <v>1</v>
      </c>
      <c r="Z5" s="73">
        <f t="shared" si="6"/>
        <v>23.266200000000001</v>
      </c>
      <c r="AA5" s="73">
        <f t="shared" si="7"/>
        <v>1.52E-2</v>
      </c>
      <c r="AB5" s="73">
        <f t="shared" si="8"/>
        <v>23.251000000000001</v>
      </c>
      <c r="AC5" s="74" t="e">
        <f>VLOOKUP(A5,Enforcements!$C$3:$J$60,8,0)</f>
        <v>#N/A</v>
      </c>
      <c r="AD5" s="74" t="e">
        <f>VLOOKUP(A5,Enforcements!$C$3:$J$60,3,0)</f>
        <v>#N/A</v>
      </c>
    </row>
    <row r="6" spans="1:92" s="2" customFormat="1" x14ac:dyDescent="0.25">
      <c r="A6" s="60" t="s">
        <v>189</v>
      </c>
      <c r="B6" s="60">
        <v>4044</v>
      </c>
      <c r="C6" s="60" t="s">
        <v>65</v>
      </c>
      <c r="D6" s="60" t="s">
        <v>190</v>
      </c>
      <c r="E6" s="30">
        <v>42519.176018518519</v>
      </c>
      <c r="F6" s="30">
        <v>42519.177094907405</v>
      </c>
      <c r="G6" s="38">
        <v>1</v>
      </c>
      <c r="H6" s="30" t="s">
        <v>120</v>
      </c>
      <c r="I6" s="30">
        <v>42519.202118055553</v>
      </c>
      <c r="J6" s="60">
        <v>0</v>
      </c>
      <c r="K6" s="60" t="str">
        <f t="shared" si="0"/>
        <v>4043/4044</v>
      </c>
      <c r="L6" s="60" t="str">
        <f>VLOOKUP(A6,'Trips&amp;Operators'!$C$1:$E$9999,3,FALSE)</f>
        <v>LEDERHAUSE</v>
      </c>
      <c r="M6" s="12">
        <f t="shared" si="1"/>
        <v>2.5023148147738539E-2</v>
      </c>
      <c r="N6" s="13">
        <f t="shared" si="2"/>
        <v>36.033333332743496</v>
      </c>
      <c r="O6" s="13"/>
      <c r="P6" s="13"/>
      <c r="Q6" s="61"/>
      <c r="R6" s="61"/>
      <c r="S6" s="94">
        <f t="shared" si="9"/>
        <v>1</v>
      </c>
      <c r="T6" s="2" t="str">
        <f t="shared" si="10"/>
        <v>NorthBound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04:12:28-0600',mode:absolute,to:'2016-05-29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" s="73" t="str">
        <f t="shared" si="4"/>
        <v>N</v>
      </c>
      <c r="Y6" s="73">
        <f t="shared" si="5"/>
        <v>1</v>
      </c>
      <c r="Z6" s="73">
        <f t="shared" si="6"/>
        <v>7.8299999999999995E-2</v>
      </c>
      <c r="AA6" s="73">
        <f t="shared" si="7"/>
        <v>23.330400000000001</v>
      </c>
      <c r="AB6" s="73">
        <f t="shared" si="8"/>
        <v>23.252100000000002</v>
      </c>
      <c r="AC6" s="74" t="e">
        <f>VLOOKUP(A6,Enforcements!$C$3:$J$60,8,0)</f>
        <v>#N/A</v>
      </c>
      <c r="AD6" s="74" t="e">
        <f>VLOOKUP(A6,Enforcements!$C$3:$J$60,3,0)</f>
        <v>#N/A</v>
      </c>
    </row>
    <row r="7" spans="1:92" s="2" customFormat="1" x14ac:dyDescent="0.25">
      <c r="A7" s="60" t="s">
        <v>191</v>
      </c>
      <c r="B7" s="60">
        <v>4015</v>
      </c>
      <c r="C7" s="60" t="s">
        <v>65</v>
      </c>
      <c r="D7" s="60" t="s">
        <v>149</v>
      </c>
      <c r="E7" s="30">
        <v>42519.21303240741</v>
      </c>
      <c r="F7" s="30">
        <v>42519.214120370372</v>
      </c>
      <c r="G7" s="38">
        <v>1</v>
      </c>
      <c r="H7" s="30" t="s">
        <v>88</v>
      </c>
      <c r="I7" s="30">
        <v>42519.245162037034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LEDERHAUSE</v>
      </c>
      <c r="M7" s="12">
        <f t="shared" si="1"/>
        <v>3.1041666661622003E-2</v>
      </c>
      <c r="N7" s="13">
        <f t="shared" si="2"/>
        <v>44.699999992735684</v>
      </c>
      <c r="O7" s="13"/>
      <c r="P7" s="13"/>
      <c r="Q7" s="61"/>
      <c r="R7" s="61"/>
      <c r="S7" s="94">
        <f t="shared" si="9"/>
        <v>1</v>
      </c>
      <c r="T7" s="2" t="str">
        <f t="shared" si="10"/>
        <v>Southbound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05:05:46-0600',mode:absolute,to:'2016-05-29 05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" s="73" t="str">
        <f t="shared" si="4"/>
        <v>N</v>
      </c>
      <c r="Y7" s="73">
        <f t="shared" si="5"/>
        <v>1</v>
      </c>
      <c r="Z7" s="73">
        <f t="shared" si="6"/>
        <v>23.2666</v>
      </c>
      <c r="AA7" s="73">
        <f t="shared" si="7"/>
        <v>1.47E-2</v>
      </c>
      <c r="AB7" s="73">
        <f t="shared" si="8"/>
        <v>23.251899999999999</v>
      </c>
      <c r="AC7" s="74" t="e">
        <f>VLOOKUP(A7,Enforcements!$C$3:$J$60,8,0)</f>
        <v>#N/A</v>
      </c>
      <c r="AD7" s="74" t="e">
        <f>VLOOKUP(A7,Enforcements!$C$3:$J$60,3,0)</f>
        <v>#N/A</v>
      </c>
    </row>
    <row r="8" spans="1:92" s="2" customFormat="1" x14ac:dyDescent="0.25">
      <c r="A8" s="60" t="s">
        <v>192</v>
      </c>
      <c r="B8" s="60">
        <v>4011</v>
      </c>
      <c r="C8" s="60" t="s">
        <v>65</v>
      </c>
      <c r="D8" s="60" t="s">
        <v>193</v>
      </c>
      <c r="E8" s="30">
        <v>42519.186724537038</v>
      </c>
      <c r="F8" s="30">
        <v>42519.187719907408</v>
      </c>
      <c r="G8" s="38">
        <v>1</v>
      </c>
      <c r="H8" s="30" t="s">
        <v>148</v>
      </c>
      <c r="I8" s="30">
        <v>42519.216319444444</v>
      </c>
      <c r="J8" s="60">
        <v>0</v>
      </c>
      <c r="K8" s="60" t="str">
        <f t="shared" si="0"/>
        <v>4011/4012</v>
      </c>
      <c r="L8" s="60" t="str">
        <f>VLOOKUP(A8,'Trips&amp;Operators'!$C$1:$E$9999,3,FALSE)</f>
        <v>SANTIZO</v>
      </c>
      <c r="M8" s="12">
        <f t="shared" si="1"/>
        <v>2.8599537035916001E-2</v>
      </c>
      <c r="N8" s="13">
        <f t="shared" si="2"/>
        <v>41.183333331719041</v>
      </c>
      <c r="O8" s="13"/>
      <c r="P8" s="13"/>
      <c r="Q8" s="61"/>
      <c r="R8" s="61"/>
      <c r="S8" s="94">
        <f t="shared" si="9"/>
        <v>1</v>
      </c>
      <c r="T8" s="2" t="str">
        <f t="shared" si="10"/>
        <v>NorthBound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04:27:53-0600',mode:absolute,to:'2016-05-29 05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" s="73" t="str">
        <f t="shared" si="4"/>
        <v>N</v>
      </c>
      <c r="Y8" s="73">
        <f t="shared" si="5"/>
        <v>1</v>
      </c>
      <c r="Z8" s="73">
        <f t="shared" si="6"/>
        <v>4.7100000000000003E-2</v>
      </c>
      <c r="AA8" s="73">
        <f t="shared" si="7"/>
        <v>23.331199999999999</v>
      </c>
      <c r="AB8" s="73">
        <f t="shared" si="8"/>
        <v>23.284099999999999</v>
      </c>
      <c r="AC8" s="74" t="e">
        <f>VLOOKUP(A8,Enforcements!$C$3:$J$60,8,0)</f>
        <v>#N/A</v>
      </c>
      <c r="AD8" s="74" t="e">
        <f>VLOOKUP(A8,Enforcements!$C$3:$J$60,3,0)</f>
        <v>#N/A</v>
      </c>
    </row>
    <row r="9" spans="1:92" s="2" customFormat="1" x14ac:dyDescent="0.25">
      <c r="A9" s="60" t="s">
        <v>194</v>
      </c>
      <c r="B9" s="60">
        <v>4012</v>
      </c>
      <c r="C9" s="60" t="s">
        <v>65</v>
      </c>
      <c r="D9" s="60" t="s">
        <v>140</v>
      </c>
      <c r="E9" s="30">
        <v>42519.222337962965</v>
      </c>
      <c r="F9" s="30">
        <v>42519.223738425928</v>
      </c>
      <c r="G9" s="38">
        <v>2</v>
      </c>
      <c r="H9" s="30" t="s">
        <v>76</v>
      </c>
      <c r="I9" s="30">
        <v>42519.256215277775</v>
      </c>
      <c r="J9" s="60">
        <v>1</v>
      </c>
      <c r="K9" s="60" t="str">
        <f t="shared" si="0"/>
        <v>4011/4012</v>
      </c>
      <c r="L9" s="60" t="str">
        <f>VLOOKUP(A9,'Trips&amp;Operators'!$C$1:$E$9999,3,FALSE)</f>
        <v>SANTIZO</v>
      </c>
      <c r="M9" s="12">
        <f t="shared" si="1"/>
        <v>3.2476851847604848E-2</v>
      </c>
      <c r="N9" s="13">
        <f t="shared" si="2"/>
        <v>46.766666660550982</v>
      </c>
      <c r="O9" s="13"/>
      <c r="P9" s="13"/>
      <c r="Q9" s="61"/>
      <c r="R9" s="61"/>
      <c r="S9" s="94">
        <f t="shared" si="9"/>
        <v>1</v>
      </c>
      <c r="T9" s="2" t="str">
        <f t="shared" si="10"/>
        <v>Southbound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05:19:10-0600',mode:absolute,to:'2016-05-29 06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" s="73" t="str">
        <f t="shared" si="4"/>
        <v>N</v>
      </c>
      <c r="Y9" s="73">
        <f t="shared" si="5"/>
        <v>1</v>
      </c>
      <c r="Z9" s="73">
        <f t="shared" si="6"/>
        <v>23.298999999999999</v>
      </c>
      <c r="AA9" s="73">
        <f t="shared" si="7"/>
        <v>1.52E-2</v>
      </c>
      <c r="AB9" s="73">
        <f t="shared" si="8"/>
        <v>23.283799999999999</v>
      </c>
      <c r="AC9" s="74">
        <f>VLOOKUP(A9,Enforcements!$C$3:$J$60,8,0)</f>
        <v>1</v>
      </c>
      <c r="AD9" s="74" t="str">
        <f>VLOOKUP(A9,Enforcements!$C$3:$J$60,3,0)</f>
        <v>TRACK WARRANT AUTHORITY</v>
      </c>
    </row>
    <row r="10" spans="1:92" s="2" customFormat="1" x14ac:dyDescent="0.25">
      <c r="A10" s="60" t="s">
        <v>195</v>
      </c>
      <c r="B10" s="60">
        <v>4040</v>
      </c>
      <c r="C10" s="60" t="s">
        <v>65</v>
      </c>
      <c r="D10" s="60" t="s">
        <v>196</v>
      </c>
      <c r="E10" s="30">
        <v>42519.196585648147</v>
      </c>
      <c r="F10" s="30">
        <v>42519.197708333333</v>
      </c>
      <c r="G10" s="38">
        <v>1</v>
      </c>
      <c r="H10" s="30" t="s">
        <v>87</v>
      </c>
      <c r="I10" s="30">
        <v>42519.225347222222</v>
      </c>
      <c r="J10" s="60">
        <v>0</v>
      </c>
      <c r="K10" s="60" t="str">
        <f t="shared" si="0"/>
        <v>4039/4040</v>
      </c>
      <c r="L10" s="60" t="str">
        <f>VLOOKUP(A10,'Trips&amp;Operators'!$C$1:$E$9999,3,FALSE)</f>
        <v>MALAVE</v>
      </c>
      <c r="M10" s="12">
        <f t="shared" si="1"/>
        <v>2.7638888888759539E-2</v>
      </c>
      <c r="N10" s="13">
        <f t="shared" si="2"/>
        <v>39.799999999813735</v>
      </c>
      <c r="O10" s="13"/>
      <c r="P10" s="13"/>
      <c r="Q10" s="61"/>
      <c r="R10" s="61"/>
      <c r="S10" s="94">
        <f t="shared" si="9"/>
        <v>1</v>
      </c>
      <c r="T10" s="2" t="str">
        <f t="shared" si="10"/>
        <v>NorthBound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04:42:05-0600',mode:absolute,to:'2016-05-29 05:25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" s="73" t="str">
        <f t="shared" si="4"/>
        <v>N</v>
      </c>
      <c r="Y10" s="73">
        <f t="shared" si="5"/>
        <v>1</v>
      </c>
      <c r="Z10" s="73">
        <f t="shared" si="6"/>
        <v>4.7699999999999999E-2</v>
      </c>
      <c r="AA10" s="73">
        <f t="shared" si="7"/>
        <v>23.331499999999998</v>
      </c>
      <c r="AB10" s="73">
        <f t="shared" si="8"/>
        <v>23.283799999999999</v>
      </c>
      <c r="AC10" s="74" t="e">
        <f>VLOOKUP(A10,Enforcements!$C$3:$J$60,8,0)</f>
        <v>#N/A</v>
      </c>
      <c r="AD10" s="74" t="e">
        <f>VLOOKUP(A10,Enforcements!$C$3:$J$60,3,0)</f>
        <v>#N/A</v>
      </c>
    </row>
    <row r="11" spans="1:92" s="2" customFormat="1" x14ac:dyDescent="0.25">
      <c r="A11" s="60" t="s">
        <v>197</v>
      </c>
      <c r="B11" s="60">
        <v>4039</v>
      </c>
      <c r="C11" s="60" t="s">
        <v>65</v>
      </c>
      <c r="D11" s="60" t="s">
        <v>77</v>
      </c>
      <c r="E11" s="30">
        <v>42519.235451388886</v>
      </c>
      <c r="F11" s="30">
        <v>42519.236250000002</v>
      </c>
      <c r="G11" s="38">
        <v>1</v>
      </c>
      <c r="H11" s="30" t="s">
        <v>68</v>
      </c>
      <c r="I11" s="30">
        <v>42519.266134259262</v>
      </c>
      <c r="J11" s="60">
        <v>2</v>
      </c>
      <c r="K11" s="60" t="str">
        <f t="shared" si="0"/>
        <v>4039/4040</v>
      </c>
      <c r="L11" s="60" t="str">
        <f>VLOOKUP(A11,'Trips&amp;Operators'!$C$1:$E$9999,3,FALSE)</f>
        <v>MALAVE</v>
      </c>
      <c r="M11" s="12">
        <f t="shared" si="1"/>
        <v>2.9884259260143153E-2</v>
      </c>
      <c r="N11" s="13">
        <f t="shared" si="2"/>
        <v>43.033333334606141</v>
      </c>
      <c r="O11" s="13"/>
      <c r="P11" s="13"/>
      <c r="Q11" s="61"/>
      <c r="R11" s="61"/>
      <c r="S11" s="94">
        <f t="shared" si="9"/>
        <v>1</v>
      </c>
      <c r="T11" s="2" t="str">
        <f t="shared" si="10"/>
        <v>Southbound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05:38:03-0600',mode:absolute,to:'2016-05-29 06:24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" s="73" t="str">
        <f t="shared" si="4"/>
        <v>N</v>
      </c>
      <c r="Y11" s="73">
        <f t="shared" si="5"/>
        <v>1</v>
      </c>
      <c r="Z11" s="73">
        <f t="shared" si="6"/>
        <v>23.299399999999999</v>
      </c>
      <c r="AA11" s="73">
        <f t="shared" si="7"/>
        <v>1.54E-2</v>
      </c>
      <c r="AB11" s="73">
        <f t="shared" si="8"/>
        <v>23.283999999999999</v>
      </c>
      <c r="AC11" s="74">
        <f>VLOOKUP(A11,Enforcements!$C$3:$J$60,8,0)</f>
        <v>126678</v>
      </c>
      <c r="AD11" s="74" t="str">
        <f>VLOOKUP(A11,Enforcements!$C$3:$J$60,3,0)</f>
        <v>SPEED RESTRICTION</v>
      </c>
    </row>
    <row r="12" spans="1:92" s="2" customFormat="1" x14ac:dyDescent="0.25">
      <c r="A12" s="60" t="s">
        <v>198</v>
      </c>
      <c r="B12" s="60">
        <v>4038</v>
      </c>
      <c r="C12" s="60" t="s">
        <v>65</v>
      </c>
      <c r="D12" s="60" t="s">
        <v>199</v>
      </c>
      <c r="E12" s="30">
        <v>42519.205138888887</v>
      </c>
      <c r="F12" s="30">
        <v>42519.206631944442</v>
      </c>
      <c r="G12" s="38">
        <v>2</v>
      </c>
      <c r="H12" s="30" t="s">
        <v>172</v>
      </c>
      <c r="I12" s="30">
        <v>42519.235289351855</v>
      </c>
      <c r="J12" s="60">
        <v>0</v>
      </c>
      <c r="K12" s="60" t="str">
        <f t="shared" si="0"/>
        <v>4037/4038</v>
      </c>
      <c r="L12" s="60" t="str">
        <f>VLOOKUP(A12,'Trips&amp;Operators'!$C$1:$E$9999,3,FALSE)</f>
        <v>GEBRETEKLE</v>
      </c>
      <c r="M12" s="12">
        <f t="shared" si="1"/>
        <v>2.8657407412538305E-2</v>
      </c>
      <c r="N12" s="13">
        <f t="shared" si="2"/>
        <v>41.266666674055159</v>
      </c>
      <c r="O12" s="13"/>
      <c r="P12" s="13"/>
      <c r="Q12" s="61"/>
      <c r="R12" s="61"/>
      <c r="S12" s="94">
        <f t="shared" si="9"/>
        <v>1</v>
      </c>
      <c r="T12" s="2" t="str">
        <f t="shared" si="10"/>
        <v>NorthBound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04:54:24-0600',mode:absolute,to:'2016-05-29 05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" s="73" t="str">
        <f t="shared" si="4"/>
        <v>N</v>
      </c>
      <c r="Y12" s="73">
        <f t="shared" si="5"/>
        <v>1</v>
      </c>
      <c r="Z12" s="73">
        <f t="shared" si="6"/>
        <v>7.7399999999999997E-2</v>
      </c>
      <c r="AA12" s="73">
        <f t="shared" si="7"/>
        <v>23.329699999999999</v>
      </c>
      <c r="AB12" s="73">
        <f t="shared" si="8"/>
        <v>23.252299999999998</v>
      </c>
      <c r="AC12" s="74" t="e">
        <f>VLOOKUP(A12,Enforcements!$C$3:$J$60,8,0)</f>
        <v>#N/A</v>
      </c>
      <c r="AD12" s="74" t="e">
        <f>VLOOKUP(A12,Enforcements!$C$3:$J$60,3,0)</f>
        <v>#N/A</v>
      </c>
    </row>
    <row r="13" spans="1:92" s="2" customFormat="1" x14ac:dyDescent="0.25">
      <c r="A13" s="60" t="s">
        <v>200</v>
      </c>
      <c r="B13" s="60">
        <v>4037</v>
      </c>
      <c r="C13" s="60" t="s">
        <v>65</v>
      </c>
      <c r="D13" s="60" t="s">
        <v>143</v>
      </c>
      <c r="E13" s="30">
        <v>42519.244537037041</v>
      </c>
      <c r="F13" s="30">
        <v>42519.245752314811</v>
      </c>
      <c r="G13" s="38">
        <v>1</v>
      </c>
      <c r="H13" s="30" t="s">
        <v>151</v>
      </c>
      <c r="I13" s="30">
        <v>42519.276898148149</v>
      </c>
      <c r="J13" s="60">
        <v>0</v>
      </c>
      <c r="K13" s="60" t="str">
        <f t="shared" si="0"/>
        <v>4037/4038</v>
      </c>
      <c r="L13" s="60" t="str">
        <f>VLOOKUP(A13,'Trips&amp;Operators'!$C$1:$E$9999,3,FALSE)</f>
        <v>GEBRETEKLE</v>
      </c>
      <c r="M13" s="12">
        <f t="shared" si="1"/>
        <v>3.1145833338086959E-2</v>
      </c>
      <c r="N13" s="13">
        <f t="shared" si="2"/>
        <v>44.850000006845221</v>
      </c>
      <c r="O13" s="13"/>
      <c r="P13" s="13"/>
      <c r="Q13" s="61"/>
      <c r="R13" s="61"/>
      <c r="S13" s="94">
        <f t="shared" si="9"/>
        <v>1</v>
      </c>
      <c r="T13" s="2" t="str">
        <f t="shared" si="10"/>
        <v>Southbound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05:51:08-0600',mode:absolute,to:'2016-05-29 06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" s="73" t="str">
        <f t="shared" si="4"/>
        <v>N</v>
      </c>
      <c r="Y13" s="73">
        <f t="shared" si="5"/>
        <v>1</v>
      </c>
      <c r="Z13" s="73">
        <f t="shared" si="6"/>
        <v>23.296700000000001</v>
      </c>
      <c r="AA13" s="73">
        <f t="shared" si="7"/>
        <v>1.41E-2</v>
      </c>
      <c r="AB13" s="73">
        <f t="shared" si="8"/>
        <v>23.282600000000002</v>
      </c>
      <c r="AC13" s="74" t="e">
        <f>VLOOKUP(A13,Enforcements!$C$3:$J$60,8,0)</f>
        <v>#N/A</v>
      </c>
      <c r="AD13" s="74" t="e">
        <f>VLOOKUP(A13,Enforcements!$C$3:$J$60,3,0)</f>
        <v>#N/A</v>
      </c>
    </row>
    <row r="14" spans="1:92" s="2" customFormat="1" x14ac:dyDescent="0.25">
      <c r="A14" s="60" t="s">
        <v>201</v>
      </c>
      <c r="B14" s="60">
        <v>4042</v>
      </c>
      <c r="C14" s="60" t="s">
        <v>65</v>
      </c>
      <c r="D14" s="60" t="s">
        <v>71</v>
      </c>
      <c r="E14" s="30">
        <v>42519.210219907407</v>
      </c>
      <c r="F14" s="30">
        <v>42519.212372685186</v>
      </c>
      <c r="G14" s="38">
        <v>3</v>
      </c>
      <c r="H14" s="30" t="s">
        <v>202</v>
      </c>
      <c r="I14" s="30">
        <v>42519.244525462964</v>
      </c>
      <c r="J14" s="60">
        <v>0</v>
      </c>
      <c r="K14" s="60" t="str">
        <f t="shared" si="0"/>
        <v>4041/4042</v>
      </c>
      <c r="L14" s="60" t="str">
        <f>VLOOKUP(A14,'Trips&amp;Operators'!$C$1:$E$9999,3,FALSE)</f>
        <v>LEVIN</v>
      </c>
      <c r="M14" s="12">
        <f t="shared" si="1"/>
        <v>3.2152777777810115E-2</v>
      </c>
      <c r="N14" s="13">
        <f t="shared" si="2"/>
        <v>46.300000000046566</v>
      </c>
      <c r="O14" s="13"/>
      <c r="P14" s="13"/>
      <c r="Q14" s="61"/>
      <c r="R14" s="61"/>
      <c r="S14" s="94">
        <f t="shared" si="9"/>
        <v>1</v>
      </c>
      <c r="T14" s="2" t="str">
        <f t="shared" si="10"/>
        <v>NorthBound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05:01:43-0600',mode:absolute,to:'2016-05-29 05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4" s="73" t="str">
        <f t="shared" si="4"/>
        <v>N</v>
      </c>
      <c r="Y14" s="73">
        <f t="shared" si="5"/>
        <v>1</v>
      </c>
      <c r="Z14" s="73">
        <f t="shared" si="6"/>
        <v>4.4699999999999997E-2</v>
      </c>
      <c r="AA14" s="73">
        <f t="shared" si="7"/>
        <v>23.332100000000001</v>
      </c>
      <c r="AB14" s="73">
        <f t="shared" si="8"/>
        <v>23.287400000000002</v>
      </c>
      <c r="AC14" s="74" t="e">
        <f>VLOOKUP(A14,Enforcements!$C$3:$J$60,8,0)</f>
        <v>#N/A</v>
      </c>
      <c r="AD14" s="74" t="e">
        <f>VLOOKUP(A14,Enforcements!$C$3:$J$60,3,0)</f>
        <v>#N/A</v>
      </c>
    </row>
    <row r="15" spans="1:92" s="2" customFormat="1" x14ac:dyDescent="0.25">
      <c r="A15" s="60" t="s">
        <v>203</v>
      </c>
      <c r="B15" s="60">
        <v>4041</v>
      </c>
      <c r="C15" s="60" t="s">
        <v>65</v>
      </c>
      <c r="D15" s="60" t="s">
        <v>132</v>
      </c>
      <c r="E15" s="30">
        <v>42519.251134259262</v>
      </c>
      <c r="F15" s="30">
        <v>42519.251851851855</v>
      </c>
      <c r="G15" s="38">
        <v>1</v>
      </c>
      <c r="H15" s="30" t="s">
        <v>90</v>
      </c>
      <c r="I15" s="30">
        <v>42519.284189814818</v>
      </c>
      <c r="J15" s="60">
        <v>0</v>
      </c>
      <c r="K15" s="60" t="str">
        <f t="shared" si="0"/>
        <v>4041/4042</v>
      </c>
      <c r="L15" s="60" t="str">
        <f>VLOOKUP(A15,'Trips&amp;Operators'!$C$1:$E$9999,3,FALSE)</f>
        <v>LEVIN</v>
      </c>
      <c r="M15" s="12">
        <f t="shared" si="1"/>
        <v>3.2337962962628808E-2</v>
      </c>
      <c r="N15" s="13">
        <f t="shared" si="2"/>
        <v>46.566666666185483</v>
      </c>
      <c r="O15" s="13"/>
      <c r="P15" s="13"/>
      <c r="Q15" s="61"/>
      <c r="R15" s="61"/>
      <c r="S15" s="94">
        <f t="shared" si="9"/>
        <v>1</v>
      </c>
      <c r="T15" s="2" t="str">
        <f t="shared" si="10"/>
        <v>Southbound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06:00:38-0600',mode:absolute,to:'2016-05-29 06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5" s="73" t="str">
        <f t="shared" si="4"/>
        <v>N</v>
      </c>
      <c r="Y15" s="73">
        <f t="shared" si="5"/>
        <v>1</v>
      </c>
      <c r="Z15" s="73">
        <f t="shared" si="6"/>
        <v>23.299099999999999</v>
      </c>
      <c r="AA15" s="73">
        <f t="shared" si="7"/>
        <v>1.5800000000000002E-2</v>
      </c>
      <c r="AB15" s="73">
        <f t="shared" si="8"/>
        <v>23.283300000000001</v>
      </c>
      <c r="AC15" s="74" t="e">
        <f>VLOOKUP(A15,Enforcements!$C$3:$J$60,8,0)</f>
        <v>#N/A</v>
      </c>
      <c r="AD15" s="74" t="e">
        <f>VLOOKUP(A15,Enforcements!$C$3:$J$60,3,0)</f>
        <v>#N/A</v>
      </c>
    </row>
    <row r="16" spans="1:92" s="2" customFormat="1" x14ac:dyDescent="0.25">
      <c r="A16" s="60" t="s">
        <v>204</v>
      </c>
      <c r="B16" s="60">
        <v>4020</v>
      </c>
      <c r="C16" s="60" t="s">
        <v>65</v>
      </c>
      <c r="D16" s="60" t="s">
        <v>205</v>
      </c>
      <c r="E16" s="30">
        <v>42519.230081018519</v>
      </c>
      <c r="F16" s="30">
        <v>42519.231122685182</v>
      </c>
      <c r="G16" s="38">
        <v>1</v>
      </c>
      <c r="H16" s="30" t="s">
        <v>172</v>
      </c>
      <c r="I16" s="30">
        <v>42519.257824074077</v>
      </c>
      <c r="J16" s="60">
        <v>0</v>
      </c>
      <c r="K16" s="60" t="str">
        <f t="shared" si="0"/>
        <v>4019/4020</v>
      </c>
      <c r="L16" s="60" t="str">
        <f>VLOOKUP(A16,'Trips&amp;Operators'!$C$1:$E$9999,3,FALSE)</f>
        <v>GOODNIGHT</v>
      </c>
      <c r="M16" s="12">
        <f t="shared" si="1"/>
        <v>2.6701388895162381E-2</v>
      </c>
      <c r="N16" s="13">
        <f t="shared" si="2"/>
        <v>38.450000009033829</v>
      </c>
      <c r="O16" s="13"/>
      <c r="P16" s="13"/>
      <c r="Q16" s="61"/>
      <c r="R16" s="61"/>
      <c r="S16" s="94">
        <f t="shared" si="9"/>
        <v>1</v>
      </c>
      <c r="T16" s="2" t="str">
        <f t="shared" si="10"/>
        <v>NorthBound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05:30:19-0600',mode:absolute,to:'2016-05-29 06:12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6" s="73" t="str">
        <f t="shared" si="4"/>
        <v>N</v>
      </c>
      <c r="Y16" s="73">
        <f t="shared" si="5"/>
        <v>1</v>
      </c>
      <c r="Z16" s="73">
        <f t="shared" si="6"/>
        <v>7.0599999999999996E-2</v>
      </c>
      <c r="AA16" s="73">
        <f t="shared" si="7"/>
        <v>23.329699999999999</v>
      </c>
      <c r="AB16" s="73">
        <f t="shared" si="8"/>
        <v>23.2591</v>
      </c>
      <c r="AC16" s="74" t="e">
        <f>VLOOKUP(A16,Enforcements!$C$3:$J$60,8,0)</f>
        <v>#N/A</v>
      </c>
      <c r="AD16" s="74" t="e">
        <f>VLOOKUP(A16,Enforcements!$C$3:$J$60,3,0)</f>
        <v>#N/A</v>
      </c>
    </row>
    <row r="17" spans="1:30" s="2" customFormat="1" x14ac:dyDescent="0.25">
      <c r="A17" s="60" t="s">
        <v>206</v>
      </c>
      <c r="B17" s="60">
        <v>4019</v>
      </c>
      <c r="C17" s="60" t="s">
        <v>65</v>
      </c>
      <c r="D17" s="60" t="s">
        <v>85</v>
      </c>
      <c r="E17" s="30">
        <v>42519.265601851854</v>
      </c>
      <c r="F17" s="30">
        <v>42519.266979166663</v>
      </c>
      <c r="G17" s="38">
        <v>1</v>
      </c>
      <c r="H17" s="30" t="s">
        <v>84</v>
      </c>
      <c r="I17" s="30">
        <v>42519.295162037037</v>
      </c>
      <c r="J17" s="60">
        <v>1</v>
      </c>
      <c r="K17" s="60" t="str">
        <f t="shared" si="0"/>
        <v>4019/4020</v>
      </c>
      <c r="L17" s="60" t="str">
        <f>VLOOKUP(A17,'Trips&amp;Operators'!$C$1:$E$9999,3,FALSE)</f>
        <v>GOODNIGHT</v>
      </c>
      <c r="M17" s="12">
        <f t="shared" si="1"/>
        <v>2.8182870373711921E-2</v>
      </c>
      <c r="N17" s="13">
        <f t="shared" si="2"/>
        <v>40.583333338145167</v>
      </c>
      <c r="O17" s="13"/>
      <c r="P17" s="13"/>
      <c r="Q17" s="61"/>
      <c r="R17" s="61"/>
      <c r="S17" s="94">
        <f t="shared" si="9"/>
        <v>1</v>
      </c>
      <c r="T17" s="2" t="str">
        <f t="shared" si="10"/>
        <v>Southbound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06:21:28-0600',mode:absolute,to:'2016-05-29 07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7" s="73" t="str">
        <f t="shared" si="4"/>
        <v>N</v>
      </c>
      <c r="Y17" s="73">
        <f t="shared" si="5"/>
        <v>1</v>
      </c>
      <c r="Z17" s="73">
        <f t="shared" si="6"/>
        <v>23.297499999999999</v>
      </c>
      <c r="AA17" s="73">
        <f t="shared" si="7"/>
        <v>1.4999999999999999E-2</v>
      </c>
      <c r="AB17" s="73">
        <f t="shared" si="8"/>
        <v>23.282499999999999</v>
      </c>
      <c r="AC17" s="74">
        <f>VLOOKUP(A17,Enforcements!$C$3:$J$60,8,0)</f>
        <v>229055</v>
      </c>
      <c r="AD17" s="74" t="str">
        <f>VLOOKUP(A17,Enforcements!$C$3:$J$60,3,0)</f>
        <v>PERMANENT SPEED RESTRICTION</v>
      </c>
    </row>
    <row r="18" spans="1:30" s="2" customFormat="1" x14ac:dyDescent="0.25">
      <c r="A18" s="60" t="s">
        <v>207</v>
      </c>
      <c r="B18" s="60">
        <v>4031</v>
      </c>
      <c r="C18" s="60" t="s">
        <v>65</v>
      </c>
      <c r="D18" s="60" t="s">
        <v>74</v>
      </c>
      <c r="E18" s="30">
        <v>42519.230497685188</v>
      </c>
      <c r="F18" s="30">
        <v>42519.232245370367</v>
      </c>
      <c r="G18" s="38">
        <v>2</v>
      </c>
      <c r="H18" s="30" t="s">
        <v>178</v>
      </c>
      <c r="I18" s="30">
        <v>42519.266875000001</v>
      </c>
      <c r="J18" s="60">
        <v>2</v>
      </c>
      <c r="K18" s="60" t="str">
        <f t="shared" si="0"/>
        <v>4031/4032</v>
      </c>
      <c r="L18" s="60" t="str">
        <f>VLOOKUP(A18,'Trips&amp;Operators'!$C$1:$E$9999,3,FALSE)</f>
        <v>NELSON</v>
      </c>
      <c r="M18" s="12">
        <f t="shared" si="1"/>
        <v>3.4629629633855075E-2</v>
      </c>
      <c r="N18" s="13">
        <f t="shared" si="2"/>
        <v>49.866666672751307</v>
      </c>
      <c r="O18" s="13"/>
      <c r="P18" s="13"/>
      <c r="Q18" s="61"/>
      <c r="R18" s="61"/>
      <c r="S18" s="94">
        <f t="shared" si="9"/>
        <v>1</v>
      </c>
      <c r="T18" s="2" t="str">
        <f t="shared" si="10"/>
        <v>NorthBound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05:30:55-0600',mode:absolute,to:'2016-05-29 06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8" s="73" t="str">
        <f t="shared" si="4"/>
        <v>N</v>
      </c>
      <c r="Y18" s="73">
        <f t="shared" si="5"/>
        <v>1</v>
      </c>
      <c r="Z18" s="73">
        <f t="shared" si="6"/>
        <v>4.5100000000000001E-2</v>
      </c>
      <c r="AA18" s="73">
        <f t="shared" si="7"/>
        <v>23.33</v>
      </c>
      <c r="AB18" s="73">
        <f t="shared" si="8"/>
        <v>23.284899999999997</v>
      </c>
      <c r="AC18" s="74">
        <f>VLOOKUP(A18,Enforcements!$C$3:$J$60,8,0)</f>
        <v>20338</v>
      </c>
      <c r="AD18" s="74" t="str">
        <f>VLOOKUP(A18,Enforcements!$C$3:$J$60,3,0)</f>
        <v>PERMANENT SPEED RESTRICTION</v>
      </c>
    </row>
    <row r="19" spans="1:30" s="2" customFormat="1" x14ac:dyDescent="0.25">
      <c r="A19" s="60" t="s">
        <v>208</v>
      </c>
      <c r="B19" s="60">
        <v>4032</v>
      </c>
      <c r="C19" s="60" t="s">
        <v>65</v>
      </c>
      <c r="D19" s="60" t="s">
        <v>209</v>
      </c>
      <c r="E19" s="30">
        <v>42519.271539351852</v>
      </c>
      <c r="F19" s="30">
        <v>42519.272696759261</v>
      </c>
      <c r="G19" s="38">
        <v>1</v>
      </c>
      <c r="H19" s="30" t="s">
        <v>88</v>
      </c>
      <c r="I19" s="30">
        <v>42519.305717592593</v>
      </c>
      <c r="J19" s="60">
        <v>0</v>
      </c>
      <c r="K19" s="60" t="str">
        <f t="shared" si="0"/>
        <v>4031/4032</v>
      </c>
      <c r="L19" s="60" t="str">
        <f>VLOOKUP(A19,'Trips&amp;Operators'!$C$1:$E$9999,3,FALSE)</f>
        <v>NELSON</v>
      </c>
      <c r="M19" s="12">
        <f t="shared" si="1"/>
        <v>3.3020833332557231E-2</v>
      </c>
      <c r="N19" s="13">
        <f t="shared" si="2"/>
        <v>47.549999998882413</v>
      </c>
      <c r="O19" s="13"/>
      <c r="P19" s="13"/>
      <c r="Q19" s="61"/>
      <c r="R19" s="61"/>
      <c r="S19" s="94">
        <f t="shared" si="9"/>
        <v>1</v>
      </c>
      <c r="T19" s="2" t="str">
        <f t="shared" si="10"/>
        <v>Southbound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06:30:01-0600',mode:absolute,to:'2016-05-29 07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9" s="73" t="str">
        <f t="shared" si="4"/>
        <v>N</v>
      </c>
      <c r="Y19" s="73">
        <f t="shared" si="5"/>
        <v>1</v>
      </c>
      <c r="Z19" s="73">
        <f t="shared" si="6"/>
        <v>23.2987</v>
      </c>
      <c r="AA19" s="73">
        <f t="shared" si="7"/>
        <v>1.47E-2</v>
      </c>
      <c r="AB19" s="73">
        <f t="shared" si="8"/>
        <v>23.283999999999999</v>
      </c>
      <c r="AC19" s="74" t="e">
        <f>VLOOKUP(A19,Enforcements!$C$3:$J$60,8,0)</f>
        <v>#N/A</v>
      </c>
      <c r="AD19" s="74" t="e">
        <f>VLOOKUP(A19,Enforcements!$C$3:$J$60,3,0)</f>
        <v>#N/A</v>
      </c>
    </row>
    <row r="20" spans="1:30" s="2" customFormat="1" x14ac:dyDescent="0.25">
      <c r="A20" s="60" t="s">
        <v>210</v>
      </c>
      <c r="B20" s="60">
        <v>4044</v>
      </c>
      <c r="C20" s="60" t="s">
        <v>65</v>
      </c>
      <c r="D20" s="60" t="s">
        <v>211</v>
      </c>
      <c r="E20" s="30">
        <v>42519.263321759259</v>
      </c>
      <c r="F20" s="30">
        <v>42519.264317129629</v>
      </c>
      <c r="G20" s="38">
        <v>1</v>
      </c>
      <c r="H20" s="30" t="s">
        <v>212</v>
      </c>
      <c r="I20" s="30">
        <v>42519.264884259261</v>
      </c>
      <c r="J20" s="60">
        <v>1</v>
      </c>
      <c r="K20" s="60" t="str">
        <f t="shared" si="0"/>
        <v>4043/4044</v>
      </c>
      <c r="L20" s="60" t="str">
        <f>VLOOKUP(A20,'Trips&amp;Operators'!$C$1:$E$9999,3,FALSE)</f>
        <v>LEDERHAUSE</v>
      </c>
      <c r="M20" s="12">
        <f t="shared" si="1"/>
        <v>5.671296312357299E-4</v>
      </c>
      <c r="N20" s="13"/>
      <c r="O20" s="13"/>
      <c r="P20" s="13">
        <f>24*60*SUM($M20:$M20)</f>
        <v>0.81666666897945106</v>
      </c>
      <c r="Q20" s="61" t="s">
        <v>394</v>
      </c>
      <c r="R20" s="61" t="s">
        <v>396</v>
      </c>
      <c r="S20" s="94">
        <f t="shared" si="9"/>
        <v>0</v>
      </c>
      <c r="T20" s="2" t="str">
        <f t="shared" si="10"/>
        <v>NorthBound</v>
      </c>
      <c r="U20" s="67">
        <f>COUNTIFS([2]Variables!$M$2:$M$19,IF(T20="NorthBound","&gt;=","&lt;=")&amp;Z20,[2]Variables!$M$2:$M$19,IF(T20="NorthBound","&lt;=","&gt;=")&amp;AA20)</f>
        <v>0</v>
      </c>
      <c r="W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06:18:11-0600',mode:absolute,to:'2016-05-29 06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0" s="73" t="str">
        <f t="shared" si="4"/>
        <v>Y</v>
      </c>
      <c r="Y20" s="73">
        <f t="shared" si="5"/>
        <v>1</v>
      </c>
      <c r="Z20" s="73">
        <f t="shared" si="6"/>
        <v>9.8910999999999998</v>
      </c>
      <c r="AA20" s="73">
        <f t="shared" si="7"/>
        <v>10.035500000000001</v>
      </c>
      <c r="AB20" s="73">
        <f t="shared" si="8"/>
        <v>0.14440000000000097</v>
      </c>
      <c r="AC20" s="74">
        <f>VLOOKUP(A20,Enforcements!$C$3:$J$60,8,0)</f>
        <v>95978</v>
      </c>
      <c r="AD20" s="74" t="str">
        <f>VLOOKUP(A20,Enforcements!$C$3:$J$60,3,0)</f>
        <v>SIGNAL</v>
      </c>
    </row>
    <row r="21" spans="1:30" s="2" customFormat="1" x14ac:dyDescent="0.25">
      <c r="A21" s="60" t="s">
        <v>213</v>
      </c>
      <c r="B21" s="60">
        <v>4043</v>
      </c>
      <c r="C21" s="60" t="s">
        <v>65</v>
      </c>
      <c r="D21" s="60" t="s">
        <v>119</v>
      </c>
      <c r="E21" s="30">
        <v>42519.284375000003</v>
      </c>
      <c r="F21" s="30">
        <v>42519.285231481481</v>
      </c>
      <c r="G21" s="38">
        <v>1</v>
      </c>
      <c r="H21" s="30" t="s">
        <v>145</v>
      </c>
      <c r="I21" s="30">
        <v>42519.315034722225</v>
      </c>
      <c r="J21" s="60">
        <v>0</v>
      </c>
      <c r="K21" s="60" t="str">
        <f t="shared" si="0"/>
        <v>4043/4044</v>
      </c>
      <c r="L21" s="60" t="str">
        <f>VLOOKUP(A21,'Trips&amp;Operators'!$C$1:$E$9999,3,FALSE)</f>
        <v>LEDERHAUSE</v>
      </c>
      <c r="M21" s="12">
        <f t="shared" si="1"/>
        <v>2.980324074451346E-2</v>
      </c>
      <c r="N21" s="13">
        <f t="shared" ref="N21:N54" si="11">24*60*SUM($M21:$M21)</f>
        <v>42.916666672099382</v>
      </c>
      <c r="O21" s="13"/>
      <c r="P21" s="13"/>
      <c r="Q21" s="61"/>
      <c r="R21" s="61"/>
      <c r="S21" s="94">
        <f t="shared" si="9"/>
        <v>1</v>
      </c>
      <c r="T21" s="2" t="str">
        <f t="shared" si="10"/>
        <v>Southbound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06:48:30-0600',mode:absolute,to:'2016-05-29 07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1" s="73" t="str">
        <f t="shared" si="4"/>
        <v>N</v>
      </c>
      <c r="Y21" s="73">
        <f t="shared" si="5"/>
        <v>1</v>
      </c>
      <c r="Z21" s="73">
        <f t="shared" si="6"/>
        <v>23.297699999999999</v>
      </c>
      <c r="AA21" s="73">
        <f t="shared" si="7"/>
        <v>1.3899999999999999E-2</v>
      </c>
      <c r="AB21" s="73">
        <f t="shared" si="8"/>
        <v>23.283799999999999</v>
      </c>
      <c r="AC21" s="74" t="e">
        <f>VLOOKUP(A21,Enforcements!$C$3:$J$60,8,0)</f>
        <v>#N/A</v>
      </c>
      <c r="AD21" s="74" t="e">
        <f>VLOOKUP(A21,Enforcements!$C$3:$J$60,3,0)</f>
        <v>#N/A</v>
      </c>
    </row>
    <row r="22" spans="1:30" s="2" customFormat="1" x14ac:dyDescent="0.25">
      <c r="A22" s="60" t="s">
        <v>214</v>
      </c>
      <c r="B22" s="60">
        <v>4011</v>
      </c>
      <c r="C22" s="60" t="s">
        <v>65</v>
      </c>
      <c r="D22" s="60" t="s">
        <v>215</v>
      </c>
      <c r="E22" s="30">
        <v>42519.257592592592</v>
      </c>
      <c r="F22" s="30">
        <v>42519.258530092593</v>
      </c>
      <c r="G22" s="38">
        <v>1</v>
      </c>
      <c r="H22" s="30" t="s">
        <v>98</v>
      </c>
      <c r="I22" s="30">
        <v>42519.28534722222</v>
      </c>
      <c r="J22" s="60">
        <v>0</v>
      </c>
      <c r="K22" s="60" t="str">
        <f t="shared" si="0"/>
        <v>4011/4012</v>
      </c>
      <c r="L22" s="60" t="str">
        <f>VLOOKUP(A22,'Trips&amp;Operators'!$C$1:$E$9999,3,FALSE)</f>
        <v>SANTIZO</v>
      </c>
      <c r="M22" s="12">
        <f t="shared" si="1"/>
        <v>2.6817129626579117E-2</v>
      </c>
      <c r="N22" s="13">
        <f t="shared" si="11"/>
        <v>38.616666662273929</v>
      </c>
      <c r="O22" s="13"/>
      <c r="P22" s="13"/>
      <c r="Q22" s="61"/>
      <c r="R22" s="61"/>
      <c r="S22" s="94">
        <f t="shared" si="9"/>
        <v>1</v>
      </c>
      <c r="T22" s="2" t="str">
        <f t="shared" si="10"/>
        <v>NorthBound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06:09:56-0600',mode:absolute,to:'2016-05-29 06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2" s="73" t="str">
        <f t="shared" si="4"/>
        <v>N</v>
      </c>
      <c r="Y22" s="73">
        <f t="shared" si="5"/>
        <v>1</v>
      </c>
      <c r="Z22" s="73">
        <f t="shared" si="6"/>
        <v>4.8399999999999999E-2</v>
      </c>
      <c r="AA22" s="73">
        <f t="shared" si="7"/>
        <v>23.3306</v>
      </c>
      <c r="AB22" s="73">
        <f t="shared" si="8"/>
        <v>23.2822</v>
      </c>
      <c r="AC22" s="74" t="e">
        <f>VLOOKUP(A22,Enforcements!$C$3:$J$60,8,0)</f>
        <v>#N/A</v>
      </c>
      <c r="AD22" s="74" t="e">
        <f>VLOOKUP(A22,Enforcements!$C$3:$J$60,3,0)</f>
        <v>#N/A</v>
      </c>
    </row>
    <row r="23" spans="1:30" s="2" customFormat="1" x14ac:dyDescent="0.25">
      <c r="A23" s="60" t="s">
        <v>216</v>
      </c>
      <c r="B23" s="60">
        <v>4012</v>
      </c>
      <c r="C23" s="60" t="s">
        <v>65</v>
      </c>
      <c r="D23" s="60" t="s">
        <v>118</v>
      </c>
      <c r="E23" s="30">
        <v>42519.297337962962</v>
      </c>
      <c r="F23" s="30">
        <v>42519.298437500001</v>
      </c>
      <c r="G23" s="38">
        <v>1</v>
      </c>
      <c r="H23" s="30" t="s">
        <v>76</v>
      </c>
      <c r="I23" s="30">
        <v>42519.325289351851</v>
      </c>
      <c r="J23" s="60">
        <v>0</v>
      </c>
      <c r="K23" s="60" t="str">
        <f t="shared" si="0"/>
        <v>4011/4012</v>
      </c>
      <c r="L23" s="60" t="str">
        <f>VLOOKUP(A23,'Trips&amp;Operators'!$C$1:$E$9999,3,FALSE)</f>
        <v>SANTIZO</v>
      </c>
      <c r="M23" s="12">
        <f t="shared" si="1"/>
        <v>2.6851851849642117E-2</v>
      </c>
      <c r="N23" s="13">
        <f t="shared" si="11"/>
        <v>38.666666663484648</v>
      </c>
      <c r="O23" s="13"/>
      <c r="P23" s="13"/>
      <c r="Q23" s="61"/>
      <c r="R23" s="61"/>
      <c r="S23" s="94">
        <f t="shared" si="9"/>
        <v>1</v>
      </c>
      <c r="T23" s="2" t="str">
        <f t="shared" si="10"/>
        <v>Southbound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07:07:10-0600',mode:absolute,to:'2016-05-29 07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3" s="73" t="str">
        <f t="shared" si="4"/>
        <v>N</v>
      </c>
      <c r="Y23" s="73">
        <f t="shared" si="5"/>
        <v>1</v>
      </c>
      <c r="Z23" s="73">
        <f t="shared" si="6"/>
        <v>23.299299999999999</v>
      </c>
      <c r="AA23" s="73">
        <f t="shared" si="7"/>
        <v>1.52E-2</v>
      </c>
      <c r="AB23" s="73">
        <f t="shared" si="8"/>
        <v>23.284099999999999</v>
      </c>
      <c r="AC23" s="74" t="e">
        <f>VLOOKUP(A23,Enforcements!$C$3:$J$60,8,0)</f>
        <v>#N/A</v>
      </c>
      <c r="AD23" s="74" t="e">
        <f>VLOOKUP(A23,Enforcements!$C$3:$J$60,3,0)</f>
        <v>#N/A</v>
      </c>
    </row>
    <row r="24" spans="1:30" s="2" customFormat="1" x14ac:dyDescent="0.25">
      <c r="A24" s="60" t="s">
        <v>217</v>
      </c>
      <c r="B24" s="60">
        <v>4040</v>
      </c>
      <c r="C24" s="60" t="s">
        <v>65</v>
      </c>
      <c r="D24" s="60" t="s">
        <v>215</v>
      </c>
      <c r="E24" s="30">
        <v>42519.269189814811</v>
      </c>
      <c r="F24" s="30">
        <v>42519.270266203705</v>
      </c>
      <c r="G24" s="38">
        <v>1</v>
      </c>
      <c r="H24" s="30" t="s">
        <v>172</v>
      </c>
      <c r="I24" s="30">
        <v>42519.297175925924</v>
      </c>
      <c r="J24" s="60">
        <v>0</v>
      </c>
      <c r="K24" s="60" t="str">
        <f t="shared" si="0"/>
        <v>4039/4040</v>
      </c>
      <c r="L24" s="60" t="str">
        <f>VLOOKUP(A24,'Trips&amp;Operators'!$C$1:$E$9999,3,FALSE)</f>
        <v>MALAVE</v>
      </c>
      <c r="M24" s="12">
        <f t="shared" si="1"/>
        <v>2.6909722218988463E-2</v>
      </c>
      <c r="N24" s="13">
        <f t="shared" si="11"/>
        <v>38.749999995343387</v>
      </c>
      <c r="O24" s="13"/>
      <c r="P24" s="13"/>
      <c r="Q24" s="61"/>
      <c r="R24" s="61"/>
      <c r="S24" s="94">
        <f t="shared" si="9"/>
        <v>1</v>
      </c>
      <c r="T24" s="2" t="str">
        <f t="shared" si="10"/>
        <v>NorthBound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06:26:38-0600',mode:absolute,to:'2016-05-29 07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4" s="73" t="str">
        <f t="shared" si="4"/>
        <v>N</v>
      </c>
      <c r="Y24" s="73">
        <f t="shared" si="5"/>
        <v>1</v>
      </c>
      <c r="Z24" s="73">
        <f t="shared" si="6"/>
        <v>4.8399999999999999E-2</v>
      </c>
      <c r="AA24" s="73">
        <f t="shared" si="7"/>
        <v>23.329699999999999</v>
      </c>
      <c r="AB24" s="73">
        <f t="shared" si="8"/>
        <v>23.281299999999998</v>
      </c>
      <c r="AC24" s="74" t="e">
        <f>VLOOKUP(A24,Enforcements!$C$3:$J$60,8,0)</f>
        <v>#N/A</v>
      </c>
      <c r="AD24" s="74" t="e">
        <f>VLOOKUP(A24,Enforcements!$C$3:$J$60,3,0)</f>
        <v>#N/A</v>
      </c>
    </row>
    <row r="25" spans="1:30" s="2" customFormat="1" x14ac:dyDescent="0.25">
      <c r="A25" s="60" t="s">
        <v>218</v>
      </c>
      <c r="B25" s="60">
        <v>4039</v>
      </c>
      <c r="C25" s="60" t="s">
        <v>65</v>
      </c>
      <c r="D25" s="60" t="s">
        <v>85</v>
      </c>
      <c r="E25" s="30">
        <v>42519.307638888888</v>
      </c>
      <c r="F25" s="30">
        <v>42519.309872685182</v>
      </c>
      <c r="G25" s="38">
        <v>3</v>
      </c>
      <c r="H25" s="30" t="s">
        <v>151</v>
      </c>
      <c r="I25" s="30">
        <v>42519.335810185185</v>
      </c>
      <c r="J25" s="60">
        <v>0</v>
      </c>
      <c r="K25" s="60" t="str">
        <f t="shared" si="0"/>
        <v>4039/4040</v>
      </c>
      <c r="L25" s="60" t="str">
        <f>VLOOKUP(A25,'Trips&amp;Operators'!$C$1:$E$9999,3,FALSE)</f>
        <v>MALAVE</v>
      </c>
      <c r="M25" s="12">
        <f t="shared" si="1"/>
        <v>2.5937500002328306E-2</v>
      </c>
      <c r="N25" s="13">
        <f t="shared" si="11"/>
        <v>37.350000003352761</v>
      </c>
      <c r="O25" s="13"/>
      <c r="P25" s="13"/>
      <c r="Q25" s="61"/>
      <c r="R25" s="61"/>
      <c r="S25" s="94">
        <f t="shared" si="9"/>
        <v>1</v>
      </c>
      <c r="T25" s="2" t="str">
        <f t="shared" si="10"/>
        <v>Southbound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07:22:00-0600',mode:absolute,to:'2016-05-29 08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5" s="73" t="str">
        <f t="shared" si="4"/>
        <v>N</v>
      </c>
      <c r="Y25" s="73">
        <f t="shared" si="5"/>
        <v>1</v>
      </c>
      <c r="Z25" s="73">
        <f t="shared" si="6"/>
        <v>23.297499999999999</v>
      </c>
      <c r="AA25" s="73">
        <f t="shared" si="7"/>
        <v>1.41E-2</v>
      </c>
      <c r="AB25" s="73">
        <f t="shared" si="8"/>
        <v>23.2834</v>
      </c>
      <c r="AC25" s="74" t="e">
        <f>VLOOKUP(A25,Enforcements!$C$3:$J$60,8,0)</f>
        <v>#N/A</v>
      </c>
      <c r="AD25" s="74" t="e">
        <f>VLOOKUP(A25,Enforcements!$C$3:$J$60,3,0)</f>
        <v>#N/A</v>
      </c>
    </row>
    <row r="26" spans="1:30" s="2" customFormat="1" x14ac:dyDescent="0.25">
      <c r="A26" s="60" t="s">
        <v>219</v>
      </c>
      <c r="B26" s="60">
        <v>4038</v>
      </c>
      <c r="C26" s="60" t="s">
        <v>65</v>
      </c>
      <c r="D26" s="60" t="s">
        <v>73</v>
      </c>
      <c r="E26" s="30">
        <v>42519.278668981482</v>
      </c>
      <c r="F26" s="30">
        <v>42519.279618055552</v>
      </c>
      <c r="G26" s="38">
        <v>1</v>
      </c>
      <c r="H26" s="30" t="s">
        <v>220</v>
      </c>
      <c r="I26" s="30">
        <v>42519.306435185186</v>
      </c>
      <c r="J26" s="60">
        <v>0</v>
      </c>
      <c r="K26" s="60" t="str">
        <f t="shared" si="0"/>
        <v>4037/4038</v>
      </c>
      <c r="L26" s="60" t="str">
        <f>VLOOKUP(A26,'Trips&amp;Operators'!$C$1:$E$9999,3,FALSE)</f>
        <v>GEBRETEKLE</v>
      </c>
      <c r="M26" s="12">
        <f t="shared" si="1"/>
        <v>2.6817129633855075E-2</v>
      </c>
      <c r="N26" s="13">
        <f t="shared" si="11"/>
        <v>38.616666672751307</v>
      </c>
      <c r="O26" s="13"/>
      <c r="P26" s="13"/>
      <c r="Q26" s="61"/>
      <c r="R26" s="61"/>
      <c r="S26" s="94">
        <f t="shared" si="9"/>
        <v>1</v>
      </c>
      <c r="T26" s="2" t="str">
        <f t="shared" si="10"/>
        <v>NorthBound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06:40:17-0600',mode:absolute,to:'2016-05-29 07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6" s="73" t="str">
        <f t="shared" si="4"/>
        <v>N</v>
      </c>
      <c r="Y26" s="73">
        <f t="shared" si="5"/>
        <v>1</v>
      </c>
      <c r="Z26" s="73">
        <f t="shared" si="6"/>
        <v>4.5499999999999999E-2</v>
      </c>
      <c r="AA26" s="73">
        <f t="shared" si="7"/>
        <v>23.332699999999999</v>
      </c>
      <c r="AB26" s="73">
        <f t="shared" si="8"/>
        <v>23.287199999999999</v>
      </c>
      <c r="AC26" s="74" t="e">
        <f>VLOOKUP(A26,Enforcements!$C$3:$J$60,8,0)</f>
        <v>#N/A</v>
      </c>
      <c r="AD26" s="74" t="e">
        <f>VLOOKUP(A26,Enforcements!$C$3:$J$60,3,0)</f>
        <v>#N/A</v>
      </c>
    </row>
    <row r="27" spans="1:30" s="2" customFormat="1" x14ac:dyDescent="0.25">
      <c r="A27" s="60" t="s">
        <v>221</v>
      </c>
      <c r="B27" s="60">
        <v>4037</v>
      </c>
      <c r="C27" s="60" t="s">
        <v>65</v>
      </c>
      <c r="D27" s="60" t="s">
        <v>155</v>
      </c>
      <c r="E27" s="30">
        <v>42519.315486111111</v>
      </c>
      <c r="F27" s="30">
        <v>42519.31653935185</v>
      </c>
      <c r="G27" s="38">
        <v>1</v>
      </c>
      <c r="H27" s="30" t="s">
        <v>145</v>
      </c>
      <c r="I27" s="30">
        <v>42519.345543981479</v>
      </c>
      <c r="J27" s="60">
        <v>0</v>
      </c>
      <c r="K27" s="60" t="str">
        <f t="shared" si="0"/>
        <v>4037/4038</v>
      </c>
      <c r="L27" s="60" t="str">
        <f>VLOOKUP(A27,'Trips&amp;Operators'!$C$1:$E$9999,3,FALSE)</f>
        <v>GEBRETEKLE</v>
      </c>
      <c r="M27" s="12">
        <f t="shared" si="1"/>
        <v>2.9004629628616385E-2</v>
      </c>
      <c r="N27" s="13">
        <f t="shared" si="11"/>
        <v>41.766666665207595</v>
      </c>
      <c r="O27" s="13"/>
      <c r="P27" s="13"/>
      <c r="Q27" s="61"/>
      <c r="R27" s="61"/>
      <c r="S27" s="94">
        <f t="shared" si="9"/>
        <v>1</v>
      </c>
      <c r="T27" s="2" t="str">
        <f t="shared" si="10"/>
        <v>Southbound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07:33:18-0600',mode:absolute,to:'2016-05-29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7" s="73" t="str">
        <f t="shared" si="4"/>
        <v>N</v>
      </c>
      <c r="Y27" s="73">
        <f t="shared" si="5"/>
        <v>1</v>
      </c>
      <c r="Z27" s="73">
        <f t="shared" si="6"/>
        <v>23.300799999999999</v>
      </c>
      <c r="AA27" s="73">
        <f t="shared" si="7"/>
        <v>1.3899999999999999E-2</v>
      </c>
      <c r="AB27" s="73">
        <f t="shared" si="8"/>
        <v>23.286899999999999</v>
      </c>
      <c r="AC27" s="74" t="e">
        <f>VLOOKUP(A27,Enforcements!$C$3:$J$60,8,0)</f>
        <v>#N/A</v>
      </c>
      <c r="AD27" s="74" t="e">
        <f>VLOOKUP(A27,Enforcements!$C$3:$J$60,3,0)</f>
        <v>#N/A</v>
      </c>
    </row>
    <row r="28" spans="1:30" s="2" customFormat="1" x14ac:dyDescent="0.25">
      <c r="A28" s="60" t="s">
        <v>222</v>
      </c>
      <c r="B28" s="60">
        <v>4042</v>
      </c>
      <c r="C28" s="60" t="s">
        <v>65</v>
      </c>
      <c r="D28" s="60" t="s">
        <v>91</v>
      </c>
      <c r="E28" s="30">
        <v>42519.288738425923</v>
      </c>
      <c r="F28" s="30">
        <v>42519.289641203701</v>
      </c>
      <c r="G28" s="38">
        <v>1</v>
      </c>
      <c r="H28" s="30" t="s">
        <v>223</v>
      </c>
      <c r="I28" s="30">
        <v>42519.316655092596</v>
      </c>
      <c r="J28" s="60">
        <v>1</v>
      </c>
      <c r="K28" s="60" t="str">
        <f t="shared" si="0"/>
        <v>4041/4042</v>
      </c>
      <c r="L28" s="60" t="str">
        <f>VLOOKUP(A28,'Trips&amp;Operators'!$C$1:$E$9999,3,FALSE)</f>
        <v>LEVIN</v>
      </c>
      <c r="M28" s="12">
        <f t="shared" si="1"/>
        <v>2.701388889545342E-2</v>
      </c>
      <c r="N28" s="13">
        <f t="shared" si="11"/>
        <v>38.900000009452924</v>
      </c>
      <c r="O28" s="13"/>
      <c r="P28" s="13"/>
      <c r="Q28" s="61"/>
      <c r="R28" s="61"/>
      <c r="S28" s="94">
        <f t="shared" si="9"/>
        <v>1</v>
      </c>
      <c r="T28" s="2" t="str">
        <f t="shared" si="10"/>
        <v>NorthBound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06:54:47-0600',mode:absolute,to:'2016-05-29 07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28" s="73" t="str">
        <f t="shared" si="4"/>
        <v>N</v>
      </c>
      <c r="Y28" s="73">
        <f t="shared" si="5"/>
        <v>1</v>
      </c>
      <c r="Z28" s="73">
        <f t="shared" si="6"/>
        <v>4.6699999999999998E-2</v>
      </c>
      <c r="AA28" s="73">
        <f t="shared" si="7"/>
        <v>23.314399999999999</v>
      </c>
      <c r="AB28" s="73">
        <f t="shared" si="8"/>
        <v>23.267699999999998</v>
      </c>
      <c r="AC28" s="74">
        <f>VLOOKUP(A28,Enforcements!$C$3:$J$60,8,0)</f>
        <v>233491</v>
      </c>
      <c r="AD28" s="74" t="str">
        <f>VLOOKUP(A28,Enforcements!$C$3:$J$60,3,0)</f>
        <v>TRACK WARRANT AUTHORITY</v>
      </c>
    </row>
    <row r="29" spans="1:30" s="2" customFormat="1" x14ac:dyDescent="0.25">
      <c r="A29" s="60" t="s">
        <v>224</v>
      </c>
      <c r="B29" s="60">
        <v>4041</v>
      </c>
      <c r="C29" s="60" t="s">
        <v>65</v>
      </c>
      <c r="D29" s="60" t="s">
        <v>225</v>
      </c>
      <c r="E29" s="30">
        <v>42519.323263888888</v>
      </c>
      <c r="F29" s="30">
        <v>42519.324664351851</v>
      </c>
      <c r="G29" s="38">
        <v>2</v>
      </c>
      <c r="H29" s="30" t="s">
        <v>79</v>
      </c>
      <c r="I29" s="30">
        <v>42519.355798611112</v>
      </c>
      <c r="J29" s="60">
        <v>0</v>
      </c>
      <c r="K29" s="60" t="str">
        <f t="shared" si="0"/>
        <v>4041/4042</v>
      </c>
      <c r="L29" s="60" t="str">
        <f>VLOOKUP(A29,'Trips&amp;Operators'!$C$1:$E$9999,3,FALSE)</f>
        <v>LEVIN</v>
      </c>
      <c r="M29" s="12">
        <f t="shared" si="1"/>
        <v>3.1134259261307307E-2</v>
      </c>
      <c r="N29" s="13">
        <f t="shared" si="11"/>
        <v>44.833333336282521</v>
      </c>
      <c r="O29" s="13"/>
      <c r="P29" s="13"/>
      <c r="Q29" s="61"/>
      <c r="R29" s="61"/>
      <c r="S29" s="94">
        <f t="shared" si="9"/>
        <v>1</v>
      </c>
      <c r="T29" s="2" t="str">
        <f t="shared" si="10"/>
        <v>Southbound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07:44:30-0600',mode:absolute,to:'2016-05-29 08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9" s="73" t="str">
        <f t="shared" si="4"/>
        <v>N</v>
      </c>
      <c r="Y29" s="73">
        <f t="shared" si="5"/>
        <v>1</v>
      </c>
      <c r="Z29" s="73">
        <f t="shared" si="6"/>
        <v>23.281700000000001</v>
      </c>
      <c r="AA29" s="73">
        <f t="shared" si="7"/>
        <v>1.61E-2</v>
      </c>
      <c r="AB29" s="73">
        <f t="shared" si="8"/>
        <v>23.265599999999999</v>
      </c>
      <c r="AC29" s="74" t="e">
        <f>VLOOKUP(A29,Enforcements!$C$3:$J$60,8,0)</f>
        <v>#N/A</v>
      </c>
      <c r="AD29" s="74" t="e">
        <f>VLOOKUP(A29,Enforcements!$C$3:$J$60,3,0)</f>
        <v>#N/A</v>
      </c>
    </row>
    <row r="30" spans="1:30" s="2" customFormat="1" x14ac:dyDescent="0.25">
      <c r="A30" s="60" t="s">
        <v>226</v>
      </c>
      <c r="B30" s="60">
        <v>4020</v>
      </c>
      <c r="C30" s="60" t="s">
        <v>65</v>
      </c>
      <c r="D30" s="60" t="s">
        <v>167</v>
      </c>
      <c r="E30" s="30">
        <v>42519.298437500001</v>
      </c>
      <c r="F30" s="30">
        <v>42519.299560185187</v>
      </c>
      <c r="G30" s="38">
        <v>1</v>
      </c>
      <c r="H30" s="30" t="s">
        <v>98</v>
      </c>
      <c r="I30" s="30">
        <v>42519.326817129629</v>
      </c>
      <c r="J30" s="60">
        <v>0</v>
      </c>
      <c r="K30" s="60" t="str">
        <f t="shared" si="0"/>
        <v>4019/4020</v>
      </c>
      <c r="L30" s="60" t="str">
        <f>VLOOKUP(A30,'Trips&amp;Operators'!$C$1:$E$9999,3,FALSE)</f>
        <v>GOODNIGHT</v>
      </c>
      <c r="M30" s="12">
        <f t="shared" si="1"/>
        <v>2.7256944442342501E-2</v>
      </c>
      <c r="N30" s="13">
        <f t="shared" si="11"/>
        <v>39.249999996973202</v>
      </c>
      <c r="O30" s="13"/>
      <c r="P30" s="13"/>
      <c r="Q30" s="61"/>
      <c r="R30" s="61"/>
      <c r="S30" s="94">
        <f t="shared" si="9"/>
        <v>1</v>
      </c>
      <c r="T30" s="2" t="str">
        <f t="shared" si="10"/>
        <v>NorthBound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07:08:45-0600',mode:absolute,to:'2016-05-29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0" s="73" t="str">
        <f t="shared" si="4"/>
        <v>N</v>
      </c>
      <c r="Y30" s="73">
        <f t="shared" si="5"/>
        <v>1</v>
      </c>
      <c r="Z30" s="73">
        <f t="shared" si="6"/>
        <v>4.7300000000000002E-2</v>
      </c>
      <c r="AA30" s="73">
        <f t="shared" si="7"/>
        <v>23.3306</v>
      </c>
      <c r="AB30" s="73">
        <f t="shared" si="8"/>
        <v>23.283300000000001</v>
      </c>
      <c r="AC30" s="74" t="e">
        <f>VLOOKUP(A30,Enforcements!$C$3:$J$60,8,0)</f>
        <v>#N/A</v>
      </c>
      <c r="AD30" s="74" t="e">
        <f>VLOOKUP(A30,Enforcements!$C$3:$J$60,3,0)</f>
        <v>#N/A</v>
      </c>
    </row>
    <row r="31" spans="1:30" s="2" customFormat="1" x14ac:dyDescent="0.25">
      <c r="A31" s="60" t="s">
        <v>227</v>
      </c>
      <c r="B31" s="60">
        <v>4019</v>
      </c>
      <c r="C31" s="60" t="s">
        <v>65</v>
      </c>
      <c r="D31" s="60" t="s">
        <v>132</v>
      </c>
      <c r="E31" s="30">
        <v>42519.336400462962</v>
      </c>
      <c r="F31" s="30">
        <v>42519.337222222224</v>
      </c>
      <c r="G31" s="38">
        <v>1</v>
      </c>
      <c r="H31" s="30" t="s">
        <v>70</v>
      </c>
      <c r="I31" s="30">
        <v>42519.366585648146</v>
      </c>
      <c r="J31" s="60">
        <v>0</v>
      </c>
      <c r="K31" s="60" t="str">
        <f t="shared" si="0"/>
        <v>4019/4020</v>
      </c>
      <c r="L31" s="60" t="str">
        <f>VLOOKUP(A31,'Trips&amp;Operators'!$C$1:$E$9999,3,FALSE)</f>
        <v>GOODNIGHT</v>
      </c>
      <c r="M31" s="12">
        <f t="shared" si="1"/>
        <v>2.9363425921474118E-2</v>
      </c>
      <c r="N31" s="13">
        <f t="shared" si="11"/>
        <v>42.28333332692273</v>
      </c>
      <c r="O31" s="13"/>
      <c r="P31" s="13"/>
      <c r="Q31" s="61"/>
      <c r="R31" s="61"/>
      <c r="S31" s="94">
        <f t="shared" si="9"/>
        <v>1</v>
      </c>
      <c r="T31" s="2" t="str">
        <f t="shared" si="10"/>
        <v>Southbound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08:03:25-0600',mode:absolute,to:'2016-05-29 08:48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1" s="73" t="str">
        <f t="shared" si="4"/>
        <v>N</v>
      </c>
      <c r="Y31" s="73">
        <f t="shared" si="5"/>
        <v>1</v>
      </c>
      <c r="Z31" s="73">
        <f t="shared" si="6"/>
        <v>23.299099999999999</v>
      </c>
      <c r="AA31" s="73">
        <f t="shared" si="7"/>
        <v>1.4500000000000001E-2</v>
      </c>
      <c r="AB31" s="73">
        <f t="shared" si="8"/>
        <v>23.284599999999998</v>
      </c>
      <c r="AC31" s="74" t="e">
        <f>VLOOKUP(A31,Enforcements!$C$3:$J$60,8,0)</f>
        <v>#N/A</v>
      </c>
      <c r="AD31" s="74" t="e">
        <f>VLOOKUP(A31,Enforcements!$C$3:$J$60,3,0)</f>
        <v>#N/A</v>
      </c>
    </row>
    <row r="32" spans="1:30" s="2" customFormat="1" x14ac:dyDescent="0.25">
      <c r="A32" s="60" t="s">
        <v>228</v>
      </c>
      <c r="B32" s="60">
        <v>4031</v>
      </c>
      <c r="C32" s="60" t="s">
        <v>65</v>
      </c>
      <c r="D32" s="60" t="s">
        <v>78</v>
      </c>
      <c r="E32" s="30">
        <v>42519.308252314811</v>
      </c>
      <c r="F32" s="30">
        <v>42519.309432870374</v>
      </c>
      <c r="G32" s="38">
        <v>1</v>
      </c>
      <c r="H32" s="30" t="s">
        <v>229</v>
      </c>
      <c r="I32" s="30">
        <v>42519.337870370371</v>
      </c>
      <c r="J32" s="60">
        <v>0</v>
      </c>
      <c r="K32" s="60" t="str">
        <f t="shared" si="0"/>
        <v>4031/4032</v>
      </c>
      <c r="L32" s="60" t="str">
        <f>VLOOKUP(A32,'Trips&amp;Operators'!$C$1:$E$9999,3,FALSE)</f>
        <v>NELSON</v>
      </c>
      <c r="M32" s="12">
        <f t="shared" si="1"/>
        <v>2.8437499997380655E-2</v>
      </c>
      <c r="N32" s="13">
        <f t="shared" si="11"/>
        <v>40.949999996228144</v>
      </c>
      <c r="O32" s="13"/>
      <c r="P32" s="13"/>
      <c r="Q32" s="61"/>
      <c r="R32" s="61"/>
      <c r="S32" s="94">
        <f t="shared" si="9"/>
        <v>1</v>
      </c>
      <c r="T32" s="2" t="str">
        <f t="shared" si="10"/>
        <v>NorthBound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07:22:53-0600',mode:absolute,to:'2016-05-29 08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2" s="73" t="str">
        <f t="shared" si="4"/>
        <v>N</v>
      </c>
      <c r="Y32" s="73">
        <f t="shared" si="5"/>
        <v>1</v>
      </c>
      <c r="Z32" s="73">
        <f t="shared" si="6"/>
        <v>4.6399999999999997E-2</v>
      </c>
      <c r="AA32" s="73">
        <f t="shared" si="7"/>
        <v>23.333400000000001</v>
      </c>
      <c r="AB32" s="73">
        <f t="shared" si="8"/>
        <v>23.287000000000003</v>
      </c>
      <c r="AC32" s="74" t="e">
        <f>VLOOKUP(A32,Enforcements!$C$3:$J$60,8,0)</f>
        <v>#N/A</v>
      </c>
      <c r="AD32" s="74" t="e">
        <f>VLOOKUP(A32,Enforcements!$C$3:$J$60,3,0)</f>
        <v>#N/A</v>
      </c>
    </row>
    <row r="33" spans="1:30" s="2" customFormat="1" x14ac:dyDescent="0.25">
      <c r="A33" s="60" t="s">
        <v>230</v>
      </c>
      <c r="B33" s="60">
        <v>4032</v>
      </c>
      <c r="C33" s="60" t="s">
        <v>65</v>
      </c>
      <c r="D33" s="60" t="s">
        <v>85</v>
      </c>
      <c r="E33" s="30">
        <v>42519.344155092593</v>
      </c>
      <c r="F33" s="30">
        <v>42519.345173611109</v>
      </c>
      <c r="G33" s="38">
        <v>1</v>
      </c>
      <c r="H33" s="30" t="s">
        <v>122</v>
      </c>
      <c r="I33" s="30">
        <v>42519.377951388888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NELSON</v>
      </c>
      <c r="M33" s="12">
        <f t="shared" si="1"/>
        <v>3.2777777778392192E-2</v>
      </c>
      <c r="N33" s="13">
        <f t="shared" si="11"/>
        <v>47.200000000884756</v>
      </c>
      <c r="O33" s="13"/>
      <c r="P33" s="13"/>
      <c r="Q33" s="61"/>
      <c r="R33" s="61"/>
      <c r="S33" s="94">
        <f t="shared" si="9"/>
        <v>1</v>
      </c>
      <c r="T33" s="2" t="str">
        <f t="shared" si="10"/>
        <v>Southbound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08:14:35-0600',mode:absolute,to:'2016-05-29 09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3" s="73" t="str">
        <f t="shared" si="4"/>
        <v>N</v>
      </c>
      <c r="Y33" s="73">
        <f t="shared" si="5"/>
        <v>1</v>
      </c>
      <c r="Z33" s="73">
        <f t="shared" si="6"/>
        <v>23.297499999999999</v>
      </c>
      <c r="AA33" s="73">
        <f t="shared" si="7"/>
        <v>1.43E-2</v>
      </c>
      <c r="AB33" s="73">
        <f t="shared" si="8"/>
        <v>23.283200000000001</v>
      </c>
      <c r="AC33" s="74" t="e">
        <f>VLOOKUP(A33,Enforcements!$C$3:$J$60,8,0)</f>
        <v>#N/A</v>
      </c>
      <c r="AD33" s="74" t="e">
        <f>VLOOKUP(A33,Enforcements!$C$3:$J$60,3,0)</f>
        <v>#N/A</v>
      </c>
    </row>
    <row r="34" spans="1:30" s="2" customFormat="1" x14ac:dyDescent="0.25">
      <c r="A34" s="60" t="s">
        <v>231</v>
      </c>
      <c r="B34" s="60">
        <v>4044</v>
      </c>
      <c r="C34" s="60" t="s">
        <v>65</v>
      </c>
      <c r="D34" s="60" t="s">
        <v>74</v>
      </c>
      <c r="E34" s="30">
        <v>42519.317314814813</v>
      </c>
      <c r="F34" s="30">
        <v>42519.319328703707</v>
      </c>
      <c r="G34" s="38">
        <v>2</v>
      </c>
      <c r="H34" s="30" t="s">
        <v>178</v>
      </c>
      <c r="I34" s="30">
        <v>42519.347766203704</v>
      </c>
      <c r="J34" s="60">
        <v>0</v>
      </c>
      <c r="K34" s="60" t="str">
        <f t="shared" si="0"/>
        <v>4043/4044</v>
      </c>
      <c r="L34" s="60" t="str">
        <f>VLOOKUP(A34,'Trips&amp;Operators'!$C$1:$E$9999,3,FALSE)</f>
        <v>LEDERHAUSE</v>
      </c>
      <c r="M34" s="12">
        <f t="shared" si="1"/>
        <v>2.8437499997380655E-2</v>
      </c>
      <c r="N34" s="13">
        <f t="shared" si="11"/>
        <v>40.949999996228144</v>
      </c>
      <c r="O34" s="13"/>
      <c r="P34" s="13"/>
      <c r="Q34" s="61"/>
      <c r="R34" s="61"/>
      <c r="S34" s="94">
        <f t="shared" si="9"/>
        <v>1</v>
      </c>
      <c r="T34" s="2" t="str">
        <f t="shared" si="10"/>
        <v>NorthBound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https://search-rtdc-monitor-bjffxe2xuh6vdkpspy63sjmuny.us-east-1.es.amazonaws.com/_plugin/kibana/#/discover/Steve-Slow-Train-Analysis-(2080s-and-2083s)?_g=(refreshInterval:(display:Off,section:0,value:0),time:(from:'2016-05-29 07:35:56-0600',mode:absolute,to:'2016-05-29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4" s="73" t="str">
        <f t="shared" si="4"/>
        <v>N</v>
      </c>
      <c r="Y34" s="73">
        <f t="shared" si="5"/>
        <v>1</v>
      </c>
      <c r="Z34" s="73">
        <f t="shared" si="6"/>
        <v>4.5100000000000001E-2</v>
      </c>
      <c r="AA34" s="73">
        <f t="shared" si="7"/>
        <v>23.33</v>
      </c>
      <c r="AB34" s="73">
        <f t="shared" si="8"/>
        <v>23.284899999999997</v>
      </c>
      <c r="AC34" s="74" t="e">
        <f>VLOOKUP(A34,Enforcements!$C$3:$J$60,8,0)</f>
        <v>#N/A</v>
      </c>
      <c r="AD34" s="74" t="e">
        <f>VLOOKUP(A34,Enforcements!$C$3:$J$60,3,0)</f>
        <v>#N/A</v>
      </c>
    </row>
    <row r="35" spans="1:30" s="2" customFormat="1" x14ac:dyDescent="0.25">
      <c r="A35" s="60" t="s">
        <v>232</v>
      </c>
      <c r="B35" s="60">
        <v>4043</v>
      </c>
      <c r="C35" s="60" t="s">
        <v>65</v>
      </c>
      <c r="D35" s="60" t="s">
        <v>176</v>
      </c>
      <c r="E35" s="30">
        <v>42519.360150462962</v>
      </c>
      <c r="F35" s="30">
        <v>42519.361041666663</v>
      </c>
      <c r="G35" s="38">
        <v>1</v>
      </c>
      <c r="H35" s="30" t="s">
        <v>102</v>
      </c>
      <c r="I35" s="30">
        <v>42519.387453703705</v>
      </c>
      <c r="J35" s="60">
        <v>0</v>
      </c>
      <c r="K35" s="60" t="str">
        <f t="shared" ref="K35:K66" si="12">IF(ISEVEN(B35),(B35-1)&amp;"/"&amp;B35,B35&amp;"/"&amp;(B35+1))</f>
        <v>4043/4044</v>
      </c>
      <c r="L35" s="60" t="str">
        <f>VLOOKUP(A35,'Trips&amp;Operators'!$C$1:$E$9999,3,FALSE)</f>
        <v>LEDERHAUSE</v>
      </c>
      <c r="M35" s="12">
        <f t="shared" ref="M35:M66" si="13">I35-F35</f>
        <v>2.641203704115469E-2</v>
      </c>
      <c r="N35" s="13">
        <f t="shared" si="11"/>
        <v>38.033333339262754</v>
      </c>
      <c r="O35" s="13"/>
      <c r="P35" s="13"/>
      <c r="Q35" s="61"/>
      <c r="R35" s="61"/>
      <c r="S35" s="94">
        <f t="shared" si="9"/>
        <v>1</v>
      </c>
      <c r="T35" s="2" t="str">
        <f t="shared" si="10"/>
        <v>Southbound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ref="W35:W66" si="14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https://search-rtdc-monitor-bjffxe2xuh6vdkpspy63sjmuny.us-east-1.es.amazonaws.com/_plugin/kibana/#/discover/Steve-Slow-Train-Analysis-(2080s-and-2083s)?_g=(refreshInterval:(display:Off,section:0,value:0),time:(from:'2016-05-29 08:37:37-0600',mode:absolute,to:'2016-05-29 09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5" s="73" t="str">
        <f t="shared" ref="X35:X66" si="15">IF(AB35&lt;23,"Y","N")</f>
        <v>N</v>
      </c>
      <c r="Y35" s="73">
        <f t="shared" ref="Y35:Y66" si="16">VALUE(LEFT(A35,3))-VALUE(LEFT(A34,3))</f>
        <v>1</v>
      </c>
      <c r="Z35" s="73">
        <f t="shared" ref="Z35:Z66" si="17">RIGHT(D35,LEN(D35)-4)/10000</f>
        <v>23.3002</v>
      </c>
      <c r="AA35" s="73">
        <f t="shared" si="7"/>
        <v>1.6E-2</v>
      </c>
      <c r="AB35" s="73">
        <f t="shared" ref="AB35:AB66" si="18">ABS(AA35-Z35)</f>
        <v>23.284200000000002</v>
      </c>
      <c r="AC35" s="74" t="e">
        <f>VLOOKUP(A35,Enforcements!$C$3:$J$60,8,0)</f>
        <v>#N/A</v>
      </c>
      <c r="AD35" s="74" t="e">
        <f>VLOOKUP(A35,Enforcements!$C$3:$J$60,3,0)</f>
        <v>#N/A</v>
      </c>
    </row>
    <row r="36" spans="1:30" s="2" customFormat="1" x14ac:dyDescent="0.25">
      <c r="A36" s="60" t="s">
        <v>233</v>
      </c>
      <c r="B36" s="60">
        <v>4011</v>
      </c>
      <c r="C36" s="60" t="s">
        <v>65</v>
      </c>
      <c r="D36" s="60" t="s">
        <v>78</v>
      </c>
      <c r="E36" s="30">
        <v>42519.328402777777</v>
      </c>
      <c r="F36" s="30">
        <v>42519.329340277778</v>
      </c>
      <c r="G36" s="38">
        <v>1</v>
      </c>
      <c r="H36" s="30" t="s">
        <v>229</v>
      </c>
      <c r="I36" s="30">
        <v>42519.359016203707</v>
      </c>
      <c r="J36" s="60">
        <v>0</v>
      </c>
      <c r="K36" s="60" t="str">
        <f t="shared" si="12"/>
        <v>4011/4012</v>
      </c>
      <c r="L36" s="60" t="str">
        <f>VLOOKUP(A36,'Trips&amp;Operators'!$C$1:$E$9999,3,FALSE)</f>
        <v>SANTIZO</v>
      </c>
      <c r="M36" s="12">
        <f t="shared" si="13"/>
        <v>2.9675925929041114E-2</v>
      </c>
      <c r="N36" s="13">
        <f t="shared" si="11"/>
        <v>42.733333337819204</v>
      </c>
      <c r="O36" s="13"/>
      <c r="P36" s="13"/>
      <c r="Q36" s="61"/>
      <c r="R36" s="61"/>
      <c r="S36" s="94">
        <f t="shared" si="9"/>
        <v>1</v>
      </c>
      <c r="T36" s="2" t="str">
        <f t="shared" si="10"/>
        <v>NorthBound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07:51:54-0600',mode:absolute,to:'2016-05-29 08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6" s="73" t="str">
        <f t="shared" si="15"/>
        <v>N</v>
      </c>
      <c r="Y36" s="73">
        <f t="shared" si="16"/>
        <v>1</v>
      </c>
      <c r="Z36" s="73">
        <f t="shared" si="17"/>
        <v>4.6399999999999997E-2</v>
      </c>
      <c r="AA36" s="73">
        <f t="shared" si="7"/>
        <v>23.333400000000001</v>
      </c>
      <c r="AB36" s="73">
        <f t="shared" si="18"/>
        <v>23.287000000000003</v>
      </c>
      <c r="AC36" s="74" t="e">
        <f>VLOOKUP(A36,Enforcements!$C$3:$J$60,8,0)</f>
        <v>#N/A</v>
      </c>
      <c r="AD36" s="74" t="e">
        <f>VLOOKUP(A36,Enforcements!$C$3:$J$60,3,0)</f>
        <v>#N/A</v>
      </c>
    </row>
    <row r="37" spans="1:30" s="2" customFormat="1" x14ac:dyDescent="0.25">
      <c r="A37" s="60" t="s">
        <v>234</v>
      </c>
      <c r="B37" s="60">
        <v>4012</v>
      </c>
      <c r="C37" s="60" t="s">
        <v>65</v>
      </c>
      <c r="D37" s="60" t="s">
        <v>235</v>
      </c>
      <c r="E37" s="30">
        <v>42519.367175925923</v>
      </c>
      <c r="F37" s="30">
        <v>42519.368194444447</v>
      </c>
      <c r="G37" s="38">
        <v>1</v>
      </c>
      <c r="H37" s="30" t="s">
        <v>102</v>
      </c>
      <c r="I37" s="30">
        <v>42519.398125</v>
      </c>
      <c r="J37" s="60">
        <v>1</v>
      </c>
      <c r="K37" s="60" t="str">
        <f t="shared" si="12"/>
        <v>4011/4012</v>
      </c>
      <c r="L37" s="60" t="str">
        <f>VLOOKUP(A37,'Trips&amp;Operators'!$C$1:$E$9999,3,FALSE)</f>
        <v>SANTIZO</v>
      </c>
      <c r="M37" s="12">
        <f t="shared" si="13"/>
        <v>2.9930555552709848E-2</v>
      </c>
      <c r="N37" s="13">
        <f t="shared" si="11"/>
        <v>43.099999995902181</v>
      </c>
      <c r="O37" s="13"/>
      <c r="P37" s="13"/>
      <c r="Q37" s="61"/>
      <c r="R37" s="61"/>
      <c r="S37" s="94">
        <f t="shared" si="9"/>
        <v>1</v>
      </c>
      <c r="T37" s="2" t="str">
        <f t="shared" si="10"/>
        <v>Southbound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08:47:44-0600',mode:absolute,to:'2016-05-29 09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7" s="73" t="str">
        <f t="shared" si="15"/>
        <v>N</v>
      </c>
      <c r="Y37" s="73">
        <f t="shared" si="16"/>
        <v>1</v>
      </c>
      <c r="Z37" s="73">
        <f t="shared" si="17"/>
        <v>23.299199999999999</v>
      </c>
      <c r="AA37" s="73">
        <f t="shared" si="7"/>
        <v>1.6E-2</v>
      </c>
      <c r="AB37" s="73">
        <f t="shared" si="18"/>
        <v>23.283200000000001</v>
      </c>
      <c r="AC37" s="74">
        <f>VLOOKUP(A37,Enforcements!$C$3:$J$60,8,0)</f>
        <v>1</v>
      </c>
      <c r="AD37" s="74" t="str">
        <f>VLOOKUP(A37,Enforcements!$C$3:$J$60,3,0)</f>
        <v>TRACK WARRANT AUTHORITY</v>
      </c>
    </row>
    <row r="38" spans="1:30" s="2" customFormat="1" x14ac:dyDescent="0.25">
      <c r="A38" s="60" t="s">
        <v>236</v>
      </c>
      <c r="B38" s="60">
        <v>4040</v>
      </c>
      <c r="C38" s="60" t="s">
        <v>65</v>
      </c>
      <c r="D38" s="60" t="s">
        <v>146</v>
      </c>
      <c r="E38" s="30">
        <v>42519.340462962966</v>
      </c>
      <c r="F38" s="30">
        <v>42519.341469907406</v>
      </c>
      <c r="G38" s="38">
        <v>1</v>
      </c>
      <c r="H38" s="30" t="s">
        <v>168</v>
      </c>
      <c r="I38" s="30">
        <v>42519.368414351855</v>
      </c>
      <c r="J38" s="60">
        <v>1</v>
      </c>
      <c r="K38" s="60" t="str">
        <f t="shared" si="12"/>
        <v>4039/4040</v>
      </c>
      <c r="L38" s="60" t="str">
        <f>VLOOKUP(A38,'Trips&amp;Operators'!$C$1:$E$9999,3,FALSE)</f>
        <v>MALAVE</v>
      </c>
      <c r="M38" s="12">
        <f t="shared" si="13"/>
        <v>2.694444444932742E-2</v>
      </c>
      <c r="N38" s="13">
        <f t="shared" si="11"/>
        <v>38.800000007031485</v>
      </c>
      <c r="O38" s="13"/>
      <c r="P38" s="13"/>
      <c r="Q38" s="61"/>
      <c r="R38" s="61"/>
      <c r="S38" s="94">
        <f t="shared" si="9"/>
        <v>1</v>
      </c>
      <c r="T38" s="2" t="str">
        <f t="shared" si="10"/>
        <v>NorthBound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08:09:16-0600',mode:absolute,to:'2016-05-29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8" s="73" t="str">
        <f t="shared" si="15"/>
        <v>N</v>
      </c>
      <c r="Y38" s="73">
        <f t="shared" si="16"/>
        <v>1</v>
      </c>
      <c r="Z38" s="73">
        <f t="shared" si="17"/>
        <v>4.4600000000000001E-2</v>
      </c>
      <c r="AA38" s="73">
        <v>23.330300000000001</v>
      </c>
      <c r="AB38" s="73">
        <f t="shared" si="18"/>
        <v>23.285700000000002</v>
      </c>
      <c r="AC38" s="74">
        <f>VLOOKUP(A38,Enforcements!$C$3:$J$60,8,0)</f>
        <v>233491</v>
      </c>
      <c r="AD38" s="74" t="str">
        <f>VLOOKUP(A38,Enforcements!$C$3:$J$60,3,0)</f>
        <v>TRACK WARRANT AUTHORITY</v>
      </c>
    </row>
    <row r="39" spans="1:30" s="2" customFormat="1" x14ac:dyDescent="0.25">
      <c r="A39" s="60" t="s">
        <v>237</v>
      </c>
      <c r="B39" s="60">
        <v>4039</v>
      </c>
      <c r="C39" s="60" t="s">
        <v>65</v>
      </c>
      <c r="D39" s="60" t="s">
        <v>176</v>
      </c>
      <c r="E39" s="30">
        <v>42519.379629629628</v>
      </c>
      <c r="F39" s="30">
        <v>42519.382870370369</v>
      </c>
      <c r="G39" s="38">
        <v>4</v>
      </c>
      <c r="H39" s="30" t="s">
        <v>76</v>
      </c>
      <c r="I39" s="30">
        <v>42519.408518518518</v>
      </c>
      <c r="J39" s="60">
        <v>2</v>
      </c>
      <c r="K39" s="60" t="str">
        <f t="shared" si="12"/>
        <v>4039/4040</v>
      </c>
      <c r="L39" s="60" t="str">
        <f>VLOOKUP(A39,'Trips&amp;Operators'!$C$1:$E$9999,3,FALSE)</f>
        <v>MALAVE</v>
      </c>
      <c r="M39" s="12">
        <f t="shared" si="13"/>
        <v>2.5648148148320615E-2</v>
      </c>
      <c r="N39" s="13">
        <f t="shared" si="11"/>
        <v>36.933333333581686</v>
      </c>
      <c r="O39" s="13"/>
      <c r="P39" s="13"/>
      <c r="Q39" s="61"/>
      <c r="R39" s="61"/>
      <c r="S39" s="94">
        <f t="shared" si="9"/>
        <v>1</v>
      </c>
      <c r="T39" s="2" t="str">
        <f t="shared" si="10"/>
        <v>Southbound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09:05:40-0600',mode:absolute,to:'2016-05-29 09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9" s="73" t="str">
        <f t="shared" si="15"/>
        <v>N</v>
      </c>
      <c r="Y39" s="73">
        <f t="shared" si="16"/>
        <v>1</v>
      </c>
      <c r="Z39" s="73">
        <f t="shared" si="17"/>
        <v>23.3002</v>
      </c>
      <c r="AA39" s="73">
        <f t="shared" ref="AA39:AA54" si="19">RIGHT(H39,LEN(H39)-4)/10000</f>
        <v>1.52E-2</v>
      </c>
      <c r="AB39" s="73">
        <f t="shared" si="18"/>
        <v>23.285</v>
      </c>
      <c r="AC39" s="74">
        <f>VLOOKUP(A39,Enforcements!$C$3:$J$60,8,0)</f>
        <v>232107</v>
      </c>
      <c r="AD39" s="74" t="str">
        <f>VLOOKUP(A39,Enforcements!$C$3:$J$60,3,0)</f>
        <v>PERMANENT SPEED RESTRICTION</v>
      </c>
    </row>
    <row r="40" spans="1:30" s="2" customFormat="1" x14ac:dyDescent="0.25">
      <c r="A40" s="60" t="s">
        <v>238</v>
      </c>
      <c r="B40" s="60">
        <v>4038</v>
      </c>
      <c r="C40" s="60" t="s">
        <v>65</v>
      </c>
      <c r="D40" s="60" t="s">
        <v>164</v>
      </c>
      <c r="E40" s="30">
        <v>42519.348530092589</v>
      </c>
      <c r="F40" s="30">
        <v>42519.352638888886</v>
      </c>
      <c r="G40" s="38">
        <v>5</v>
      </c>
      <c r="H40" s="30" t="s">
        <v>239</v>
      </c>
      <c r="I40" s="30">
        <v>42519.378738425927</v>
      </c>
      <c r="J40" s="60">
        <v>0</v>
      </c>
      <c r="K40" s="60" t="str">
        <f t="shared" si="12"/>
        <v>4037/4038</v>
      </c>
      <c r="L40" s="60" t="str">
        <f>VLOOKUP(A40,'Trips&amp;Operators'!$C$1:$E$9999,3,FALSE)</f>
        <v>GEBRETEKLE</v>
      </c>
      <c r="M40" s="12">
        <f t="shared" si="13"/>
        <v>2.6099537040863652E-2</v>
      </c>
      <c r="N40" s="13">
        <f t="shared" si="11"/>
        <v>37.583333338843659</v>
      </c>
      <c r="O40" s="13"/>
      <c r="P40" s="13"/>
      <c r="Q40" s="61"/>
      <c r="R40" s="61"/>
      <c r="S40" s="94">
        <f t="shared" si="9"/>
        <v>1</v>
      </c>
      <c r="T40" s="2" t="str">
        <f t="shared" si="10"/>
        <v>NorthBound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08:20:53-0600',mode:absolute,to:'2016-05-29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0" s="73" t="str">
        <f t="shared" si="15"/>
        <v>N</v>
      </c>
      <c r="Y40" s="73">
        <f t="shared" si="16"/>
        <v>1</v>
      </c>
      <c r="Z40" s="73">
        <f t="shared" si="17"/>
        <v>4.6899999999999997E-2</v>
      </c>
      <c r="AA40" s="73">
        <f t="shared" si="19"/>
        <v>23.3276</v>
      </c>
      <c r="AB40" s="73">
        <f t="shared" si="18"/>
        <v>23.2807</v>
      </c>
      <c r="AC40" s="74" t="e">
        <f>VLOOKUP(A40,Enforcements!$C$3:$J$60,8,0)</f>
        <v>#N/A</v>
      </c>
      <c r="AD40" s="74" t="e">
        <f>VLOOKUP(A40,Enforcements!$C$3:$J$60,3,0)</f>
        <v>#N/A</v>
      </c>
    </row>
    <row r="41" spans="1:30" s="2" customFormat="1" x14ac:dyDescent="0.25">
      <c r="A41" s="60" t="s">
        <v>240</v>
      </c>
      <c r="B41" s="60">
        <v>4037</v>
      </c>
      <c r="C41" s="60" t="s">
        <v>65</v>
      </c>
      <c r="D41" s="60" t="s">
        <v>241</v>
      </c>
      <c r="E41" s="30">
        <v>42519.386678240742</v>
      </c>
      <c r="F41" s="30">
        <v>42519.387754629628</v>
      </c>
      <c r="G41" s="38">
        <v>1</v>
      </c>
      <c r="H41" s="30" t="s">
        <v>70</v>
      </c>
      <c r="I41" s="30">
        <v>42519.41878472222</v>
      </c>
      <c r="J41" s="60">
        <v>0</v>
      </c>
      <c r="K41" s="60" t="str">
        <f t="shared" si="12"/>
        <v>4037/4038</v>
      </c>
      <c r="L41" s="60" t="str">
        <f>VLOOKUP(A41,'Trips&amp;Operators'!$C$1:$E$9999,3,FALSE)</f>
        <v>GEBRETEKLE</v>
      </c>
      <c r="M41" s="12">
        <f t="shared" si="13"/>
        <v>3.1030092592118308E-2</v>
      </c>
      <c r="N41" s="13">
        <f t="shared" si="11"/>
        <v>44.683333332650363</v>
      </c>
      <c r="O41" s="13"/>
      <c r="P41" s="13"/>
      <c r="Q41" s="61"/>
      <c r="R41" s="61"/>
      <c r="S41" s="94">
        <f t="shared" si="9"/>
        <v>1</v>
      </c>
      <c r="T41" s="2" t="str">
        <f t="shared" si="10"/>
        <v>Southbound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09:15:49-0600',mode:absolute,to:'2016-05-29 10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1" s="73" t="str">
        <f t="shared" si="15"/>
        <v>N</v>
      </c>
      <c r="Y41" s="73">
        <f t="shared" si="16"/>
        <v>1</v>
      </c>
      <c r="Z41" s="73">
        <f t="shared" si="17"/>
        <v>23.2957</v>
      </c>
      <c r="AA41" s="73">
        <f t="shared" si="19"/>
        <v>1.4500000000000001E-2</v>
      </c>
      <c r="AB41" s="73">
        <f t="shared" si="18"/>
        <v>23.281199999999998</v>
      </c>
      <c r="AC41" s="74" t="e">
        <f>VLOOKUP(A41,Enforcements!$C$3:$J$60,8,0)</f>
        <v>#N/A</v>
      </c>
      <c r="AD41" s="74" t="e">
        <f>VLOOKUP(A41,Enforcements!$C$3:$J$60,3,0)</f>
        <v>#N/A</v>
      </c>
    </row>
    <row r="42" spans="1:30" s="2" customFormat="1" x14ac:dyDescent="0.25">
      <c r="A42" s="60" t="s">
        <v>242</v>
      </c>
      <c r="B42" s="60">
        <v>4042</v>
      </c>
      <c r="C42" s="60" t="s">
        <v>65</v>
      </c>
      <c r="D42" s="60" t="s">
        <v>243</v>
      </c>
      <c r="E42" s="30">
        <v>42519.359502314815</v>
      </c>
      <c r="F42" s="30">
        <v>42519.360439814816</v>
      </c>
      <c r="G42" s="38">
        <v>1</v>
      </c>
      <c r="H42" s="30" t="s">
        <v>168</v>
      </c>
      <c r="I42" s="30">
        <v>42519.389328703706</v>
      </c>
      <c r="J42" s="60">
        <v>0</v>
      </c>
      <c r="K42" s="60" t="str">
        <f t="shared" si="12"/>
        <v>4041/4042</v>
      </c>
      <c r="L42" s="60" t="str">
        <f>VLOOKUP(A42,'Trips&amp;Operators'!$C$1:$E$9999,3,FALSE)</f>
        <v>LEVIN</v>
      </c>
      <c r="M42" s="12">
        <f t="shared" si="13"/>
        <v>2.8888888889923692E-2</v>
      </c>
      <c r="N42" s="13">
        <f t="shared" si="11"/>
        <v>41.600000001490116</v>
      </c>
      <c r="O42" s="13"/>
      <c r="P42" s="13"/>
      <c r="Q42" s="61"/>
      <c r="R42" s="61"/>
      <c r="S42" s="94">
        <f t="shared" si="9"/>
        <v>1</v>
      </c>
      <c r="T42" s="2" t="str">
        <f t="shared" si="10"/>
        <v>NorthBound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08:36:41-0600',mode:absolute,to:'2016-05-29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2" s="73" t="str">
        <f t="shared" si="15"/>
        <v>N</v>
      </c>
      <c r="Y42" s="73">
        <f t="shared" si="16"/>
        <v>1</v>
      </c>
      <c r="Z42" s="73">
        <f t="shared" si="17"/>
        <v>4.7800000000000002E-2</v>
      </c>
      <c r="AA42" s="73">
        <f t="shared" si="19"/>
        <v>23.329799999999999</v>
      </c>
      <c r="AB42" s="73">
        <f t="shared" si="18"/>
        <v>23.282</v>
      </c>
      <c r="AC42" s="74" t="e">
        <f>VLOOKUP(A42,Enforcements!$C$3:$J$60,8,0)</f>
        <v>#N/A</v>
      </c>
      <c r="AD42" s="74" t="e">
        <f>VLOOKUP(A42,Enforcements!$C$3:$J$60,3,0)</f>
        <v>#N/A</v>
      </c>
    </row>
    <row r="43" spans="1:30" s="2" customFormat="1" x14ac:dyDescent="0.25">
      <c r="A43" s="60" t="s">
        <v>244</v>
      </c>
      <c r="B43" s="60">
        <v>4041</v>
      </c>
      <c r="C43" s="60" t="s">
        <v>65</v>
      </c>
      <c r="D43" s="60" t="s">
        <v>132</v>
      </c>
      <c r="E43" s="30">
        <v>42519.396666666667</v>
      </c>
      <c r="F43" s="30">
        <v>42519.397465277776</v>
      </c>
      <c r="G43" s="38">
        <v>1</v>
      </c>
      <c r="H43" s="30" t="s">
        <v>122</v>
      </c>
      <c r="I43" s="30">
        <v>42519.428784722222</v>
      </c>
      <c r="J43" s="60">
        <v>0</v>
      </c>
      <c r="K43" s="60" t="str">
        <f t="shared" si="12"/>
        <v>4041/4042</v>
      </c>
      <c r="L43" s="60" t="str">
        <f>VLOOKUP(A43,'Trips&amp;Operators'!$C$1:$E$9999,3,FALSE)</f>
        <v>LEVIN</v>
      </c>
      <c r="M43" s="12">
        <f t="shared" si="13"/>
        <v>3.1319444446125999E-2</v>
      </c>
      <c r="N43" s="13">
        <f t="shared" si="11"/>
        <v>45.100000002421439</v>
      </c>
      <c r="O43" s="13"/>
      <c r="P43" s="13"/>
      <c r="Q43" s="61"/>
      <c r="R43" s="61"/>
      <c r="S43" s="94">
        <f t="shared" si="9"/>
        <v>1</v>
      </c>
      <c r="T43" s="2" t="str">
        <f t="shared" si="10"/>
        <v>Southbound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09:30:12-0600',mode:absolute,to:'2016-05-29 10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3" s="73" t="str">
        <f t="shared" si="15"/>
        <v>N</v>
      </c>
      <c r="Y43" s="73">
        <f t="shared" si="16"/>
        <v>1</v>
      </c>
      <c r="Z43" s="73">
        <f t="shared" si="17"/>
        <v>23.299099999999999</v>
      </c>
      <c r="AA43" s="73">
        <f t="shared" si="19"/>
        <v>1.43E-2</v>
      </c>
      <c r="AB43" s="73">
        <f t="shared" si="18"/>
        <v>23.284800000000001</v>
      </c>
      <c r="AC43" s="74" t="e">
        <f>VLOOKUP(A43,Enforcements!$C$3:$J$60,8,0)</f>
        <v>#N/A</v>
      </c>
      <c r="AD43" s="74" t="e">
        <f>VLOOKUP(A43,Enforcements!$C$3:$J$60,3,0)</f>
        <v>#N/A</v>
      </c>
    </row>
    <row r="44" spans="1:30" s="2" customFormat="1" x14ac:dyDescent="0.25">
      <c r="A44" s="60" t="s">
        <v>245</v>
      </c>
      <c r="B44" s="60">
        <v>4020</v>
      </c>
      <c r="C44" s="60" t="s">
        <v>65</v>
      </c>
      <c r="D44" s="60" t="s">
        <v>193</v>
      </c>
      <c r="E44" s="30">
        <v>42519.368217592593</v>
      </c>
      <c r="F44" s="30">
        <v>42519.370266203703</v>
      </c>
      <c r="G44" s="38">
        <v>2</v>
      </c>
      <c r="H44" s="30" t="s">
        <v>246</v>
      </c>
      <c r="I44" s="30">
        <v>42519.399942129632</v>
      </c>
      <c r="J44" s="60">
        <v>0</v>
      </c>
      <c r="K44" s="60" t="str">
        <f t="shared" si="12"/>
        <v>4019/4020</v>
      </c>
      <c r="L44" s="60" t="str">
        <f>VLOOKUP(A44,'Trips&amp;Operators'!$C$1:$E$9999,3,FALSE)</f>
        <v>GOODNIGHT</v>
      </c>
      <c r="M44" s="12">
        <f t="shared" si="13"/>
        <v>2.9675925929041114E-2</v>
      </c>
      <c r="N44" s="13">
        <f t="shared" si="11"/>
        <v>42.733333337819204</v>
      </c>
      <c r="O44" s="13"/>
      <c r="P44" s="13"/>
      <c r="Q44" s="61"/>
      <c r="R44" s="61"/>
      <c r="S44" s="94">
        <f t="shared" si="9"/>
        <v>1</v>
      </c>
      <c r="T44" s="2" t="str">
        <f t="shared" si="10"/>
        <v>NorthBound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08:49:14-0600',mode:absolute,to:'2016-05-29 09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44" s="73" t="str">
        <f t="shared" si="15"/>
        <v>N</v>
      </c>
      <c r="Y44" s="73">
        <f t="shared" si="16"/>
        <v>1</v>
      </c>
      <c r="Z44" s="73">
        <f t="shared" si="17"/>
        <v>4.7100000000000003E-2</v>
      </c>
      <c r="AA44" s="73">
        <f t="shared" si="19"/>
        <v>23.3309</v>
      </c>
      <c r="AB44" s="73">
        <f t="shared" si="18"/>
        <v>23.283799999999999</v>
      </c>
      <c r="AC44" s="74" t="e">
        <f>VLOOKUP(A44,Enforcements!$C$3:$J$60,8,0)</f>
        <v>#N/A</v>
      </c>
      <c r="AD44" s="74" t="e">
        <f>VLOOKUP(A44,Enforcements!$C$3:$J$60,3,0)</f>
        <v>#N/A</v>
      </c>
    </row>
    <row r="45" spans="1:30" s="2" customFormat="1" x14ac:dyDescent="0.25">
      <c r="A45" s="60" t="s">
        <v>247</v>
      </c>
      <c r="B45" s="60">
        <v>4019</v>
      </c>
      <c r="C45" s="60" t="s">
        <v>65</v>
      </c>
      <c r="D45" s="60" t="s">
        <v>248</v>
      </c>
      <c r="E45" s="30">
        <v>42519.411157407405</v>
      </c>
      <c r="F45" s="30">
        <v>42519.411828703705</v>
      </c>
      <c r="G45" s="38">
        <v>0</v>
      </c>
      <c r="H45" s="30" t="s">
        <v>84</v>
      </c>
      <c r="I45" s="30">
        <v>42519.439791666664</v>
      </c>
      <c r="J45" s="60">
        <v>2</v>
      </c>
      <c r="K45" s="60" t="str">
        <f t="shared" si="12"/>
        <v>4019/4020</v>
      </c>
      <c r="L45" s="60" t="str">
        <f>VLOOKUP(A45,'Trips&amp;Operators'!$C$1:$E$9999,3,FALSE)</f>
        <v>GOODNIGHT</v>
      </c>
      <c r="M45" s="12">
        <f t="shared" si="13"/>
        <v>2.7962962958554272E-2</v>
      </c>
      <c r="N45" s="13">
        <f t="shared" si="11"/>
        <v>40.266666660318151</v>
      </c>
      <c r="O45" s="13"/>
      <c r="P45" s="13"/>
      <c r="Q45" s="61"/>
      <c r="R45" s="61"/>
      <c r="S45" s="94">
        <f t="shared" si="9"/>
        <v>1</v>
      </c>
      <c r="T45" s="2" t="str">
        <f t="shared" si="10"/>
        <v>Southbound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09:51:04-0600',mode:absolute,to:'2016-05-29 10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45" s="73" t="str">
        <f t="shared" si="15"/>
        <v>N</v>
      </c>
      <c r="Y45" s="73">
        <f t="shared" si="16"/>
        <v>1</v>
      </c>
      <c r="Z45" s="73">
        <f t="shared" si="17"/>
        <v>23.2971</v>
      </c>
      <c r="AA45" s="73">
        <f t="shared" si="19"/>
        <v>1.4999999999999999E-2</v>
      </c>
      <c r="AB45" s="73">
        <f t="shared" si="18"/>
        <v>23.2821</v>
      </c>
      <c r="AC45" s="74">
        <f>VLOOKUP(A45,Enforcements!$C$3:$J$60,8,0)</f>
        <v>198256</v>
      </c>
      <c r="AD45" s="74" t="str">
        <f>VLOOKUP(A45,Enforcements!$C$3:$J$60,3,0)</f>
        <v>SIGNAL</v>
      </c>
    </row>
    <row r="46" spans="1:30" s="2" customFormat="1" x14ac:dyDescent="0.25">
      <c r="A46" s="60" t="s">
        <v>249</v>
      </c>
      <c r="B46" s="60">
        <v>4031</v>
      </c>
      <c r="C46" s="60" t="s">
        <v>65</v>
      </c>
      <c r="D46" s="60" t="s">
        <v>126</v>
      </c>
      <c r="E46" s="30">
        <v>42519.379710648151</v>
      </c>
      <c r="F46" s="30">
        <v>42519.38417824074</v>
      </c>
      <c r="G46" s="38">
        <v>6</v>
      </c>
      <c r="H46" s="30" t="s">
        <v>116</v>
      </c>
      <c r="I46" s="30">
        <v>42519.410624999997</v>
      </c>
      <c r="J46" s="60">
        <v>0</v>
      </c>
      <c r="K46" s="60" t="str">
        <f t="shared" si="12"/>
        <v>4031/4032</v>
      </c>
      <c r="L46" s="60" t="str">
        <f>VLOOKUP(A46,'Trips&amp;Operators'!$C$1:$E$9999,3,FALSE)</f>
        <v>NELSON</v>
      </c>
      <c r="M46" s="12">
        <f t="shared" si="13"/>
        <v>2.6446759256941732E-2</v>
      </c>
      <c r="N46" s="13">
        <f t="shared" si="11"/>
        <v>38.083333329996094</v>
      </c>
      <c r="O46" s="13"/>
      <c r="P46" s="13"/>
      <c r="Q46" s="61"/>
      <c r="R46" s="61"/>
      <c r="S46" s="94">
        <f t="shared" si="9"/>
        <v>1</v>
      </c>
      <c r="T46" s="2" t="str">
        <f t="shared" si="10"/>
        <v>NorthBound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09:05:47-0600',mode:absolute,to:'2016-05-29 09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6" s="73" t="str">
        <f t="shared" si="15"/>
        <v>N</v>
      </c>
      <c r="Y46" s="73">
        <f t="shared" si="16"/>
        <v>1</v>
      </c>
      <c r="Z46" s="73">
        <f t="shared" si="17"/>
        <v>4.6199999999999998E-2</v>
      </c>
      <c r="AA46" s="73">
        <f t="shared" si="19"/>
        <v>23.3293</v>
      </c>
      <c r="AB46" s="73">
        <f t="shared" si="18"/>
        <v>23.283100000000001</v>
      </c>
      <c r="AC46" s="74" t="e">
        <f>VLOOKUP(A46,Enforcements!$C$3:$J$60,8,0)</f>
        <v>#N/A</v>
      </c>
      <c r="AD46" s="74" t="e">
        <f>VLOOKUP(A46,Enforcements!$C$3:$J$60,3,0)</f>
        <v>#N/A</v>
      </c>
    </row>
    <row r="47" spans="1:30" s="2" customFormat="1" x14ac:dyDescent="0.25">
      <c r="A47" s="60" t="s">
        <v>250</v>
      </c>
      <c r="B47" s="60">
        <v>4032</v>
      </c>
      <c r="C47" s="60" t="s">
        <v>65</v>
      </c>
      <c r="D47" s="60" t="s">
        <v>251</v>
      </c>
      <c r="E47" s="30">
        <v>42519.417638888888</v>
      </c>
      <c r="F47" s="30">
        <v>42519.418703703705</v>
      </c>
      <c r="G47" s="38">
        <v>1</v>
      </c>
      <c r="H47" s="30" t="s">
        <v>79</v>
      </c>
      <c r="I47" s="30">
        <v>42519.45076388889</v>
      </c>
      <c r="J47" s="60">
        <v>1</v>
      </c>
      <c r="K47" s="60" t="str">
        <f t="shared" si="12"/>
        <v>4031/4032</v>
      </c>
      <c r="L47" s="60" t="str">
        <f>VLOOKUP(A47,'Trips&amp;Operators'!$C$1:$E$9999,3,FALSE)</f>
        <v>NELSON</v>
      </c>
      <c r="M47" s="12">
        <f t="shared" si="13"/>
        <v>3.2060185185400769E-2</v>
      </c>
      <c r="N47" s="13">
        <f t="shared" si="11"/>
        <v>46.166666666977108</v>
      </c>
      <c r="O47" s="13"/>
      <c r="P47" s="13"/>
      <c r="Q47" s="61"/>
      <c r="R47" s="61"/>
      <c r="S47" s="94">
        <f t="shared" si="9"/>
        <v>1</v>
      </c>
      <c r="T47" s="2" t="str">
        <f t="shared" si="10"/>
        <v>Southbound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10:00:24-0600',mode:absolute,to:'2016-05-29 10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7" s="73" t="str">
        <f t="shared" si="15"/>
        <v>N</v>
      </c>
      <c r="Y47" s="73">
        <f t="shared" si="16"/>
        <v>1</v>
      </c>
      <c r="Z47" s="73">
        <f t="shared" si="17"/>
        <v>23.296399999999998</v>
      </c>
      <c r="AA47" s="73">
        <f t="shared" si="19"/>
        <v>1.61E-2</v>
      </c>
      <c r="AB47" s="73">
        <f t="shared" si="18"/>
        <v>23.280299999999997</v>
      </c>
      <c r="AC47" s="74">
        <f>VLOOKUP(A47,Enforcements!$C$3:$J$60,8,0)</f>
        <v>1</v>
      </c>
      <c r="AD47" s="74" t="str">
        <f>VLOOKUP(A47,Enforcements!$C$3:$J$60,3,0)</f>
        <v>TRACK WARRANT AUTHORITY</v>
      </c>
    </row>
    <row r="48" spans="1:30" s="2" customFormat="1" x14ac:dyDescent="0.25">
      <c r="A48" s="60" t="s">
        <v>252</v>
      </c>
      <c r="B48" s="60">
        <v>4044</v>
      </c>
      <c r="C48" s="60" t="s">
        <v>65</v>
      </c>
      <c r="D48" s="60" t="s">
        <v>131</v>
      </c>
      <c r="E48" s="30">
        <v>42519.389328703706</v>
      </c>
      <c r="F48" s="30">
        <v>42519.390555555554</v>
      </c>
      <c r="G48" s="38">
        <v>1</v>
      </c>
      <c r="H48" s="30" t="s">
        <v>129</v>
      </c>
      <c r="I48" s="30">
        <v>42519.420555555553</v>
      </c>
      <c r="J48" s="60">
        <v>0</v>
      </c>
      <c r="K48" s="60" t="str">
        <f t="shared" si="12"/>
        <v>4043/4044</v>
      </c>
      <c r="L48" s="60" t="str">
        <f>VLOOKUP(A48,'Trips&amp;Operators'!$C$1:$E$9999,3,FALSE)</f>
        <v>LEDERHAUSE</v>
      </c>
      <c r="M48" s="12">
        <f t="shared" si="13"/>
        <v>2.9999999998835847E-2</v>
      </c>
      <c r="N48" s="13">
        <f t="shared" si="11"/>
        <v>43.199999998323619</v>
      </c>
      <c r="O48" s="13"/>
      <c r="P48" s="13"/>
      <c r="Q48" s="61"/>
      <c r="R48" s="61"/>
      <c r="S48" s="94">
        <f t="shared" si="9"/>
        <v>1</v>
      </c>
      <c r="T48" s="2" t="str">
        <f t="shared" si="10"/>
        <v>NorthBound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09:19:38-0600',mode:absolute,to:'2016-05-29 10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8" s="73" t="str">
        <f t="shared" si="15"/>
        <v>N</v>
      </c>
      <c r="Y48" s="73">
        <f t="shared" si="16"/>
        <v>1</v>
      </c>
      <c r="Z48" s="73">
        <f t="shared" si="17"/>
        <v>4.5699999999999998E-2</v>
      </c>
      <c r="AA48" s="73">
        <f t="shared" si="19"/>
        <v>23.328900000000001</v>
      </c>
      <c r="AB48" s="73">
        <f t="shared" si="18"/>
        <v>23.283200000000001</v>
      </c>
      <c r="AC48" s="74" t="e">
        <f>VLOOKUP(A48,Enforcements!$C$3:$J$60,8,0)</f>
        <v>#N/A</v>
      </c>
      <c r="AD48" s="74" t="e">
        <f>VLOOKUP(A48,Enforcements!$C$3:$J$60,3,0)</f>
        <v>#N/A</v>
      </c>
    </row>
    <row r="49" spans="1:30" s="2" customFormat="1" x14ac:dyDescent="0.25">
      <c r="A49" s="60" t="s">
        <v>253</v>
      </c>
      <c r="B49" s="60">
        <v>4043</v>
      </c>
      <c r="C49" s="60" t="s">
        <v>65</v>
      </c>
      <c r="D49" s="60" t="s">
        <v>85</v>
      </c>
      <c r="E49" s="30">
        <v>42519.431250000001</v>
      </c>
      <c r="F49" s="30">
        <v>42519.432881944442</v>
      </c>
      <c r="G49" s="38">
        <v>2</v>
      </c>
      <c r="H49" s="30" t="s">
        <v>161</v>
      </c>
      <c r="I49" s="30">
        <v>42519.460590277777</v>
      </c>
      <c r="J49" s="60">
        <v>0</v>
      </c>
      <c r="K49" s="60" t="str">
        <f t="shared" si="12"/>
        <v>4043/4044</v>
      </c>
      <c r="L49" s="60" t="str">
        <f>VLOOKUP(A49,'Trips&amp;Operators'!$C$1:$E$9999,3,FALSE)</f>
        <v>LEDERHAUSE</v>
      </c>
      <c r="M49" s="12">
        <f t="shared" si="13"/>
        <v>2.7708333334885538E-2</v>
      </c>
      <c r="N49" s="13">
        <f t="shared" si="11"/>
        <v>39.900000002235174</v>
      </c>
      <c r="O49" s="13"/>
      <c r="P49" s="13"/>
      <c r="Q49" s="61"/>
      <c r="R49" s="61"/>
      <c r="S49" s="94">
        <f t="shared" si="9"/>
        <v>1</v>
      </c>
      <c r="T49" s="2" t="str">
        <f t="shared" si="10"/>
        <v>Southbound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10:20:00-0600',mode:absolute,to:'2016-05-29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9" s="73" t="str">
        <f t="shared" si="15"/>
        <v>N</v>
      </c>
      <c r="Y49" s="73">
        <f t="shared" si="16"/>
        <v>1</v>
      </c>
      <c r="Z49" s="73">
        <f t="shared" si="17"/>
        <v>23.297499999999999</v>
      </c>
      <c r="AA49" s="73">
        <f t="shared" si="19"/>
        <v>1.5599999999999999E-2</v>
      </c>
      <c r="AB49" s="73">
        <f t="shared" si="18"/>
        <v>23.2819</v>
      </c>
      <c r="AC49" s="74" t="e">
        <f>VLOOKUP(A49,Enforcements!$C$3:$J$60,8,0)</f>
        <v>#N/A</v>
      </c>
      <c r="AD49" s="74" t="e">
        <f>VLOOKUP(A49,Enforcements!$C$3:$J$60,3,0)</f>
        <v>#N/A</v>
      </c>
    </row>
    <row r="50" spans="1:30" s="2" customFormat="1" x14ac:dyDescent="0.25">
      <c r="A50" s="60" t="s">
        <v>254</v>
      </c>
      <c r="B50" s="60">
        <v>4011</v>
      </c>
      <c r="C50" s="60" t="s">
        <v>65</v>
      </c>
      <c r="D50" s="60" t="s">
        <v>255</v>
      </c>
      <c r="E50" s="30">
        <v>42519.400613425925</v>
      </c>
      <c r="F50" s="30">
        <v>42519.401539351849</v>
      </c>
      <c r="G50" s="38">
        <v>1</v>
      </c>
      <c r="H50" s="30" t="s">
        <v>172</v>
      </c>
      <c r="I50" s="30">
        <v>42519.432083333333</v>
      </c>
      <c r="J50" s="60">
        <v>1</v>
      </c>
      <c r="K50" s="60" t="str">
        <f t="shared" si="12"/>
        <v>4011/4012</v>
      </c>
      <c r="L50" s="60" t="str">
        <f>VLOOKUP(A50,'Trips&amp;Operators'!$C$1:$E$9999,3,FALSE)</f>
        <v>SANTIZO</v>
      </c>
      <c r="M50" s="12">
        <f t="shared" si="13"/>
        <v>3.054398148378823E-2</v>
      </c>
      <c r="N50" s="13">
        <f t="shared" si="11"/>
        <v>43.983333336655051</v>
      </c>
      <c r="O50" s="13"/>
      <c r="P50" s="13"/>
      <c r="Q50" s="61"/>
      <c r="R50" s="61"/>
      <c r="S50" s="94">
        <f t="shared" si="9"/>
        <v>1</v>
      </c>
      <c r="T50" s="2" t="str">
        <f t="shared" si="10"/>
        <v>NorthBound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09:35:53-0600',mode:absolute,to:'2016-05-29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0" s="73" t="str">
        <f t="shared" si="15"/>
        <v>N</v>
      </c>
      <c r="Y50" s="73">
        <f t="shared" si="16"/>
        <v>1</v>
      </c>
      <c r="Z50" s="73">
        <f t="shared" si="17"/>
        <v>4.8599999999999997E-2</v>
      </c>
      <c r="AA50" s="73">
        <f t="shared" si="19"/>
        <v>23.329699999999999</v>
      </c>
      <c r="AB50" s="73">
        <f t="shared" si="18"/>
        <v>23.281099999999999</v>
      </c>
      <c r="AC50" s="74">
        <f>VLOOKUP(A50,Enforcements!$C$3:$J$60,8,0)</f>
        <v>230436</v>
      </c>
      <c r="AD50" s="74" t="str">
        <f>VLOOKUP(A50,Enforcements!$C$3:$J$60,3,0)</f>
        <v>PERMANENT SPEED RESTRICTION</v>
      </c>
    </row>
    <row r="51" spans="1:30" s="2" customFormat="1" x14ac:dyDescent="0.25">
      <c r="A51" s="60" t="s">
        <v>256</v>
      </c>
      <c r="B51" s="60">
        <v>4012</v>
      </c>
      <c r="C51" s="60" t="s">
        <v>65</v>
      </c>
      <c r="D51" s="60" t="s">
        <v>144</v>
      </c>
      <c r="E51" s="30">
        <v>42519.440613425926</v>
      </c>
      <c r="F51" s="30">
        <v>42519.442476851851</v>
      </c>
      <c r="G51" s="38">
        <v>2</v>
      </c>
      <c r="H51" s="30" t="s">
        <v>90</v>
      </c>
      <c r="I51" s="30">
        <v>42519.471655092595</v>
      </c>
      <c r="J51" s="60">
        <v>0</v>
      </c>
      <c r="K51" s="60" t="str">
        <f t="shared" si="12"/>
        <v>4011/4012</v>
      </c>
      <c r="L51" s="60" t="str">
        <f>VLOOKUP(A51,'Trips&amp;Operators'!$C$1:$E$9999,3,FALSE)</f>
        <v>SANTIZO</v>
      </c>
      <c r="M51" s="12">
        <f t="shared" si="13"/>
        <v>2.9178240743931383E-2</v>
      </c>
      <c r="N51" s="13">
        <f t="shared" si="11"/>
        <v>42.016666671261191</v>
      </c>
      <c r="O51" s="13"/>
      <c r="P51" s="13"/>
      <c r="Q51" s="61"/>
      <c r="R51" s="61"/>
      <c r="S51" s="94">
        <f t="shared" si="9"/>
        <v>1</v>
      </c>
      <c r="T51" s="2" t="str">
        <f t="shared" si="10"/>
        <v>Southbound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10:33:29-0600',mode:absolute,to:'2016-05-29 11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1" s="73" t="str">
        <f t="shared" si="15"/>
        <v>N</v>
      </c>
      <c r="Y51" s="73">
        <f t="shared" si="16"/>
        <v>1</v>
      </c>
      <c r="Z51" s="73">
        <f t="shared" si="17"/>
        <v>23.2972</v>
      </c>
      <c r="AA51" s="73">
        <f t="shared" si="19"/>
        <v>1.5800000000000002E-2</v>
      </c>
      <c r="AB51" s="73">
        <f t="shared" si="18"/>
        <v>23.281400000000001</v>
      </c>
      <c r="AC51" s="74" t="e">
        <f>VLOOKUP(A51,Enforcements!$C$3:$J$60,8,0)</f>
        <v>#N/A</v>
      </c>
      <c r="AD51" s="74" t="e">
        <f>VLOOKUP(A51,Enforcements!$C$3:$J$60,3,0)</f>
        <v>#N/A</v>
      </c>
    </row>
    <row r="52" spans="1:30" s="2" customFormat="1" x14ac:dyDescent="0.25">
      <c r="A52" s="60" t="s">
        <v>257</v>
      </c>
      <c r="B52" s="60">
        <v>4040</v>
      </c>
      <c r="C52" s="60" t="s">
        <v>65</v>
      </c>
      <c r="D52" s="60" t="s">
        <v>121</v>
      </c>
      <c r="E52" s="30">
        <v>42519.414629629631</v>
      </c>
      <c r="F52" s="30">
        <v>42519.415567129632</v>
      </c>
      <c r="G52" s="38">
        <v>1</v>
      </c>
      <c r="H52" s="30" t="s">
        <v>116</v>
      </c>
      <c r="I52" s="30">
        <v>42519.441122685188</v>
      </c>
      <c r="J52" s="60">
        <v>0</v>
      </c>
      <c r="K52" s="60" t="str">
        <f t="shared" si="12"/>
        <v>4039/4040</v>
      </c>
      <c r="L52" s="60" t="str">
        <f>VLOOKUP(A52,'Trips&amp;Operators'!$C$1:$E$9999,3,FALSE)</f>
        <v>MALAVE</v>
      </c>
      <c r="M52" s="12">
        <f t="shared" si="13"/>
        <v>2.5555555555911269E-2</v>
      </c>
      <c r="N52" s="13">
        <f t="shared" si="11"/>
        <v>36.800000000512227</v>
      </c>
      <c r="O52" s="13"/>
      <c r="P52" s="13"/>
      <c r="Q52" s="61"/>
      <c r="R52" s="61"/>
      <c r="S52" s="94">
        <f t="shared" si="9"/>
        <v>1</v>
      </c>
      <c r="T52" s="2" t="str">
        <f t="shared" si="10"/>
        <v>NorthBound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09:56:04-0600',mode:absolute,to:'2016-05-29 10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2" s="73" t="str">
        <f t="shared" si="15"/>
        <v>N</v>
      </c>
      <c r="Y52" s="73">
        <f t="shared" si="16"/>
        <v>1</v>
      </c>
      <c r="Z52" s="73">
        <f t="shared" si="17"/>
        <v>4.6600000000000003E-2</v>
      </c>
      <c r="AA52" s="73">
        <f t="shared" si="19"/>
        <v>23.3293</v>
      </c>
      <c r="AB52" s="73">
        <f t="shared" si="18"/>
        <v>23.282699999999998</v>
      </c>
      <c r="AC52" s="74" t="e">
        <f>VLOOKUP(A52,Enforcements!$C$3:$J$60,8,0)</f>
        <v>#N/A</v>
      </c>
      <c r="AD52" s="74" t="e">
        <f>VLOOKUP(A52,Enforcements!$C$3:$J$60,3,0)</f>
        <v>#N/A</v>
      </c>
    </row>
    <row r="53" spans="1:30" s="2" customFormat="1" x14ac:dyDescent="0.25">
      <c r="A53" s="60" t="s">
        <v>258</v>
      </c>
      <c r="B53" s="60">
        <v>4039</v>
      </c>
      <c r="C53" s="60" t="s">
        <v>65</v>
      </c>
      <c r="D53" s="60" t="s">
        <v>259</v>
      </c>
      <c r="E53" s="30">
        <v>42519.453634259262</v>
      </c>
      <c r="F53" s="30">
        <v>42519.455706018518</v>
      </c>
      <c r="G53" s="38">
        <v>2</v>
      </c>
      <c r="H53" s="30" t="s">
        <v>76</v>
      </c>
      <c r="I53" s="30">
        <v>42519.481747685182</v>
      </c>
      <c r="J53" s="60">
        <v>2</v>
      </c>
      <c r="K53" s="60" t="str">
        <f t="shared" si="12"/>
        <v>4039/4040</v>
      </c>
      <c r="L53" s="60" t="str">
        <f>VLOOKUP(A53,'Trips&amp;Operators'!$C$1:$E$9999,3,FALSE)</f>
        <v>MALAVE</v>
      </c>
      <c r="M53" s="12">
        <f t="shared" si="13"/>
        <v>2.6041666664241347E-2</v>
      </c>
      <c r="N53" s="13">
        <f t="shared" si="11"/>
        <v>37.49999999650754</v>
      </c>
      <c r="O53" s="13"/>
      <c r="P53" s="13"/>
      <c r="Q53" s="61"/>
      <c r="R53" s="61"/>
      <c r="S53" s="94">
        <f t="shared" si="9"/>
        <v>1</v>
      </c>
      <c r="T53" s="2" t="str">
        <f t="shared" si="10"/>
        <v>Southbound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10:52:14-0600',mode:absolute,to:'2016-05-29 11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3" s="73" t="str">
        <f t="shared" si="15"/>
        <v>N</v>
      </c>
      <c r="Y53" s="73">
        <f t="shared" si="16"/>
        <v>1</v>
      </c>
      <c r="Z53" s="73">
        <f t="shared" si="17"/>
        <v>23.296900000000001</v>
      </c>
      <c r="AA53" s="73">
        <f t="shared" si="19"/>
        <v>1.52E-2</v>
      </c>
      <c r="AB53" s="73">
        <f t="shared" si="18"/>
        <v>23.281700000000001</v>
      </c>
      <c r="AC53" s="74">
        <f>VLOOKUP(A53,Enforcements!$C$3:$J$60,8,0)</f>
        <v>127587</v>
      </c>
      <c r="AD53" s="74" t="str">
        <f>VLOOKUP(A53,Enforcements!$C$3:$J$60,3,0)</f>
        <v>SIGNAL</v>
      </c>
    </row>
    <row r="54" spans="1:30" s="2" customFormat="1" x14ac:dyDescent="0.25">
      <c r="A54" s="60" t="s">
        <v>260</v>
      </c>
      <c r="B54" s="60">
        <v>4038</v>
      </c>
      <c r="C54" s="60" t="s">
        <v>65</v>
      </c>
      <c r="D54" s="60" t="s">
        <v>73</v>
      </c>
      <c r="E54" s="30">
        <v>42519.421134259261</v>
      </c>
      <c r="F54" s="30">
        <v>42519.422511574077</v>
      </c>
      <c r="G54" s="38">
        <v>1</v>
      </c>
      <c r="H54" s="30" t="s">
        <v>261</v>
      </c>
      <c r="I54" s="30">
        <v>42519.452592592592</v>
      </c>
      <c r="J54" s="60">
        <v>0</v>
      </c>
      <c r="K54" s="60" t="str">
        <f t="shared" si="12"/>
        <v>4037/4038</v>
      </c>
      <c r="L54" s="60" t="str">
        <f>VLOOKUP(A54,'Trips&amp;Operators'!$C$1:$E$9999,3,FALSE)</f>
        <v>ACKERMAN</v>
      </c>
      <c r="M54" s="12">
        <f t="shared" si="13"/>
        <v>3.0081018514465541E-2</v>
      </c>
      <c r="N54" s="13">
        <f t="shared" si="11"/>
        <v>43.316666660830379</v>
      </c>
      <c r="O54" s="13"/>
      <c r="P54" s="13"/>
      <c r="Q54" s="61"/>
      <c r="R54" s="61"/>
      <c r="S54" s="94">
        <f t="shared" si="9"/>
        <v>1</v>
      </c>
      <c r="T54" s="2" t="str">
        <f t="shared" si="10"/>
        <v>NorthBound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10:05:26-0600',mode:absolute,to:'2016-05-29 10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4" s="73" t="str">
        <f t="shared" si="15"/>
        <v>N</v>
      </c>
      <c r="Y54" s="73">
        <f t="shared" si="16"/>
        <v>1</v>
      </c>
      <c r="Z54" s="73">
        <f t="shared" si="17"/>
        <v>4.5499999999999999E-2</v>
      </c>
      <c r="AA54" s="73">
        <f t="shared" si="19"/>
        <v>23.328099999999999</v>
      </c>
      <c r="AB54" s="73">
        <f t="shared" si="18"/>
        <v>23.282599999999999</v>
      </c>
      <c r="AC54" s="74" t="e">
        <f>VLOOKUP(A54,Enforcements!$C$3:$J$60,8,0)</f>
        <v>#N/A</v>
      </c>
      <c r="AD54" s="74" t="e">
        <f>VLOOKUP(A54,Enforcements!$C$3:$J$60,3,0)</f>
        <v>#N/A</v>
      </c>
    </row>
    <row r="55" spans="1:30" s="2" customFormat="1" x14ac:dyDescent="0.25">
      <c r="A55" s="60" t="s">
        <v>262</v>
      </c>
      <c r="B55" s="60">
        <v>4037</v>
      </c>
      <c r="C55" s="60" t="s">
        <v>65</v>
      </c>
      <c r="D55" s="60" t="s">
        <v>158</v>
      </c>
      <c r="E55" s="30">
        <v>42519.457916666666</v>
      </c>
      <c r="F55" s="30">
        <v>42519.460451388892</v>
      </c>
      <c r="G55" s="38">
        <v>3</v>
      </c>
      <c r="H55" s="30" t="s">
        <v>88</v>
      </c>
      <c r="I55" s="30">
        <v>42519.469571759262</v>
      </c>
      <c r="J55" s="60">
        <v>0</v>
      </c>
      <c r="K55" s="60" t="str">
        <f t="shared" si="12"/>
        <v>4037/4038</v>
      </c>
      <c r="L55" s="60" t="str">
        <f>VLOOKUP(A55,'Trips&amp;Operators'!$C$1:$E$9999,3,FALSE)</f>
        <v>ACKERMAN</v>
      </c>
      <c r="M55" s="12">
        <f t="shared" si="13"/>
        <v>9.1203703705104999E-3</v>
      </c>
      <c r="N55" s="13"/>
      <c r="O55" s="13"/>
      <c r="P55" s="13">
        <f>24*60*SUM($M55:$M55)</f>
        <v>13.13333333353512</v>
      </c>
      <c r="Q55" s="61"/>
      <c r="R55" s="61" t="s">
        <v>400</v>
      </c>
      <c r="S55" s="94">
        <f t="shared" si="9"/>
        <v>0</v>
      </c>
      <c r="T55" s="2" t="str">
        <f t="shared" si="10"/>
        <v>Southbound</v>
      </c>
      <c r="U55" s="67">
        <f>COUNTIFS([2]Variables!$M$2:$M$19,IF(T55="NorthBound","&gt;=","&lt;=")&amp;Z55,[2]Variables!$M$2:$M$19,IF(T55="NorthBound","&lt;=","&gt;=")&amp;AA55)</f>
        <v>0</v>
      </c>
      <c r="W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10:58:24-0600',mode:absolute,to:'2016-05-29 11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5" s="73" t="str">
        <f t="shared" si="15"/>
        <v>Y</v>
      </c>
      <c r="Y55" s="73">
        <f t="shared" si="16"/>
        <v>1</v>
      </c>
      <c r="Z55" s="73">
        <f t="shared" si="17"/>
        <v>23.298100000000002</v>
      </c>
      <c r="AA55" s="73">
        <v>23.298100000000002</v>
      </c>
      <c r="AB55" s="73">
        <f t="shared" si="18"/>
        <v>0</v>
      </c>
      <c r="AC55" s="74" t="e">
        <f>VLOOKUP(A55,Enforcements!$C$3:$J$60,8,0)</f>
        <v>#N/A</v>
      </c>
      <c r="AD55" s="74" t="e">
        <f>VLOOKUP(A55,Enforcements!$C$3:$J$60,3,0)</f>
        <v>#N/A</v>
      </c>
    </row>
    <row r="56" spans="1:30" s="2" customFormat="1" x14ac:dyDescent="0.25">
      <c r="A56" s="60" t="s">
        <v>263</v>
      </c>
      <c r="B56" s="60">
        <v>4042</v>
      </c>
      <c r="C56" s="60" t="s">
        <v>65</v>
      </c>
      <c r="D56" s="60" t="s">
        <v>126</v>
      </c>
      <c r="E56" s="30">
        <v>42519.432546296295</v>
      </c>
      <c r="F56" s="30">
        <v>42519.434155092589</v>
      </c>
      <c r="G56" s="38">
        <v>2</v>
      </c>
      <c r="H56" s="30" t="s">
        <v>172</v>
      </c>
      <c r="I56" s="30">
        <v>42519.462256944447</v>
      </c>
      <c r="J56" s="60">
        <v>0</v>
      </c>
      <c r="K56" s="60" t="str">
        <f t="shared" si="12"/>
        <v>4041/4042</v>
      </c>
      <c r="L56" s="60" t="str">
        <f>VLOOKUP(A56,'Trips&amp;Operators'!$C$1:$E$9999,3,FALSE)</f>
        <v>GEBRETEKLE</v>
      </c>
      <c r="M56" s="12">
        <f t="shared" si="13"/>
        <v>2.8101851858082227E-2</v>
      </c>
      <c r="N56" s="13">
        <f t="shared" ref="N56:N87" si="20">24*60*SUM($M56:$M56)</f>
        <v>40.466666675638407</v>
      </c>
      <c r="O56" s="13"/>
      <c r="P56" s="13"/>
      <c r="Q56" s="61"/>
      <c r="R56" s="61"/>
      <c r="S56" s="94">
        <f t="shared" si="9"/>
        <v>1</v>
      </c>
      <c r="T56" s="2" t="str">
        <f t="shared" si="10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10:21:52-0600',mode:absolute,to:'2016-05-29 11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6" s="73" t="str">
        <f t="shared" si="15"/>
        <v>N</v>
      </c>
      <c r="Y56" s="73">
        <f t="shared" si="16"/>
        <v>1</v>
      </c>
      <c r="Z56" s="73">
        <f t="shared" si="17"/>
        <v>4.6199999999999998E-2</v>
      </c>
      <c r="AA56" s="73">
        <f>RIGHT(H56,LEN(H56)-4)/10000</f>
        <v>23.329699999999999</v>
      </c>
      <c r="AB56" s="73">
        <f t="shared" si="18"/>
        <v>23.2835</v>
      </c>
      <c r="AC56" s="74" t="e">
        <f>VLOOKUP(A56,Enforcements!$C$3:$J$60,8,0)</f>
        <v>#N/A</v>
      </c>
      <c r="AD56" s="74" t="e">
        <f>VLOOKUP(A56,Enforcements!$C$3:$J$60,3,0)</f>
        <v>#N/A</v>
      </c>
    </row>
    <row r="57" spans="1:30" s="2" customFormat="1" x14ac:dyDescent="0.25">
      <c r="A57" s="60" t="s">
        <v>264</v>
      </c>
      <c r="B57" s="60">
        <v>4041</v>
      </c>
      <c r="C57" s="60" t="s">
        <v>65</v>
      </c>
      <c r="D57" s="60" t="s">
        <v>248</v>
      </c>
      <c r="E57" s="30">
        <v>42519.471250000002</v>
      </c>
      <c r="F57" s="30">
        <v>42519.472581018519</v>
      </c>
      <c r="G57" s="38">
        <v>1</v>
      </c>
      <c r="H57" s="30" t="s">
        <v>84</v>
      </c>
      <c r="I57" s="30">
        <v>42519.50309027778</v>
      </c>
      <c r="J57" s="60">
        <v>0</v>
      </c>
      <c r="K57" s="60" t="str">
        <f t="shared" si="12"/>
        <v>4041/4042</v>
      </c>
      <c r="L57" s="60" t="str">
        <f>VLOOKUP(A57,'Trips&amp;Operators'!$C$1:$E$9999,3,FALSE)</f>
        <v>GEBRETEKLE</v>
      </c>
      <c r="M57" s="12">
        <f t="shared" si="13"/>
        <v>3.050925926072523E-2</v>
      </c>
      <c r="N57" s="13">
        <f t="shared" si="20"/>
        <v>43.933333335444331</v>
      </c>
      <c r="O57" s="13"/>
      <c r="P57" s="13"/>
      <c r="Q57" s="61"/>
      <c r="R57" s="61"/>
      <c r="S57" s="94">
        <f t="shared" si="9"/>
        <v>1</v>
      </c>
      <c r="T57" s="2" t="str">
        <f t="shared" si="10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11:17:36-0600',mode:absolute,to:'2016-05-29 12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57" s="73" t="str">
        <f t="shared" si="15"/>
        <v>N</v>
      </c>
      <c r="Y57" s="73">
        <f t="shared" si="16"/>
        <v>1</v>
      </c>
      <c r="Z57" s="73">
        <f t="shared" si="17"/>
        <v>23.2971</v>
      </c>
      <c r="AA57" s="73">
        <f>RIGHT(H57,LEN(H57)-4)/10000</f>
        <v>1.4999999999999999E-2</v>
      </c>
      <c r="AB57" s="73">
        <f t="shared" si="18"/>
        <v>23.2821</v>
      </c>
      <c r="AC57" s="74" t="e">
        <f>VLOOKUP(A57,Enforcements!$C$3:$J$60,8,0)</f>
        <v>#N/A</v>
      </c>
      <c r="AD57" s="74" t="e">
        <f>VLOOKUP(A57,Enforcements!$C$3:$J$60,3,0)</f>
        <v>#N/A</v>
      </c>
    </row>
    <row r="58" spans="1:30" s="2" customFormat="1" x14ac:dyDescent="0.25">
      <c r="A58" s="60" t="s">
        <v>265</v>
      </c>
      <c r="B58" s="60">
        <v>4020</v>
      </c>
      <c r="C58" s="60" t="s">
        <v>65</v>
      </c>
      <c r="D58" s="60" t="s">
        <v>266</v>
      </c>
      <c r="E58" s="30">
        <v>42519.443680555552</v>
      </c>
      <c r="F58" s="30">
        <v>42519.445231481484</v>
      </c>
      <c r="G58" s="38">
        <v>2</v>
      </c>
      <c r="H58" s="30" t="s">
        <v>164</v>
      </c>
      <c r="I58" s="30">
        <v>42519.475960648146</v>
      </c>
      <c r="J58" s="60">
        <v>5</v>
      </c>
      <c r="K58" s="60" t="str">
        <f t="shared" si="12"/>
        <v>4019/4020</v>
      </c>
      <c r="L58" s="60" t="str">
        <f>VLOOKUP(A58,'Trips&amp;Operators'!$C$1:$E$9999,3,FALSE)</f>
        <v>STRICKLAND</v>
      </c>
      <c r="M58" s="12">
        <f t="shared" si="13"/>
        <v>3.0729166661330964E-2</v>
      </c>
      <c r="N58" s="13">
        <f t="shared" si="20"/>
        <v>44.249999992316589</v>
      </c>
      <c r="O58" s="13"/>
      <c r="P58" s="13"/>
      <c r="Q58" s="61"/>
      <c r="R58" s="61"/>
      <c r="S58" s="94">
        <f t="shared" si="9"/>
        <v>1</v>
      </c>
      <c r="T58" s="2" t="str">
        <f t="shared" si="10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10:37:54-0600',mode:absolute,to:'2016-05-29 11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8" s="73" t="str">
        <f t="shared" si="15"/>
        <v>N</v>
      </c>
      <c r="Y58" s="73">
        <f t="shared" si="16"/>
        <v>1</v>
      </c>
      <c r="Z58" s="73">
        <f t="shared" si="17"/>
        <v>4.2000000000000003E-2</v>
      </c>
      <c r="AA58" s="73">
        <v>23.329799999999999</v>
      </c>
      <c r="AB58" s="73">
        <f t="shared" si="18"/>
        <v>23.287799999999997</v>
      </c>
      <c r="AC58" s="74">
        <f>VLOOKUP(A58,Enforcements!$C$3:$J$60,8,0)</f>
        <v>42779</v>
      </c>
      <c r="AD58" s="74" t="str">
        <f>VLOOKUP(A58,Enforcements!$C$3:$J$60,3,0)</f>
        <v>GRADE CROSSING</v>
      </c>
    </row>
    <row r="59" spans="1:30" s="2" customFormat="1" x14ac:dyDescent="0.25">
      <c r="A59" s="60" t="s">
        <v>267</v>
      </c>
      <c r="B59" s="60">
        <v>4019</v>
      </c>
      <c r="C59" s="60" t="s">
        <v>65</v>
      </c>
      <c r="D59" s="60" t="s">
        <v>156</v>
      </c>
      <c r="E59" s="30">
        <v>42519.480937499997</v>
      </c>
      <c r="F59" s="30">
        <v>42519.482615740744</v>
      </c>
      <c r="G59" s="38">
        <v>2</v>
      </c>
      <c r="H59" s="30" t="s">
        <v>268</v>
      </c>
      <c r="I59" s="30">
        <v>42519.514537037037</v>
      </c>
      <c r="J59" s="60">
        <v>0</v>
      </c>
      <c r="K59" s="60" t="str">
        <f t="shared" si="12"/>
        <v>4019/4020</v>
      </c>
      <c r="L59" s="60" t="str">
        <f>VLOOKUP(A59,'Trips&amp;Operators'!$C$1:$E$9999,3,FALSE)</f>
        <v>STRICKLAND</v>
      </c>
      <c r="M59" s="12">
        <f t="shared" si="13"/>
        <v>3.1921296293148771E-2</v>
      </c>
      <c r="N59" s="13">
        <f t="shared" si="20"/>
        <v>45.96666666213423</v>
      </c>
      <c r="O59" s="13"/>
      <c r="P59" s="13"/>
      <c r="Q59" s="61"/>
      <c r="R59" s="61"/>
      <c r="S59" s="94">
        <f t="shared" si="9"/>
        <v>1</v>
      </c>
      <c r="T59" s="2" t="str">
        <f t="shared" si="10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11:31:33-0600',mode:absolute,to:'2016-05-29 12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9" s="73" t="str">
        <f t="shared" si="15"/>
        <v>N</v>
      </c>
      <c r="Y59" s="73">
        <f t="shared" si="16"/>
        <v>1</v>
      </c>
      <c r="Z59" s="73">
        <f t="shared" si="17"/>
        <v>23.298500000000001</v>
      </c>
      <c r="AA59" s="73">
        <f t="shared" ref="AA59:AA77" si="21">RIGHT(H59,LEN(H59)-4)/10000</f>
        <v>1.6299999999999999E-2</v>
      </c>
      <c r="AB59" s="73">
        <f t="shared" si="18"/>
        <v>23.2822</v>
      </c>
      <c r="AC59" s="74" t="e">
        <f>VLOOKUP(A59,Enforcements!$C$3:$J$60,8,0)</f>
        <v>#N/A</v>
      </c>
      <c r="AD59" s="74" t="e">
        <f>VLOOKUP(A59,Enforcements!$C$3:$J$60,3,0)</f>
        <v>#N/A</v>
      </c>
    </row>
    <row r="60" spans="1:30" s="2" customFormat="1" x14ac:dyDescent="0.25">
      <c r="A60" s="60" t="s">
        <v>269</v>
      </c>
      <c r="B60" s="60">
        <v>4031</v>
      </c>
      <c r="C60" s="60" t="s">
        <v>65</v>
      </c>
      <c r="D60" s="60" t="s">
        <v>270</v>
      </c>
      <c r="E60" s="30">
        <v>42519.452569444446</v>
      </c>
      <c r="F60" s="30">
        <v>42519.453761574077</v>
      </c>
      <c r="G60" s="38">
        <v>1</v>
      </c>
      <c r="H60" s="30" t="s">
        <v>271</v>
      </c>
      <c r="I60" s="30">
        <v>42519.484143518515</v>
      </c>
      <c r="J60" s="60">
        <v>0</v>
      </c>
      <c r="K60" s="60" t="str">
        <f t="shared" si="12"/>
        <v>4031/4032</v>
      </c>
      <c r="L60" s="60" t="str">
        <f>VLOOKUP(A60,'Trips&amp;Operators'!$C$1:$E$9999,3,FALSE)</f>
        <v>GOODNIGHT</v>
      </c>
      <c r="M60" s="12">
        <f t="shared" si="13"/>
        <v>3.0381944437976927E-2</v>
      </c>
      <c r="N60" s="13">
        <f t="shared" si="20"/>
        <v>43.749999990686774</v>
      </c>
      <c r="O60" s="13"/>
      <c r="P60" s="13"/>
      <c r="Q60" s="61"/>
      <c r="R60" s="61"/>
      <c r="S60" s="94">
        <f t="shared" si="9"/>
        <v>1</v>
      </c>
      <c r="T60" s="2" t="str">
        <f t="shared" si="10"/>
        <v>NorthBound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10:50:42-0600',mode:absolute,to:'2016-05-29 11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0" s="73" t="str">
        <f t="shared" si="15"/>
        <v>N</v>
      </c>
      <c r="Y60" s="73">
        <f t="shared" si="16"/>
        <v>1</v>
      </c>
      <c r="Z60" s="73">
        <f t="shared" si="17"/>
        <v>4.8000000000000001E-2</v>
      </c>
      <c r="AA60" s="73">
        <f t="shared" si="21"/>
        <v>23.338899999999999</v>
      </c>
      <c r="AB60" s="73">
        <f t="shared" si="18"/>
        <v>23.290900000000001</v>
      </c>
      <c r="AC60" s="74" t="e">
        <f>VLOOKUP(A60,Enforcements!$C$3:$J$60,8,0)</f>
        <v>#N/A</v>
      </c>
      <c r="AD60" s="74" t="e">
        <f>VLOOKUP(A60,Enforcements!$C$3:$J$60,3,0)</f>
        <v>#N/A</v>
      </c>
    </row>
    <row r="61" spans="1:30" s="2" customFormat="1" x14ac:dyDescent="0.25">
      <c r="A61" s="60" t="s">
        <v>272</v>
      </c>
      <c r="B61" s="60">
        <v>4032</v>
      </c>
      <c r="C61" s="60" t="s">
        <v>65</v>
      </c>
      <c r="D61" s="60" t="s">
        <v>273</v>
      </c>
      <c r="E61" s="30">
        <v>42519.493715277778</v>
      </c>
      <c r="F61" s="30">
        <v>42519.494664351849</v>
      </c>
      <c r="G61" s="38">
        <v>1</v>
      </c>
      <c r="H61" s="30" t="s">
        <v>84</v>
      </c>
      <c r="I61" s="30">
        <v>42519.522962962961</v>
      </c>
      <c r="J61" s="60">
        <v>0</v>
      </c>
      <c r="K61" s="60" t="str">
        <f t="shared" si="12"/>
        <v>4031/4032</v>
      </c>
      <c r="L61" s="60" t="str">
        <f>VLOOKUP(A61,'Trips&amp;Operators'!$C$1:$E$9999,3,FALSE)</f>
        <v>GOODNIGHT</v>
      </c>
      <c r="M61" s="12">
        <f t="shared" si="13"/>
        <v>2.8298611112404615E-2</v>
      </c>
      <c r="N61" s="13">
        <f t="shared" si="20"/>
        <v>40.750000001862645</v>
      </c>
      <c r="O61" s="13"/>
      <c r="P61" s="13"/>
      <c r="Q61" s="61"/>
      <c r="R61" s="61"/>
      <c r="S61" s="94">
        <f t="shared" si="9"/>
        <v>1</v>
      </c>
      <c r="T61" s="2" t="str">
        <f t="shared" si="10"/>
        <v>Southbound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11:49:57-0600',mode:absolute,to:'2016-05-29 12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1" s="73" t="str">
        <f t="shared" si="15"/>
        <v>N</v>
      </c>
      <c r="Y61" s="73">
        <f t="shared" si="16"/>
        <v>1</v>
      </c>
      <c r="Z61" s="73">
        <f t="shared" si="17"/>
        <v>23.308</v>
      </c>
      <c r="AA61" s="73">
        <f t="shared" si="21"/>
        <v>1.4999999999999999E-2</v>
      </c>
      <c r="AB61" s="73">
        <f t="shared" si="18"/>
        <v>23.292999999999999</v>
      </c>
      <c r="AC61" s="74" t="e">
        <f>VLOOKUP(A61,Enforcements!$C$3:$J$60,8,0)</f>
        <v>#N/A</v>
      </c>
      <c r="AD61" s="74" t="e">
        <f>VLOOKUP(A61,Enforcements!$C$3:$J$60,3,0)</f>
        <v>#N/A</v>
      </c>
    </row>
    <row r="62" spans="1:30" s="2" customFormat="1" x14ac:dyDescent="0.25">
      <c r="A62" s="60" t="s">
        <v>274</v>
      </c>
      <c r="B62" s="60">
        <v>4044</v>
      </c>
      <c r="C62" s="60" t="s">
        <v>65</v>
      </c>
      <c r="D62" s="60" t="s">
        <v>73</v>
      </c>
      <c r="E62" s="30">
        <v>42519.463020833333</v>
      </c>
      <c r="F62" s="30">
        <v>42519.463865740741</v>
      </c>
      <c r="G62" s="38">
        <v>1</v>
      </c>
      <c r="H62" s="30" t="s">
        <v>72</v>
      </c>
      <c r="I62" s="30">
        <v>42519.495023148149</v>
      </c>
      <c r="J62" s="60">
        <v>0</v>
      </c>
      <c r="K62" s="60" t="str">
        <f t="shared" si="12"/>
        <v>4043/4044</v>
      </c>
      <c r="L62" s="60" t="str">
        <f>VLOOKUP(A62,'Trips&amp;Operators'!$C$1:$E$9999,3,FALSE)</f>
        <v>RIVERA</v>
      </c>
      <c r="M62" s="12">
        <f t="shared" si="13"/>
        <v>3.1157407407590654E-2</v>
      </c>
      <c r="N62" s="13">
        <f t="shared" si="20"/>
        <v>44.866666666930541</v>
      </c>
      <c r="O62" s="13"/>
      <c r="P62" s="13"/>
      <c r="Q62" s="61"/>
      <c r="R62" s="61"/>
      <c r="S62" s="94">
        <f t="shared" si="9"/>
        <v>1</v>
      </c>
      <c r="T62" s="2" t="str">
        <f t="shared" si="10"/>
        <v>NorthBound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11:05:45-0600',mode:absolute,to:'2016-05-29 11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2" s="73" t="str">
        <f t="shared" si="15"/>
        <v>N</v>
      </c>
      <c r="Y62" s="73">
        <f t="shared" si="16"/>
        <v>1</v>
      </c>
      <c r="Z62" s="73">
        <f t="shared" si="17"/>
        <v>4.5499999999999999E-2</v>
      </c>
      <c r="AA62" s="73">
        <f t="shared" si="21"/>
        <v>23.3308</v>
      </c>
      <c r="AB62" s="73">
        <f t="shared" si="18"/>
        <v>23.285299999999999</v>
      </c>
      <c r="AC62" s="74" t="e">
        <f>VLOOKUP(A62,Enforcements!$C$3:$J$60,8,0)</f>
        <v>#N/A</v>
      </c>
      <c r="AD62" s="74" t="e">
        <f>VLOOKUP(A62,Enforcements!$C$3:$J$60,3,0)</f>
        <v>#N/A</v>
      </c>
    </row>
    <row r="63" spans="1:30" s="2" customFormat="1" x14ac:dyDescent="0.25">
      <c r="A63" s="60" t="s">
        <v>275</v>
      </c>
      <c r="B63" s="60">
        <v>4043</v>
      </c>
      <c r="C63" s="60" t="s">
        <v>65</v>
      </c>
      <c r="D63" s="60" t="s">
        <v>133</v>
      </c>
      <c r="E63" s="30">
        <v>42519.500891203701</v>
      </c>
      <c r="F63" s="30">
        <v>42519.502071759256</v>
      </c>
      <c r="G63" s="38">
        <v>1</v>
      </c>
      <c r="H63" s="30" t="s">
        <v>163</v>
      </c>
      <c r="I63" s="30">
        <v>42519.533680555556</v>
      </c>
      <c r="J63" s="60">
        <v>0</v>
      </c>
      <c r="K63" s="60" t="str">
        <f t="shared" si="12"/>
        <v>4043/4044</v>
      </c>
      <c r="L63" s="60" t="str">
        <f>VLOOKUP(A63,'Trips&amp;Operators'!$C$1:$E$9999,3,FALSE)</f>
        <v>RIVERA</v>
      </c>
      <c r="M63" s="12">
        <f t="shared" si="13"/>
        <v>3.160879630013369E-2</v>
      </c>
      <c r="N63" s="13">
        <f t="shared" si="20"/>
        <v>45.516666672192514</v>
      </c>
      <c r="O63" s="13"/>
      <c r="P63" s="13"/>
      <c r="Q63" s="61"/>
      <c r="R63" s="61"/>
      <c r="S63" s="94">
        <f t="shared" si="9"/>
        <v>1</v>
      </c>
      <c r="T63" s="2" t="str">
        <f t="shared" si="10"/>
        <v>Southbound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12:00:17-0600',mode:absolute,to:'2016-05-29 12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3" s="73" t="str">
        <f t="shared" si="15"/>
        <v>N</v>
      </c>
      <c r="Y63" s="73">
        <f t="shared" si="16"/>
        <v>1</v>
      </c>
      <c r="Z63" s="73">
        <f t="shared" si="17"/>
        <v>23.3</v>
      </c>
      <c r="AA63" s="73">
        <f t="shared" si="21"/>
        <v>1.49E-2</v>
      </c>
      <c r="AB63" s="73">
        <f t="shared" si="18"/>
        <v>23.2851</v>
      </c>
      <c r="AC63" s="74" t="e">
        <f>VLOOKUP(A63,Enforcements!$C$3:$J$60,8,0)</f>
        <v>#N/A</v>
      </c>
      <c r="AD63" s="74" t="e">
        <f>VLOOKUP(A63,Enforcements!$C$3:$J$60,3,0)</f>
        <v>#N/A</v>
      </c>
    </row>
    <row r="64" spans="1:30" s="2" customFormat="1" x14ac:dyDescent="0.25">
      <c r="A64" s="60" t="s">
        <v>276</v>
      </c>
      <c r="B64" s="60">
        <v>4011</v>
      </c>
      <c r="C64" s="60" t="s">
        <v>65</v>
      </c>
      <c r="D64" s="60" t="s">
        <v>150</v>
      </c>
      <c r="E64" s="30">
        <v>42519.473437499997</v>
      </c>
      <c r="F64" s="30">
        <v>42519.475393518522</v>
      </c>
      <c r="G64" s="38">
        <v>2</v>
      </c>
      <c r="H64" s="30" t="s">
        <v>139</v>
      </c>
      <c r="I64" s="30">
        <v>42519.504699074074</v>
      </c>
      <c r="J64" s="60">
        <v>0</v>
      </c>
      <c r="K64" s="60" t="str">
        <f t="shared" si="12"/>
        <v>4011/4012</v>
      </c>
      <c r="L64" s="60" t="str">
        <f>VLOOKUP(A64,'Trips&amp;Operators'!$C$1:$E$9999,3,FALSE)</f>
        <v>BONDS</v>
      </c>
      <c r="M64" s="12">
        <f t="shared" si="13"/>
        <v>2.9305555552127771E-2</v>
      </c>
      <c r="N64" s="13">
        <f t="shared" si="20"/>
        <v>42.19999999506399</v>
      </c>
      <c r="O64" s="13"/>
      <c r="P64" s="13"/>
      <c r="Q64" s="61"/>
      <c r="R64" s="61"/>
      <c r="S64" s="94">
        <f t="shared" si="9"/>
        <v>1</v>
      </c>
      <c r="T64" s="2" t="str">
        <f t="shared" si="10"/>
        <v>NorthBound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11:20:45-0600',mode:absolute,to:'2016-05-29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4" s="73" t="str">
        <f t="shared" si="15"/>
        <v>N</v>
      </c>
      <c r="Y64" s="73">
        <f t="shared" si="16"/>
        <v>1</v>
      </c>
      <c r="Z64" s="73">
        <f t="shared" si="17"/>
        <v>4.53E-2</v>
      </c>
      <c r="AA64" s="73">
        <f t="shared" si="21"/>
        <v>23.330500000000001</v>
      </c>
      <c r="AB64" s="73">
        <f t="shared" si="18"/>
        <v>23.2852</v>
      </c>
      <c r="AC64" s="74" t="e">
        <f>VLOOKUP(A64,Enforcements!$C$3:$J$60,8,0)</f>
        <v>#N/A</v>
      </c>
      <c r="AD64" s="74" t="e">
        <f>VLOOKUP(A64,Enforcements!$C$3:$J$60,3,0)</f>
        <v>#N/A</v>
      </c>
    </row>
    <row r="65" spans="1:30" s="2" customFormat="1" x14ac:dyDescent="0.25">
      <c r="A65" s="60" t="s">
        <v>277</v>
      </c>
      <c r="B65" s="60">
        <v>4012</v>
      </c>
      <c r="C65" s="60" t="s">
        <v>65</v>
      </c>
      <c r="D65" s="60" t="s">
        <v>119</v>
      </c>
      <c r="E65" s="30">
        <v>42519.51116898148</v>
      </c>
      <c r="F65" s="30">
        <v>42519.512280092589</v>
      </c>
      <c r="G65" s="38">
        <v>1</v>
      </c>
      <c r="H65" s="30" t="s">
        <v>154</v>
      </c>
      <c r="I65" s="30">
        <v>42519.544421296298</v>
      </c>
      <c r="J65" s="60">
        <v>1</v>
      </c>
      <c r="K65" s="60" t="str">
        <f t="shared" si="12"/>
        <v>4011/4012</v>
      </c>
      <c r="L65" s="60" t="str">
        <f>VLOOKUP(A65,'Trips&amp;Operators'!$C$1:$E$9999,3,FALSE)</f>
        <v>BONDS</v>
      </c>
      <c r="M65" s="12">
        <f t="shared" si="13"/>
        <v>3.2141203708306421E-2</v>
      </c>
      <c r="N65" s="13">
        <f t="shared" si="20"/>
        <v>46.283333339961246</v>
      </c>
      <c r="O65" s="13"/>
      <c r="P65" s="13"/>
      <c r="Q65" s="61"/>
      <c r="R65" s="61"/>
      <c r="S65" s="94">
        <f t="shared" si="9"/>
        <v>1</v>
      </c>
      <c r="T65" s="2" t="str">
        <f t="shared" si="10"/>
        <v>Southbound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12:15:05-0600',mode:absolute,to:'2016-05-29 13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5" s="73" t="str">
        <f t="shared" si="15"/>
        <v>N</v>
      </c>
      <c r="Y65" s="73">
        <f t="shared" si="16"/>
        <v>1</v>
      </c>
      <c r="Z65" s="73">
        <f t="shared" si="17"/>
        <v>23.297699999999999</v>
      </c>
      <c r="AA65" s="73">
        <f t="shared" si="21"/>
        <v>4.4900000000000002E-2</v>
      </c>
      <c r="AB65" s="73">
        <f t="shared" si="18"/>
        <v>23.252800000000001</v>
      </c>
      <c r="AC65" s="74">
        <f>VLOOKUP(A65,Enforcements!$C$3:$J$60,8,0)</f>
        <v>1</v>
      </c>
      <c r="AD65" s="74" t="str">
        <f>VLOOKUP(A65,Enforcements!$C$3:$J$60,3,0)</f>
        <v>TRACK WARRANT AUTHORITY</v>
      </c>
    </row>
    <row r="66" spans="1:30" s="2" customFormat="1" x14ac:dyDescent="0.25">
      <c r="A66" s="60" t="s">
        <v>278</v>
      </c>
      <c r="B66" s="60">
        <v>4040</v>
      </c>
      <c r="C66" s="60" t="s">
        <v>65</v>
      </c>
      <c r="D66" s="60" t="s">
        <v>92</v>
      </c>
      <c r="E66" s="30">
        <v>42519.483622685184</v>
      </c>
      <c r="F66" s="30">
        <v>42519.484907407408</v>
      </c>
      <c r="G66" s="38">
        <v>1</v>
      </c>
      <c r="H66" s="30" t="s">
        <v>174</v>
      </c>
      <c r="I66" s="30">
        <v>42519.514386574076</v>
      </c>
      <c r="J66" s="60">
        <v>1</v>
      </c>
      <c r="K66" s="60" t="str">
        <f t="shared" si="12"/>
        <v>4039/4040</v>
      </c>
      <c r="L66" s="60" t="str">
        <f>VLOOKUP(A66,'Trips&amp;Operators'!$C$1:$E$9999,3,FALSE)</f>
        <v>LOCKLEAR</v>
      </c>
      <c r="M66" s="12">
        <f t="shared" si="13"/>
        <v>2.9479166667442769E-2</v>
      </c>
      <c r="N66" s="13">
        <f t="shared" si="20"/>
        <v>42.450000001117587</v>
      </c>
      <c r="O66" s="13"/>
      <c r="P66" s="13"/>
      <c r="Q66" s="61"/>
      <c r="R66" s="61"/>
      <c r="S66" s="94">
        <f t="shared" si="9"/>
        <v>1</v>
      </c>
      <c r="T66" s="2" t="str">
        <f t="shared" si="10"/>
        <v>NorthBound</v>
      </c>
      <c r="U66" s="67">
        <f>COUNTIFS([2]Variables!$M$2:$M$19,IF(T66="NorthBound","&gt;=","&lt;=")&amp;Z66,[2]Variables!$M$2:$M$19,IF(T66="NorthBound","&lt;=","&gt;=")&amp;AA66)</f>
        <v>12</v>
      </c>
      <c r="W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https://search-rtdc-monitor-bjffxe2xuh6vdkpspy63sjmuny.us-east-1.es.amazonaws.com/_plugin/kibana/#/discover/Steve-Slow-Train-Analysis-(2080s-and-2083s)?_g=(refreshInterval:(display:Off,section:0,value:0),time:(from:'2016-05-29 11:35:25-0600',mode:absolute,to:'2016-05-29 12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6" s="73" t="str">
        <f t="shared" si="15"/>
        <v>N</v>
      </c>
      <c r="Y66" s="73">
        <f t="shared" si="16"/>
        <v>1</v>
      </c>
      <c r="Z66" s="73">
        <f t="shared" si="17"/>
        <v>4.58E-2</v>
      </c>
      <c r="AA66" s="73">
        <f t="shared" si="21"/>
        <v>23.335899999999999</v>
      </c>
      <c r="AB66" s="73">
        <f t="shared" si="18"/>
        <v>23.290099999999999</v>
      </c>
      <c r="AC66" s="74">
        <f>VLOOKUP(A66,Enforcements!$C$3:$J$60,8,0)</f>
        <v>233491</v>
      </c>
      <c r="AD66" s="74" t="str">
        <f>VLOOKUP(A66,Enforcements!$C$3:$J$60,3,0)</f>
        <v>TRACK WARRANT AUTHORITY</v>
      </c>
    </row>
    <row r="67" spans="1:30" s="2" customFormat="1" x14ac:dyDescent="0.25">
      <c r="A67" s="60" t="s">
        <v>279</v>
      </c>
      <c r="B67" s="60">
        <v>4039</v>
      </c>
      <c r="C67" s="60" t="s">
        <v>65</v>
      </c>
      <c r="D67" s="60" t="s">
        <v>280</v>
      </c>
      <c r="E67" s="30">
        <v>42519.527337962965</v>
      </c>
      <c r="F67" s="30">
        <v>42519.528194444443</v>
      </c>
      <c r="G67" s="38">
        <v>1</v>
      </c>
      <c r="H67" s="30" t="s">
        <v>79</v>
      </c>
      <c r="I67" s="30">
        <v>42519.553923611114</v>
      </c>
      <c r="J67" s="60">
        <v>0</v>
      </c>
      <c r="K67" s="60" t="str">
        <f t="shared" ref="K67:K98" si="22">IF(ISEVEN(B67),(B67-1)&amp;"/"&amp;B67,B67&amp;"/"&amp;(B67+1))</f>
        <v>4039/4040</v>
      </c>
      <c r="L67" s="60" t="str">
        <f>VLOOKUP(A67,'Trips&amp;Operators'!$C$1:$E$9999,3,FALSE)</f>
        <v>LOCKLEAR</v>
      </c>
      <c r="M67" s="12">
        <f t="shared" ref="M67:M98" si="23">I67-F67</f>
        <v>2.5729166671226267E-2</v>
      </c>
      <c r="N67" s="13">
        <f t="shared" si="20"/>
        <v>37.050000006565824</v>
      </c>
      <c r="O67" s="13"/>
      <c r="P67" s="13"/>
      <c r="Q67" s="61"/>
      <c r="R67" s="61"/>
      <c r="S67" s="94">
        <f t="shared" si="9"/>
        <v>1</v>
      </c>
      <c r="T67" s="2" t="str">
        <f t="shared" si="10"/>
        <v>Southbound</v>
      </c>
      <c r="U67" s="67">
        <f>COUNTIFS([2]Variables!$M$2:$M$19,IF(T67="NorthBound","&gt;=","&lt;=")&amp;Z67,[2]Variables!$M$2:$M$19,IF(T67="NorthBound","&lt;=","&gt;=")&amp;AA67)</f>
        <v>12</v>
      </c>
      <c r="W67" s="73" t="str">
        <f t="shared" ref="W67:W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https://search-rtdc-monitor-bjffxe2xuh6vdkpspy63sjmuny.us-east-1.es.amazonaws.com/_plugin/kibana/#/discover/Steve-Slow-Train-Analysis-(2080s-and-2083s)?_g=(refreshInterval:(display:Off,section:0,value:0),time:(from:'2016-05-29 12:38:22-0600',mode:absolute,to:'2016-05-29 13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7" s="73" t="str">
        <f t="shared" ref="X67:X98" si="25">IF(AB67&lt;23,"Y","N")</f>
        <v>N</v>
      </c>
      <c r="Y67" s="73">
        <f t="shared" ref="Y67:Y98" si="26">VALUE(LEFT(A67,3))-VALUE(LEFT(A66,3))</f>
        <v>1</v>
      </c>
      <c r="Z67" s="73">
        <f t="shared" ref="Z67:Z98" si="27">RIGHT(D67,LEN(D67)-4)/10000</f>
        <v>23.304300000000001</v>
      </c>
      <c r="AA67" s="73">
        <f t="shared" si="21"/>
        <v>1.61E-2</v>
      </c>
      <c r="AB67" s="73">
        <f t="shared" ref="AB67:AB98" si="28">ABS(AA67-Z67)</f>
        <v>23.2882</v>
      </c>
      <c r="AC67" s="74" t="e">
        <f>VLOOKUP(A67,Enforcements!$C$3:$J$60,8,0)</f>
        <v>#N/A</v>
      </c>
      <c r="AD67" s="74" t="e">
        <f>VLOOKUP(A67,Enforcements!$C$3:$J$60,3,0)</f>
        <v>#N/A</v>
      </c>
    </row>
    <row r="68" spans="1:30" s="2" customFormat="1" x14ac:dyDescent="0.25">
      <c r="A68" s="60" t="s">
        <v>281</v>
      </c>
      <c r="B68" s="60">
        <v>4038</v>
      </c>
      <c r="C68" s="60" t="s">
        <v>65</v>
      </c>
      <c r="D68" s="60" t="s">
        <v>282</v>
      </c>
      <c r="E68" s="30">
        <v>42519.497881944444</v>
      </c>
      <c r="F68" s="30">
        <v>42519.498611111114</v>
      </c>
      <c r="G68" s="38">
        <v>1</v>
      </c>
      <c r="H68" s="30" t="s">
        <v>147</v>
      </c>
      <c r="I68" s="30">
        <v>42519.525937500002</v>
      </c>
      <c r="J68" s="60">
        <v>0</v>
      </c>
      <c r="K68" s="60" t="str">
        <f t="shared" si="22"/>
        <v>4037/4038</v>
      </c>
      <c r="L68" s="60" t="str">
        <f>VLOOKUP(A68,'Trips&amp;Operators'!$C$1:$E$9999,3,FALSE)</f>
        <v>ACKERMAN</v>
      </c>
      <c r="M68" s="12">
        <f t="shared" si="23"/>
        <v>2.73263888884685E-2</v>
      </c>
      <c r="N68" s="13">
        <f t="shared" si="20"/>
        <v>39.34999999939464</v>
      </c>
      <c r="O68" s="13"/>
      <c r="P68" s="13"/>
      <c r="Q68" s="61"/>
      <c r="R68" s="61"/>
      <c r="S68" s="94">
        <f t="shared" ref="S68:S131" si="29">SUM(U68:U68)/12</f>
        <v>1</v>
      </c>
      <c r="T68" s="2" t="str">
        <f t="shared" ref="T68:T131" si="30">IF(ISEVEN(LEFT(A68,3)),"Southbound","NorthBound")</f>
        <v>NorthBound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11:55:57-0600',mode:absolute,to:'2016-05-29 12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8" s="73" t="str">
        <f t="shared" si="25"/>
        <v>N</v>
      </c>
      <c r="Y68" s="73">
        <f t="shared" si="26"/>
        <v>1</v>
      </c>
      <c r="Z68" s="73">
        <f t="shared" si="27"/>
        <v>4.4400000000000002E-2</v>
      </c>
      <c r="AA68" s="73">
        <f t="shared" si="21"/>
        <v>23.327999999999999</v>
      </c>
      <c r="AB68" s="73">
        <f t="shared" si="28"/>
        <v>23.2836</v>
      </c>
      <c r="AC68" s="74" t="e">
        <f>VLOOKUP(A68,Enforcements!$C$3:$J$60,8,0)</f>
        <v>#N/A</v>
      </c>
      <c r="AD68" s="74" t="e">
        <f>VLOOKUP(A68,Enforcements!$C$3:$J$60,3,0)</f>
        <v>#N/A</v>
      </c>
    </row>
    <row r="69" spans="1:30" s="2" customFormat="1" x14ac:dyDescent="0.25">
      <c r="A69" s="60" t="s">
        <v>283</v>
      </c>
      <c r="B69" s="60">
        <v>4037</v>
      </c>
      <c r="C69" s="60" t="s">
        <v>65</v>
      </c>
      <c r="D69" s="60" t="s">
        <v>142</v>
      </c>
      <c r="E69" s="30">
        <v>42519.531087962961</v>
      </c>
      <c r="F69" s="30">
        <v>42519.532152777778</v>
      </c>
      <c r="G69" s="38">
        <v>1</v>
      </c>
      <c r="H69" s="30" t="s">
        <v>88</v>
      </c>
      <c r="I69" s="30">
        <v>42519.566701388889</v>
      </c>
      <c r="J69" s="60">
        <v>0</v>
      </c>
      <c r="K69" s="60" t="str">
        <f t="shared" si="22"/>
        <v>4037/4038</v>
      </c>
      <c r="L69" s="60" t="str">
        <f>VLOOKUP(A69,'Trips&amp;Operators'!$C$1:$E$9999,3,FALSE)</f>
        <v>ACKERMAN</v>
      </c>
      <c r="M69" s="12">
        <f t="shared" si="23"/>
        <v>3.4548611110949423E-2</v>
      </c>
      <c r="N69" s="13">
        <f t="shared" si="20"/>
        <v>49.749999999767169</v>
      </c>
      <c r="O69" s="13"/>
      <c r="P69" s="13"/>
      <c r="Q69" s="61"/>
      <c r="R69" s="61"/>
      <c r="S69" s="94">
        <f t="shared" si="29"/>
        <v>1</v>
      </c>
      <c r="T69" s="2" t="str">
        <f t="shared" si="30"/>
        <v>Southbound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12:43:46-0600',mode:absolute,to:'2016-05-29 13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9" s="73" t="str">
        <f t="shared" si="25"/>
        <v>N</v>
      </c>
      <c r="Y69" s="73">
        <f t="shared" si="26"/>
        <v>1</v>
      </c>
      <c r="Z69" s="73">
        <f t="shared" si="27"/>
        <v>23.2986</v>
      </c>
      <c r="AA69" s="73">
        <f t="shared" si="21"/>
        <v>1.47E-2</v>
      </c>
      <c r="AB69" s="73">
        <f t="shared" si="28"/>
        <v>23.283899999999999</v>
      </c>
      <c r="AC69" s="74" t="e">
        <f>VLOOKUP(A69,Enforcements!$C$3:$J$60,8,0)</f>
        <v>#N/A</v>
      </c>
      <c r="AD69" s="74" t="e">
        <f>VLOOKUP(A69,Enforcements!$C$3:$J$60,3,0)</f>
        <v>#N/A</v>
      </c>
    </row>
    <row r="70" spans="1:30" s="2" customFormat="1" x14ac:dyDescent="0.25">
      <c r="A70" s="60" t="s">
        <v>284</v>
      </c>
      <c r="B70" s="60">
        <v>4042</v>
      </c>
      <c r="C70" s="60" t="s">
        <v>65</v>
      </c>
      <c r="D70" s="60" t="s">
        <v>126</v>
      </c>
      <c r="E70" s="30">
        <v>42519.506620370368</v>
      </c>
      <c r="F70" s="30">
        <v>42519.507939814815</v>
      </c>
      <c r="G70" s="38">
        <v>1</v>
      </c>
      <c r="H70" s="30" t="s">
        <v>120</v>
      </c>
      <c r="I70" s="30">
        <v>42519.535416666666</v>
      </c>
      <c r="J70" s="60">
        <v>0</v>
      </c>
      <c r="K70" s="60" t="str">
        <f t="shared" si="22"/>
        <v>4041/4042</v>
      </c>
      <c r="L70" s="60" t="str">
        <f>VLOOKUP(A70,'Trips&amp;Operators'!$C$1:$E$9999,3,FALSE)</f>
        <v>STEWART</v>
      </c>
      <c r="M70" s="12">
        <f t="shared" si="23"/>
        <v>2.7476851850224193E-2</v>
      </c>
      <c r="N70" s="13">
        <f t="shared" si="20"/>
        <v>39.566666664322838</v>
      </c>
      <c r="O70" s="13"/>
      <c r="P70" s="13"/>
      <c r="Q70" s="61"/>
      <c r="R70" s="61"/>
      <c r="S70" s="94">
        <f t="shared" si="29"/>
        <v>1</v>
      </c>
      <c r="T70" s="2" t="str">
        <f t="shared" si="30"/>
        <v>NorthBound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12:08:32-0600',mode:absolute,to:'2016-05-29 12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0" s="73" t="str">
        <f t="shared" si="25"/>
        <v>N</v>
      </c>
      <c r="Y70" s="73">
        <f t="shared" si="26"/>
        <v>1</v>
      </c>
      <c r="Z70" s="73">
        <f t="shared" si="27"/>
        <v>4.6199999999999998E-2</v>
      </c>
      <c r="AA70" s="73">
        <f t="shared" si="21"/>
        <v>23.330400000000001</v>
      </c>
      <c r="AB70" s="73">
        <f t="shared" si="28"/>
        <v>23.284200000000002</v>
      </c>
      <c r="AC70" s="74" t="e">
        <f>VLOOKUP(A70,Enforcements!$C$3:$J$60,8,0)</f>
        <v>#N/A</v>
      </c>
      <c r="AD70" s="74" t="e">
        <f>VLOOKUP(A70,Enforcements!$C$3:$J$60,3,0)</f>
        <v>#N/A</v>
      </c>
    </row>
    <row r="71" spans="1:30" s="2" customFormat="1" x14ac:dyDescent="0.25">
      <c r="A71" s="60" t="s">
        <v>285</v>
      </c>
      <c r="B71" s="60">
        <v>4041</v>
      </c>
      <c r="C71" s="60" t="s">
        <v>65</v>
      </c>
      <c r="D71" s="60" t="s">
        <v>169</v>
      </c>
      <c r="E71" s="30">
        <v>42519.545613425929</v>
      </c>
      <c r="F71" s="30">
        <v>42519.547303240739</v>
      </c>
      <c r="G71" s="38">
        <v>2</v>
      </c>
      <c r="H71" s="30" t="s">
        <v>76</v>
      </c>
      <c r="I71" s="30">
        <v>42519.575532407405</v>
      </c>
      <c r="J71" s="60">
        <v>0</v>
      </c>
      <c r="K71" s="60" t="str">
        <f t="shared" si="22"/>
        <v>4041/4042</v>
      </c>
      <c r="L71" s="60" t="str">
        <f>VLOOKUP(A71,'Trips&amp;Operators'!$C$1:$E$9999,3,FALSE)</f>
        <v>STEWART</v>
      </c>
      <c r="M71" s="12">
        <f t="shared" si="23"/>
        <v>2.8229166666278616E-2</v>
      </c>
      <c r="N71" s="13">
        <f t="shared" si="20"/>
        <v>40.649999999441206</v>
      </c>
      <c r="O71" s="13"/>
      <c r="P71" s="13"/>
      <c r="Q71" s="61"/>
      <c r="R71" s="61"/>
      <c r="S71" s="94">
        <f t="shared" si="29"/>
        <v>1</v>
      </c>
      <c r="T71" s="2" t="str">
        <f t="shared" si="30"/>
        <v>Southbound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13:04:41-0600',mode:absolute,to:'2016-05-29 13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1" s="73" t="str">
        <f t="shared" si="25"/>
        <v>N</v>
      </c>
      <c r="Y71" s="73">
        <f t="shared" si="26"/>
        <v>1</v>
      </c>
      <c r="Z71" s="73">
        <f t="shared" si="27"/>
        <v>23.298300000000001</v>
      </c>
      <c r="AA71" s="73">
        <f t="shared" si="21"/>
        <v>1.52E-2</v>
      </c>
      <c r="AB71" s="73">
        <f t="shared" si="28"/>
        <v>23.283100000000001</v>
      </c>
      <c r="AC71" s="74" t="e">
        <f>VLOOKUP(A71,Enforcements!$C$3:$J$60,8,0)</f>
        <v>#N/A</v>
      </c>
      <c r="AD71" s="74" t="e">
        <f>VLOOKUP(A71,Enforcements!$C$3:$J$60,3,0)</f>
        <v>#N/A</v>
      </c>
    </row>
    <row r="72" spans="1:30" s="2" customFormat="1" x14ac:dyDescent="0.25">
      <c r="A72" s="60" t="s">
        <v>286</v>
      </c>
      <c r="B72" s="60">
        <v>4020</v>
      </c>
      <c r="C72" s="60" t="s">
        <v>65</v>
      </c>
      <c r="D72" s="60" t="s">
        <v>78</v>
      </c>
      <c r="E72" s="30">
        <v>42519.516643518517</v>
      </c>
      <c r="F72" s="30">
        <v>42519.518657407411</v>
      </c>
      <c r="G72" s="38">
        <v>2</v>
      </c>
      <c r="H72" s="30" t="s">
        <v>129</v>
      </c>
      <c r="I72" s="30">
        <v>42519.547581018516</v>
      </c>
      <c r="J72" s="60">
        <v>1</v>
      </c>
      <c r="K72" s="60" t="str">
        <f t="shared" si="22"/>
        <v>4019/4020</v>
      </c>
      <c r="L72" s="60" t="str">
        <f>VLOOKUP(A72,'Trips&amp;Operators'!$C$1:$E$9999,3,FALSE)</f>
        <v>STRICKLAND</v>
      </c>
      <c r="M72" s="12">
        <f t="shared" si="23"/>
        <v>2.8923611105710734E-2</v>
      </c>
      <c r="N72" s="13">
        <f t="shared" si="20"/>
        <v>41.649999992223457</v>
      </c>
      <c r="O72" s="13"/>
      <c r="P72" s="13"/>
      <c r="Q72" s="61"/>
      <c r="R72" s="61"/>
      <c r="S72" s="94">
        <f t="shared" si="29"/>
        <v>1</v>
      </c>
      <c r="T72" s="2" t="str">
        <f t="shared" si="30"/>
        <v>NorthBound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12:22:58-0600',mode:absolute,to:'2016-05-29 13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72" s="73" t="str">
        <f t="shared" si="25"/>
        <v>N</v>
      </c>
      <c r="Y72" s="73">
        <f t="shared" si="26"/>
        <v>1</v>
      </c>
      <c r="Z72" s="73">
        <f t="shared" si="27"/>
        <v>4.6399999999999997E-2</v>
      </c>
      <c r="AA72" s="73">
        <f t="shared" si="21"/>
        <v>23.328900000000001</v>
      </c>
      <c r="AB72" s="73">
        <f t="shared" si="28"/>
        <v>23.282500000000002</v>
      </c>
      <c r="AC72" s="74">
        <f>VLOOKUP(A72,Enforcements!$C$3:$J$60,8,0)</f>
        <v>161962</v>
      </c>
      <c r="AD72" s="74" t="str">
        <f>VLOOKUP(A72,Enforcements!$C$3:$J$60,3,0)</f>
        <v>PERMANENT SPEED RESTRICTION</v>
      </c>
    </row>
    <row r="73" spans="1:30" s="2" customFormat="1" x14ac:dyDescent="0.25">
      <c r="A73" s="60" t="s">
        <v>287</v>
      </c>
      <c r="B73" s="60">
        <v>4019</v>
      </c>
      <c r="C73" s="60" t="s">
        <v>65</v>
      </c>
      <c r="D73" s="60" t="s">
        <v>119</v>
      </c>
      <c r="E73" s="30">
        <v>42519.55060185185</v>
      </c>
      <c r="F73" s="30">
        <v>42519.552083333336</v>
      </c>
      <c r="G73" s="38">
        <v>2</v>
      </c>
      <c r="H73" s="30" t="s">
        <v>268</v>
      </c>
      <c r="I73" s="30">
        <v>42519.58834490741</v>
      </c>
      <c r="J73" s="60">
        <v>1</v>
      </c>
      <c r="K73" s="60" t="str">
        <f t="shared" si="22"/>
        <v>4019/4020</v>
      </c>
      <c r="L73" s="60" t="str">
        <f>VLOOKUP(A73,'Trips&amp;Operators'!$C$1:$E$9999,3,FALSE)</f>
        <v>STRICKLAND</v>
      </c>
      <c r="M73" s="12">
        <f t="shared" si="23"/>
        <v>3.6261574074160308E-2</v>
      </c>
      <c r="N73" s="13">
        <f t="shared" si="20"/>
        <v>52.216666666790843</v>
      </c>
      <c r="O73" s="13"/>
      <c r="P73" s="13"/>
      <c r="Q73" s="61"/>
      <c r="R73" s="61"/>
      <c r="S73" s="94">
        <f t="shared" si="29"/>
        <v>1</v>
      </c>
      <c r="T73" s="2" t="str">
        <f t="shared" si="30"/>
        <v>Southbound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13:11:52-0600',mode:absolute,to:'2016-05-29 14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73" s="73" t="str">
        <f t="shared" si="25"/>
        <v>N</v>
      </c>
      <c r="Y73" s="73">
        <f t="shared" si="26"/>
        <v>1</v>
      </c>
      <c r="Z73" s="73">
        <f t="shared" si="27"/>
        <v>23.297699999999999</v>
      </c>
      <c r="AA73" s="73">
        <f t="shared" si="21"/>
        <v>1.6299999999999999E-2</v>
      </c>
      <c r="AB73" s="73">
        <f t="shared" si="28"/>
        <v>23.281399999999998</v>
      </c>
      <c r="AC73" s="74">
        <f>VLOOKUP(A73,Enforcements!$C$3:$J$60,8,0)</f>
        <v>30562</v>
      </c>
      <c r="AD73" s="74" t="str">
        <f>VLOOKUP(A73,Enforcements!$C$3:$J$60,3,0)</f>
        <v>PERMANENT SPEED RESTRICTION</v>
      </c>
    </row>
    <row r="74" spans="1:30" s="2" customFormat="1" x14ac:dyDescent="0.25">
      <c r="A74" s="60" t="s">
        <v>288</v>
      </c>
      <c r="B74" s="60">
        <v>4031</v>
      </c>
      <c r="C74" s="60" t="s">
        <v>65</v>
      </c>
      <c r="D74" s="60" t="s">
        <v>121</v>
      </c>
      <c r="E74" s="30">
        <v>42519.526087962964</v>
      </c>
      <c r="F74" s="30">
        <v>42519.528124999997</v>
      </c>
      <c r="G74" s="38">
        <v>2</v>
      </c>
      <c r="H74" s="30" t="s">
        <v>171</v>
      </c>
      <c r="I74" s="30">
        <v>42519.556493055556</v>
      </c>
      <c r="J74" s="60">
        <v>0</v>
      </c>
      <c r="K74" s="60" t="str">
        <f t="shared" si="22"/>
        <v>4031/4032</v>
      </c>
      <c r="L74" s="60" t="str">
        <f>VLOOKUP(A74,'Trips&amp;Operators'!$C$1:$E$9999,3,FALSE)</f>
        <v>WEBSTER</v>
      </c>
      <c r="M74" s="12">
        <f t="shared" si="23"/>
        <v>2.8368055558530614E-2</v>
      </c>
      <c r="N74" s="13">
        <f t="shared" si="20"/>
        <v>40.850000004284084</v>
      </c>
      <c r="O74" s="13"/>
      <c r="P74" s="13"/>
      <c r="Q74" s="61"/>
      <c r="R74" s="61"/>
      <c r="S74" s="94">
        <f t="shared" si="29"/>
        <v>1</v>
      </c>
      <c r="T74" s="2" t="str">
        <f t="shared" si="30"/>
        <v>NorthBound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12:36:34-0600',mode:absolute,to:'2016-05-29 13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4" s="73" t="str">
        <f t="shared" si="25"/>
        <v>N</v>
      </c>
      <c r="Y74" s="73">
        <f t="shared" si="26"/>
        <v>1</v>
      </c>
      <c r="Z74" s="73">
        <f t="shared" si="27"/>
        <v>4.6600000000000003E-2</v>
      </c>
      <c r="AA74" s="73">
        <f t="shared" si="21"/>
        <v>23.3323</v>
      </c>
      <c r="AB74" s="73">
        <f t="shared" si="28"/>
        <v>23.285699999999999</v>
      </c>
      <c r="AC74" s="74" t="e">
        <f>VLOOKUP(A74,Enforcements!$C$3:$J$60,8,0)</f>
        <v>#N/A</v>
      </c>
      <c r="AD74" s="74" t="e">
        <f>VLOOKUP(A74,Enforcements!$C$3:$J$60,3,0)</f>
        <v>#N/A</v>
      </c>
    </row>
    <row r="75" spans="1:30" s="2" customFormat="1" x14ac:dyDescent="0.25">
      <c r="A75" s="60" t="s">
        <v>289</v>
      </c>
      <c r="B75" s="60">
        <v>4032</v>
      </c>
      <c r="C75" s="60" t="s">
        <v>65</v>
      </c>
      <c r="D75" s="60" t="s">
        <v>290</v>
      </c>
      <c r="E75" s="30">
        <v>42519.565266203703</v>
      </c>
      <c r="F75" s="30">
        <v>42519.566261574073</v>
      </c>
      <c r="G75" s="38">
        <v>1</v>
      </c>
      <c r="H75" s="30" t="s">
        <v>145</v>
      </c>
      <c r="I75" s="30">
        <v>42519.597013888888</v>
      </c>
      <c r="J75" s="60">
        <v>0</v>
      </c>
      <c r="K75" s="60" t="str">
        <f t="shared" si="22"/>
        <v>4031/4032</v>
      </c>
      <c r="L75" s="60" t="str">
        <f>VLOOKUP(A75,'Trips&amp;Operators'!$C$1:$E$9999,3,FALSE)</f>
        <v>WEBSTER</v>
      </c>
      <c r="M75" s="12">
        <f t="shared" si="23"/>
        <v>3.0752314814890269E-2</v>
      </c>
      <c r="N75" s="13">
        <f t="shared" si="20"/>
        <v>44.283333333441988</v>
      </c>
      <c r="O75" s="13"/>
      <c r="P75" s="13"/>
      <c r="Q75" s="61"/>
      <c r="R75" s="61"/>
      <c r="S75" s="94">
        <f t="shared" si="29"/>
        <v>1</v>
      </c>
      <c r="T75" s="2" t="str">
        <f t="shared" si="30"/>
        <v>Southbound</v>
      </c>
      <c r="U75" s="67">
        <f>COUNTIFS([2]Variables!$M$2:$M$19,IF(T75="NorthBound","&gt;=","&lt;=")&amp;Z75,[2]Variables!$M$2:$M$19,IF(T75="NorthBound","&lt;=","&gt;=")&amp;AA75)</f>
        <v>12</v>
      </c>
      <c r="W7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13:32:59-0600',mode:absolute,to:'2016-05-29 14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5" s="73" t="str">
        <f t="shared" si="25"/>
        <v>N</v>
      </c>
      <c r="Y75" s="73">
        <f t="shared" si="26"/>
        <v>1</v>
      </c>
      <c r="Z75" s="73">
        <f t="shared" si="27"/>
        <v>23.301100000000002</v>
      </c>
      <c r="AA75" s="73">
        <f t="shared" si="21"/>
        <v>1.3899999999999999E-2</v>
      </c>
      <c r="AB75" s="73">
        <f t="shared" si="28"/>
        <v>23.287200000000002</v>
      </c>
      <c r="AC75" s="74" t="e">
        <f>VLOOKUP(A75,Enforcements!$C$3:$J$60,8,0)</f>
        <v>#N/A</v>
      </c>
      <c r="AD75" s="74" t="e">
        <f>VLOOKUP(A75,Enforcements!$C$3:$J$60,3,0)</f>
        <v>#N/A</v>
      </c>
    </row>
    <row r="76" spans="1:30" s="2" customFormat="1" x14ac:dyDescent="0.25">
      <c r="A76" s="60" t="s">
        <v>291</v>
      </c>
      <c r="B76" s="60">
        <v>4044</v>
      </c>
      <c r="C76" s="60" t="s">
        <v>65</v>
      </c>
      <c r="D76" s="60" t="s">
        <v>71</v>
      </c>
      <c r="E76" s="30">
        <v>42519.535601851851</v>
      </c>
      <c r="F76" s="30">
        <v>42519.536712962959</v>
      </c>
      <c r="G76" s="38">
        <v>1</v>
      </c>
      <c r="H76" s="30" t="s">
        <v>75</v>
      </c>
      <c r="I76" s="30">
        <v>42519.566493055558</v>
      </c>
      <c r="J76" s="60">
        <v>0</v>
      </c>
      <c r="K76" s="60" t="str">
        <f t="shared" si="22"/>
        <v>4043/4044</v>
      </c>
      <c r="L76" s="60" t="str">
        <f>VLOOKUP(A76,'Trips&amp;Operators'!$C$1:$E$9999,3,FALSE)</f>
        <v>RIVERA</v>
      </c>
      <c r="M76" s="12">
        <f t="shared" si="23"/>
        <v>2.9780092598230112E-2</v>
      </c>
      <c r="N76" s="13">
        <f t="shared" si="20"/>
        <v>42.883333341451362</v>
      </c>
      <c r="O76" s="13"/>
      <c r="P76" s="13"/>
      <c r="Q76" s="61"/>
      <c r="R76" s="61"/>
      <c r="S76" s="94">
        <f t="shared" si="29"/>
        <v>1</v>
      </c>
      <c r="T76" s="2" t="str">
        <f t="shared" si="30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12:50:16-0600',mode:absolute,to:'2016-05-29 13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6" s="73" t="str">
        <f t="shared" si="25"/>
        <v>N</v>
      </c>
      <c r="Y76" s="73">
        <f t="shared" si="26"/>
        <v>1</v>
      </c>
      <c r="Z76" s="73">
        <f t="shared" si="27"/>
        <v>4.4699999999999997E-2</v>
      </c>
      <c r="AA76" s="73">
        <f t="shared" si="21"/>
        <v>23.329899999999999</v>
      </c>
      <c r="AB76" s="73">
        <f t="shared" si="28"/>
        <v>23.2852</v>
      </c>
      <c r="AC76" s="74" t="e">
        <f>VLOOKUP(A76,Enforcements!$C$3:$J$60,8,0)</f>
        <v>#N/A</v>
      </c>
      <c r="AD76" s="74" t="e">
        <f>VLOOKUP(A76,Enforcements!$C$3:$J$60,3,0)</f>
        <v>#N/A</v>
      </c>
    </row>
    <row r="77" spans="1:30" s="2" customFormat="1" x14ac:dyDescent="0.25">
      <c r="A77" s="60" t="s">
        <v>292</v>
      </c>
      <c r="B77" s="60">
        <v>4043</v>
      </c>
      <c r="C77" s="60" t="s">
        <v>65</v>
      </c>
      <c r="D77" s="60" t="s">
        <v>235</v>
      </c>
      <c r="E77" s="30">
        <v>42519.574293981481</v>
      </c>
      <c r="F77" s="30">
        <v>42519.575497685182</v>
      </c>
      <c r="G77" s="38">
        <v>1</v>
      </c>
      <c r="H77" s="30" t="s">
        <v>122</v>
      </c>
      <c r="I77" s="30">
        <v>42519.606539351851</v>
      </c>
      <c r="J77" s="60">
        <v>0</v>
      </c>
      <c r="K77" s="60" t="str">
        <f t="shared" si="22"/>
        <v>4043/4044</v>
      </c>
      <c r="L77" s="60" t="str">
        <f>VLOOKUP(A77,'Trips&amp;Operators'!$C$1:$E$9999,3,FALSE)</f>
        <v>RIVERA</v>
      </c>
      <c r="M77" s="12">
        <f t="shared" si="23"/>
        <v>3.104166666889796E-2</v>
      </c>
      <c r="N77" s="13">
        <f t="shared" si="20"/>
        <v>44.700000003213063</v>
      </c>
      <c r="O77" s="13"/>
      <c r="P77" s="13"/>
      <c r="Q77" s="61"/>
      <c r="R77" s="61"/>
      <c r="S77" s="94">
        <f t="shared" si="29"/>
        <v>1</v>
      </c>
      <c r="T77" s="2" t="str">
        <f t="shared" si="30"/>
        <v>Southbound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13:45:59-0600',mode:absolute,to:'2016-05-29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7" s="73" t="str">
        <f t="shared" si="25"/>
        <v>N</v>
      </c>
      <c r="Y77" s="73">
        <f t="shared" si="26"/>
        <v>1</v>
      </c>
      <c r="Z77" s="73">
        <f t="shared" si="27"/>
        <v>23.299199999999999</v>
      </c>
      <c r="AA77" s="73">
        <f t="shared" si="21"/>
        <v>1.43E-2</v>
      </c>
      <c r="AB77" s="73">
        <f t="shared" si="28"/>
        <v>23.2849</v>
      </c>
      <c r="AC77" s="74" t="e">
        <f>VLOOKUP(A77,Enforcements!$C$3:$J$60,8,0)</f>
        <v>#N/A</v>
      </c>
      <c r="AD77" s="74" t="e">
        <f>VLOOKUP(A77,Enforcements!$C$3:$J$60,3,0)</f>
        <v>#N/A</v>
      </c>
    </row>
    <row r="78" spans="1:30" s="2" customFormat="1" x14ac:dyDescent="0.25">
      <c r="A78" s="60" t="s">
        <v>293</v>
      </c>
      <c r="B78" s="60">
        <v>4011</v>
      </c>
      <c r="C78" s="60" t="s">
        <v>65</v>
      </c>
      <c r="D78" s="60" t="s">
        <v>294</v>
      </c>
      <c r="E78" s="30">
        <v>42519.546076388891</v>
      </c>
      <c r="F78" s="30">
        <v>42519.547048611108</v>
      </c>
      <c r="G78" s="38">
        <v>1</v>
      </c>
      <c r="H78" s="30" t="s">
        <v>117</v>
      </c>
      <c r="I78" s="30">
        <v>42519.577650462961</v>
      </c>
      <c r="J78" s="60">
        <v>0</v>
      </c>
      <c r="K78" s="60" t="str">
        <f t="shared" si="22"/>
        <v>4011/4012</v>
      </c>
      <c r="L78" s="60" t="str">
        <f>VLOOKUP(A78,'Trips&amp;Operators'!$C$1:$E$9999,3,FALSE)</f>
        <v>BONDS</v>
      </c>
      <c r="M78" s="12">
        <f t="shared" si="23"/>
        <v>3.0601851853134576E-2</v>
      </c>
      <c r="N78" s="13">
        <f t="shared" si="20"/>
        <v>44.06666666851379</v>
      </c>
      <c r="O78" s="13"/>
      <c r="P78" s="13"/>
      <c r="Q78" s="61"/>
      <c r="R78" s="61"/>
      <c r="S78" s="94">
        <f t="shared" si="29"/>
        <v>1</v>
      </c>
      <c r="T78" s="2" t="str">
        <f t="shared" si="30"/>
        <v>NorthBound</v>
      </c>
      <c r="U78" s="67">
        <f>COUNTIFS([2]Variables!$M$2:$M$19,IF(T78="NorthBound","&gt;=","&lt;=")&amp;Z78,[2]Variables!$M$2:$M$19,IF(T78="NorthBound","&lt;=","&gt;=")&amp;AA78)</f>
        <v>12</v>
      </c>
      <c r="W7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13:05:21-0600',mode:absolute,to:'2016-05-29 13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8" s="73" t="str">
        <f t="shared" si="25"/>
        <v>N</v>
      </c>
      <c r="Y78" s="73">
        <f t="shared" si="26"/>
        <v>1</v>
      </c>
      <c r="Z78" s="73">
        <f t="shared" si="27"/>
        <v>5.9299999999999999E-2</v>
      </c>
      <c r="AA78" s="73">
        <v>23.331199999999999</v>
      </c>
      <c r="AB78" s="73">
        <f t="shared" si="28"/>
        <v>23.271899999999999</v>
      </c>
      <c r="AC78" s="74" t="e">
        <f>VLOOKUP(A78,Enforcements!$C$3:$J$60,8,0)</f>
        <v>#N/A</v>
      </c>
      <c r="AD78" s="74" t="e">
        <f>VLOOKUP(A78,Enforcements!$C$3:$J$60,3,0)</f>
        <v>#N/A</v>
      </c>
    </row>
    <row r="79" spans="1:30" s="2" customFormat="1" x14ac:dyDescent="0.25">
      <c r="A79" s="60" t="s">
        <v>295</v>
      </c>
      <c r="B79" s="60">
        <v>4012</v>
      </c>
      <c r="C79" s="60" t="s">
        <v>65</v>
      </c>
      <c r="D79" s="60" t="s">
        <v>176</v>
      </c>
      <c r="E79" s="30">
        <v>42519.583414351851</v>
      </c>
      <c r="F79" s="30">
        <v>42519.584131944444</v>
      </c>
      <c r="G79" s="38">
        <v>1</v>
      </c>
      <c r="H79" s="30" t="s">
        <v>71</v>
      </c>
      <c r="I79" s="30">
        <v>42519.617905092593</v>
      </c>
      <c r="J79" s="60">
        <v>3</v>
      </c>
      <c r="K79" s="60" t="str">
        <f t="shared" si="22"/>
        <v>4011/4012</v>
      </c>
      <c r="L79" s="60" t="str">
        <f>VLOOKUP(A79,'Trips&amp;Operators'!$C$1:$E$9999,3,FALSE)</f>
        <v>BONDS</v>
      </c>
      <c r="M79" s="12">
        <f t="shared" si="23"/>
        <v>3.3773148148611654E-2</v>
      </c>
      <c r="N79" s="13">
        <f t="shared" si="20"/>
        <v>48.633333334000781</v>
      </c>
      <c r="O79" s="13"/>
      <c r="P79" s="13"/>
      <c r="Q79" s="61"/>
      <c r="R79" s="61"/>
      <c r="S79" s="94">
        <f t="shared" si="29"/>
        <v>1</v>
      </c>
      <c r="T79" s="2" t="str">
        <f t="shared" si="30"/>
        <v>Southbound</v>
      </c>
      <c r="U79" s="67">
        <f>COUNTIFS([2]Variables!$M$2:$M$19,IF(T79="NorthBound","&gt;=","&lt;=")&amp;Z79,[2]Variables!$M$2:$M$19,IF(T79="NorthBound","&lt;=","&gt;=")&amp;AA79)</f>
        <v>12</v>
      </c>
      <c r="W7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13:59:07-0600',mode:absolute,to:'2016-05-29 14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9" s="73" t="str">
        <f t="shared" si="25"/>
        <v>N</v>
      </c>
      <c r="Y79" s="73">
        <f t="shared" si="26"/>
        <v>1</v>
      </c>
      <c r="Z79" s="73">
        <f t="shared" si="27"/>
        <v>23.3002</v>
      </c>
      <c r="AA79" s="73">
        <f t="shared" ref="AA79:AA110" si="31">RIGHT(H79,LEN(H79)-4)/10000</f>
        <v>4.4699999999999997E-2</v>
      </c>
      <c r="AB79" s="73">
        <f t="shared" si="28"/>
        <v>23.255500000000001</v>
      </c>
      <c r="AC79" s="74">
        <f>VLOOKUP(A79,Enforcements!$C$3:$J$60,8,0)</f>
        <v>1</v>
      </c>
      <c r="AD79" s="74" t="str">
        <f>VLOOKUP(A79,Enforcements!$C$3:$J$60,3,0)</f>
        <v>TRACK WARRANT AUTHORITY</v>
      </c>
    </row>
    <row r="80" spans="1:30" s="2" customFormat="1" x14ac:dyDescent="0.25">
      <c r="A80" s="60" t="s">
        <v>296</v>
      </c>
      <c r="B80" s="60">
        <v>4040</v>
      </c>
      <c r="C80" s="60" t="s">
        <v>65</v>
      </c>
      <c r="D80" s="60" t="s">
        <v>131</v>
      </c>
      <c r="E80" s="30">
        <v>42519.560578703706</v>
      </c>
      <c r="F80" s="30">
        <v>42519.561249999999</v>
      </c>
      <c r="G80" s="38">
        <v>0</v>
      </c>
      <c r="H80" s="30" t="s">
        <v>129</v>
      </c>
      <c r="I80" s="30">
        <v>42519.587118055555</v>
      </c>
      <c r="J80" s="60">
        <v>1</v>
      </c>
      <c r="K80" s="60" t="str">
        <f t="shared" si="22"/>
        <v>4039/4040</v>
      </c>
      <c r="L80" s="60" t="str">
        <f>VLOOKUP(A80,'Trips&amp;Operators'!$C$1:$E$9999,3,FALSE)</f>
        <v>LOCKLEAR</v>
      </c>
      <c r="M80" s="12">
        <f t="shared" si="23"/>
        <v>2.5868055556202307E-2</v>
      </c>
      <c r="N80" s="13">
        <f t="shared" si="20"/>
        <v>37.250000000931323</v>
      </c>
      <c r="O80" s="13"/>
      <c r="P80" s="13"/>
      <c r="Q80" s="61"/>
      <c r="R80" s="61"/>
      <c r="S80" s="94">
        <f t="shared" si="29"/>
        <v>1</v>
      </c>
      <c r="T80" s="2" t="str">
        <f t="shared" si="30"/>
        <v>NorthBound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13:26:14-0600',mode:absolute,to:'2016-05-29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0" s="73" t="str">
        <f t="shared" si="25"/>
        <v>N</v>
      </c>
      <c r="Y80" s="73">
        <f t="shared" si="26"/>
        <v>1</v>
      </c>
      <c r="Z80" s="73">
        <f t="shared" si="27"/>
        <v>4.5699999999999998E-2</v>
      </c>
      <c r="AA80" s="73">
        <f t="shared" si="31"/>
        <v>23.328900000000001</v>
      </c>
      <c r="AB80" s="73">
        <f t="shared" si="28"/>
        <v>23.283200000000001</v>
      </c>
      <c r="AC80" s="74">
        <f>VLOOKUP(A80,Enforcements!$C$3:$J$60,8,0)</f>
        <v>233491</v>
      </c>
      <c r="AD80" s="74" t="str">
        <f>VLOOKUP(A80,Enforcements!$C$3:$J$60,3,0)</f>
        <v>TRACK WARRANT AUTHORITY</v>
      </c>
    </row>
    <row r="81" spans="1:30" s="2" customFormat="1" x14ac:dyDescent="0.25">
      <c r="A81" s="60" t="s">
        <v>297</v>
      </c>
      <c r="B81" s="60">
        <v>4039</v>
      </c>
      <c r="C81" s="60" t="s">
        <v>65</v>
      </c>
      <c r="D81" s="60" t="s">
        <v>159</v>
      </c>
      <c r="E81" s="30">
        <v>42519.598819444444</v>
      </c>
      <c r="F81" s="30">
        <v>42519.599618055552</v>
      </c>
      <c r="G81" s="38">
        <v>1</v>
      </c>
      <c r="H81" s="30" t="s">
        <v>84</v>
      </c>
      <c r="I81" s="30">
        <v>42519.627141203702</v>
      </c>
      <c r="J81" s="60">
        <v>0</v>
      </c>
      <c r="K81" s="60" t="str">
        <f t="shared" si="22"/>
        <v>4039/4040</v>
      </c>
      <c r="L81" s="60" t="str">
        <f>VLOOKUP(A81,'Trips&amp;Operators'!$C$1:$E$9999,3,FALSE)</f>
        <v>LOCKLEAR</v>
      </c>
      <c r="M81" s="12">
        <f t="shared" si="23"/>
        <v>2.7523148150066845E-2</v>
      </c>
      <c r="N81" s="13">
        <f t="shared" si="20"/>
        <v>39.633333336096257</v>
      </c>
      <c r="O81" s="13"/>
      <c r="P81" s="13"/>
      <c r="Q81" s="61"/>
      <c r="R81" s="61"/>
      <c r="S81" s="94">
        <f t="shared" si="29"/>
        <v>1</v>
      </c>
      <c r="T81" s="2" t="str">
        <f t="shared" si="30"/>
        <v>Southbound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14:21:18-0600',mode:absolute,to:'2016-05-29 15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1" s="73" t="str">
        <f t="shared" si="25"/>
        <v>N</v>
      </c>
      <c r="Y81" s="73">
        <f t="shared" si="26"/>
        <v>1</v>
      </c>
      <c r="Z81" s="73">
        <f t="shared" si="27"/>
        <v>23.295300000000001</v>
      </c>
      <c r="AA81" s="73">
        <f t="shared" si="31"/>
        <v>1.4999999999999999E-2</v>
      </c>
      <c r="AB81" s="73">
        <f t="shared" si="28"/>
        <v>23.2803</v>
      </c>
      <c r="AC81" s="74" t="e">
        <f>VLOOKUP(A81,Enforcements!$C$3:$J$60,8,0)</f>
        <v>#N/A</v>
      </c>
      <c r="AD81" s="74" t="e">
        <f>VLOOKUP(A81,Enforcements!$C$3:$J$60,3,0)</f>
        <v>#N/A</v>
      </c>
    </row>
    <row r="82" spans="1:30" s="2" customFormat="1" x14ac:dyDescent="0.25">
      <c r="A82" s="60" t="s">
        <v>298</v>
      </c>
      <c r="B82" s="60">
        <v>4038</v>
      </c>
      <c r="C82" s="60" t="s">
        <v>65</v>
      </c>
      <c r="D82" s="60" t="s">
        <v>134</v>
      </c>
      <c r="E82" s="30">
        <v>42519.568506944444</v>
      </c>
      <c r="F82" s="30">
        <v>42519.569664351853</v>
      </c>
      <c r="G82" s="38">
        <v>1</v>
      </c>
      <c r="H82" s="30" t="s">
        <v>98</v>
      </c>
      <c r="I82" s="30">
        <v>42519.598124999997</v>
      </c>
      <c r="J82" s="60">
        <v>0</v>
      </c>
      <c r="K82" s="60" t="str">
        <f t="shared" si="22"/>
        <v>4037/4038</v>
      </c>
      <c r="L82" s="60" t="str">
        <f>VLOOKUP(A82,'Trips&amp;Operators'!$C$1:$E$9999,3,FALSE)</f>
        <v>ACKERMAN</v>
      </c>
      <c r="M82" s="12">
        <f t="shared" si="23"/>
        <v>2.8460648143664002E-2</v>
      </c>
      <c r="N82" s="13">
        <f t="shared" si="20"/>
        <v>40.983333326876163</v>
      </c>
      <c r="O82" s="13"/>
      <c r="P82" s="13"/>
      <c r="Q82" s="61"/>
      <c r="R82" s="61"/>
      <c r="S82" s="94">
        <f t="shared" si="29"/>
        <v>1</v>
      </c>
      <c r="T82" s="2" t="str">
        <f t="shared" si="30"/>
        <v>NorthBound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13:37:39-0600',mode:absolute,to:'2016-05-29 14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2" s="73" t="str">
        <f t="shared" si="25"/>
        <v>N</v>
      </c>
      <c r="Y82" s="73">
        <f t="shared" si="26"/>
        <v>1</v>
      </c>
      <c r="Z82" s="73">
        <f t="shared" si="27"/>
        <v>4.3799999999999999E-2</v>
      </c>
      <c r="AA82" s="73">
        <f t="shared" si="31"/>
        <v>23.3306</v>
      </c>
      <c r="AB82" s="73">
        <f t="shared" si="28"/>
        <v>23.286799999999999</v>
      </c>
      <c r="AC82" s="74" t="e">
        <f>VLOOKUP(A82,Enforcements!$C$3:$J$60,8,0)</f>
        <v>#N/A</v>
      </c>
      <c r="AD82" s="74" t="e">
        <f>VLOOKUP(A82,Enforcements!$C$3:$J$60,3,0)</f>
        <v>#N/A</v>
      </c>
    </row>
    <row r="83" spans="1:30" s="2" customFormat="1" x14ac:dyDescent="0.25">
      <c r="A83" s="60" t="s">
        <v>299</v>
      </c>
      <c r="B83" s="60">
        <v>4037</v>
      </c>
      <c r="C83" s="60" t="s">
        <v>65</v>
      </c>
      <c r="D83" s="60" t="s">
        <v>118</v>
      </c>
      <c r="E83" s="30">
        <v>42519.606076388889</v>
      </c>
      <c r="F83" s="30">
        <v>42519.607083333336</v>
      </c>
      <c r="G83" s="38">
        <v>1</v>
      </c>
      <c r="H83" s="30" t="s">
        <v>157</v>
      </c>
      <c r="I83" s="30">
        <v>42519.64025462963</v>
      </c>
      <c r="J83" s="60">
        <v>0</v>
      </c>
      <c r="K83" s="60" t="str">
        <f t="shared" si="22"/>
        <v>4037/4038</v>
      </c>
      <c r="L83" s="60" t="str">
        <f>VLOOKUP(A83,'Trips&amp;Operators'!$C$1:$E$9999,3,FALSE)</f>
        <v>ACKERMAN</v>
      </c>
      <c r="M83" s="12">
        <f t="shared" si="23"/>
        <v>3.3171296294312924E-2</v>
      </c>
      <c r="N83" s="13">
        <f t="shared" si="20"/>
        <v>47.766666663810611</v>
      </c>
      <c r="O83" s="13"/>
      <c r="P83" s="13"/>
      <c r="Q83" s="61"/>
      <c r="R83" s="61"/>
      <c r="S83" s="94">
        <f t="shared" si="29"/>
        <v>1</v>
      </c>
      <c r="T83" s="2" t="str">
        <f t="shared" si="30"/>
        <v>Southbound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14:31:45-0600',mode:absolute,to:'2016-05-29 15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3" s="73" t="str">
        <f t="shared" si="25"/>
        <v>N</v>
      </c>
      <c r="Y83" s="73">
        <f t="shared" si="26"/>
        <v>1</v>
      </c>
      <c r="Z83" s="73">
        <f t="shared" si="27"/>
        <v>23.299299999999999</v>
      </c>
      <c r="AA83" s="73">
        <f t="shared" si="31"/>
        <v>1.34E-2</v>
      </c>
      <c r="AB83" s="73">
        <f t="shared" si="28"/>
        <v>23.285899999999998</v>
      </c>
      <c r="AC83" s="74" t="e">
        <f>VLOOKUP(A83,Enforcements!$C$3:$J$60,8,0)</f>
        <v>#N/A</v>
      </c>
      <c r="AD83" s="74" t="e">
        <f>VLOOKUP(A83,Enforcements!$C$3:$J$60,3,0)</f>
        <v>#N/A</v>
      </c>
    </row>
    <row r="84" spans="1:30" s="2" customFormat="1" x14ac:dyDescent="0.25">
      <c r="A84" s="60" t="s">
        <v>300</v>
      </c>
      <c r="B84" s="60">
        <v>4042</v>
      </c>
      <c r="C84" s="60" t="s">
        <v>65</v>
      </c>
      <c r="D84" s="60" t="s">
        <v>73</v>
      </c>
      <c r="E84" s="30">
        <v>42519.577789351853</v>
      </c>
      <c r="F84" s="30">
        <v>42519.57912037037</v>
      </c>
      <c r="G84" s="38">
        <v>1</v>
      </c>
      <c r="H84" s="30" t="s">
        <v>239</v>
      </c>
      <c r="I84" s="30">
        <v>42519.608807870369</v>
      </c>
      <c r="J84" s="60">
        <v>0</v>
      </c>
      <c r="K84" s="60" t="str">
        <f t="shared" si="22"/>
        <v>4041/4042</v>
      </c>
      <c r="L84" s="60" t="str">
        <f>VLOOKUP(A84,'Trips&amp;Operators'!$C$1:$E$9999,3,FALSE)</f>
        <v>STEWART</v>
      </c>
      <c r="M84" s="12">
        <f t="shared" si="23"/>
        <v>2.9687499998544808E-2</v>
      </c>
      <c r="N84" s="13">
        <f t="shared" si="20"/>
        <v>42.749999997904524</v>
      </c>
      <c r="O84" s="13"/>
      <c r="P84" s="13"/>
      <c r="Q84" s="61"/>
      <c r="R84" s="61"/>
      <c r="S84" s="94">
        <f t="shared" si="29"/>
        <v>1</v>
      </c>
      <c r="T84" s="2" t="str">
        <f t="shared" si="30"/>
        <v>NorthBound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13:51:01-0600',mode:absolute,to:'2016-05-29 14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84" s="73" t="str">
        <f t="shared" si="25"/>
        <v>N</v>
      </c>
      <c r="Y84" s="73">
        <f t="shared" si="26"/>
        <v>1</v>
      </c>
      <c r="Z84" s="73">
        <f t="shared" si="27"/>
        <v>4.5499999999999999E-2</v>
      </c>
      <c r="AA84" s="73">
        <f t="shared" si="31"/>
        <v>23.3276</v>
      </c>
      <c r="AB84" s="73">
        <f t="shared" si="28"/>
        <v>23.2821</v>
      </c>
      <c r="AC84" s="74" t="e">
        <f>VLOOKUP(A84,Enforcements!$C$3:$J$60,8,0)</f>
        <v>#N/A</v>
      </c>
      <c r="AD84" s="74" t="e">
        <f>VLOOKUP(A84,Enforcements!$C$3:$J$60,3,0)</f>
        <v>#N/A</v>
      </c>
    </row>
    <row r="85" spans="1:30" s="2" customFormat="1" x14ac:dyDescent="0.25">
      <c r="A85" s="60" t="s">
        <v>301</v>
      </c>
      <c r="B85" s="60">
        <v>4041</v>
      </c>
      <c r="C85" s="60" t="s">
        <v>65</v>
      </c>
      <c r="D85" s="60" t="s">
        <v>248</v>
      </c>
      <c r="E85" s="30">
        <v>42519.619062500002</v>
      </c>
      <c r="F85" s="30">
        <v>42519.62023148148</v>
      </c>
      <c r="G85" s="38">
        <v>1</v>
      </c>
      <c r="H85" s="30" t="s">
        <v>84</v>
      </c>
      <c r="I85" s="30">
        <v>42519.648668981485</v>
      </c>
      <c r="J85" s="60">
        <v>1</v>
      </c>
      <c r="K85" s="60" t="str">
        <f t="shared" si="22"/>
        <v>4041/4042</v>
      </c>
      <c r="L85" s="60" t="str">
        <f>VLOOKUP(A85,'Trips&amp;Operators'!$C$1:$E$9999,3,FALSE)</f>
        <v>STEWART</v>
      </c>
      <c r="M85" s="12">
        <f t="shared" si="23"/>
        <v>2.8437500004656613E-2</v>
      </c>
      <c r="N85" s="13">
        <f t="shared" si="20"/>
        <v>40.950000006705523</v>
      </c>
      <c r="O85" s="13"/>
      <c r="P85" s="13"/>
      <c r="Q85" s="61"/>
      <c r="R85" s="61"/>
      <c r="S85" s="94">
        <f t="shared" si="29"/>
        <v>1</v>
      </c>
      <c r="T85" s="2" t="str">
        <f t="shared" si="30"/>
        <v>Southbound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14:50:27-0600',mode:absolute,to:'2016-05-29 15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85" s="73" t="str">
        <f t="shared" si="25"/>
        <v>N</v>
      </c>
      <c r="Y85" s="73">
        <f t="shared" si="26"/>
        <v>1</v>
      </c>
      <c r="Z85" s="73">
        <f t="shared" si="27"/>
        <v>23.2971</v>
      </c>
      <c r="AA85" s="73">
        <f t="shared" si="31"/>
        <v>1.4999999999999999E-2</v>
      </c>
      <c r="AB85" s="73">
        <f t="shared" si="28"/>
        <v>23.2821</v>
      </c>
      <c r="AC85" s="74">
        <f>VLOOKUP(A85,Enforcements!$C$3:$J$60,8,0)</f>
        <v>5439</v>
      </c>
      <c r="AD85" s="74" t="str">
        <f>VLOOKUP(A85,Enforcements!$C$3:$J$60,3,0)</f>
        <v>PERMANENT SPEED RESTRICTION</v>
      </c>
    </row>
    <row r="86" spans="1:30" s="2" customFormat="1" x14ac:dyDescent="0.25">
      <c r="A86" s="60" t="s">
        <v>302</v>
      </c>
      <c r="B86" s="60">
        <v>4020</v>
      </c>
      <c r="C86" s="60" t="s">
        <v>65</v>
      </c>
      <c r="D86" s="60" t="s">
        <v>78</v>
      </c>
      <c r="E86" s="30">
        <v>42519.589907407404</v>
      </c>
      <c r="F86" s="30">
        <v>42519.591249999998</v>
      </c>
      <c r="G86" s="38">
        <v>1</v>
      </c>
      <c r="H86" s="30" t="s">
        <v>178</v>
      </c>
      <c r="I86" s="30">
        <v>42519.622175925928</v>
      </c>
      <c r="J86" s="60">
        <v>1</v>
      </c>
      <c r="K86" s="60" t="str">
        <f t="shared" si="22"/>
        <v>4019/4020</v>
      </c>
      <c r="L86" s="60" t="str">
        <f>VLOOKUP(A86,'Trips&amp;Operators'!$C$1:$E$9999,3,FALSE)</f>
        <v>STRICKLAND</v>
      </c>
      <c r="M86" s="12">
        <f t="shared" si="23"/>
        <v>3.0925925930205267E-2</v>
      </c>
      <c r="N86" s="13">
        <f t="shared" si="20"/>
        <v>44.533333339495584</v>
      </c>
      <c r="O86" s="13"/>
      <c r="P86" s="13"/>
      <c r="Q86" s="61"/>
      <c r="R86" s="61"/>
      <c r="S86" s="94">
        <f t="shared" si="29"/>
        <v>1</v>
      </c>
      <c r="T86" s="2" t="str">
        <f t="shared" si="30"/>
        <v>NorthBound</v>
      </c>
      <c r="U86" s="67">
        <f>COUNTIFS([2]Variables!$M$2:$M$19,IF(T86="NorthBound","&gt;=","&lt;=")&amp;Z86,[2]Variables!$M$2:$M$19,IF(T86="NorthBound","&lt;=","&gt;=")&amp;AA86)</f>
        <v>12</v>
      </c>
      <c r="W8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14:08:28-0600',mode:absolute,to:'2016-05-29 14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6" s="73" t="str">
        <f t="shared" si="25"/>
        <v>N</v>
      </c>
      <c r="Y86" s="73">
        <f t="shared" si="26"/>
        <v>1</v>
      </c>
      <c r="Z86" s="73">
        <f t="shared" si="27"/>
        <v>4.6399999999999997E-2</v>
      </c>
      <c r="AA86" s="73">
        <f t="shared" si="31"/>
        <v>23.33</v>
      </c>
      <c r="AB86" s="73">
        <f t="shared" si="28"/>
        <v>23.2836</v>
      </c>
      <c r="AC86" s="74">
        <f>VLOOKUP(A86,Enforcements!$C$3:$J$60,8,0)</f>
        <v>232107</v>
      </c>
      <c r="AD86" s="74" t="str">
        <f>VLOOKUP(A86,Enforcements!$C$3:$J$60,3,0)</f>
        <v>PERMANENT SPEED RESTRICTION</v>
      </c>
    </row>
    <row r="87" spans="1:30" s="2" customFormat="1" x14ac:dyDescent="0.25">
      <c r="A87" s="60" t="s">
        <v>303</v>
      </c>
      <c r="B87" s="60">
        <v>4019</v>
      </c>
      <c r="C87" s="60" t="s">
        <v>65</v>
      </c>
      <c r="D87" s="60" t="s">
        <v>304</v>
      </c>
      <c r="E87" s="30">
        <v>42519.630185185182</v>
      </c>
      <c r="F87" s="30">
        <v>42519.631365740737</v>
      </c>
      <c r="G87" s="38">
        <v>1</v>
      </c>
      <c r="H87" s="30" t="s">
        <v>88</v>
      </c>
      <c r="I87" s="30">
        <v>42519.659328703703</v>
      </c>
      <c r="J87" s="60">
        <v>1</v>
      </c>
      <c r="K87" s="60" t="str">
        <f t="shared" si="22"/>
        <v>4019/4020</v>
      </c>
      <c r="L87" s="60" t="str">
        <f>VLOOKUP(A87,'Trips&amp;Operators'!$C$1:$E$9999,3,FALSE)</f>
        <v>STRICKLAND</v>
      </c>
      <c r="M87" s="12">
        <f t="shared" si="23"/>
        <v>2.7962962965830229E-2</v>
      </c>
      <c r="N87" s="13">
        <f t="shared" si="20"/>
        <v>40.26666667079553</v>
      </c>
      <c r="O87" s="13"/>
      <c r="P87" s="13"/>
      <c r="Q87" s="61"/>
      <c r="R87" s="61"/>
      <c r="S87" s="94">
        <f t="shared" si="29"/>
        <v>1</v>
      </c>
      <c r="T87" s="2" t="str">
        <f t="shared" si="30"/>
        <v>Southbound</v>
      </c>
      <c r="U87" s="67">
        <f>COUNTIFS([2]Variables!$M$2:$M$19,IF(T87="NorthBound","&gt;=","&lt;=")&amp;Z87,[2]Variables!$M$2:$M$19,IF(T87="NorthBound","&lt;=","&gt;=")&amp;AA87)</f>
        <v>12</v>
      </c>
      <c r="W8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15:06:28-0600',mode:absolute,to:'2016-05-29 15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7" s="73" t="str">
        <f t="shared" si="25"/>
        <v>N</v>
      </c>
      <c r="Y87" s="73">
        <f t="shared" si="26"/>
        <v>1</v>
      </c>
      <c r="Z87" s="73">
        <f t="shared" si="27"/>
        <v>23.296600000000002</v>
      </c>
      <c r="AA87" s="73">
        <f t="shared" si="31"/>
        <v>1.47E-2</v>
      </c>
      <c r="AB87" s="73">
        <f t="shared" si="28"/>
        <v>23.2819</v>
      </c>
      <c r="AC87" s="74">
        <f>VLOOKUP(A87,Enforcements!$C$3:$J$60,8,0)</f>
        <v>1</v>
      </c>
      <c r="AD87" s="74" t="str">
        <f>VLOOKUP(A87,Enforcements!$C$3:$J$60,3,0)</f>
        <v>TRACK WARRANT AUTHORITY</v>
      </c>
    </row>
    <row r="88" spans="1:30" s="2" customFormat="1" x14ac:dyDescent="0.25">
      <c r="A88" s="60" t="s">
        <v>305</v>
      </c>
      <c r="B88" s="60">
        <v>4031</v>
      </c>
      <c r="C88" s="60" t="s">
        <v>65</v>
      </c>
      <c r="D88" s="60" t="s">
        <v>125</v>
      </c>
      <c r="E88" s="30">
        <v>42519.598599537036</v>
      </c>
      <c r="F88" s="30">
        <v>42519.599537037036</v>
      </c>
      <c r="G88" s="38">
        <v>1</v>
      </c>
      <c r="H88" s="30" t="s">
        <v>152</v>
      </c>
      <c r="I88" s="30">
        <v>42519.629016203704</v>
      </c>
      <c r="J88" s="60">
        <v>0</v>
      </c>
      <c r="K88" s="60" t="str">
        <f t="shared" si="22"/>
        <v>4031/4032</v>
      </c>
      <c r="L88" s="60" t="str">
        <f>VLOOKUP(A88,'Trips&amp;Operators'!$C$1:$E$9999,3,FALSE)</f>
        <v>WEBSTER</v>
      </c>
      <c r="M88" s="12">
        <f t="shared" si="23"/>
        <v>2.9479166667442769E-2</v>
      </c>
      <c r="N88" s="13">
        <f t="shared" ref="N88:N105" si="32">24*60*SUM($M88:$M88)</f>
        <v>42.450000001117587</v>
      </c>
      <c r="O88" s="13"/>
      <c r="P88" s="13"/>
      <c r="Q88" s="61"/>
      <c r="R88" s="61"/>
      <c r="S88" s="94">
        <f t="shared" si="29"/>
        <v>1</v>
      </c>
      <c r="T88" s="2" t="str">
        <f t="shared" si="30"/>
        <v>NorthBound</v>
      </c>
      <c r="U88" s="67">
        <f>COUNTIFS([2]Variables!$M$2:$M$19,IF(T88="NorthBound","&gt;=","&lt;=")&amp;Z88,[2]Variables!$M$2:$M$19,IF(T88="NorthBound","&lt;=","&gt;=")&amp;AA88)</f>
        <v>12</v>
      </c>
      <c r="W8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14:20:59-0600',mode:absolute,to:'2016-05-29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8" s="73" t="str">
        <f t="shared" si="25"/>
        <v>N</v>
      </c>
      <c r="Y88" s="73">
        <f t="shared" si="26"/>
        <v>1</v>
      </c>
      <c r="Z88" s="73">
        <f t="shared" si="27"/>
        <v>4.3999999999999997E-2</v>
      </c>
      <c r="AA88" s="73">
        <f t="shared" si="31"/>
        <v>23.328399999999998</v>
      </c>
      <c r="AB88" s="73">
        <f t="shared" si="28"/>
        <v>23.284399999999998</v>
      </c>
      <c r="AC88" s="74" t="e">
        <f>VLOOKUP(A88,Enforcements!$C$3:$J$60,8,0)</f>
        <v>#N/A</v>
      </c>
      <c r="AD88" s="74" t="e">
        <f>VLOOKUP(A88,Enforcements!$C$3:$J$60,3,0)</f>
        <v>#N/A</v>
      </c>
    </row>
    <row r="89" spans="1:30" s="2" customFormat="1" x14ac:dyDescent="0.25">
      <c r="A89" s="60" t="s">
        <v>306</v>
      </c>
      <c r="B89" s="60">
        <v>4032</v>
      </c>
      <c r="C89" s="60" t="s">
        <v>65</v>
      </c>
      <c r="D89" s="60" t="s">
        <v>259</v>
      </c>
      <c r="E89" s="30">
        <v>42519.640416666669</v>
      </c>
      <c r="F89" s="30">
        <v>42519.64130787037</v>
      </c>
      <c r="G89" s="38">
        <v>1</v>
      </c>
      <c r="H89" s="30" t="s">
        <v>130</v>
      </c>
      <c r="I89" s="30">
        <v>42519.670590277776</v>
      </c>
      <c r="J89" s="60">
        <v>0</v>
      </c>
      <c r="K89" s="60" t="str">
        <f t="shared" si="22"/>
        <v>4031/4032</v>
      </c>
      <c r="L89" s="60" t="str">
        <f>VLOOKUP(A89,'Trips&amp;Operators'!$C$1:$E$9999,3,FALSE)</f>
        <v>WEBSTER</v>
      </c>
      <c r="M89" s="12">
        <f t="shared" si="23"/>
        <v>2.9282407405844424E-2</v>
      </c>
      <c r="N89" s="13">
        <f t="shared" si="32"/>
        <v>42.16666666441597</v>
      </c>
      <c r="O89" s="13"/>
      <c r="P89" s="13"/>
      <c r="Q89" s="61"/>
      <c r="R89" s="61"/>
      <c r="S89" s="94">
        <f t="shared" si="29"/>
        <v>1</v>
      </c>
      <c r="T89" s="2" t="str">
        <f t="shared" si="30"/>
        <v>Southbound</v>
      </c>
      <c r="U89" s="67">
        <f>COUNTIFS([2]Variables!$M$2:$M$19,IF(T89="NorthBound","&gt;=","&lt;=")&amp;Z89,[2]Variables!$M$2:$M$19,IF(T89="NorthBound","&lt;=","&gt;=")&amp;AA89)</f>
        <v>12</v>
      </c>
      <c r="W8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15:21:12-0600',mode:absolute,to:'2016-05-29 16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9" s="73" t="str">
        <f t="shared" si="25"/>
        <v>N</v>
      </c>
      <c r="Y89" s="73">
        <f t="shared" si="26"/>
        <v>1</v>
      </c>
      <c r="Z89" s="73">
        <f t="shared" si="27"/>
        <v>23.296900000000001</v>
      </c>
      <c r="AA89" s="73">
        <f t="shared" si="31"/>
        <v>1.6500000000000001E-2</v>
      </c>
      <c r="AB89" s="73">
        <f t="shared" si="28"/>
        <v>23.2804</v>
      </c>
      <c r="AC89" s="74" t="e">
        <f>VLOOKUP(A89,Enforcements!$C$3:$J$60,8,0)</f>
        <v>#N/A</v>
      </c>
      <c r="AD89" s="74" t="e">
        <f>VLOOKUP(A89,Enforcements!$C$3:$J$60,3,0)</f>
        <v>#N/A</v>
      </c>
    </row>
    <row r="90" spans="1:30" s="2" customFormat="1" x14ac:dyDescent="0.25">
      <c r="A90" s="60" t="s">
        <v>307</v>
      </c>
      <c r="B90" s="60">
        <v>4044</v>
      </c>
      <c r="C90" s="60" t="s">
        <v>65</v>
      </c>
      <c r="D90" s="60" t="s">
        <v>134</v>
      </c>
      <c r="E90" s="30">
        <v>42519.608344907407</v>
      </c>
      <c r="F90" s="30">
        <v>42519.609594907408</v>
      </c>
      <c r="G90" s="38">
        <v>1</v>
      </c>
      <c r="H90" s="30" t="s">
        <v>168</v>
      </c>
      <c r="I90" s="30">
        <v>42519.63921296296</v>
      </c>
      <c r="J90" s="60">
        <v>0</v>
      </c>
      <c r="K90" s="60" t="str">
        <f t="shared" si="22"/>
        <v>4043/4044</v>
      </c>
      <c r="L90" s="60" t="str">
        <f>VLOOKUP(A90,'Trips&amp;Operators'!$C$1:$E$9999,3,FALSE)</f>
        <v>RIVERA</v>
      </c>
      <c r="M90" s="12">
        <f t="shared" si="23"/>
        <v>2.9618055552418809E-2</v>
      </c>
      <c r="N90" s="13">
        <f t="shared" si="32"/>
        <v>42.649999995483086</v>
      </c>
      <c r="O90" s="13"/>
      <c r="P90" s="13"/>
      <c r="Q90" s="61"/>
      <c r="R90" s="61"/>
      <c r="S90" s="94">
        <f t="shared" si="29"/>
        <v>1</v>
      </c>
      <c r="T90" s="2" t="str">
        <f t="shared" si="30"/>
        <v>NorthBound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14:35:01-0600',mode:absolute,to:'2016-05-29 15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0" s="73" t="str">
        <f t="shared" si="25"/>
        <v>N</v>
      </c>
      <c r="Y90" s="73">
        <f t="shared" si="26"/>
        <v>1</v>
      </c>
      <c r="Z90" s="73">
        <f t="shared" si="27"/>
        <v>4.3799999999999999E-2</v>
      </c>
      <c r="AA90" s="73">
        <f t="shared" si="31"/>
        <v>23.329799999999999</v>
      </c>
      <c r="AB90" s="73">
        <f t="shared" si="28"/>
        <v>23.285999999999998</v>
      </c>
      <c r="AC90" s="74" t="e">
        <f>VLOOKUP(A90,Enforcements!$C$3:$J$60,8,0)</f>
        <v>#N/A</v>
      </c>
      <c r="AD90" s="74" t="e">
        <f>VLOOKUP(A90,Enforcements!$C$3:$J$60,3,0)</f>
        <v>#N/A</v>
      </c>
    </row>
    <row r="91" spans="1:30" s="2" customFormat="1" x14ac:dyDescent="0.25">
      <c r="A91" s="60" t="s">
        <v>308</v>
      </c>
      <c r="B91" s="60">
        <v>4043</v>
      </c>
      <c r="C91" s="60" t="s">
        <v>65</v>
      </c>
      <c r="D91" s="60" t="s">
        <v>156</v>
      </c>
      <c r="E91" s="30">
        <v>42519.648506944446</v>
      </c>
      <c r="F91" s="30">
        <v>42519.649571759262</v>
      </c>
      <c r="G91" s="38">
        <v>1</v>
      </c>
      <c r="H91" s="30" t="s">
        <v>163</v>
      </c>
      <c r="I91" s="30">
        <v>42519.679606481484</v>
      </c>
      <c r="J91" s="60">
        <v>0</v>
      </c>
      <c r="K91" s="60" t="str">
        <f t="shared" si="22"/>
        <v>4043/4044</v>
      </c>
      <c r="L91" s="60" t="str">
        <f>VLOOKUP(A91,'Trips&amp;Operators'!$C$1:$E$9999,3,FALSE)</f>
        <v>RIVERA</v>
      </c>
      <c r="M91" s="12">
        <f t="shared" si="23"/>
        <v>3.0034722221898846E-2</v>
      </c>
      <c r="N91" s="13">
        <f t="shared" si="32"/>
        <v>43.249999999534339</v>
      </c>
      <c r="O91" s="13"/>
      <c r="P91" s="13"/>
      <c r="Q91" s="61"/>
      <c r="R91" s="61"/>
      <c r="S91" s="94">
        <f t="shared" si="29"/>
        <v>1</v>
      </c>
      <c r="T91" s="2" t="str">
        <f t="shared" si="30"/>
        <v>Southbound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15:32:51-0600',mode:absolute,to:'2016-05-29 16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1" s="73" t="str">
        <f t="shared" si="25"/>
        <v>N</v>
      </c>
      <c r="Y91" s="73">
        <f t="shared" si="26"/>
        <v>1</v>
      </c>
      <c r="Z91" s="73">
        <f t="shared" si="27"/>
        <v>23.298500000000001</v>
      </c>
      <c r="AA91" s="73">
        <f t="shared" si="31"/>
        <v>1.49E-2</v>
      </c>
      <c r="AB91" s="73">
        <f t="shared" si="28"/>
        <v>23.2836</v>
      </c>
      <c r="AC91" s="74" t="e">
        <f>VLOOKUP(A91,Enforcements!$C$3:$J$60,8,0)</f>
        <v>#N/A</v>
      </c>
      <c r="AD91" s="74" t="e">
        <f>VLOOKUP(A91,Enforcements!$C$3:$J$60,3,0)</f>
        <v>#N/A</v>
      </c>
    </row>
    <row r="92" spans="1:30" s="2" customFormat="1" x14ac:dyDescent="0.25">
      <c r="A92" s="60" t="s">
        <v>309</v>
      </c>
      <c r="B92" s="60">
        <v>4011</v>
      </c>
      <c r="C92" s="60" t="s">
        <v>65</v>
      </c>
      <c r="D92" s="60" t="s">
        <v>310</v>
      </c>
      <c r="E92" s="30">
        <v>42519.619016203702</v>
      </c>
      <c r="F92" s="30">
        <v>42519.61996527778</v>
      </c>
      <c r="G92" s="38">
        <v>1</v>
      </c>
      <c r="H92" s="30" t="s">
        <v>311</v>
      </c>
      <c r="I92" s="30">
        <v>42519.65084490741</v>
      </c>
      <c r="J92" s="60">
        <v>1</v>
      </c>
      <c r="K92" s="60" t="str">
        <f t="shared" si="22"/>
        <v>4011/4012</v>
      </c>
      <c r="L92" s="60" t="str">
        <f>VLOOKUP(A92,'Trips&amp;Operators'!$C$1:$E$9999,3,FALSE)</f>
        <v>BONDS</v>
      </c>
      <c r="M92" s="12">
        <f t="shared" si="23"/>
        <v>3.0879629630362615E-2</v>
      </c>
      <c r="N92" s="13">
        <f t="shared" si="32"/>
        <v>44.466666667722166</v>
      </c>
      <c r="O92" s="13"/>
      <c r="P92" s="13"/>
      <c r="Q92" s="61"/>
      <c r="R92" s="61"/>
      <c r="S92" s="94">
        <f t="shared" si="29"/>
        <v>1</v>
      </c>
      <c r="T92" s="2" t="str">
        <f t="shared" si="30"/>
        <v>NorthBound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14:50:23-0600',mode:absolute,to:'2016-05-29 15:38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2" s="73" t="str">
        <f t="shared" si="25"/>
        <v>N</v>
      </c>
      <c r="Y92" s="73">
        <f t="shared" si="26"/>
        <v>1</v>
      </c>
      <c r="Z92" s="73">
        <f t="shared" si="27"/>
        <v>5.8200000000000002E-2</v>
      </c>
      <c r="AA92" s="73">
        <f t="shared" si="31"/>
        <v>23.330300000000001</v>
      </c>
      <c r="AB92" s="73">
        <f t="shared" si="28"/>
        <v>23.272100000000002</v>
      </c>
      <c r="AC92" s="74">
        <f>VLOOKUP(A92,Enforcements!$C$3:$J$60,8,0)</f>
        <v>47866</v>
      </c>
      <c r="AD92" s="74" t="str">
        <f>VLOOKUP(A92,Enforcements!$C$3:$J$60,3,0)</f>
        <v>GRADE CROSSING</v>
      </c>
    </row>
    <row r="93" spans="1:30" s="2" customFormat="1" x14ac:dyDescent="0.25">
      <c r="A93" s="60" t="s">
        <v>312</v>
      </c>
      <c r="B93" s="60">
        <v>4012</v>
      </c>
      <c r="C93" s="60" t="s">
        <v>65</v>
      </c>
      <c r="D93" s="60" t="s">
        <v>153</v>
      </c>
      <c r="E93" s="30">
        <v>42519.657152777778</v>
      </c>
      <c r="F93" s="30">
        <v>42519.658078703702</v>
      </c>
      <c r="G93" s="38">
        <v>1</v>
      </c>
      <c r="H93" s="30" t="s">
        <v>167</v>
      </c>
      <c r="I93" s="30">
        <v>42519.690358796295</v>
      </c>
      <c r="J93" s="60">
        <v>1</v>
      </c>
      <c r="K93" s="60" t="str">
        <f t="shared" si="22"/>
        <v>4011/4012</v>
      </c>
      <c r="L93" s="60" t="str">
        <f>VLOOKUP(A93,'Trips&amp;Operators'!$C$1:$E$9999,3,FALSE)</f>
        <v>BONDS</v>
      </c>
      <c r="M93" s="12">
        <f t="shared" si="23"/>
        <v>3.2280092593282461E-2</v>
      </c>
      <c r="N93" s="13">
        <f t="shared" si="32"/>
        <v>46.483333334326744</v>
      </c>
      <c r="O93" s="13"/>
      <c r="P93" s="13"/>
      <c r="Q93" s="61"/>
      <c r="R93" s="61"/>
      <c r="S93" s="94">
        <f t="shared" si="29"/>
        <v>1</v>
      </c>
      <c r="T93" s="2" t="str">
        <f t="shared" si="30"/>
        <v>Southbound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15:45:18-0600',mode:absolute,to:'2016-05-29 16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3" s="73" t="str">
        <f t="shared" si="25"/>
        <v>N</v>
      </c>
      <c r="Y93" s="73">
        <f t="shared" si="26"/>
        <v>1</v>
      </c>
      <c r="Z93" s="73">
        <f t="shared" si="27"/>
        <v>23.298200000000001</v>
      </c>
      <c r="AA93" s="73">
        <f t="shared" si="31"/>
        <v>4.7300000000000002E-2</v>
      </c>
      <c r="AB93" s="73">
        <f t="shared" si="28"/>
        <v>23.250900000000001</v>
      </c>
      <c r="AC93" s="74">
        <f>VLOOKUP(A93,Enforcements!$C$3:$J$60,8,0)</f>
        <v>1</v>
      </c>
      <c r="AD93" s="74" t="str">
        <f>VLOOKUP(A93,Enforcements!$C$3:$J$60,3,0)</f>
        <v>TRACK WARRANT AUTHORITY</v>
      </c>
    </row>
    <row r="94" spans="1:30" s="2" customFormat="1" x14ac:dyDescent="0.25">
      <c r="A94" s="60" t="s">
        <v>313</v>
      </c>
      <c r="B94" s="60">
        <v>4040</v>
      </c>
      <c r="C94" s="60" t="s">
        <v>65</v>
      </c>
      <c r="D94" s="60" t="s">
        <v>125</v>
      </c>
      <c r="E94" s="30">
        <v>42519.63244212963</v>
      </c>
      <c r="F94" s="30">
        <v>42519.633344907408</v>
      </c>
      <c r="G94" s="38">
        <v>1</v>
      </c>
      <c r="H94" s="30" t="s">
        <v>314</v>
      </c>
      <c r="I94" s="30">
        <v>42519.660300925927</v>
      </c>
      <c r="J94" s="60">
        <v>1</v>
      </c>
      <c r="K94" s="60" t="str">
        <f t="shared" si="22"/>
        <v>4039/4040</v>
      </c>
      <c r="L94" s="60" t="str">
        <f>VLOOKUP(A94,'Trips&amp;Operators'!$C$1:$E$9999,3,FALSE)</f>
        <v>LOCKLEAR</v>
      </c>
      <c r="M94" s="12">
        <f t="shared" si="23"/>
        <v>2.6956018518831115E-2</v>
      </c>
      <c r="N94" s="13">
        <f t="shared" si="32"/>
        <v>38.816666667116806</v>
      </c>
      <c r="O94" s="13"/>
      <c r="P94" s="13"/>
      <c r="Q94" s="61"/>
      <c r="R94" s="61"/>
      <c r="S94" s="94">
        <f t="shared" si="29"/>
        <v>1</v>
      </c>
      <c r="T94" s="2" t="str">
        <f t="shared" si="30"/>
        <v>NorthBound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15:09:43-0600',mode:absolute,to:'2016-05-29 15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4" s="73" t="str">
        <f t="shared" si="25"/>
        <v>N</v>
      </c>
      <c r="Y94" s="73">
        <f t="shared" si="26"/>
        <v>1</v>
      </c>
      <c r="Z94" s="73">
        <f t="shared" si="27"/>
        <v>4.3999999999999997E-2</v>
      </c>
      <c r="AA94" s="73">
        <f t="shared" si="31"/>
        <v>23.3353</v>
      </c>
      <c r="AB94" s="73">
        <f t="shared" si="28"/>
        <v>23.2913</v>
      </c>
      <c r="AC94" s="74">
        <f>VLOOKUP(A94,Enforcements!$C$3:$J$60,8,0)</f>
        <v>233491</v>
      </c>
      <c r="AD94" s="74" t="str">
        <f>VLOOKUP(A94,Enforcements!$C$3:$J$60,3,0)</f>
        <v>TRACK WARRANT AUTHORITY</v>
      </c>
    </row>
    <row r="95" spans="1:30" s="2" customFormat="1" x14ac:dyDescent="0.25">
      <c r="A95" s="60" t="s">
        <v>315</v>
      </c>
      <c r="B95" s="60">
        <v>4039</v>
      </c>
      <c r="C95" s="60" t="s">
        <v>65</v>
      </c>
      <c r="D95" s="60" t="s">
        <v>280</v>
      </c>
      <c r="E95" s="30">
        <v>42519.673680555556</v>
      </c>
      <c r="F95" s="30">
        <v>42519.674513888887</v>
      </c>
      <c r="G95" s="38">
        <v>1</v>
      </c>
      <c r="H95" s="30" t="s">
        <v>161</v>
      </c>
      <c r="I95" s="30">
        <v>42519.699421296296</v>
      </c>
      <c r="J95" s="60">
        <v>0</v>
      </c>
      <c r="K95" s="60" t="str">
        <f t="shared" si="22"/>
        <v>4039/4040</v>
      </c>
      <c r="L95" s="60" t="str">
        <f>VLOOKUP(A95,'Trips&amp;Operators'!$C$1:$E$9999,3,FALSE)</f>
        <v>LOCKLEAR</v>
      </c>
      <c r="M95" s="12">
        <f t="shared" si="23"/>
        <v>2.4907407409045845E-2</v>
      </c>
      <c r="N95" s="13">
        <f t="shared" si="32"/>
        <v>35.866666669026017</v>
      </c>
      <c r="O95" s="13"/>
      <c r="P95" s="13"/>
      <c r="Q95" s="61"/>
      <c r="R95" s="61"/>
      <c r="S95" s="94">
        <f t="shared" si="29"/>
        <v>1</v>
      </c>
      <c r="T95" s="2" t="str">
        <f t="shared" si="30"/>
        <v>Southbound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16:09:06-0600',mode:absolute,to:'2016-05-29 16:48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5" s="73" t="str">
        <f t="shared" si="25"/>
        <v>N</v>
      </c>
      <c r="Y95" s="73">
        <f t="shared" si="26"/>
        <v>1</v>
      </c>
      <c r="Z95" s="73">
        <f t="shared" si="27"/>
        <v>23.304300000000001</v>
      </c>
      <c r="AA95" s="73">
        <f t="shared" si="31"/>
        <v>1.5599999999999999E-2</v>
      </c>
      <c r="AB95" s="73">
        <f t="shared" si="28"/>
        <v>23.288700000000002</v>
      </c>
      <c r="AC95" s="74" t="e">
        <f>VLOOKUP(A95,Enforcements!$C$3:$J$60,8,0)</f>
        <v>#N/A</v>
      </c>
      <c r="AD95" s="74" t="e">
        <f>VLOOKUP(A95,Enforcements!$C$3:$J$60,3,0)</f>
        <v>#N/A</v>
      </c>
    </row>
    <row r="96" spans="1:30" s="2" customFormat="1" x14ac:dyDescent="0.25">
      <c r="A96" s="60" t="s">
        <v>316</v>
      </c>
      <c r="B96" s="60">
        <v>4038</v>
      </c>
      <c r="C96" s="60" t="s">
        <v>65</v>
      </c>
      <c r="D96" s="60" t="s">
        <v>134</v>
      </c>
      <c r="E96" s="30">
        <v>42519.641759259262</v>
      </c>
      <c r="F96" s="30">
        <v>42519.64261574074</v>
      </c>
      <c r="G96" s="38">
        <v>1</v>
      </c>
      <c r="H96" s="30" t="s">
        <v>165</v>
      </c>
      <c r="I96" s="30">
        <v>42519.67087962963</v>
      </c>
      <c r="J96" s="60">
        <v>1</v>
      </c>
      <c r="K96" s="60" t="str">
        <f t="shared" si="22"/>
        <v>4037/4038</v>
      </c>
      <c r="L96" s="60" t="str">
        <f>VLOOKUP(A96,'Trips&amp;Operators'!$C$1:$E$9999,3,FALSE)</f>
        <v>ACKERMAN</v>
      </c>
      <c r="M96" s="12">
        <f t="shared" si="23"/>
        <v>2.8263888889341615E-2</v>
      </c>
      <c r="N96" s="13">
        <f t="shared" si="32"/>
        <v>40.700000000651926</v>
      </c>
      <c r="O96" s="13"/>
      <c r="P96" s="13"/>
      <c r="Q96" s="61"/>
      <c r="R96" s="61"/>
      <c r="S96" s="94">
        <f t="shared" si="29"/>
        <v>1</v>
      </c>
      <c r="T96" s="2" t="str">
        <f t="shared" si="30"/>
        <v>NorthBound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15:23:08-0600',mode:absolute,to:'2016-05-29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6" s="73" t="str">
        <f t="shared" si="25"/>
        <v>N</v>
      </c>
      <c r="Y96" s="73">
        <f t="shared" si="26"/>
        <v>1</v>
      </c>
      <c r="Z96" s="73">
        <f t="shared" si="27"/>
        <v>4.3799999999999999E-2</v>
      </c>
      <c r="AA96" s="73">
        <f t="shared" si="31"/>
        <v>23.3307</v>
      </c>
      <c r="AB96" s="73">
        <f t="shared" si="28"/>
        <v>23.286899999999999</v>
      </c>
      <c r="AC96" s="74">
        <f>VLOOKUP(A96,Enforcements!$C$3:$J$60,8,0)</f>
        <v>233491</v>
      </c>
      <c r="AD96" s="74" t="str">
        <f>VLOOKUP(A96,Enforcements!$C$3:$J$60,3,0)</f>
        <v>TRACK WARRANT AUTHORITY</v>
      </c>
    </row>
    <row r="97" spans="1:30" s="2" customFormat="1" x14ac:dyDescent="0.25">
      <c r="A97" s="60" t="s">
        <v>317</v>
      </c>
      <c r="B97" s="60">
        <v>4037</v>
      </c>
      <c r="C97" s="60" t="s">
        <v>65</v>
      </c>
      <c r="D97" s="60" t="s">
        <v>259</v>
      </c>
      <c r="E97" s="30">
        <v>42519.676805555559</v>
      </c>
      <c r="F97" s="30">
        <v>42519.677928240744</v>
      </c>
      <c r="G97" s="38">
        <v>1</v>
      </c>
      <c r="H97" s="30" t="s">
        <v>163</v>
      </c>
      <c r="I97" s="30">
        <v>42519.711736111109</v>
      </c>
      <c r="J97" s="60">
        <v>0</v>
      </c>
      <c r="K97" s="60" t="str">
        <f t="shared" si="22"/>
        <v>4037/4038</v>
      </c>
      <c r="L97" s="60" t="str">
        <f>VLOOKUP(A97,'Trips&amp;Operators'!$C$1:$E$9999,3,FALSE)</f>
        <v>ACKERMAN</v>
      </c>
      <c r="M97" s="12">
        <f t="shared" si="23"/>
        <v>3.3807870364398696E-2</v>
      </c>
      <c r="N97" s="13">
        <f t="shared" si="32"/>
        <v>48.683333324734122</v>
      </c>
      <c r="O97" s="13"/>
      <c r="P97" s="13"/>
      <c r="Q97" s="61"/>
      <c r="R97" s="61"/>
      <c r="S97" s="94">
        <f t="shared" si="29"/>
        <v>1</v>
      </c>
      <c r="T97" s="2" t="str">
        <f t="shared" si="30"/>
        <v>Southbound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16:13:36-0600',mode:absolute,to:'2016-05-29 17:05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7" s="73" t="str">
        <f t="shared" si="25"/>
        <v>N</v>
      </c>
      <c r="Y97" s="73">
        <f t="shared" si="26"/>
        <v>1</v>
      </c>
      <c r="Z97" s="73">
        <f t="shared" si="27"/>
        <v>23.296900000000001</v>
      </c>
      <c r="AA97" s="73">
        <f t="shared" si="31"/>
        <v>1.49E-2</v>
      </c>
      <c r="AB97" s="73">
        <f t="shared" si="28"/>
        <v>23.282</v>
      </c>
      <c r="AC97" s="74" t="e">
        <f>VLOOKUP(A97,Enforcements!$C$3:$J$60,8,0)</f>
        <v>#N/A</v>
      </c>
      <c r="AD97" s="74" t="e">
        <f>VLOOKUP(A97,Enforcements!$C$3:$J$60,3,0)</f>
        <v>#N/A</v>
      </c>
    </row>
    <row r="98" spans="1:30" s="2" customFormat="1" x14ac:dyDescent="0.25">
      <c r="A98" s="60" t="s">
        <v>318</v>
      </c>
      <c r="B98" s="60">
        <v>4042</v>
      </c>
      <c r="C98" s="60" t="s">
        <v>65</v>
      </c>
      <c r="D98" s="60" t="s">
        <v>74</v>
      </c>
      <c r="E98" s="30">
        <v>42519.651493055557</v>
      </c>
      <c r="F98" s="30">
        <v>42519.652824074074</v>
      </c>
      <c r="G98" s="38">
        <v>1</v>
      </c>
      <c r="H98" s="30" t="s">
        <v>148</v>
      </c>
      <c r="I98" s="30">
        <v>42519.681527777779</v>
      </c>
      <c r="J98" s="60">
        <v>0</v>
      </c>
      <c r="K98" s="60" t="str">
        <f t="shared" si="22"/>
        <v>4041/4042</v>
      </c>
      <c r="L98" s="60" t="str">
        <f>VLOOKUP(A98,'Trips&amp;Operators'!$C$1:$E$9999,3,FALSE)</f>
        <v>STEWART</v>
      </c>
      <c r="M98" s="12">
        <f t="shared" si="23"/>
        <v>2.8703703705104999E-2</v>
      </c>
      <c r="N98" s="13">
        <f t="shared" si="32"/>
        <v>41.333333335351199</v>
      </c>
      <c r="O98" s="13"/>
      <c r="P98" s="13"/>
      <c r="Q98" s="61"/>
      <c r="R98" s="61"/>
      <c r="S98" s="94">
        <f t="shared" si="29"/>
        <v>1</v>
      </c>
      <c r="T98" s="2" t="str">
        <f t="shared" si="30"/>
        <v>NorthBound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https://search-rtdc-monitor-bjffxe2xuh6vdkpspy63sjmuny.us-east-1.es.amazonaws.com/_plugin/kibana/#/discover/Steve-Slow-Train-Analysis-(2080s-and-2083s)?_g=(refreshInterval:(display:Off,section:0,value:0),time:(from:'2016-05-29 15:37:09-0600',mode:absolute,to:'2016-05-29 16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8" s="73" t="str">
        <f t="shared" si="25"/>
        <v>N</v>
      </c>
      <c r="Y98" s="73">
        <f t="shared" si="26"/>
        <v>1</v>
      </c>
      <c r="Z98" s="73">
        <f t="shared" si="27"/>
        <v>4.5100000000000001E-2</v>
      </c>
      <c r="AA98" s="73">
        <f t="shared" si="31"/>
        <v>23.331199999999999</v>
      </c>
      <c r="AB98" s="73">
        <f t="shared" si="28"/>
        <v>23.286099999999998</v>
      </c>
      <c r="AC98" s="74" t="e">
        <f>VLOOKUP(A98,Enforcements!$C$3:$J$60,8,0)</f>
        <v>#N/A</v>
      </c>
      <c r="AD98" s="74" t="e">
        <f>VLOOKUP(A98,Enforcements!$C$3:$J$60,3,0)</f>
        <v>#N/A</v>
      </c>
    </row>
    <row r="99" spans="1:30" s="2" customFormat="1" x14ac:dyDescent="0.25">
      <c r="A99" s="60" t="s">
        <v>319</v>
      </c>
      <c r="B99" s="60">
        <v>4041</v>
      </c>
      <c r="C99" s="60" t="s">
        <v>65</v>
      </c>
      <c r="D99" s="60" t="s">
        <v>320</v>
      </c>
      <c r="E99" s="30">
        <v>42519.690787037034</v>
      </c>
      <c r="F99" s="30">
        <v>42519.692361111112</v>
      </c>
      <c r="G99" s="38">
        <v>2</v>
      </c>
      <c r="H99" s="30" t="s">
        <v>84</v>
      </c>
      <c r="I99" s="30">
        <v>42519.721516203703</v>
      </c>
      <c r="J99" s="60">
        <v>0</v>
      </c>
      <c r="K99" s="60" t="str">
        <f t="shared" ref="K99:K130" si="33">IF(ISEVEN(B99),(B99-1)&amp;"/"&amp;B99,B99&amp;"/"&amp;(B99+1))</f>
        <v>4041/4042</v>
      </c>
      <c r="L99" s="60" t="str">
        <f>VLOOKUP(A99,'Trips&amp;Operators'!$C$1:$E$9999,3,FALSE)</f>
        <v>STEWART</v>
      </c>
      <c r="M99" s="12">
        <f t="shared" ref="M99:M130" si="34">I99-F99</f>
        <v>2.9155092590372078E-2</v>
      </c>
      <c r="N99" s="13">
        <f t="shared" si="32"/>
        <v>41.983333330135792</v>
      </c>
      <c r="O99" s="13"/>
      <c r="P99" s="13"/>
      <c r="Q99" s="61"/>
      <c r="R99" s="61"/>
      <c r="S99" s="94">
        <f t="shared" si="29"/>
        <v>1</v>
      </c>
      <c r="T99" s="2" t="str">
        <f t="shared" si="30"/>
        <v>Southbound</v>
      </c>
      <c r="U99" s="67">
        <f>COUNTIFS([2]Variables!$M$2:$M$19,IF(T99="NorthBound","&gt;=","&lt;=")&amp;Z99,[2]Variables!$M$2:$M$19,IF(T99="NorthBound","&lt;=","&gt;=")&amp;AA99)</f>
        <v>12</v>
      </c>
      <c r="W99" s="73" t="str">
        <f t="shared" ref="W99:W130" si="3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https://search-rtdc-monitor-bjffxe2xuh6vdkpspy63sjmuny.us-east-1.es.amazonaws.com/_plugin/kibana/#/discover/Steve-Slow-Train-Analysis-(2080s-and-2083s)?_g=(refreshInterval:(display:Off,section:0,value:0),time:(from:'2016-05-29 16:33:44-0600',mode:absolute,to:'2016-05-29 17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99" s="73" t="str">
        <f t="shared" ref="X99:X130" si="36">IF(AB99&lt;23,"Y","N")</f>
        <v>N</v>
      </c>
      <c r="Y99" s="73">
        <f t="shared" ref="Y99:Y130" si="37">VALUE(LEFT(A99,3))-VALUE(LEFT(A98,3))</f>
        <v>1</v>
      </c>
      <c r="Z99" s="73">
        <f t="shared" ref="Z99:Z130" si="38">RIGHT(D99,LEN(D99)-4)/10000</f>
        <v>23.299800000000001</v>
      </c>
      <c r="AA99" s="73">
        <f t="shared" si="31"/>
        <v>1.4999999999999999E-2</v>
      </c>
      <c r="AB99" s="73">
        <f t="shared" ref="AB99:AB130" si="39">ABS(AA99-Z99)</f>
        <v>23.284800000000001</v>
      </c>
      <c r="AC99" s="74" t="e">
        <f>VLOOKUP(A99,Enforcements!$C$3:$J$60,8,0)</f>
        <v>#N/A</v>
      </c>
      <c r="AD99" s="74" t="e">
        <f>VLOOKUP(A99,Enforcements!$C$3:$J$60,3,0)</f>
        <v>#N/A</v>
      </c>
    </row>
    <row r="100" spans="1:30" s="2" customFormat="1" x14ac:dyDescent="0.25">
      <c r="A100" s="60" t="s">
        <v>321</v>
      </c>
      <c r="B100" s="60">
        <v>4020</v>
      </c>
      <c r="C100" s="60" t="s">
        <v>65</v>
      </c>
      <c r="D100" s="60" t="s">
        <v>322</v>
      </c>
      <c r="E100" s="30">
        <v>42519.664224537039</v>
      </c>
      <c r="F100" s="30">
        <v>42519.665486111109</v>
      </c>
      <c r="G100" s="38">
        <v>1</v>
      </c>
      <c r="H100" s="30" t="s">
        <v>147</v>
      </c>
      <c r="I100" s="30">
        <v>42519.693333333336</v>
      </c>
      <c r="J100" s="60">
        <v>0</v>
      </c>
      <c r="K100" s="60" t="str">
        <f t="shared" si="33"/>
        <v>4019/4020</v>
      </c>
      <c r="L100" s="60" t="str">
        <f>VLOOKUP(A100,'Trips&amp;Operators'!$C$1:$E$9999,3,FALSE)</f>
        <v>STRICKLAND</v>
      </c>
      <c r="M100" s="12">
        <f t="shared" si="34"/>
        <v>2.7847222227137536E-2</v>
      </c>
      <c r="N100" s="13">
        <f t="shared" si="32"/>
        <v>40.100000007078052</v>
      </c>
      <c r="O100" s="13"/>
      <c r="P100" s="13"/>
      <c r="Q100" s="61"/>
      <c r="R100" s="61"/>
      <c r="S100" s="94">
        <f t="shared" si="29"/>
        <v>1</v>
      </c>
      <c r="T100" s="2" t="str">
        <f t="shared" si="30"/>
        <v>NorthBound</v>
      </c>
      <c r="U100" s="67">
        <f>COUNTIFS([2]Variables!$M$2:$M$19,IF(T100="NorthBound","&gt;=","&lt;=")&amp;Z100,[2]Variables!$M$2:$M$19,IF(T100="NorthBound","&lt;=","&gt;=")&amp;AA100)</f>
        <v>12</v>
      </c>
      <c r="W10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15:55:29-0600',mode:absolute,to:'2016-05-29 16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0" s="73" t="str">
        <f t="shared" si="36"/>
        <v>N</v>
      </c>
      <c r="Y100" s="73">
        <f t="shared" si="37"/>
        <v>1</v>
      </c>
      <c r="Z100" s="73">
        <f t="shared" si="38"/>
        <v>4.4200000000000003E-2</v>
      </c>
      <c r="AA100" s="73">
        <f t="shared" si="31"/>
        <v>23.327999999999999</v>
      </c>
      <c r="AB100" s="73">
        <f t="shared" si="39"/>
        <v>23.283799999999999</v>
      </c>
      <c r="AC100" s="74" t="e">
        <f>VLOOKUP(A100,Enforcements!$C$3:$J$60,8,0)</f>
        <v>#N/A</v>
      </c>
      <c r="AD100" s="74" t="e">
        <f>VLOOKUP(A100,Enforcements!$C$3:$J$60,3,0)</f>
        <v>#N/A</v>
      </c>
    </row>
    <row r="101" spans="1:30" s="2" customFormat="1" x14ac:dyDescent="0.25">
      <c r="A101" s="60" t="s">
        <v>323</v>
      </c>
      <c r="B101" s="60">
        <v>4019</v>
      </c>
      <c r="C101" s="60" t="s">
        <v>65</v>
      </c>
      <c r="D101" s="60" t="s">
        <v>119</v>
      </c>
      <c r="E101" s="30">
        <v>42519.698055555556</v>
      </c>
      <c r="F101" s="30">
        <v>42519.699120370373</v>
      </c>
      <c r="G101" s="38">
        <v>1</v>
      </c>
      <c r="H101" s="30" t="s">
        <v>90</v>
      </c>
      <c r="I101" s="30">
        <v>42519.733368055553</v>
      </c>
      <c r="J101" s="60">
        <v>2</v>
      </c>
      <c r="K101" s="60" t="str">
        <f t="shared" si="33"/>
        <v>4019/4020</v>
      </c>
      <c r="L101" s="60" t="str">
        <f>VLOOKUP(A101,'Trips&amp;Operators'!$C$1:$E$9999,3,FALSE)</f>
        <v>STRICKLAND</v>
      </c>
      <c r="M101" s="12">
        <f t="shared" si="34"/>
        <v>3.424768518016208E-2</v>
      </c>
      <c r="N101" s="13">
        <f t="shared" si="32"/>
        <v>49.316666659433395</v>
      </c>
      <c r="O101" s="13"/>
      <c r="P101" s="13"/>
      <c r="Q101" s="61"/>
      <c r="R101" s="61"/>
      <c r="S101" s="94">
        <f t="shared" si="29"/>
        <v>1</v>
      </c>
      <c r="T101" s="2" t="str">
        <f t="shared" si="30"/>
        <v>Southbound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16:44:12-0600',mode:absolute,to:'2016-05-29 17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1" s="73" t="str">
        <f t="shared" si="36"/>
        <v>N</v>
      </c>
      <c r="Y101" s="73">
        <f t="shared" si="37"/>
        <v>1</v>
      </c>
      <c r="Z101" s="73">
        <f t="shared" si="38"/>
        <v>23.297699999999999</v>
      </c>
      <c r="AA101" s="73">
        <f t="shared" si="31"/>
        <v>1.5800000000000002E-2</v>
      </c>
      <c r="AB101" s="73">
        <f t="shared" si="39"/>
        <v>23.2819</v>
      </c>
      <c r="AC101" s="74">
        <f>VLOOKUP(A101,Enforcements!$C$3:$J$60,8,0)</f>
        <v>4677</v>
      </c>
      <c r="AD101" s="74" t="str">
        <f>VLOOKUP(A101,Enforcements!$C$3:$J$60,3,0)</f>
        <v>PERMANENT SPEED RESTRICTION</v>
      </c>
    </row>
    <row r="102" spans="1:30" s="2" customFormat="1" x14ac:dyDescent="0.25">
      <c r="A102" s="60" t="s">
        <v>324</v>
      </c>
      <c r="B102" s="60">
        <v>4031</v>
      </c>
      <c r="C102" s="60" t="s">
        <v>65</v>
      </c>
      <c r="D102" s="60" t="s">
        <v>73</v>
      </c>
      <c r="E102" s="30">
        <v>42519.674525462964</v>
      </c>
      <c r="F102" s="30">
        <v>42519.675497685188</v>
      </c>
      <c r="G102" s="38">
        <v>1</v>
      </c>
      <c r="H102" s="30" t="s">
        <v>325</v>
      </c>
      <c r="I102" s="30">
        <v>42519.702499999999</v>
      </c>
      <c r="J102" s="60">
        <v>0</v>
      </c>
      <c r="K102" s="60" t="str">
        <f t="shared" si="33"/>
        <v>4031/4032</v>
      </c>
      <c r="L102" s="60" t="str">
        <f>VLOOKUP(A102,'Trips&amp;Operators'!$C$1:$E$9999,3,FALSE)</f>
        <v>WEBSTER</v>
      </c>
      <c r="M102" s="12">
        <f t="shared" si="34"/>
        <v>2.700231481139781E-2</v>
      </c>
      <c r="N102" s="13">
        <f t="shared" si="32"/>
        <v>38.883333328412846</v>
      </c>
      <c r="O102" s="13"/>
      <c r="P102" s="13"/>
      <c r="Q102" s="61"/>
      <c r="R102" s="61"/>
      <c r="S102" s="94">
        <f t="shared" si="29"/>
        <v>1</v>
      </c>
      <c r="T102" s="2" t="str">
        <f t="shared" si="30"/>
        <v>NorthBound</v>
      </c>
      <c r="U102" s="67">
        <f>COUNTIFS([2]Variables!$M$2:$M$19,IF(T102="NorthBound","&gt;=","&lt;=")&amp;Z102,[2]Variables!$M$2:$M$19,IF(T102="NorthBound","&lt;=","&gt;=")&amp;AA102)</f>
        <v>12</v>
      </c>
      <c r="W10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16:10:19-0600',mode:absolute,to:'2016-05-29 16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2" s="73" t="str">
        <f t="shared" si="36"/>
        <v>N</v>
      </c>
      <c r="Y102" s="73">
        <f t="shared" si="37"/>
        <v>1</v>
      </c>
      <c r="Z102" s="73">
        <f t="shared" si="38"/>
        <v>4.5499999999999999E-2</v>
      </c>
      <c r="AA102" s="73">
        <f t="shared" si="31"/>
        <v>23.332899999999999</v>
      </c>
      <c r="AB102" s="73">
        <f t="shared" si="39"/>
        <v>23.287399999999998</v>
      </c>
      <c r="AC102" s="74" t="e">
        <f>VLOOKUP(A102,Enforcements!$C$3:$J$60,8,0)</f>
        <v>#N/A</v>
      </c>
      <c r="AD102" s="74" t="e">
        <f>VLOOKUP(A102,Enforcements!$C$3:$J$60,3,0)</f>
        <v>#N/A</v>
      </c>
    </row>
    <row r="103" spans="1:30" s="2" customFormat="1" x14ac:dyDescent="0.25">
      <c r="A103" s="60" t="s">
        <v>326</v>
      </c>
      <c r="B103" s="60">
        <v>4032</v>
      </c>
      <c r="C103" s="60" t="s">
        <v>65</v>
      </c>
      <c r="D103" s="60" t="s">
        <v>69</v>
      </c>
      <c r="E103" s="30">
        <v>42519.713506944441</v>
      </c>
      <c r="F103" s="30">
        <v>42519.714375000003</v>
      </c>
      <c r="G103" s="38">
        <v>1</v>
      </c>
      <c r="H103" s="30" t="s">
        <v>130</v>
      </c>
      <c r="I103" s="30">
        <v>42519.742812500001</v>
      </c>
      <c r="J103" s="60">
        <v>0</v>
      </c>
      <c r="K103" s="60" t="str">
        <f t="shared" si="33"/>
        <v>4031/4032</v>
      </c>
      <c r="L103" s="60" t="str">
        <f>VLOOKUP(A103,'Trips&amp;Operators'!$C$1:$E$9999,3,FALSE)</f>
        <v>WEBSTER</v>
      </c>
      <c r="M103" s="12">
        <f t="shared" si="34"/>
        <v>2.8437499997380655E-2</v>
      </c>
      <c r="N103" s="13">
        <f t="shared" si="32"/>
        <v>40.949999996228144</v>
      </c>
      <c r="O103" s="13"/>
      <c r="P103" s="13"/>
      <c r="Q103" s="61"/>
      <c r="R103" s="61"/>
      <c r="S103" s="94">
        <f t="shared" si="29"/>
        <v>1</v>
      </c>
      <c r="T103" s="2" t="str">
        <f t="shared" si="30"/>
        <v>Southbound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17:06:27-0600',mode:absolute,to:'2016-05-29 17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3" s="73" t="str">
        <f t="shared" si="36"/>
        <v>N</v>
      </c>
      <c r="Y103" s="73">
        <f t="shared" si="37"/>
        <v>1</v>
      </c>
      <c r="Z103" s="73">
        <f t="shared" si="38"/>
        <v>23.2989</v>
      </c>
      <c r="AA103" s="73">
        <f t="shared" si="31"/>
        <v>1.6500000000000001E-2</v>
      </c>
      <c r="AB103" s="73">
        <f t="shared" si="39"/>
        <v>23.282399999999999</v>
      </c>
      <c r="AC103" s="74" t="e">
        <f>VLOOKUP(A103,Enforcements!$C$3:$J$60,8,0)</f>
        <v>#N/A</v>
      </c>
      <c r="AD103" s="74" t="e">
        <f>VLOOKUP(A103,Enforcements!$C$3:$J$60,3,0)</f>
        <v>#N/A</v>
      </c>
    </row>
    <row r="104" spans="1:30" s="2" customFormat="1" x14ac:dyDescent="0.25">
      <c r="A104" s="60" t="s">
        <v>327</v>
      </c>
      <c r="B104" s="60">
        <v>4044</v>
      </c>
      <c r="C104" s="60" t="s">
        <v>65</v>
      </c>
      <c r="D104" s="60" t="s">
        <v>322</v>
      </c>
      <c r="E104" s="30">
        <v>42519.682881944442</v>
      </c>
      <c r="F104" s="30">
        <v>42519.683865740742</v>
      </c>
      <c r="G104" s="38">
        <v>1</v>
      </c>
      <c r="H104" s="30" t="s">
        <v>311</v>
      </c>
      <c r="I104" s="30">
        <v>42519.712418981479</v>
      </c>
      <c r="J104" s="60">
        <v>0</v>
      </c>
      <c r="K104" s="60" t="str">
        <f t="shared" si="33"/>
        <v>4043/4044</v>
      </c>
      <c r="L104" s="60" t="str">
        <f>VLOOKUP(A104,'Trips&amp;Operators'!$C$1:$E$9999,3,FALSE)</f>
        <v>RIVERA</v>
      </c>
      <c r="M104" s="12">
        <f t="shared" si="34"/>
        <v>2.8553240736073349E-2</v>
      </c>
      <c r="N104" s="13">
        <f t="shared" si="32"/>
        <v>41.116666659945622</v>
      </c>
      <c r="O104" s="13"/>
      <c r="P104" s="13"/>
      <c r="Q104" s="61"/>
      <c r="R104" s="61"/>
      <c r="S104" s="94">
        <f t="shared" si="29"/>
        <v>1</v>
      </c>
      <c r="T104" s="2" t="str">
        <f t="shared" si="30"/>
        <v>NorthBound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16:22:21-0600',mode:absolute,to:'2016-05-29 17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4" s="73" t="str">
        <f t="shared" si="36"/>
        <v>N</v>
      </c>
      <c r="Y104" s="73">
        <f t="shared" si="37"/>
        <v>1</v>
      </c>
      <c r="Z104" s="73">
        <f t="shared" si="38"/>
        <v>4.4200000000000003E-2</v>
      </c>
      <c r="AA104" s="73">
        <f t="shared" si="31"/>
        <v>23.330300000000001</v>
      </c>
      <c r="AB104" s="73">
        <f t="shared" si="39"/>
        <v>23.286100000000001</v>
      </c>
      <c r="AC104" s="74" t="e">
        <f>VLOOKUP(A104,Enforcements!$C$3:$J$60,8,0)</f>
        <v>#N/A</v>
      </c>
      <c r="AD104" s="74" t="e">
        <f>VLOOKUP(A104,Enforcements!$C$3:$J$60,3,0)</f>
        <v>#N/A</v>
      </c>
    </row>
    <row r="105" spans="1:30" s="2" customFormat="1" x14ac:dyDescent="0.25">
      <c r="A105" s="60" t="s">
        <v>328</v>
      </c>
      <c r="B105" s="60">
        <v>4043</v>
      </c>
      <c r="C105" s="60" t="s">
        <v>65</v>
      </c>
      <c r="D105" s="60" t="s">
        <v>101</v>
      </c>
      <c r="E105" s="30">
        <v>42519.721643518518</v>
      </c>
      <c r="F105" s="30">
        <v>42519.722384259258</v>
      </c>
      <c r="G105" s="38">
        <v>1</v>
      </c>
      <c r="H105" s="30" t="s">
        <v>151</v>
      </c>
      <c r="I105" s="30">
        <v>42519.754965277774</v>
      </c>
      <c r="J105" s="60">
        <v>0</v>
      </c>
      <c r="K105" s="60" t="str">
        <f t="shared" si="33"/>
        <v>4043/4044</v>
      </c>
      <c r="L105" s="60" t="str">
        <f>VLOOKUP(A105,'Trips&amp;Operators'!$C$1:$E$9999,3,FALSE)</f>
        <v>RIVERA</v>
      </c>
      <c r="M105" s="12">
        <f t="shared" si="34"/>
        <v>3.2581018516793847E-2</v>
      </c>
      <c r="N105" s="13">
        <f t="shared" si="32"/>
        <v>46.91666666418314</v>
      </c>
      <c r="O105" s="13"/>
      <c r="P105" s="13"/>
      <c r="Q105" s="61"/>
      <c r="R105" s="61"/>
      <c r="S105" s="94">
        <f t="shared" si="29"/>
        <v>1</v>
      </c>
      <c r="T105" s="2" t="str">
        <f t="shared" si="30"/>
        <v>Southbound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17:18:10-0600',mode:absolute,to:'2016-05-29 18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5" s="73" t="str">
        <f t="shared" si="36"/>
        <v>N</v>
      </c>
      <c r="Y105" s="73">
        <f t="shared" si="37"/>
        <v>1</v>
      </c>
      <c r="Z105" s="73">
        <f t="shared" si="38"/>
        <v>23.299600000000002</v>
      </c>
      <c r="AA105" s="73">
        <f t="shared" si="31"/>
        <v>1.41E-2</v>
      </c>
      <c r="AB105" s="73">
        <f t="shared" si="39"/>
        <v>23.285500000000003</v>
      </c>
      <c r="AC105" s="74" t="e">
        <f>VLOOKUP(A105,Enforcements!$C$3:$J$60,8,0)</f>
        <v>#N/A</v>
      </c>
      <c r="AD105" s="74" t="e">
        <f>VLOOKUP(A105,Enforcements!$C$3:$J$60,3,0)</f>
        <v>#N/A</v>
      </c>
    </row>
    <row r="106" spans="1:30" s="2" customFormat="1" x14ac:dyDescent="0.25">
      <c r="A106" s="60" t="s">
        <v>329</v>
      </c>
      <c r="B106" s="60">
        <v>4011</v>
      </c>
      <c r="C106" s="60" t="s">
        <v>65</v>
      </c>
      <c r="D106" s="60" t="s">
        <v>330</v>
      </c>
      <c r="E106" s="30">
        <v>42519.691944444443</v>
      </c>
      <c r="F106" s="30">
        <v>42519.69290509259</v>
      </c>
      <c r="G106" s="38">
        <v>1</v>
      </c>
      <c r="H106" s="30" t="s">
        <v>177</v>
      </c>
      <c r="I106" s="30">
        <v>42519.69390046296</v>
      </c>
      <c r="J106" s="60">
        <v>0</v>
      </c>
      <c r="K106" s="60" t="str">
        <f t="shared" si="33"/>
        <v>4011/4012</v>
      </c>
      <c r="L106" s="60" t="str">
        <f>VLOOKUP(A106,'Trips&amp;Operators'!$C$1:$E$9999,3,FALSE)</f>
        <v>BONDS</v>
      </c>
      <c r="M106" s="12">
        <f t="shared" si="34"/>
        <v>9.9537037021946162E-4</v>
      </c>
      <c r="N106" s="13"/>
      <c r="O106" s="13"/>
      <c r="P106" s="13">
        <f>24*60*SUM($M106:$M106)</f>
        <v>1.4333333331160247</v>
      </c>
      <c r="Q106" s="61"/>
      <c r="R106" s="61" t="s">
        <v>400</v>
      </c>
      <c r="S106" s="94">
        <f t="shared" si="29"/>
        <v>0.16666666666666666</v>
      </c>
      <c r="T106" s="2" t="str">
        <f t="shared" si="30"/>
        <v>NorthBound</v>
      </c>
      <c r="U106" s="67">
        <f>COUNTIFS([2]Variables!$M$2:$M$19,IF(T106="NorthBound","&gt;=","&lt;=")&amp;Z106,[2]Variables!$M$2:$M$19,IF(T106="NorthBound","&lt;=","&gt;=")&amp;AA106)</f>
        <v>2</v>
      </c>
      <c r="W10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16:35:24-0600',mode:absolute,to:'2016-05-29 16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6" s="73" t="str">
        <f t="shared" si="36"/>
        <v>Y</v>
      </c>
      <c r="Y106" s="73">
        <f t="shared" si="37"/>
        <v>1</v>
      </c>
      <c r="Z106" s="73">
        <f t="shared" si="38"/>
        <v>8.6376000000000008</v>
      </c>
      <c r="AA106" s="73">
        <f t="shared" si="31"/>
        <v>23.326799999999999</v>
      </c>
      <c r="AB106" s="73">
        <f t="shared" si="39"/>
        <v>14.689199999999998</v>
      </c>
      <c r="AC106" s="74" t="e">
        <f>VLOOKUP(A106,Enforcements!$C$3:$J$60,8,0)</f>
        <v>#N/A</v>
      </c>
      <c r="AD106" s="74" t="e">
        <f>VLOOKUP(A106,Enforcements!$C$3:$J$60,3,0)</f>
        <v>#N/A</v>
      </c>
    </row>
    <row r="107" spans="1:30" s="2" customFormat="1" x14ac:dyDescent="0.25">
      <c r="A107" s="60" t="s">
        <v>331</v>
      </c>
      <c r="B107" s="60">
        <v>4012</v>
      </c>
      <c r="C107" s="60" t="s">
        <v>65</v>
      </c>
      <c r="D107" s="60" t="s">
        <v>169</v>
      </c>
      <c r="E107" s="30">
        <v>42519.732557870368</v>
      </c>
      <c r="F107" s="30">
        <v>42519.73337962963</v>
      </c>
      <c r="G107" s="38">
        <v>1</v>
      </c>
      <c r="H107" s="30" t="s">
        <v>332</v>
      </c>
      <c r="I107" s="30">
        <v>42519.766840277778</v>
      </c>
      <c r="J107" s="60">
        <v>4</v>
      </c>
      <c r="K107" s="60" t="str">
        <f t="shared" si="33"/>
        <v>4011/4012</v>
      </c>
      <c r="L107" s="60" t="str">
        <f>VLOOKUP(A107,'Trips&amp;Operators'!$C$1:$E$9999,3,FALSE)</f>
        <v>BONDS</v>
      </c>
      <c r="M107" s="12">
        <f t="shared" si="34"/>
        <v>3.3460648148320615E-2</v>
      </c>
      <c r="N107" s="13">
        <f t="shared" ref="N107:N146" si="40">24*60*SUM($M107:$M107)</f>
        <v>48.183333333581686</v>
      </c>
      <c r="O107" s="13"/>
      <c r="P107" s="13"/>
      <c r="Q107" s="61"/>
      <c r="R107" s="61"/>
      <c r="S107" s="94">
        <f t="shared" si="29"/>
        <v>1</v>
      </c>
      <c r="T107" s="2" t="str">
        <f t="shared" si="30"/>
        <v>Southbound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17:33:53-0600',mode:absolute,to:'2016-05-29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7" s="73" t="str">
        <f t="shared" si="36"/>
        <v>Y</v>
      </c>
      <c r="Y107" s="73">
        <f t="shared" si="37"/>
        <v>1</v>
      </c>
      <c r="Z107" s="73">
        <f t="shared" si="38"/>
        <v>23.298300000000001</v>
      </c>
      <c r="AA107" s="73">
        <f t="shared" si="31"/>
        <v>0.51900000000000002</v>
      </c>
      <c r="AB107" s="73">
        <f t="shared" si="39"/>
        <v>22.779300000000003</v>
      </c>
      <c r="AC107" s="74">
        <f>VLOOKUP(A107,Enforcements!$C$3:$J$60,8,0)</f>
        <v>58301</v>
      </c>
      <c r="AD107" s="74" t="str">
        <f>VLOOKUP(A107,Enforcements!$C$3:$J$60,3,0)</f>
        <v>GRADE CROSSING</v>
      </c>
    </row>
    <row r="108" spans="1:30" s="2" customFormat="1" x14ac:dyDescent="0.25">
      <c r="A108" s="60" t="s">
        <v>333</v>
      </c>
      <c r="B108" s="60">
        <v>4040</v>
      </c>
      <c r="C108" s="60" t="s">
        <v>65</v>
      </c>
      <c r="D108" s="60" t="s">
        <v>193</v>
      </c>
      <c r="E108" s="30">
        <v>42519.70511574074</v>
      </c>
      <c r="F108" s="30">
        <v>42519.706076388888</v>
      </c>
      <c r="G108" s="38">
        <v>1</v>
      </c>
      <c r="H108" s="30" t="s">
        <v>175</v>
      </c>
      <c r="I108" s="30">
        <v>42519.732314814813</v>
      </c>
      <c r="J108" s="60">
        <v>0</v>
      </c>
      <c r="K108" s="60" t="str">
        <f t="shared" si="33"/>
        <v>4039/4040</v>
      </c>
      <c r="L108" s="60" t="str">
        <f>VLOOKUP(A108,'Trips&amp;Operators'!$C$1:$E$9999,3,FALSE)</f>
        <v>LOCKLEAR</v>
      </c>
      <c r="M108" s="12">
        <f t="shared" si="34"/>
        <v>2.6238425925839692E-2</v>
      </c>
      <c r="N108" s="13">
        <f t="shared" si="40"/>
        <v>37.783333333209157</v>
      </c>
      <c r="O108" s="13"/>
      <c r="P108" s="13"/>
      <c r="Q108" s="61"/>
      <c r="R108" s="61"/>
      <c r="S108" s="94">
        <f t="shared" si="29"/>
        <v>1</v>
      </c>
      <c r="T108" s="2" t="str">
        <f t="shared" si="30"/>
        <v>NorthBound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16:54:22-0600',mode:absolute,to:'2016-05-29 17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8" s="73" t="str">
        <f t="shared" si="36"/>
        <v>N</v>
      </c>
      <c r="Y108" s="73">
        <f t="shared" si="37"/>
        <v>1</v>
      </c>
      <c r="Z108" s="73">
        <f t="shared" si="38"/>
        <v>4.7100000000000003E-2</v>
      </c>
      <c r="AA108" s="73">
        <f t="shared" si="31"/>
        <v>23.339300000000001</v>
      </c>
      <c r="AB108" s="73">
        <f t="shared" si="39"/>
        <v>23.292200000000001</v>
      </c>
      <c r="AC108" s="74">
        <f>VLOOKUP(A108,Enforcements!$C$3:$J$60,8,0)</f>
        <v>233491</v>
      </c>
      <c r="AD108" s="74" t="str">
        <f>VLOOKUP(A108,Enforcements!$C$3:$J$60,3,0)</f>
        <v>TRACK WARRANT AUTHORITY</v>
      </c>
    </row>
    <row r="109" spans="1:30" s="2" customFormat="1" x14ac:dyDescent="0.25">
      <c r="A109" s="60" t="s">
        <v>334</v>
      </c>
      <c r="B109" s="60">
        <v>4039</v>
      </c>
      <c r="C109" s="60" t="s">
        <v>65</v>
      </c>
      <c r="D109" s="60" t="s">
        <v>335</v>
      </c>
      <c r="E109" s="30">
        <v>42519.744571759256</v>
      </c>
      <c r="F109" s="30">
        <v>42519.746631944443</v>
      </c>
      <c r="G109" s="38">
        <v>2</v>
      </c>
      <c r="H109" s="30" t="s">
        <v>102</v>
      </c>
      <c r="I109" s="30">
        <v>42519.776724537034</v>
      </c>
      <c r="J109" s="60">
        <v>0</v>
      </c>
      <c r="K109" s="60" t="str">
        <f t="shared" si="33"/>
        <v>4039/4040</v>
      </c>
      <c r="L109" s="60" t="str">
        <f>VLOOKUP(A109,'Trips&amp;Operators'!$C$1:$E$9999,3,FALSE)</f>
        <v>LOCKLEAR</v>
      </c>
      <c r="M109" s="12">
        <f t="shared" si="34"/>
        <v>3.0092592591245193E-2</v>
      </c>
      <c r="N109" s="13">
        <f t="shared" si="40"/>
        <v>43.333333331393078</v>
      </c>
      <c r="O109" s="13"/>
      <c r="P109" s="13"/>
      <c r="Q109" s="61"/>
      <c r="R109" s="61"/>
      <c r="S109" s="94">
        <f t="shared" si="29"/>
        <v>1</v>
      </c>
      <c r="T109" s="2" t="str">
        <f t="shared" si="30"/>
        <v>Southbound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17:51:11-0600',mode:absolute,to:'2016-05-29 18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9" s="73" t="str">
        <f t="shared" si="36"/>
        <v>N</v>
      </c>
      <c r="Y109" s="73">
        <f t="shared" si="37"/>
        <v>1</v>
      </c>
      <c r="Z109" s="73">
        <f t="shared" si="38"/>
        <v>23.306699999999999</v>
      </c>
      <c r="AA109" s="73">
        <f t="shared" si="31"/>
        <v>1.6E-2</v>
      </c>
      <c r="AB109" s="73">
        <f t="shared" si="39"/>
        <v>23.290700000000001</v>
      </c>
      <c r="AC109" s="74" t="e">
        <f>VLOOKUP(A109,Enforcements!$C$3:$J$60,8,0)</f>
        <v>#N/A</v>
      </c>
      <c r="AD109" s="74" t="e">
        <f>VLOOKUP(A109,Enforcements!$C$3:$J$60,3,0)</f>
        <v>#N/A</v>
      </c>
    </row>
    <row r="110" spans="1:30" s="2" customFormat="1" x14ac:dyDescent="0.25">
      <c r="A110" s="60" t="s">
        <v>336</v>
      </c>
      <c r="B110" s="60">
        <v>4038</v>
      </c>
      <c r="C110" s="60" t="s">
        <v>65</v>
      </c>
      <c r="D110" s="60" t="s">
        <v>92</v>
      </c>
      <c r="E110" s="30">
        <v>42519.714571759258</v>
      </c>
      <c r="F110" s="30">
        <v>42519.716423611113</v>
      </c>
      <c r="G110" s="38">
        <v>2</v>
      </c>
      <c r="H110" s="30" t="s">
        <v>162</v>
      </c>
      <c r="I110" s="30">
        <v>42519.744930555556</v>
      </c>
      <c r="J110" s="60">
        <v>2</v>
      </c>
      <c r="K110" s="60" t="str">
        <f t="shared" si="33"/>
        <v>4037/4038</v>
      </c>
      <c r="L110" s="60" t="str">
        <f>VLOOKUP(A110,'Trips&amp;Operators'!$C$1:$E$9999,3,FALSE)</f>
        <v>MAYBERRY</v>
      </c>
      <c r="M110" s="12">
        <f t="shared" si="34"/>
        <v>2.8506944443506654E-2</v>
      </c>
      <c r="N110" s="13">
        <f t="shared" si="40"/>
        <v>41.049999998649582</v>
      </c>
      <c r="O110" s="13"/>
      <c r="P110" s="13"/>
      <c r="Q110" s="61"/>
      <c r="R110" s="61"/>
      <c r="S110" s="94">
        <f t="shared" si="29"/>
        <v>1</v>
      </c>
      <c r="T110" s="2" t="str">
        <f t="shared" si="30"/>
        <v>NorthBound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17:07:59-0600',mode:absolute,to:'2016-05-29 17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0" s="73" t="str">
        <f t="shared" si="36"/>
        <v>N</v>
      </c>
      <c r="Y110" s="73">
        <f t="shared" si="37"/>
        <v>1</v>
      </c>
      <c r="Z110" s="73">
        <f t="shared" si="38"/>
        <v>4.58E-2</v>
      </c>
      <c r="AA110" s="73">
        <f t="shared" si="31"/>
        <v>23.328499999999998</v>
      </c>
      <c r="AB110" s="73">
        <f t="shared" si="39"/>
        <v>23.282699999999998</v>
      </c>
      <c r="AC110" s="74">
        <f>VLOOKUP(A110,Enforcements!$C$3:$J$60,8,0)</f>
        <v>230436</v>
      </c>
      <c r="AD110" s="74" t="str">
        <f>VLOOKUP(A110,Enforcements!$C$3:$J$60,3,0)</f>
        <v>PERMANENT SPEED RESTRICTION</v>
      </c>
    </row>
    <row r="111" spans="1:30" s="2" customFormat="1" x14ac:dyDescent="0.25">
      <c r="A111" s="60" t="s">
        <v>337</v>
      </c>
      <c r="B111" s="60">
        <v>4037</v>
      </c>
      <c r="C111" s="60" t="s">
        <v>65</v>
      </c>
      <c r="D111" s="60" t="s">
        <v>338</v>
      </c>
      <c r="E111" s="30">
        <v>42519.749120370368</v>
      </c>
      <c r="F111" s="30">
        <v>42519.753252314818</v>
      </c>
      <c r="G111" s="38">
        <v>5</v>
      </c>
      <c r="H111" s="30" t="s">
        <v>90</v>
      </c>
      <c r="I111" s="30">
        <v>42519.789120370369</v>
      </c>
      <c r="J111" s="60">
        <v>2</v>
      </c>
      <c r="K111" s="60" t="str">
        <f t="shared" si="33"/>
        <v>4037/4038</v>
      </c>
      <c r="L111" s="60" t="str">
        <f>VLOOKUP(A111,'Trips&amp;Operators'!$C$1:$E$9999,3,FALSE)</f>
        <v>MAYBERRY</v>
      </c>
      <c r="M111" s="12">
        <f t="shared" si="34"/>
        <v>3.5868055550963618E-2</v>
      </c>
      <c r="N111" s="13">
        <f t="shared" si="40"/>
        <v>51.64999999338761</v>
      </c>
      <c r="O111" s="13"/>
      <c r="P111" s="13"/>
      <c r="Q111" s="61"/>
      <c r="R111" s="61"/>
      <c r="S111" s="94">
        <f t="shared" si="29"/>
        <v>1</v>
      </c>
      <c r="T111" s="2" t="str">
        <f t="shared" si="30"/>
        <v>Southbound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17:57:44-0600',mode:absolute,to:'2016-05-29 18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1" s="73" t="str">
        <f t="shared" si="36"/>
        <v>N</v>
      </c>
      <c r="Y111" s="73">
        <f t="shared" si="37"/>
        <v>1</v>
      </c>
      <c r="Z111" s="73">
        <f t="shared" si="38"/>
        <v>23.296199999999999</v>
      </c>
      <c r="AA111" s="73">
        <f t="shared" ref="AA111:AA146" si="41">RIGHT(H111,LEN(H111)-4)/10000</f>
        <v>1.5800000000000002E-2</v>
      </c>
      <c r="AB111" s="73">
        <f t="shared" si="39"/>
        <v>23.2804</v>
      </c>
      <c r="AC111" s="74">
        <f>VLOOKUP(A111,Enforcements!$C$3:$J$60,8,0)</f>
        <v>109135</v>
      </c>
      <c r="AD111" s="74" t="str">
        <f>VLOOKUP(A111,Enforcements!$C$3:$J$60,3,0)</f>
        <v>GRADE CROSSING</v>
      </c>
    </row>
    <row r="112" spans="1:30" s="2" customFormat="1" x14ac:dyDescent="0.25">
      <c r="A112" s="60" t="s">
        <v>339</v>
      </c>
      <c r="B112" s="60">
        <v>4042</v>
      </c>
      <c r="C112" s="60" t="s">
        <v>65</v>
      </c>
      <c r="D112" s="60" t="s">
        <v>73</v>
      </c>
      <c r="E112" s="30">
        <v>42519.723796296297</v>
      </c>
      <c r="F112" s="30">
        <v>42519.729432870372</v>
      </c>
      <c r="G112" s="38">
        <v>8</v>
      </c>
      <c r="H112" s="30" t="s">
        <v>129</v>
      </c>
      <c r="I112" s="30">
        <v>42519.758483796293</v>
      </c>
      <c r="J112" s="60">
        <v>0</v>
      </c>
      <c r="K112" s="60" t="str">
        <f t="shared" si="33"/>
        <v>4041/4042</v>
      </c>
      <c r="L112" s="60" t="str">
        <f>VLOOKUP(A112,'Trips&amp;Operators'!$C$1:$E$9999,3,FALSE)</f>
        <v>STEWART</v>
      </c>
      <c r="M112" s="12">
        <f t="shared" si="34"/>
        <v>2.9050925921183079E-2</v>
      </c>
      <c r="N112" s="13">
        <f t="shared" si="40"/>
        <v>41.833333326503634</v>
      </c>
      <c r="O112" s="13"/>
      <c r="P112" s="13"/>
      <c r="Q112" s="61"/>
      <c r="R112" s="61"/>
      <c r="S112" s="94">
        <f t="shared" si="29"/>
        <v>1</v>
      </c>
      <c r="T112" s="2" t="str">
        <f t="shared" si="30"/>
        <v>NorthBound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17:21:16-0600',mode:absolute,to:'2016-05-29 18:13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2" s="73" t="str">
        <f t="shared" si="36"/>
        <v>N</v>
      </c>
      <c r="Y112" s="73">
        <f t="shared" si="37"/>
        <v>1</v>
      </c>
      <c r="Z112" s="73">
        <f t="shared" si="38"/>
        <v>4.5499999999999999E-2</v>
      </c>
      <c r="AA112" s="73">
        <f t="shared" si="41"/>
        <v>23.328900000000001</v>
      </c>
      <c r="AB112" s="73">
        <f t="shared" si="39"/>
        <v>23.2834</v>
      </c>
      <c r="AC112" s="74" t="e">
        <f>VLOOKUP(A112,Enforcements!$C$3:$J$60,8,0)</f>
        <v>#N/A</v>
      </c>
      <c r="AD112" s="74" t="e">
        <f>VLOOKUP(A112,Enforcements!$C$3:$J$60,3,0)</f>
        <v>#N/A</v>
      </c>
    </row>
    <row r="113" spans="1:30" s="2" customFormat="1" x14ac:dyDescent="0.25">
      <c r="A113" s="60" t="s">
        <v>340</v>
      </c>
      <c r="B113" s="60">
        <v>4041</v>
      </c>
      <c r="C113" s="60" t="s">
        <v>65</v>
      </c>
      <c r="D113" s="60" t="s">
        <v>142</v>
      </c>
      <c r="E113" s="30">
        <v>42519.764166666668</v>
      </c>
      <c r="F113" s="30">
        <v>42519.765763888892</v>
      </c>
      <c r="G113" s="38">
        <v>2</v>
      </c>
      <c r="H113" s="30" t="s">
        <v>88</v>
      </c>
      <c r="I113" s="30">
        <v>42519.795868055553</v>
      </c>
      <c r="J113" s="60">
        <v>0</v>
      </c>
      <c r="K113" s="60" t="str">
        <f t="shared" si="33"/>
        <v>4041/4042</v>
      </c>
      <c r="L113" s="60" t="str">
        <f>VLOOKUP(A113,'Trips&amp;Operators'!$C$1:$E$9999,3,FALSE)</f>
        <v>STEWART</v>
      </c>
      <c r="M113" s="12">
        <f t="shared" si="34"/>
        <v>3.0104166660748888E-2</v>
      </c>
      <c r="N113" s="13">
        <f t="shared" si="40"/>
        <v>43.349999991478398</v>
      </c>
      <c r="O113" s="13"/>
      <c r="P113" s="13"/>
      <c r="Q113" s="61"/>
      <c r="R113" s="61"/>
      <c r="S113" s="94">
        <f t="shared" si="29"/>
        <v>1</v>
      </c>
      <c r="T113" s="2" t="str">
        <f t="shared" si="30"/>
        <v>Southbound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18:19:24-0600',mode:absolute,to:'2016-05-29 19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3" s="73" t="str">
        <f t="shared" si="36"/>
        <v>N</v>
      </c>
      <c r="Y113" s="73">
        <f t="shared" si="37"/>
        <v>1</v>
      </c>
      <c r="Z113" s="73">
        <f t="shared" si="38"/>
        <v>23.2986</v>
      </c>
      <c r="AA113" s="73">
        <f t="shared" si="41"/>
        <v>1.47E-2</v>
      </c>
      <c r="AB113" s="73">
        <f t="shared" si="39"/>
        <v>23.283899999999999</v>
      </c>
      <c r="AC113" s="74" t="e">
        <f>VLOOKUP(A113,Enforcements!$C$3:$J$60,8,0)</f>
        <v>#N/A</v>
      </c>
      <c r="AD113" s="74" t="e">
        <f>VLOOKUP(A113,Enforcements!$C$3:$J$60,3,0)</f>
        <v>#N/A</v>
      </c>
    </row>
    <row r="114" spans="1:30" s="2" customFormat="1" x14ac:dyDescent="0.25">
      <c r="A114" s="60" t="s">
        <v>341</v>
      </c>
      <c r="B114" s="60">
        <v>4020</v>
      </c>
      <c r="C114" s="60" t="s">
        <v>65</v>
      </c>
      <c r="D114" s="60" t="s">
        <v>131</v>
      </c>
      <c r="E114" s="30">
        <v>42519.738703703704</v>
      </c>
      <c r="F114" s="30">
        <v>42519.742361111108</v>
      </c>
      <c r="G114" s="38">
        <v>5</v>
      </c>
      <c r="H114" s="30" t="s">
        <v>120</v>
      </c>
      <c r="I114" s="30">
        <v>42519.770127314812</v>
      </c>
      <c r="J114" s="60">
        <v>2</v>
      </c>
      <c r="K114" s="60" t="str">
        <f t="shared" si="33"/>
        <v>4019/4020</v>
      </c>
      <c r="L114" s="60" t="str">
        <f>VLOOKUP(A114,'Trips&amp;Operators'!$C$1:$E$9999,3,FALSE)</f>
        <v>CHANDLER</v>
      </c>
      <c r="M114" s="12">
        <f t="shared" si="34"/>
        <v>2.7766203704231884E-2</v>
      </c>
      <c r="N114" s="13">
        <f t="shared" si="40"/>
        <v>39.983333334093913</v>
      </c>
      <c r="O114" s="13"/>
      <c r="P114" s="13"/>
      <c r="Q114" s="61"/>
      <c r="R114" s="61"/>
      <c r="S114" s="94">
        <f t="shared" si="29"/>
        <v>1</v>
      </c>
      <c r="T114" s="2" t="str">
        <f t="shared" si="30"/>
        <v>NorthBound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17:42:44-0600',mode:absolute,to:'2016-05-29 18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4" s="73" t="str">
        <f t="shared" si="36"/>
        <v>N</v>
      </c>
      <c r="Y114" s="73">
        <f t="shared" si="37"/>
        <v>1</v>
      </c>
      <c r="Z114" s="73">
        <f t="shared" si="38"/>
        <v>4.5699999999999998E-2</v>
      </c>
      <c r="AA114" s="73">
        <f t="shared" si="41"/>
        <v>23.330400000000001</v>
      </c>
      <c r="AB114" s="73">
        <f t="shared" si="39"/>
        <v>23.284700000000001</v>
      </c>
      <c r="AC114" s="74">
        <f>VLOOKUP(A114,Enforcements!$C$3:$J$60,8,0)</f>
        <v>108954</v>
      </c>
      <c r="AD114" s="74" t="str">
        <f>VLOOKUP(A114,Enforcements!$C$3:$J$60,3,0)</f>
        <v>GRADE CROSSING</v>
      </c>
    </row>
    <row r="115" spans="1:30" s="2" customFormat="1" x14ac:dyDescent="0.25">
      <c r="A115" s="60" t="s">
        <v>342</v>
      </c>
      <c r="B115" s="60">
        <v>4019</v>
      </c>
      <c r="C115" s="60" t="s">
        <v>65</v>
      </c>
      <c r="D115" s="60" t="s">
        <v>209</v>
      </c>
      <c r="E115" s="30">
        <v>42519.774328703701</v>
      </c>
      <c r="F115" s="30">
        <v>42519.775833333333</v>
      </c>
      <c r="G115" s="38">
        <v>2</v>
      </c>
      <c r="H115" s="30" t="s">
        <v>130</v>
      </c>
      <c r="I115" s="30">
        <v>42519.806574074071</v>
      </c>
      <c r="J115" s="60">
        <v>0</v>
      </c>
      <c r="K115" s="60" t="str">
        <f t="shared" si="33"/>
        <v>4019/4020</v>
      </c>
      <c r="L115" s="60" t="str">
        <f>VLOOKUP(A115,'Trips&amp;Operators'!$C$1:$E$9999,3,FALSE)</f>
        <v>CHANDLER</v>
      </c>
      <c r="M115" s="12">
        <f t="shared" si="34"/>
        <v>3.0740740738110617E-2</v>
      </c>
      <c r="N115" s="13">
        <f t="shared" si="40"/>
        <v>44.266666662879288</v>
      </c>
      <c r="O115" s="13"/>
      <c r="P115" s="13"/>
      <c r="Q115" s="61"/>
      <c r="R115" s="61"/>
      <c r="S115" s="94">
        <f t="shared" si="29"/>
        <v>1</v>
      </c>
      <c r="T115" s="2" t="str">
        <f t="shared" si="30"/>
        <v>Southbound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18:34:02-0600',mode:absolute,to:'2016-05-29 19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5" s="73" t="str">
        <f t="shared" si="36"/>
        <v>N</v>
      </c>
      <c r="Y115" s="73">
        <f t="shared" si="37"/>
        <v>1</v>
      </c>
      <c r="Z115" s="73">
        <f t="shared" si="38"/>
        <v>23.2987</v>
      </c>
      <c r="AA115" s="73">
        <f t="shared" si="41"/>
        <v>1.6500000000000001E-2</v>
      </c>
      <c r="AB115" s="73">
        <f t="shared" si="39"/>
        <v>23.2822</v>
      </c>
      <c r="AC115" s="74" t="e">
        <f>VLOOKUP(A115,Enforcements!$C$3:$J$60,8,0)</f>
        <v>#N/A</v>
      </c>
      <c r="AD115" s="74" t="e">
        <f>VLOOKUP(A115,Enforcements!$C$3:$J$60,3,0)</f>
        <v>#N/A</v>
      </c>
    </row>
    <row r="116" spans="1:30" s="2" customFormat="1" x14ac:dyDescent="0.25">
      <c r="A116" s="60" t="s">
        <v>343</v>
      </c>
      <c r="B116" s="60">
        <v>4031</v>
      </c>
      <c r="C116" s="60" t="s">
        <v>65</v>
      </c>
      <c r="D116" s="60" t="s">
        <v>126</v>
      </c>
      <c r="E116" s="30">
        <v>42519.744201388887</v>
      </c>
      <c r="F116" s="30">
        <v>42519.74559027778</v>
      </c>
      <c r="G116" s="38">
        <v>1</v>
      </c>
      <c r="H116" s="30" t="s">
        <v>66</v>
      </c>
      <c r="I116" s="30">
        <v>42519.777118055557</v>
      </c>
      <c r="J116" s="60">
        <v>0</v>
      </c>
      <c r="K116" s="60" t="str">
        <f t="shared" si="33"/>
        <v>4031/4032</v>
      </c>
      <c r="L116" s="60" t="str">
        <f>VLOOKUP(A116,'Trips&amp;Operators'!$C$1:$E$9999,3,FALSE)</f>
        <v>WEBSTER</v>
      </c>
      <c r="M116" s="12">
        <f t="shared" si="34"/>
        <v>3.1527777777228039E-2</v>
      </c>
      <c r="N116" s="13">
        <f t="shared" si="40"/>
        <v>45.399999999208376</v>
      </c>
      <c r="O116" s="13"/>
      <c r="P116" s="13"/>
      <c r="Q116" s="61"/>
      <c r="R116" s="61"/>
      <c r="S116" s="94">
        <f t="shared" si="29"/>
        <v>1</v>
      </c>
      <c r="T116" s="2" t="str">
        <f t="shared" si="30"/>
        <v>NorthBound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17:50:39-0600',mode:absolute,to:'2016-05-29 18:40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6" s="73" t="str">
        <f t="shared" si="36"/>
        <v>N</v>
      </c>
      <c r="Y116" s="73">
        <f t="shared" si="37"/>
        <v>1</v>
      </c>
      <c r="Z116" s="73">
        <f t="shared" si="38"/>
        <v>4.6199999999999998E-2</v>
      </c>
      <c r="AA116" s="73">
        <f t="shared" si="41"/>
        <v>23.329499999999999</v>
      </c>
      <c r="AB116" s="73">
        <f t="shared" si="39"/>
        <v>23.283300000000001</v>
      </c>
      <c r="AC116" s="74" t="e">
        <f>VLOOKUP(A116,Enforcements!$C$3:$J$60,8,0)</f>
        <v>#N/A</v>
      </c>
      <c r="AD116" s="74" t="e">
        <f>VLOOKUP(A116,Enforcements!$C$3:$J$60,3,0)</f>
        <v>#N/A</v>
      </c>
    </row>
    <row r="117" spans="1:30" s="2" customFormat="1" x14ac:dyDescent="0.25">
      <c r="A117" s="60" t="s">
        <v>344</v>
      </c>
      <c r="B117" s="60">
        <v>4032</v>
      </c>
      <c r="C117" s="60" t="s">
        <v>65</v>
      </c>
      <c r="D117" s="60" t="s">
        <v>345</v>
      </c>
      <c r="E117" s="30">
        <v>42519.786435185182</v>
      </c>
      <c r="F117" s="30">
        <v>42519.78733796296</v>
      </c>
      <c r="G117" s="38">
        <v>1</v>
      </c>
      <c r="H117" s="30" t="s">
        <v>79</v>
      </c>
      <c r="I117" s="30">
        <v>42519.816145833334</v>
      </c>
      <c r="J117" s="60">
        <v>0</v>
      </c>
      <c r="K117" s="60" t="str">
        <f t="shared" si="33"/>
        <v>4031/4032</v>
      </c>
      <c r="L117" s="60" t="str">
        <f>VLOOKUP(A117,'Trips&amp;Operators'!$C$1:$E$9999,3,FALSE)</f>
        <v>WEBSTER</v>
      </c>
      <c r="M117" s="12">
        <f t="shared" si="34"/>
        <v>2.8807870374293998E-2</v>
      </c>
      <c r="N117" s="13">
        <f t="shared" si="40"/>
        <v>41.483333338983357</v>
      </c>
      <c r="O117" s="13"/>
      <c r="P117" s="13"/>
      <c r="Q117" s="61"/>
      <c r="R117" s="61"/>
      <c r="S117" s="94">
        <f t="shared" si="29"/>
        <v>1</v>
      </c>
      <c r="T117" s="2" t="str">
        <f t="shared" si="30"/>
        <v>Southbound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18:51:28-0600',mode:absolute,to:'2016-05-29 19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7" s="73" t="str">
        <f t="shared" si="36"/>
        <v>N</v>
      </c>
      <c r="Y117" s="73">
        <f t="shared" si="37"/>
        <v>1</v>
      </c>
      <c r="Z117" s="73">
        <f t="shared" si="38"/>
        <v>23.2988</v>
      </c>
      <c r="AA117" s="73">
        <f t="shared" si="41"/>
        <v>1.61E-2</v>
      </c>
      <c r="AB117" s="73">
        <f t="shared" si="39"/>
        <v>23.282699999999998</v>
      </c>
      <c r="AC117" s="74" t="e">
        <f>VLOOKUP(A117,Enforcements!$C$3:$J$60,8,0)</f>
        <v>#N/A</v>
      </c>
      <c r="AD117" s="74" t="e">
        <f>VLOOKUP(A117,Enforcements!$C$3:$J$60,3,0)</f>
        <v>#N/A</v>
      </c>
    </row>
    <row r="118" spans="1:30" s="2" customFormat="1" x14ac:dyDescent="0.25">
      <c r="A118" s="60" t="s">
        <v>346</v>
      </c>
      <c r="B118" s="60">
        <v>4044</v>
      </c>
      <c r="C118" s="60" t="s">
        <v>65</v>
      </c>
      <c r="D118" s="60" t="s">
        <v>74</v>
      </c>
      <c r="E118" s="30">
        <v>42519.758136574077</v>
      </c>
      <c r="F118" s="30">
        <v>42519.759131944447</v>
      </c>
      <c r="G118" s="38">
        <v>1</v>
      </c>
      <c r="H118" s="30" t="s">
        <v>116</v>
      </c>
      <c r="I118" s="30">
        <v>42519.786817129629</v>
      </c>
      <c r="J118" s="60">
        <v>0</v>
      </c>
      <c r="K118" s="60" t="str">
        <f t="shared" si="33"/>
        <v>4043/4044</v>
      </c>
      <c r="L118" s="60" t="str">
        <f>VLOOKUP(A118,'Trips&amp;Operators'!$C$1:$E$9999,3,FALSE)</f>
        <v>YORK</v>
      </c>
      <c r="M118" s="12">
        <f t="shared" si="34"/>
        <v>2.7685185181326233E-2</v>
      </c>
      <c r="N118" s="13">
        <f t="shared" si="40"/>
        <v>39.866666661109775</v>
      </c>
      <c r="O118" s="13"/>
      <c r="P118" s="13"/>
      <c r="Q118" s="61"/>
      <c r="R118" s="61"/>
      <c r="S118" s="94">
        <f t="shared" si="29"/>
        <v>1</v>
      </c>
      <c r="T118" s="2" t="str">
        <f t="shared" si="30"/>
        <v>NorthBound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18:10:43-0600',mode:absolute,to:'2016-05-29 18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8" s="73" t="str">
        <f t="shared" si="36"/>
        <v>N</v>
      </c>
      <c r="Y118" s="73">
        <f t="shared" si="37"/>
        <v>1</v>
      </c>
      <c r="Z118" s="73">
        <f t="shared" si="38"/>
        <v>4.5100000000000001E-2</v>
      </c>
      <c r="AA118" s="73">
        <f t="shared" si="41"/>
        <v>23.3293</v>
      </c>
      <c r="AB118" s="73">
        <f t="shared" si="39"/>
        <v>23.284199999999998</v>
      </c>
      <c r="AC118" s="74" t="e">
        <f>VLOOKUP(A118,Enforcements!$C$3:$J$60,8,0)</f>
        <v>#N/A</v>
      </c>
      <c r="AD118" s="74" t="e">
        <f>VLOOKUP(A118,Enforcements!$C$3:$J$60,3,0)</f>
        <v>#N/A</v>
      </c>
    </row>
    <row r="119" spans="1:30" s="2" customFormat="1" x14ac:dyDescent="0.25">
      <c r="A119" s="60" t="s">
        <v>347</v>
      </c>
      <c r="B119" s="60">
        <v>4043</v>
      </c>
      <c r="C119" s="60" t="s">
        <v>65</v>
      </c>
      <c r="D119" s="60" t="s">
        <v>69</v>
      </c>
      <c r="E119" s="30">
        <v>42519.794120370374</v>
      </c>
      <c r="F119" s="30">
        <v>42519.794999999998</v>
      </c>
      <c r="G119" s="38">
        <v>1</v>
      </c>
      <c r="H119" s="30" t="s">
        <v>122</v>
      </c>
      <c r="I119" s="30">
        <v>42519.825821759259</v>
      </c>
      <c r="J119" s="60">
        <v>1</v>
      </c>
      <c r="K119" s="60" t="str">
        <f t="shared" si="33"/>
        <v>4043/4044</v>
      </c>
      <c r="L119" s="60" t="str">
        <f>VLOOKUP(A119,'Trips&amp;Operators'!$C$1:$E$9999,3,FALSE)</f>
        <v>YORK</v>
      </c>
      <c r="M119" s="12">
        <f t="shared" si="34"/>
        <v>3.0821759261016268E-2</v>
      </c>
      <c r="N119" s="13">
        <f t="shared" si="40"/>
        <v>44.383333335863426</v>
      </c>
      <c r="O119" s="13"/>
      <c r="P119" s="13"/>
      <c r="Q119" s="61"/>
      <c r="R119" s="61"/>
      <c r="S119" s="94">
        <f t="shared" si="29"/>
        <v>1</v>
      </c>
      <c r="T119" s="2" t="str">
        <f t="shared" si="30"/>
        <v>Southbound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19:02:32-0600',mode:absolute,to:'2016-05-29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9" s="73" t="str">
        <f t="shared" si="36"/>
        <v>N</v>
      </c>
      <c r="Y119" s="73">
        <f t="shared" si="37"/>
        <v>1</v>
      </c>
      <c r="Z119" s="73">
        <f t="shared" si="38"/>
        <v>23.2989</v>
      </c>
      <c r="AA119" s="73">
        <f t="shared" si="41"/>
        <v>1.43E-2</v>
      </c>
      <c r="AB119" s="73">
        <f t="shared" si="39"/>
        <v>23.284600000000001</v>
      </c>
      <c r="AC119" s="74">
        <f>VLOOKUP(A119,Enforcements!$C$3:$J$60,8,0)</f>
        <v>127587</v>
      </c>
      <c r="AD119" s="74" t="str">
        <f>VLOOKUP(A119,Enforcements!$C$3:$J$60,3,0)</f>
        <v>SIGNAL</v>
      </c>
    </row>
    <row r="120" spans="1:30" s="2" customFormat="1" x14ac:dyDescent="0.25">
      <c r="A120" s="60" t="s">
        <v>348</v>
      </c>
      <c r="B120" s="60">
        <v>4011</v>
      </c>
      <c r="C120" s="60" t="s">
        <v>65</v>
      </c>
      <c r="D120" s="60" t="s">
        <v>193</v>
      </c>
      <c r="E120" s="30">
        <v>42519.770729166667</v>
      </c>
      <c r="F120" s="30">
        <v>42519.772256944445</v>
      </c>
      <c r="G120" s="38">
        <v>2</v>
      </c>
      <c r="H120" s="30" t="s">
        <v>177</v>
      </c>
      <c r="I120" s="30">
        <v>42519.797384259262</v>
      </c>
      <c r="J120" s="60">
        <v>0</v>
      </c>
      <c r="K120" s="60" t="str">
        <f t="shared" si="33"/>
        <v>4011/4012</v>
      </c>
      <c r="L120" s="60" t="str">
        <f>VLOOKUP(A120,'Trips&amp;Operators'!$C$1:$E$9999,3,FALSE)</f>
        <v>BARTLETT</v>
      </c>
      <c r="M120" s="12">
        <f t="shared" si="34"/>
        <v>2.5127314816927537E-2</v>
      </c>
      <c r="N120" s="13">
        <f t="shared" si="40"/>
        <v>36.183333336375654</v>
      </c>
      <c r="O120" s="13"/>
      <c r="P120" s="13"/>
      <c r="Q120" s="61"/>
      <c r="R120" s="61"/>
      <c r="S120" s="94">
        <f t="shared" si="29"/>
        <v>1</v>
      </c>
      <c r="T120" s="2" t="str">
        <f t="shared" si="30"/>
        <v>NorthBound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18:28:51-0600',mode:absolute,to:'2016-05-29 19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0" s="73" t="str">
        <f t="shared" si="36"/>
        <v>N</v>
      </c>
      <c r="Y120" s="73">
        <f t="shared" si="37"/>
        <v>1</v>
      </c>
      <c r="Z120" s="73">
        <f t="shared" si="38"/>
        <v>4.7100000000000003E-2</v>
      </c>
      <c r="AA120" s="73">
        <f t="shared" si="41"/>
        <v>23.326799999999999</v>
      </c>
      <c r="AB120" s="73">
        <f t="shared" si="39"/>
        <v>23.279699999999998</v>
      </c>
      <c r="AC120" s="74" t="e">
        <f>VLOOKUP(A120,Enforcements!$C$3:$J$60,8,0)</f>
        <v>#N/A</v>
      </c>
      <c r="AD120" s="74" t="e">
        <f>VLOOKUP(A120,Enforcements!$C$3:$J$60,3,0)</f>
        <v>#N/A</v>
      </c>
    </row>
    <row r="121" spans="1:30" s="2" customFormat="1" x14ac:dyDescent="0.25">
      <c r="A121" s="60" t="s">
        <v>349</v>
      </c>
      <c r="B121" s="60">
        <v>4012</v>
      </c>
      <c r="C121" s="60" t="s">
        <v>65</v>
      </c>
      <c r="D121" s="60" t="s">
        <v>119</v>
      </c>
      <c r="E121" s="30">
        <v>42519.806770833333</v>
      </c>
      <c r="F121" s="30">
        <v>42519.808217592596</v>
      </c>
      <c r="G121" s="38">
        <v>2</v>
      </c>
      <c r="H121" s="30" t="s">
        <v>350</v>
      </c>
      <c r="I121" s="30">
        <v>42519.837673611109</v>
      </c>
      <c r="J121" s="60">
        <v>0</v>
      </c>
      <c r="K121" s="60" t="str">
        <f t="shared" si="33"/>
        <v>4011/4012</v>
      </c>
      <c r="L121" s="60" t="str">
        <f>VLOOKUP(A121,'Trips&amp;Operators'!$C$1:$E$9999,3,FALSE)</f>
        <v>BARTLETT</v>
      </c>
      <c r="M121" s="12">
        <f t="shared" si="34"/>
        <v>2.9456018513883464E-2</v>
      </c>
      <c r="N121" s="13">
        <f t="shared" si="40"/>
        <v>42.416666659992188</v>
      </c>
      <c r="O121" s="13"/>
      <c r="P121" s="13"/>
      <c r="Q121" s="61"/>
      <c r="R121" s="61"/>
      <c r="S121" s="94">
        <f t="shared" si="29"/>
        <v>1</v>
      </c>
      <c r="T121" s="2" t="str">
        <f t="shared" si="30"/>
        <v>Southbound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19:20:45-0600',mode:absolute,to:'2016-05-29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1" s="73" t="str">
        <f t="shared" si="36"/>
        <v>N</v>
      </c>
      <c r="Y121" s="73">
        <f t="shared" si="37"/>
        <v>1</v>
      </c>
      <c r="Z121" s="73">
        <f t="shared" si="38"/>
        <v>23.297699999999999</v>
      </c>
      <c r="AA121" s="73">
        <f t="shared" si="41"/>
        <v>3.6200000000000003E-2</v>
      </c>
      <c r="AB121" s="73">
        <f t="shared" si="39"/>
        <v>23.261499999999998</v>
      </c>
      <c r="AC121" s="74" t="e">
        <f>VLOOKUP(A121,Enforcements!$C$3:$J$60,8,0)</f>
        <v>#N/A</v>
      </c>
      <c r="AD121" s="74" t="e">
        <f>VLOOKUP(A121,Enforcements!$C$3:$J$60,3,0)</f>
        <v>#N/A</v>
      </c>
    </row>
    <row r="122" spans="1:30" s="2" customFormat="1" x14ac:dyDescent="0.25">
      <c r="A122" s="60" t="s">
        <v>351</v>
      </c>
      <c r="B122" s="60">
        <v>4038</v>
      </c>
      <c r="C122" s="60" t="s">
        <v>65</v>
      </c>
      <c r="D122" s="60" t="s">
        <v>270</v>
      </c>
      <c r="E122" s="30">
        <v>42519.790914351855</v>
      </c>
      <c r="F122" s="30">
        <v>42519.792395833334</v>
      </c>
      <c r="G122" s="38">
        <v>2</v>
      </c>
      <c r="H122" s="30" t="s">
        <v>148</v>
      </c>
      <c r="I122" s="30">
        <v>42519.818437499998</v>
      </c>
      <c r="J122" s="60">
        <v>0</v>
      </c>
      <c r="K122" s="60" t="str">
        <f t="shared" si="33"/>
        <v>4037/4038</v>
      </c>
      <c r="L122" s="60" t="str">
        <f>VLOOKUP(A122,'Trips&amp;Operators'!$C$1:$E$9999,3,FALSE)</f>
        <v>DE LA ROSA</v>
      </c>
      <c r="M122" s="12">
        <f t="shared" si="34"/>
        <v>2.6041666664241347E-2</v>
      </c>
      <c r="N122" s="13">
        <f t="shared" si="40"/>
        <v>37.49999999650754</v>
      </c>
      <c r="O122" s="13"/>
      <c r="P122" s="13"/>
      <c r="Q122" s="61"/>
      <c r="R122" s="61"/>
      <c r="S122" s="94">
        <f t="shared" si="29"/>
        <v>1</v>
      </c>
      <c r="T122" s="2" t="str">
        <f t="shared" si="30"/>
        <v>NorthBound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18:57:55-0600',mode:absolute,to:'2016-05-29 19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2" s="73" t="str">
        <f t="shared" si="36"/>
        <v>N</v>
      </c>
      <c r="Y122" s="73">
        <f t="shared" si="37"/>
        <v>1</v>
      </c>
      <c r="Z122" s="73">
        <f t="shared" si="38"/>
        <v>4.8000000000000001E-2</v>
      </c>
      <c r="AA122" s="73">
        <f t="shared" si="41"/>
        <v>23.331199999999999</v>
      </c>
      <c r="AB122" s="73">
        <f t="shared" si="39"/>
        <v>23.283200000000001</v>
      </c>
      <c r="AC122" s="74" t="e">
        <f>VLOOKUP(A122,Enforcements!$C$3:$J$60,8,0)</f>
        <v>#N/A</v>
      </c>
      <c r="AD122" s="74" t="e">
        <f>VLOOKUP(A122,Enforcements!$C$3:$J$60,3,0)</f>
        <v>#N/A</v>
      </c>
    </row>
    <row r="123" spans="1:30" s="2" customFormat="1" x14ac:dyDescent="0.25">
      <c r="A123" s="60" t="s">
        <v>352</v>
      </c>
      <c r="B123" s="60">
        <v>4037</v>
      </c>
      <c r="C123" s="60" t="s">
        <v>65</v>
      </c>
      <c r="D123" s="60" t="s">
        <v>156</v>
      </c>
      <c r="E123" s="30">
        <v>42519.824826388889</v>
      </c>
      <c r="F123" s="30">
        <v>42519.825937499998</v>
      </c>
      <c r="G123" s="38">
        <v>1</v>
      </c>
      <c r="H123" s="30" t="s">
        <v>166</v>
      </c>
      <c r="I123" s="30">
        <v>42519.85800925926</v>
      </c>
      <c r="J123" s="60">
        <v>0</v>
      </c>
      <c r="K123" s="60" t="str">
        <f t="shared" si="33"/>
        <v>4037/4038</v>
      </c>
      <c r="L123" s="60" t="str">
        <f>VLOOKUP(A123,'Trips&amp;Operators'!$C$1:$E$9999,3,FALSE)</f>
        <v>DE LA ROSA</v>
      </c>
      <c r="M123" s="12">
        <f t="shared" si="34"/>
        <v>3.2071759262180422E-2</v>
      </c>
      <c r="N123" s="13">
        <f t="shared" si="40"/>
        <v>46.183333337539807</v>
      </c>
      <c r="O123" s="13"/>
      <c r="P123" s="13"/>
      <c r="Q123" s="61"/>
      <c r="R123" s="61"/>
      <c r="S123" s="94">
        <f t="shared" si="29"/>
        <v>1</v>
      </c>
      <c r="T123" s="2" t="str">
        <f t="shared" si="30"/>
        <v>Southbound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19:46:45-0600',mode:absolute,to:'2016-05-29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3" s="73" t="str">
        <f t="shared" si="36"/>
        <v>N</v>
      </c>
      <c r="Y123" s="73">
        <f t="shared" si="37"/>
        <v>1</v>
      </c>
      <c r="Z123" s="73">
        <f t="shared" si="38"/>
        <v>23.298500000000001</v>
      </c>
      <c r="AA123" s="73">
        <f t="shared" si="41"/>
        <v>1.32E-2</v>
      </c>
      <c r="AB123" s="73">
        <f t="shared" si="39"/>
        <v>23.285299999999999</v>
      </c>
      <c r="AC123" s="74" t="e">
        <f>VLOOKUP(A123,Enforcements!$C$3:$J$60,8,0)</f>
        <v>#N/A</v>
      </c>
      <c r="AD123" s="74" t="e">
        <f>VLOOKUP(A123,Enforcements!$C$3:$J$60,3,0)</f>
        <v>#N/A</v>
      </c>
    </row>
    <row r="124" spans="1:30" s="2" customFormat="1" x14ac:dyDescent="0.25">
      <c r="A124" s="60" t="s">
        <v>353</v>
      </c>
      <c r="B124" s="60">
        <v>4020</v>
      </c>
      <c r="C124" s="60" t="s">
        <v>65</v>
      </c>
      <c r="D124" s="60" t="s">
        <v>164</v>
      </c>
      <c r="E124" s="30">
        <v>42519.81045138889</v>
      </c>
      <c r="F124" s="30">
        <v>42519.811608796299</v>
      </c>
      <c r="G124" s="38">
        <v>1</v>
      </c>
      <c r="H124" s="30" t="s">
        <v>117</v>
      </c>
      <c r="I124" s="30">
        <v>42519.838495370372</v>
      </c>
      <c r="J124" s="60">
        <v>0</v>
      </c>
      <c r="K124" s="60" t="str">
        <f t="shared" si="33"/>
        <v>4019/4020</v>
      </c>
      <c r="L124" s="60" t="str">
        <f>VLOOKUP(A124,'Trips&amp;Operators'!$C$1:$E$9999,3,FALSE)</f>
        <v>CHANDLER</v>
      </c>
      <c r="M124" s="12">
        <f t="shared" si="34"/>
        <v>2.6886574072705116E-2</v>
      </c>
      <c r="N124" s="13">
        <f t="shared" si="40"/>
        <v>38.716666664695367</v>
      </c>
      <c r="O124" s="13"/>
      <c r="P124" s="13"/>
      <c r="Q124" s="61"/>
      <c r="R124" s="61"/>
      <c r="S124" s="94">
        <f t="shared" si="29"/>
        <v>1</v>
      </c>
      <c r="T124" s="2" t="str">
        <f t="shared" si="30"/>
        <v>NorthBound</v>
      </c>
      <c r="U124" s="67">
        <f>COUNTIFS([2]Variables!$M$2:$M$19,IF(T124="NorthBound","&gt;=","&lt;=")&amp;Z124,[2]Variables!$M$2:$M$19,IF(T124="NorthBound","&lt;=","&gt;=")&amp;AA124)</f>
        <v>12</v>
      </c>
      <c r="W12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19:26:03-0600',mode:absolute,to:'2016-05-29 20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24" s="73" t="str">
        <f t="shared" si="36"/>
        <v>N</v>
      </c>
      <c r="Y124" s="73">
        <f t="shared" si="37"/>
        <v>1</v>
      </c>
      <c r="Z124" s="73">
        <f t="shared" si="38"/>
        <v>4.6899999999999997E-2</v>
      </c>
      <c r="AA124" s="73">
        <f t="shared" si="41"/>
        <v>23.331399999999999</v>
      </c>
      <c r="AB124" s="73">
        <f t="shared" si="39"/>
        <v>23.284499999999998</v>
      </c>
      <c r="AC124" s="74" t="e">
        <f>VLOOKUP(A124,Enforcements!$C$3:$J$60,8,0)</f>
        <v>#N/A</v>
      </c>
      <c r="AD124" s="74" t="e">
        <f>VLOOKUP(A124,Enforcements!$C$3:$J$60,3,0)</f>
        <v>#N/A</v>
      </c>
    </row>
    <row r="125" spans="1:30" s="2" customFormat="1" x14ac:dyDescent="0.25">
      <c r="A125" s="60" t="s">
        <v>354</v>
      </c>
      <c r="B125" s="60">
        <v>4019</v>
      </c>
      <c r="C125" s="60" t="s">
        <v>65</v>
      </c>
      <c r="D125" s="60" t="s">
        <v>119</v>
      </c>
      <c r="E125" s="30">
        <v>42519.849097222221</v>
      </c>
      <c r="F125" s="30">
        <v>42519.849930555552</v>
      </c>
      <c r="G125" s="38">
        <v>1</v>
      </c>
      <c r="H125" s="30" t="s">
        <v>355</v>
      </c>
      <c r="I125" s="30">
        <v>42519.879282407404</v>
      </c>
      <c r="J125" s="60">
        <v>0</v>
      </c>
      <c r="K125" s="60" t="str">
        <f t="shared" si="33"/>
        <v>4019/4020</v>
      </c>
      <c r="L125" s="60" t="str">
        <f>VLOOKUP(A125,'Trips&amp;Operators'!$C$1:$E$9999,3,FALSE)</f>
        <v>CHANDLER</v>
      </c>
      <c r="M125" s="12">
        <f t="shared" si="34"/>
        <v>2.9351851851970423E-2</v>
      </c>
      <c r="N125" s="13">
        <f t="shared" si="40"/>
        <v>42.266666666837409</v>
      </c>
      <c r="O125" s="13"/>
      <c r="P125" s="13"/>
      <c r="Q125" s="61"/>
      <c r="R125" s="61"/>
      <c r="S125" s="94">
        <f t="shared" si="29"/>
        <v>1</v>
      </c>
      <c r="T125" s="2" t="str">
        <f t="shared" si="30"/>
        <v>Southbound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20:21:42-0600',mode:absolute,to:'2016-05-29 21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25" s="73" t="str">
        <f t="shared" si="36"/>
        <v>N</v>
      </c>
      <c r="Y125" s="73">
        <f t="shared" si="37"/>
        <v>1</v>
      </c>
      <c r="Z125" s="73">
        <f t="shared" si="38"/>
        <v>23.297699999999999</v>
      </c>
      <c r="AA125" s="73">
        <f t="shared" si="41"/>
        <v>1.72E-2</v>
      </c>
      <c r="AB125" s="73">
        <f t="shared" si="39"/>
        <v>23.2805</v>
      </c>
      <c r="AC125" s="74" t="e">
        <f>VLOOKUP(A125,Enforcements!$C$3:$J$60,8,0)</f>
        <v>#N/A</v>
      </c>
      <c r="AD125" s="74" t="e">
        <f>VLOOKUP(A125,Enforcements!$C$3:$J$60,3,0)</f>
        <v>#N/A</v>
      </c>
    </row>
    <row r="126" spans="1:30" s="2" customFormat="1" x14ac:dyDescent="0.25">
      <c r="A126" s="60" t="s">
        <v>356</v>
      </c>
      <c r="B126" s="60">
        <v>4044</v>
      </c>
      <c r="C126" s="60" t="s">
        <v>65</v>
      </c>
      <c r="D126" s="60" t="s">
        <v>126</v>
      </c>
      <c r="E126" s="30">
        <v>42519.830497685187</v>
      </c>
      <c r="F126" s="30">
        <v>42519.831296296295</v>
      </c>
      <c r="G126" s="38">
        <v>1</v>
      </c>
      <c r="H126" s="30" t="s">
        <v>98</v>
      </c>
      <c r="I126" s="30">
        <v>42519.85833333333</v>
      </c>
      <c r="J126" s="60">
        <v>0</v>
      </c>
      <c r="K126" s="60" t="str">
        <f t="shared" si="33"/>
        <v>4043/4044</v>
      </c>
      <c r="L126" s="60" t="str">
        <f>VLOOKUP(A126,'Trips&amp;Operators'!$C$1:$E$9999,3,FALSE)</f>
        <v>YORK</v>
      </c>
      <c r="M126" s="12">
        <f t="shared" si="34"/>
        <v>2.7037037034460809E-2</v>
      </c>
      <c r="N126" s="13">
        <f t="shared" si="40"/>
        <v>38.933333329623565</v>
      </c>
      <c r="O126" s="13"/>
      <c r="P126" s="13"/>
      <c r="Q126" s="61"/>
      <c r="R126" s="61"/>
      <c r="S126" s="94">
        <f t="shared" si="29"/>
        <v>1</v>
      </c>
      <c r="T126" s="2" t="str">
        <f t="shared" si="30"/>
        <v>NorthBound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19:54:55-0600',mode:absolute,to:'2016-05-29 20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6" s="73" t="str">
        <f t="shared" si="36"/>
        <v>N</v>
      </c>
      <c r="Y126" s="73">
        <f t="shared" si="37"/>
        <v>1</v>
      </c>
      <c r="Z126" s="73">
        <f t="shared" si="38"/>
        <v>4.6199999999999998E-2</v>
      </c>
      <c r="AA126" s="73">
        <f t="shared" si="41"/>
        <v>23.3306</v>
      </c>
      <c r="AB126" s="73">
        <f t="shared" si="39"/>
        <v>23.284400000000002</v>
      </c>
      <c r="AC126" s="74" t="e">
        <f>VLOOKUP(A126,Enforcements!$C$3:$J$60,8,0)</f>
        <v>#N/A</v>
      </c>
      <c r="AD126" s="74" t="e">
        <f>VLOOKUP(A126,Enforcements!$C$3:$J$60,3,0)</f>
        <v>#N/A</v>
      </c>
    </row>
    <row r="127" spans="1:30" s="2" customFormat="1" x14ac:dyDescent="0.25">
      <c r="A127" s="60" t="s">
        <v>357</v>
      </c>
      <c r="B127" s="60">
        <v>4043</v>
      </c>
      <c r="C127" s="60" t="s">
        <v>65</v>
      </c>
      <c r="D127" s="60" t="s">
        <v>132</v>
      </c>
      <c r="E127" s="30">
        <v>42519.866585648146</v>
      </c>
      <c r="F127" s="30">
        <v>42519.867430555554</v>
      </c>
      <c r="G127" s="38">
        <v>1</v>
      </c>
      <c r="H127" s="30" t="s">
        <v>163</v>
      </c>
      <c r="I127" s="30">
        <v>42519.898472222223</v>
      </c>
      <c r="J127" s="60">
        <v>0</v>
      </c>
      <c r="K127" s="60" t="str">
        <f t="shared" si="33"/>
        <v>4043/4044</v>
      </c>
      <c r="L127" s="60" t="str">
        <f>VLOOKUP(A127,'Trips&amp;Operators'!$C$1:$E$9999,3,FALSE)</f>
        <v>YORK</v>
      </c>
      <c r="M127" s="12">
        <f t="shared" si="34"/>
        <v>3.104166666889796E-2</v>
      </c>
      <c r="N127" s="13">
        <f t="shared" si="40"/>
        <v>44.700000003213063</v>
      </c>
      <c r="O127" s="13"/>
      <c r="P127" s="13"/>
      <c r="Q127" s="61"/>
      <c r="R127" s="61"/>
      <c r="S127" s="94">
        <f t="shared" si="29"/>
        <v>1</v>
      </c>
      <c r="T127" s="2" t="str">
        <f t="shared" si="30"/>
        <v>Southbound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20:46:53-0600',mode:absolute,to:'2016-05-29 21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7" s="73" t="str">
        <f t="shared" si="36"/>
        <v>N</v>
      </c>
      <c r="Y127" s="73">
        <f t="shared" si="37"/>
        <v>1</v>
      </c>
      <c r="Z127" s="73">
        <f t="shared" si="38"/>
        <v>23.299099999999999</v>
      </c>
      <c r="AA127" s="73">
        <f t="shared" si="41"/>
        <v>1.49E-2</v>
      </c>
      <c r="AB127" s="73">
        <f t="shared" si="39"/>
        <v>23.284199999999998</v>
      </c>
      <c r="AC127" s="74" t="e">
        <f>VLOOKUP(A127,Enforcements!$C$3:$J$60,8,0)</f>
        <v>#N/A</v>
      </c>
      <c r="AD127" s="74" t="e">
        <f>VLOOKUP(A127,Enforcements!$C$3:$J$60,3,0)</f>
        <v>#N/A</v>
      </c>
    </row>
    <row r="128" spans="1:30" s="2" customFormat="1" x14ac:dyDescent="0.25">
      <c r="A128" s="60" t="s">
        <v>358</v>
      </c>
      <c r="B128" s="60">
        <v>4011</v>
      </c>
      <c r="C128" s="60" t="s">
        <v>65</v>
      </c>
      <c r="D128" s="60" t="s">
        <v>359</v>
      </c>
      <c r="E128" s="30">
        <v>42519.842951388891</v>
      </c>
      <c r="F128" s="30">
        <v>42519.844247685185</v>
      </c>
      <c r="G128" s="38">
        <v>1</v>
      </c>
      <c r="H128" s="30" t="s">
        <v>311</v>
      </c>
      <c r="I128" s="30">
        <v>42519.880312499998</v>
      </c>
      <c r="J128" s="60">
        <v>0</v>
      </c>
      <c r="K128" s="60" t="str">
        <f t="shared" si="33"/>
        <v>4011/4012</v>
      </c>
      <c r="L128" s="60" t="str">
        <f>VLOOKUP(A128,'Trips&amp;Operators'!$C$1:$E$9999,3,FALSE)</f>
        <v>BARTLETT</v>
      </c>
      <c r="M128" s="12">
        <f t="shared" si="34"/>
        <v>3.6064814812561963E-2</v>
      </c>
      <c r="N128" s="13">
        <f t="shared" si="40"/>
        <v>51.933333330089226</v>
      </c>
      <c r="O128" s="13"/>
      <c r="P128" s="13"/>
      <c r="Q128" s="61"/>
      <c r="R128" s="61"/>
      <c r="S128" s="94">
        <f t="shared" si="29"/>
        <v>1</v>
      </c>
      <c r="T128" s="2" t="str">
        <f t="shared" si="30"/>
        <v>NorthBound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20:12:51-0600',mode:absolute,to:'2016-05-29 21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8" s="73" t="str">
        <f t="shared" si="36"/>
        <v>N</v>
      </c>
      <c r="Y128" s="73">
        <f t="shared" si="37"/>
        <v>1</v>
      </c>
      <c r="Z128" s="73">
        <f t="shared" si="38"/>
        <v>5.2200000000000003E-2</v>
      </c>
      <c r="AA128" s="73">
        <f t="shared" si="41"/>
        <v>23.330300000000001</v>
      </c>
      <c r="AB128" s="73">
        <f t="shared" si="39"/>
        <v>23.278100000000002</v>
      </c>
      <c r="AC128" s="74" t="e">
        <f>VLOOKUP(A128,Enforcements!$C$3:$J$60,8,0)</f>
        <v>#N/A</v>
      </c>
      <c r="AD128" s="74" t="e">
        <f>VLOOKUP(A128,Enforcements!$C$3:$J$60,3,0)</f>
        <v>#N/A</v>
      </c>
    </row>
    <row r="129" spans="1:30" s="2" customFormat="1" x14ac:dyDescent="0.25">
      <c r="A129" s="60" t="s">
        <v>360</v>
      </c>
      <c r="B129" s="60">
        <v>4012</v>
      </c>
      <c r="C129" s="60" t="s">
        <v>65</v>
      </c>
      <c r="D129" s="60" t="s">
        <v>67</v>
      </c>
      <c r="E129" s="30">
        <v>42519.887175925927</v>
      </c>
      <c r="F129" s="30">
        <v>42519.888773148145</v>
      </c>
      <c r="G129" s="38">
        <v>2</v>
      </c>
      <c r="H129" s="30" t="s">
        <v>361</v>
      </c>
      <c r="I129" s="30">
        <v>42519.921307870369</v>
      </c>
      <c r="J129" s="60">
        <v>1</v>
      </c>
      <c r="K129" s="60" t="str">
        <f t="shared" si="33"/>
        <v>4011/4012</v>
      </c>
      <c r="L129" s="60" t="str">
        <f>VLOOKUP(A129,'Trips&amp;Operators'!$C$1:$E$9999,3,FALSE)</f>
        <v>BARTLETT</v>
      </c>
      <c r="M129" s="12">
        <f t="shared" si="34"/>
        <v>3.2534722224227153E-2</v>
      </c>
      <c r="N129" s="13">
        <f t="shared" si="40"/>
        <v>46.8500000028871</v>
      </c>
      <c r="O129" s="13"/>
      <c r="P129" s="13"/>
      <c r="Q129" s="61"/>
      <c r="R129" s="61"/>
      <c r="S129" s="94">
        <f t="shared" si="29"/>
        <v>1</v>
      </c>
      <c r="T129" s="2" t="str">
        <f t="shared" si="30"/>
        <v>Southbound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21:16:32-0600',mode:absolute,to:'2016-05-29 22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9" s="73" t="str">
        <f t="shared" si="36"/>
        <v>N</v>
      </c>
      <c r="Y129" s="73">
        <f t="shared" si="37"/>
        <v>1</v>
      </c>
      <c r="Z129" s="73">
        <f t="shared" si="38"/>
        <v>23.297799999999999</v>
      </c>
      <c r="AA129" s="73">
        <f t="shared" si="41"/>
        <v>4.2700000000000002E-2</v>
      </c>
      <c r="AB129" s="73">
        <f t="shared" si="39"/>
        <v>23.255099999999999</v>
      </c>
      <c r="AC129" s="74">
        <f>VLOOKUP(A129,Enforcements!$C$3:$J$60,8,0)</f>
        <v>1</v>
      </c>
      <c r="AD129" s="74" t="str">
        <f>VLOOKUP(A129,Enforcements!$C$3:$J$60,3,0)</f>
        <v>TRACK WARRANT AUTHORITY</v>
      </c>
    </row>
    <row r="130" spans="1:30" s="2" customFormat="1" x14ac:dyDescent="0.25">
      <c r="A130" s="60" t="s">
        <v>362</v>
      </c>
      <c r="B130" s="60">
        <v>4038</v>
      </c>
      <c r="C130" s="60" t="s">
        <v>65</v>
      </c>
      <c r="D130" s="60" t="s">
        <v>103</v>
      </c>
      <c r="E130" s="30">
        <v>42519.868587962963</v>
      </c>
      <c r="F130" s="30">
        <v>42519.869872685187</v>
      </c>
      <c r="G130" s="38">
        <v>1</v>
      </c>
      <c r="H130" s="30" t="s">
        <v>135</v>
      </c>
      <c r="I130" s="30">
        <v>42519.900856481479</v>
      </c>
      <c r="J130" s="60">
        <v>0</v>
      </c>
      <c r="K130" s="60" t="str">
        <f t="shared" si="33"/>
        <v>4037/4038</v>
      </c>
      <c r="L130" s="60" t="str">
        <f>VLOOKUP(A130,'Trips&amp;Operators'!$C$1:$E$9999,3,FALSE)</f>
        <v>DE LA ROSA</v>
      </c>
      <c r="M130" s="12">
        <f t="shared" si="34"/>
        <v>3.0983796292275656E-2</v>
      </c>
      <c r="N130" s="13">
        <f t="shared" si="40"/>
        <v>44.616666660876945</v>
      </c>
      <c r="O130" s="13"/>
      <c r="P130" s="13"/>
      <c r="Q130" s="61"/>
      <c r="R130" s="61"/>
      <c r="S130" s="94">
        <f t="shared" si="29"/>
        <v>1</v>
      </c>
      <c r="T130" s="2" t="str">
        <f t="shared" si="30"/>
        <v>NorthBound</v>
      </c>
      <c r="U130" s="67">
        <f>COUNTIFS([2]Variables!$M$2:$M$19,IF(T130="NorthBound","&gt;=","&lt;=")&amp;Z130,[2]Variables!$M$2:$M$19,IF(T130="NorthBound","&lt;=","&gt;=")&amp;AA130)</f>
        <v>12</v>
      </c>
      <c r="W13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https://search-rtdc-monitor-bjffxe2xuh6vdkpspy63sjmuny.us-east-1.es.amazonaws.com/_plugin/kibana/#/discover/Steve-Slow-Train-Analysis-(2080s-and-2083s)?_g=(refreshInterval:(display:Off,section:0,value:0),time:(from:'2016-05-29 20:49:46-0600',mode:absolute,to:'2016-05-29 21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0" s="73" t="str">
        <f t="shared" si="36"/>
        <v>N</v>
      </c>
      <c r="Y130" s="73">
        <f t="shared" si="37"/>
        <v>1</v>
      </c>
      <c r="Z130" s="73">
        <f t="shared" si="38"/>
        <v>4.5999999999999999E-2</v>
      </c>
      <c r="AA130" s="73">
        <f t="shared" si="41"/>
        <v>23.331900000000001</v>
      </c>
      <c r="AB130" s="73">
        <f t="shared" si="39"/>
        <v>23.285900000000002</v>
      </c>
      <c r="AC130" s="74" t="e">
        <f>VLOOKUP(A130,Enforcements!$C$3:$J$60,8,0)</f>
        <v>#N/A</v>
      </c>
      <c r="AD130" s="74" t="e">
        <f>VLOOKUP(A130,Enforcements!$C$3:$J$60,3,0)</f>
        <v>#N/A</v>
      </c>
    </row>
    <row r="131" spans="1:30" s="2" customFormat="1" x14ac:dyDescent="0.25">
      <c r="A131" s="60" t="s">
        <v>363</v>
      </c>
      <c r="B131" s="60">
        <v>4037</v>
      </c>
      <c r="C131" s="60" t="s">
        <v>65</v>
      </c>
      <c r="D131" s="60" t="s">
        <v>101</v>
      </c>
      <c r="E131" s="30">
        <v>42519.908796296295</v>
      </c>
      <c r="F131" s="30">
        <v>42519.909780092596</v>
      </c>
      <c r="G131" s="38">
        <v>1</v>
      </c>
      <c r="H131" s="30" t="s">
        <v>170</v>
      </c>
      <c r="I131" s="30">
        <v>42519.940798611111</v>
      </c>
      <c r="J131" s="60">
        <v>0</v>
      </c>
      <c r="K131" s="60" t="str">
        <f t="shared" ref="K131:K146" si="42">IF(ISEVEN(B131),(B131-1)&amp;"/"&amp;B131,B131&amp;"/"&amp;(B131+1))</f>
        <v>4037/4038</v>
      </c>
      <c r="L131" s="60" t="str">
        <f>VLOOKUP(A131,'Trips&amp;Operators'!$C$1:$E$9999,3,FALSE)</f>
        <v>DE LA ROSA</v>
      </c>
      <c r="M131" s="12">
        <f t="shared" ref="M131:M146" si="43">I131-F131</f>
        <v>3.1018518515338656E-2</v>
      </c>
      <c r="N131" s="13">
        <f t="shared" si="40"/>
        <v>44.666666662087664</v>
      </c>
      <c r="O131" s="13"/>
      <c r="P131" s="13"/>
      <c r="Q131" s="61"/>
      <c r="R131" s="61"/>
      <c r="S131" s="94">
        <f t="shared" si="29"/>
        <v>1</v>
      </c>
      <c r="T131" s="2" t="str">
        <f t="shared" si="30"/>
        <v>Southbound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ref="W131:W146" si="4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https://search-rtdc-monitor-bjffxe2xuh6vdkpspy63sjmuny.us-east-1.es.amazonaws.com/_plugin/kibana/#/discover/Steve-Slow-Train-Analysis-(2080s-and-2083s)?_g=(refreshInterval:(display:Off,section:0,value:0),time:(from:'2016-05-29 21:47:40-0600',mode:absolute,to:'2016-05-29 22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1" s="73" t="str">
        <f t="shared" ref="X131:X146" si="45">IF(AB131&lt;23,"Y","N")</f>
        <v>N</v>
      </c>
      <c r="Y131" s="73">
        <f t="shared" ref="Y131:Y146" si="46">VALUE(LEFT(A131,3))-VALUE(LEFT(A130,3))</f>
        <v>1</v>
      </c>
      <c r="Z131" s="73">
        <f t="shared" ref="Z131:Z146" si="47">RIGHT(D131,LEN(D131)-4)/10000</f>
        <v>23.299600000000002</v>
      </c>
      <c r="AA131" s="73">
        <f t="shared" si="41"/>
        <v>1.7000000000000001E-2</v>
      </c>
      <c r="AB131" s="73">
        <f t="shared" ref="AB131:AB146" si="48">ABS(AA131-Z131)</f>
        <v>23.282600000000002</v>
      </c>
      <c r="AC131" s="74" t="e">
        <f>VLOOKUP(A131,Enforcements!$C$3:$J$60,8,0)</f>
        <v>#N/A</v>
      </c>
      <c r="AD131" s="74" t="e">
        <f>VLOOKUP(A131,Enforcements!$C$3:$J$60,3,0)</f>
        <v>#N/A</v>
      </c>
    </row>
    <row r="132" spans="1:30" s="2" customFormat="1" x14ac:dyDescent="0.25">
      <c r="A132" s="60" t="s">
        <v>364</v>
      </c>
      <c r="B132" s="60">
        <v>4020</v>
      </c>
      <c r="C132" s="60" t="s">
        <v>65</v>
      </c>
      <c r="D132" s="60" t="s">
        <v>243</v>
      </c>
      <c r="E132" s="30">
        <v>42519.893414351849</v>
      </c>
      <c r="F132" s="30">
        <v>42519.894432870373</v>
      </c>
      <c r="G132" s="38">
        <v>1</v>
      </c>
      <c r="H132" s="30" t="s">
        <v>141</v>
      </c>
      <c r="I132" s="30">
        <v>42519.921666666669</v>
      </c>
      <c r="J132" s="60">
        <v>1</v>
      </c>
      <c r="K132" s="60" t="str">
        <f t="shared" si="42"/>
        <v>4019/4020</v>
      </c>
      <c r="L132" s="60" t="str">
        <f>VLOOKUP(A132,'Trips&amp;Operators'!$C$1:$E$9999,3,FALSE)</f>
        <v>CHANDLER</v>
      </c>
      <c r="M132" s="12">
        <f t="shared" si="43"/>
        <v>2.7233796296059154E-2</v>
      </c>
      <c r="N132" s="13">
        <f t="shared" si="40"/>
        <v>39.216666666325182</v>
      </c>
      <c r="O132" s="13"/>
      <c r="P132" s="13"/>
      <c r="Q132" s="61"/>
      <c r="R132" s="61"/>
      <c r="S132" s="94">
        <f t="shared" ref="S132:S149" si="49">SUM(U132:U132)/12</f>
        <v>1</v>
      </c>
      <c r="T132" s="2" t="str">
        <f t="shared" ref="T132:T149" si="50">IF(ISEVEN(LEFT(A132,3)),"Southbound","NorthBound")</f>
        <v>NorthBound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21:25:31-0600',mode:absolute,to:'2016-05-29 22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2" s="73" t="str">
        <f t="shared" si="45"/>
        <v>N</v>
      </c>
      <c r="Y132" s="73">
        <f t="shared" si="46"/>
        <v>1</v>
      </c>
      <c r="Z132" s="73">
        <f t="shared" si="47"/>
        <v>4.7800000000000002E-2</v>
      </c>
      <c r="AA132" s="73">
        <f t="shared" si="41"/>
        <v>23.328800000000001</v>
      </c>
      <c r="AB132" s="73">
        <f t="shared" si="48"/>
        <v>23.281000000000002</v>
      </c>
      <c r="AC132" s="74">
        <f>VLOOKUP(A132,Enforcements!$C$3:$J$60,8,0)</f>
        <v>233491</v>
      </c>
      <c r="AD132" s="74" t="str">
        <f>VLOOKUP(A132,Enforcements!$C$3:$J$60,3,0)</f>
        <v>TRACK WARRANT AUTHORITY</v>
      </c>
    </row>
    <row r="133" spans="1:30" s="2" customFormat="1" x14ac:dyDescent="0.25">
      <c r="A133" s="60" t="s">
        <v>365</v>
      </c>
      <c r="B133" s="60">
        <v>4019</v>
      </c>
      <c r="C133" s="60" t="s">
        <v>65</v>
      </c>
      <c r="D133" s="60" t="s">
        <v>366</v>
      </c>
      <c r="E133" s="30">
        <v>42519.931828703702</v>
      </c>
      <c r="F133" s="30">
        <v>42519.932627314818</v>
      </c>
      <c r="G133" s="38">
        <v>1</v>
      </c>
      <c r="H133" s="30" t="s">
        <v>170</v>
      </c>
      <c r="I133" s="30">
        <v>42519.964270833334</v>
      </c>
      <c r="J133" s="60">
        <v>1</v>
      </c>
      <c r="K133" s="60" t="str">
        <f t="shared" si="42"/>
        <v>4019/4020</v>
      </c>
      <c r="L133" s="60" t="str">
        <f>VLOOKUP(A133,'Trips&amp;Operators'!$C$1:$E$9999,3,FALSE)</f>
        <v>CHANDLER</v>
      </c>
      <c r="M133" s="12">
        <f t="shared" si="43"/>
        <v>3.1643518515920732E-2</v>
      </c>
      <c r="N133" s="13">
        <f t="shared" si="40"/>
        <v>45.566666662925854</v>
      </c>
      <c r="O133" s="13"/>
      <c r="P133" s="13"/>
      <c r="Q133" s="61"/>
      <c r="R133" s="61"/>
      <c r="S133" s="94">
        <f t="shared" si="49"/>
        <v>1</v>
      </c>
      <c r="T133" s="2" t="str">
        <f t="shared" si="50"/>
        <v>Southbound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22:20:50-0600',mode:absolute,to:'2016-05-29 23:09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33" s="73" t="str">
        <f t="shared" si="45"/>
        <v>N</v>
      </c>
      <c r="Y133" s="73">
        <f t="shared" si="46"/>
        <v>1</v>
      </c>
      <c r="Z133" s="73">
        <f t="shared" si="47"/>
        <v>23.296099999999999</v>
      </c>
      <c r="AA133" s="73">
        <f t="shared" si="41"/>
        <v>1.7000000000000001E-2</v>
      </c>
      <c r="AB133" s="73">
        <f t="shared" si="48"/>
        <v>23.2791</v>
      </c>
      <c r="AC133" s="74">
        <f>VLOOKUP(A133,Enforcements!$C$3:$J$60,8,0)</f>
        <v>1</v>
      </c>
      <c r="AD133" s="74" t="str">
        <f>VLOOKUP(A133,Enforcements!$C$3:$J$60,3,0)</f>
        <v>TRACK WARRANT AUTHORITY</v>
      </c>
    </row>
    <row r="134" spans="1:30" s="2" customFormat="1" x14ac:dyDescent="0.25">
      <c r="A134" s="60" t="s">
        <v>367</v>
      </c>
      <c r="B134" s="60">
        <v>4044</v>
      </c>
      <c r="C134" s="60" t="s">
        <v>65</v>
      </c>
      <c r="D134" s="60" t="s">
        <v>78</v>
      </c>
      <c r="E134" s="30">
        <v>42519.911516203705</v>
      </c>
      <c r="F134" s="30">
        <v>42519.912430555552</v>
      </c>
      <c r="G134" s="38">
        <v>1</v>
      </c>
      <c r="H134" s="30" t="s">
        <v>368</v>
      </c>
      <c r="I134" s="30">
        <v>42519.941550925927</v>
      </c>
      <c r="J134" s="60">
        <v>0</v>
      </c>
      <c r="K134" s="60" t="str">
        <f t="shared" si="42"/>
        <v>4043/4044</v>
      </c>
      <c r="L134" s="60" t="str">
        <f>VLOOKUP(A134,'Trips&amp;Operators'!$C$1:$E$9999,3,FALSE)</f>
        <v>YORK</v>
      </c>
      <c r="M134" s="12">
        <f t="shared" si="43"/>
        <v>2.9120370374585036E-2</v>
      </c>
      <c r="N134" s="13">
        <f t="shared" si="40"/>
        <v>41.933333339402452</v>
      </c>
      <c r="O134" s="13"/>
      <c r="P134" s="13"/>
      <c r="Q134" s="61"/>
      <c r="R134" s="61"/>
      <c r="S134" s="94">
        <f t="shared" si="49"/>
        <v>1</v>
      </c>
      <c r="T134" s="2" t="str">
        <f t="shared" si="50"/>
        <v>NorthBound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21:51:35-0600',mode:absolute,to:'2016-05-29 22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4" s="73" t="str">
        <f t="shared" si="45"/>
        <v>N</v>
      </c>
      <c r="Y134" s="73">
        <f t="shared" si="46"/>
        <v>1</v>
      </c>
      <c r="Z134" s="73">
        <f t="shared" si="47"/>
        <v>4.6399999999999997E-2</v>
      </c>
      <c r="AA134" s="73">
        <f t="shared" si="41"/>
        <v>23.328700000000001</v>
      </c>
      <c r="AB134" s="73">
        <f t="shared" si="48"/>
        <v>23.282300000000003</v>
      </c>
      <c r="AC134" s="74" t="e">
        <f>VLOOKUP(A134,Enforcements!$C$3:$J$60,8,0)</f>
        <v>#N/A</v>
      </c>
      <c r="AD134" s="74" t="e">
        <f>VLOOKUP(A134,Enforcements!$C$3:$J$60,3,0)</f>
        <v>#N/A</v>
      </c>
    </row>
    <row r="135" spans="1:30" s="2" customFormat="1" x14ac:dyDescent="0.25">
      <c r="A135" s="60" t="s">
        <v>369</v>
      </c>
      <c r="B135" s="60">
        <v>4043</v>
      </c>
      <c r="C135" s="60" t="s">
        <v>65</v>
      </c>
      <c r="D135" s="60" t="s">
        <v>370</v>
      </c>
      <c r="E135" s="30">
        <v>42519.950231481482</v>
      </c>
      <c r="F135" s="30">
        <v>42519.95103009259</v>
      </c>
      <c r="G135" s="38">
        <v>1</v>
      </c>
      <c r="H135" s="30" t="s">
        <v>84</v>
      </c>
      <c r="I135" s="30">
        <v>42519.981504629628</v>
      </c>
      <c r="J135" s="60">
        <v>0</v>
      </c>
      <c r="K135" s="60" t="str">
        <f t="shared" si="42"/>
        <v>4043/4044</v>
      </c>
      <c r="L135" s="60" t="str">
        <f>VLOOKUP(A135,'Trips&amp;Operators'!$C$1:$E$9999,3,FALSE)</f>
        <v>YORK</v>
      </c>
      <c r="M135" s="12">
        <f t="shared" si="43"/>
        <v>3.047453703766223E-2</v>
      </c>
      <c r="N135" s="13">
        <f t="shared" si="40"/>
        <v>43.883333334233612</v>
      </c>
      <c r="O135" s="13"/>
      <c r="P135" s="13"/>
      <c r="Q135" s="61"/>
      <c r="R135" s="61"/>
      <c r="S135" s="94">
        <f t="shared" si="49"/>
        <v>1</v>
      </c>
      <c r="T135" s="2" t="str">
        <f t="shared" si="50"/>
        <v>Southbound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22:47:20-0600',mode:absolute,to:'2016-05-29 23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5" s="73" t="str">
        <f t="shared" si="45"/>
        <v>N</v>
      </c>
      <c r="Y135" s="73">
        <f t="shared" si="46"/>
        <v>1</v>
      </c>
      <c r="Z135" s="73">
        <f t="shared" si="47"/>
        <v>23.297000000000001</v>
      </c>
      <c r="AA135" s="73">
        <f t="shared" si="41"/>
        <v>1.4999999999999999E-2</v>
      </c>
      <c r="AB135" s="73">
        <f t="shared" si="48"/>
        <v>23.282</v>
      </c>
      <c r="AC135" s="74" t="e">
        <f>VLOOKUP(A135,Enforcements!$C$3:$J$60,8,0)</f>
        <v>#N/A</v>
      </c>
      <c r="AD135" s="74" t="e">
        <f>VLOOKUP(A135,Enforcements!$C$3:$J$60,3,0)</f>
        <v>#N/A</v>
      </c>
    </row>
    <row r="136" spans="1:30" s="2" customFormat="1" x14ac:dyDescent="0.25">
      <c r="A136" s="60" t="s">
        <v>371</v>
      </c>
      <c r="B136" s="60">
        <v>4011</v>
      </c>
      <c r="C136" s="60" t="s">
        <v>65</v>
      </c>
      <c r="D136" s="60" t="s">
        <v>372</v>
      </c>
      <c r="E136" s="30">
        <v>42519.923750000002</v>
      </c>
      <c r="F136" s="30">
        <v>42519.926550925928</v>
      </c>
      <c r="G136" s="38">
        <v>4</v>
      </c>
      <c r="H136" s="30" t="s">
        <v>261</v>
      </c>
      <c r="I136" s="30">
        <v>42519.963819444441</v>
      </c>
      <c r="J136" s="60">
        <v>0</v>
      </c>
      <c r="K136" s="60" t="str">
        <f t="shared" si="42"/>
        <v>4011/4012</v>
      </c>
      <c r="L136" s="60" t="str">
        <f>VLOOKUP(A136,'Trips&amp;Operators'!$C$1:$E$9999,3,FALSE)</f>
        <v>BARTLETT</v>
      </c>
      <c r="M136" s="12">
        <f t="shared" si="43"/>
        <v>3.7268518513883464E-2</v>
      </c>
      <c r="N136" s="13">
        <f t="shared" si="40"/>
        <v>53.666666659992188</v>
      </c>
      <c r="O136" s="13"/>
      <c r="P136" s="13"/>
      <c r="Q136" s="61"/>
      <c r="R136" s="61"/>
      <c r="S136" s="94">
        <f t="shared" si="49"/>
        <v>1</v>
      </c>
      <c r="T136" s="2" t="str">
        <f t="shared" si="50"/>
        <v>NorthBound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22:09:12-0600',mode:absolute,to:'2016-05-29 23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6" s="73" t="str">
        <f t="shared" si="45"/>
        <v>N</v>
      </c>
      <c r="Y136" s="73">
        <f t="shared" si="46"/>
        <v>1</v>
      </c>
      <c r="Z136" s="73">
        <f t="shared" si="47"/>
        <v>5.91E-2</v>
      </c>
      <c r="AA136" s="73">
        <f t="shared" si="41"/>
        <v>23.328099999999999</v>
      </c>
      <c r="AB136" s="73">
        <f t="shared" si="48"/>
        <v>23.268999999999998</v>
      </c>
      <c r="AC136" s="74" t="e">
        <f>VLOOKUP(A136,Enforcements!$C$3:$J$60,8,0)</f>
        <v>#N/A</v>
      </c>
      <c r="AD136" s="74" t="e">
        <f>VLOOKUP(A136,Enforcements!$C$3:$J$60,3,0)</f>
        <v>#N/A</v>
      </c>
    </row>
    <row r="137" spans="1:30" s="2" customFormat="1" x14ac:dyDescent="0.25">
      <c r="A137" s="60" t="s">
        <v>373</v>
      </c>
      <c r="B137" s="60">
        <v>4012</v>
      </c>
      <c r="C137" s="60" t="s">
        <v>65</v>
      </c>
      <c r="D137" s="60" t="s">
        <v>251</v>
      </c>
      <c r="E137" s="30">
        <v>42519.971956018519</v>
      </c>
      <c r="F137" s="30">
        <v>42519.973009259258</v>
      </c>
      <c r="G137" s="38">
        <v>1</v>
      </c>
      <c r="H137" s="30" t="s">
        <v>374</v>
      </c>
      <c r="I137" s="30">
        <v>42520.003738425927</v>
      </c>
      <c r="J137" s="60">
        <v>0</v>
      </c>
      <c r="K137" s="60" t="str">
        <f t="shared" si="42"/>
        <v>4011/4012</v>
      </c>
      <c r="L137" s="60" t="str">
        <f>VLOOKUP(A137,'Trips&amp;Operators'!$C$1:$E$9999,3,FALSE)</f>
        <v>BARTLETT</v>
      </c>
      <c r="M137" s="12">
        <f t="shared" si="43"/>
        <v>3.0729166668606922E-2</v>
      </c>
      <c r="N137" s="13">
        <f t="shared" si="40"/>
        <v>44.250000002793968</v>
      </c>
      <c r="O137" s="13"/>
      <c r="P137" s="13"/>
      <c r="Q137" s="61"/>
      <c r="R137" s="61"/>
      <c r="S137" s="94">
        <f t="shared" si="49"/>
        <v>1</v>
      </c>
      <c r="T137" s="2" t="str">
        <f t="shared" si="50"/>
        <v>Southbound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23:18:37-0600',mode:absolute,to:'2016-05-30 00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7" s="73" t="str">
        <f t="shared" si="45"/>
        <v>N</v>
      </c>
      <c r="Y137" s="73">
        <f t="shared" si="46"/>
        <v>1</v>
      </c>
      <c r="Z137" s="73">
        <f t="shared" si="47"/>
        <v>23.296399999999998</v>
      </c>
      <c r="AA137" s="73">
        <f t="shared" si="41"/>
        <v>3.7999999999999999E-2</v>
      </c>
      <c r="AB137" s="73">
        <f t="shared" si="48"/>
        <v>23.258399999999998</v>
      </c>
      <c r="AC137" s="74" t="e">
        <f>VLOOKUP(A137,Enforcements!$C$3:$J$60,8,0)</f>
        <v>#N/A</v>
      </c>
      <c r="AD137" s="74" t="e">
        <f>VLOOKUP(A137,Enforcements!$C$3:$J$60,3,0)</f>
        <v>#N/A</v>
      </c>
    </row>
    <row r="138" spans="1:30" s="2" customFormat="1" x14ac:dyDescent="0.25">
      <c r="A138" s="60" t="s">
        <v>375</v>
      </c>
      <c r="B138" s="60">
        <v>4038</v>
      </c>
      <c r="C138" s="60" t="s">
        <v>65</v>
      </c>
      <c r="D138" s="60" t="s">
        <v>322</v>
      </c>
      <c r="E138" s="30">
        <v>42519.954432870371</v>
      </c>
      <c r="F138" s="30">
        <v>42519.955636574072</v>
      </c>
      <c r="G138" s="38">
        <v>1</v>
      </c>
      <c r="H138" s="30" t="s">
        <v>220</v>
      </c>
      <c r="I138" s="30">
        <v>42519.984259259261</v>
      </c>
      <c r="J138" s="60">
        <v>1</v>
      </c>
      <c r="K138" s="60" t="str">
        <f t="shared" si="42"/>
        <v>4037/4038</v>
      </c>
      <c r="L138" s="60" t="str">
        <f>VLOOKUP(A138,'Trips&amp;Operators'!$C$1:$E$9999,3,FALSE)</f>
        <v>DE LA ROSA</v>
      </c>
      <c r="M138" s="12">
        <f t="shared" si="43"/>
        <v>2.8622685189475305E-2</v>
      </c>
      <c r="N138" s="13">
        <f t="shared" si="40"/>
        <v>41.21666667284444</v>
      </c>
      <c r="O138" s="13"/>
      <c r="P138" s="13"/>
      <c r="Q138" s="61"/>
      <c r="R138" s="61"/>
      <c r="S138" s="94">
        <f t="shared" si="49"/>
        <v>1</v>
      </c>
      <c r="T138" s="2" t="str">
        <f t="shared" si="50"/>
        <v>NorthBound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22:53:23-0600',mode:absolute,to:'2016-05-29 23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8" s="73" t="str">
        <f t="shared" si="45"/>
        <v>N</v>
      </c>
      <c r="Y138" s="73">
        <f t="shared" si="46"/>
        <v>1</v>
      </c>
      <c r="Z138" s="73">
        <f t="shared" si="47"/>
        <v>4.4200000000000003E-2</v>
      </c>
      <c r="AA138" s="73">
        <f t="shared" si="41"/>
        <v>23.332699999999999</v>
      </c>
      <c r="AB138" s="73">
        <f t="shared" si="48"/>
        <v>23.288499999999999</v>
      </c>
      <c r="AC138" s="74">
        <f>VLOOKUP(A138,Enforcements!$C$3:$J$60,8,0)</f>
        <v>233491</v>
      </c>
      <c r="AD138" s="74" t="str">
        <f>VLOOKUP(A138,Enforcements!$C$3:$J$60,3,0)</f>
        <v>TRACK WARRANT AUTHORITY</v>
      </c>
    </row>
    <row r="139" spans="1:30" s="2" customFormat="1" x14ac:dyDescent="0.25">
      <c r="A139" s="60" t="s">
        <v>376</v>
      </c>
      <c r="B139" s="60">
        <v>4037</v>
      </c>
      <c r="C139" s="60" t="s">
        <v>65</v>
      </c>
      <c r="D139" s="60" t="s">
        <v>132</v>
      </c>
      <c r="E139" s="30">
        <v>42519.992245370369</v>
      </c>
      <c r="F139" s="30">
        <v>42519.99324074074</v>
      </c>
      <c r="G139" s="38">
        <v>1</v>
      </c>
      <c r="H139" s="30" t="s">
        <v>88</v>
      </c>
      <c r="I139" s="30">
        <v>42520.024317129632</v>
      </c>
      <c r="J139" s="60">
        <v>0</v>
      </c>
      <c r="K139" s="60" t="str">
        <f t="shared" si="42"/>
        <v>4037/4038</v>
      </c>
      <c r="L139" s="60" t="str">
        <f>VLOOKUP(A139,'Trips&amp;Operators'!$C$1:$E$9999,3,FALSE)</f>
        <v>DE LA ROSA</v>
      </c>
      <c r="M139" s="12">
        <f t="shared" si="43"/>
        <v>3.107638889196096E-2</v>
      </c>
      <c r="N139" s="13">
        <f t="shared" si="40"/>
        <v>44.750000004423782</v>
      </c>
      <c r="O139" s="13"/>
      <c r="P139" s="13"/>
      <c r="Q139" s="61"/>
      <c r="R139" s="61"/>
      <c r="S139" s="94">
        <f t="shared" si="49"/>
        <v>1</v>
      </c>
      <c r="T139" s="2" t="str">
        <f t="shared" si="50"/>
        <v>Southbound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23:47:50-0600',mode:absolute,to:'2016-05-30 00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9" s="73" t="str">
        <f t="shared" si="45"/>
        <v>N</v>
      </c>
      <c r="Y139" s="73">
        <f t="shared" si="46"/>
        <v>1</v>
      </c>
      <c r="Z139" s="73">
        <f t="shared" si="47"/>
        <v>23.299099999999999</v>
      </c>
      <c r="AA139" s="73">
        <f t="shared" si="41"/>
        <v>1.47E-2</v>
      </c>
      <c r="AB139" s="73">
        <f t="shared" si="48"/>
        <v>23.284399999999998</v>
      </c>
      <c r="AC139" s="74" t="e">
        <f>VLOOKUP(A139,Enforcements!$C$3:$J$60,8,0)</f>
        <v>#N/A</v>
      </c>
      <c r="AD139" s="74" t="e">
        <f>VLOOKUP(A139,Enforcements!$C$3:$J$60,3,0)</f>
        <v>#N/A</v>
      </c>
    </row>
    <row r="140" spans="1:30" s="2" customFormat="1" x14ac:dyDescent="0.25">
      <c r="A140" s="60" t="s">
        <v>377</v>
      </c>
      <c r="B140" s="60">
        <v>4020</v>
      </c>
      <c r="C140" s="60" t="s">
        <v>65</v>
      </c>
      <c r="D140" s="60" t="s">
        <v>92</v>
      </c>
      <c r="E140" s="30">
        <v>42519.975925925923</v>
      </c>
      <c r="F140" s="30">
        <v>42519.976921296293</v>
      </c>
      <c r="G140" s="38">
        <v>1</v>
      </c>
      <c r="H140" s="30" t="s">
        <v>100</v>
      </c>
      <c r="I140" s="30">
        <v>42520.005381944444</v>
      </c>
      <c r="J140" s="60">
        <v>1</v>
      </c>
      <c r="K140" s="60" t="str">
        <f t="shared" si="42"/>
        <v>4019/4020</v>
      </c>
      <c r="L140" s="60" t="str">
        <f>VLOOKUP(A140,'Trips&amp;Operators'!$C$1:$E$9999,3,FALSE)</f>
        <v>CHANDLER</v>
      </c>
      <c r="M140" s="12">
        <f t="shared" si="43"/>
        <v>2.846064815093996E-2</v>
      </c>
      <c r="N140" s="13">
        <f t="shared" si="40"/>
        <v>40.983333337353542</v>
      </c>
      <c r="O140" s="13"/>
      <c r="P140" s="13"/>
      <c r="Q140" s="61"/>
      <c r="R140" s="61"/>
      <c r="S140" s="94">
        <f t="shared" si="49"/>
        <v>1</v>
      </c>
      <c r="T140" s="2" t="str">
        <f t="shared" si="50"/>
        <v>NorthBound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23:24:20-0600',mode:absolute,to:'2016-05-30 00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40" s="73" t="str">
        <f t="shared" si="45"/>
        <v>N</v>
      </c>
      <c r="Y140" s="73">
        <f t="shared" si="46"/>
        <v>1</v>
      </c>
      <c r="Z140" s="73">
        <f t="shared" si="47"/>
        <v>4.58E-2</v>
      </c>
      <c r="AA140" s="73">
        <f t="shared" si="41"/>
        <v>23.330200000000001</v>
      </c>
      <c r="AB140" s="73">
        <f t="shared" si="48"/>
        <v>23.284400000000002</v>
      </c>
      <c r="AC140" s="74">
        <f>VLOOKUP(A140,Enforcements!$C$3:$J$60,8,0)</f>
        <v>233491</v>
      </c>
      <c r="AD140" s="74" t="str">
        <f>VLOOKUP(A140,Enforcements!$C$3:$J$60,3,0)</f>
        <v>TRACK WARRANT AUTHORITY</v>
      </c>
    </row>
    <row r="141" spans="1:30" s="2" customFormat="1" x14ac:dyDescent="0.25">
      <c r="A141" s="60" t="s">
        <v>378</v>
      </c>
      <c r="B141" s="60">
        <v>4019</v>
      </c>
      <c r="C141" s="60" t="s">
        <v>65</v>
      </c>
      <c r="D141" s="60" t="s">
        <v>69</v>
      </c>
      <c r="E141" s="30">
        <v>42520.01630787037</v>
      </c>
      <c r="F141" s="30">
        <v>42520.017372685186</v>
      </c>
      <c r="G141" s="38">
        <v>1</v>
      </c>
      <c r="H141" s="30" t="s">
        <v>268</v>
      </c>
      <c r="I141" s="30">
        <v>42520.046099537038</v>
      </c>
      <c r="J141" s="60">
        <v>1</v>
      </c>
      <c r="K141" s="60" t="str">
        <f t="shared" si="42"/>
        <v>4019/4020</v>
      </c>
      <c r="L141" s="60" t="str">
        <f>VLOOKUP(A141,'Trips&amp;Operators'!$C$1:$E$9999,3,FALSE)</f>
        <v>CHANDLER</v>
      </c>
      <c r="M141" s="12">
        <f t="shared" si="43"/>
        <v>2.8726851851388346E-2</v>
      </c>
      <c r="N141" s="13">
        <f t="shared" si="40"/>
        <v>41.366666665999219</v>
      </c>
      <c r="O141" s="13"/>
      <c r="P141" s="13"/>
      <c r="Q141" s="61"/>
      <c r="R141" s="61"/>
      <c r="S141" s="94">
        <f t="shared" si="49"/>
        <v>1</v>
      </c>
      <c r="T141" s="2" t="str">
        <f t="shared" si="50"/>
        <v>Southbound</v>
      </c>
      <c r="U141" s="67">
        <f>COUNTIFS([2]Variables!$M$2:$M$19,IF(T141="NorthBound","&gt;=","&lt;=")&amp;Z141,[2]Variables!$M$2:$M$19,IF(T141="NorthBound","&lt;=","&gt;=")&amp;AA141)</f>
        <v>12</v>
      </c>
      <c r="W14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https://search-rtdc-monitor-bjffxe2xuh6vdkpspy63sjmuny.us-east-1.es.amazonaws.com/_plugin/kibana/#/discover/Steve-Slow-Train-Analysis-(2080s-and-2083s)?_g=(refreshInterval:(display:Off,section:0,value:0),time:(from:'2016-05-30 00:22:29-0600',mode:absolute,to:'2016-05-30 01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1" s="73" t="str">
        <f t="shared" si="45"/>
        <v>N</v>
      </c>
      <c r="Y141" s="73">
        <f t="shared" si="46"/>
        <v>1</v>
      </c>
      <c r="Z141" s="73">
        <f t="shared" si="47"/>
        <v>23.2989</v>
      </c>
      <c r="AA141" s="73">
        <f t="shared" si="41"/>
        <v>1.6299999999999999E-2</v>
      </c>
      <c r="AB141" s="73">
        <f t="shared" si="48"/>
        <v>23.282599999999999</v>
      </c>
      <c r="AC141" s="74">
        <f>VLOOKUP(A141,Enforcements!$C$3:$J$60,8,0)</f>
        <v>1</v>
      </c>
      <c r="AD141" s="74" t="str">
        <f>VLOOKUP(A141,Enforcements!$C$3:$J$60,3,0)</f>
        <v>TRACK WARRANT AUTHORITY</v>
      </c>
    </row>
    <row r="142" spans="1:30" s="2" customFormat="1" x14ac:dyDescent="0.25">
      <c r="A142" s="60" t="s">
        <v>379</v>
      </c>
      <c r="B142" s="60">
        <v>4044</v>
      </c>
      <c r="C142" s="60" t="s">
        <v>65</v>
      </c>
      <c r="D142" s="60" t="s">
        <v>154</v>
      </c>
      <c r="E142" s="30">
        <v>42519.990856481483</v>
      </c>
      <c r="F142" s="30">
        <v>42519.991759259261</v>
      </c>
      <c r="G142" s="38">
        <v>1</v>
      </c>
      <c r="H142" s="30" t="s">
        <v>178</v>
      </c>
      <c r="I142" s="30">
        <v>42520.024965277778</v>
      </c>
      <c r="J142" s="60">
        <v>0</v>
      </c>
      <c r="K142" s="60" t="str">
        <f t="shared" si="42"/>
        <v>4043/4044</v>
      </c>
      <c r="L142" s="60" t="str">
        <f>VLOOKUP(A142,'Trips&amp;Operators'!$C$1:$E$9999,3,FALSE)</f>
        <v>YORK</v>
      </c>
      <c r="M142" s="12">
        <f t="shared" si="43"/>
        <v>3.3206018517375924E-2</v>
      </c>
      <c r="N142" s="13">
        <f t="shared" si="40"/>
        <v>47.81666666502133</v>
      </c>
      <c r="O142" s="13"/>
      <c r="P142" s="13"/>
      <c r="Q142" s="61"/>
      <c r="R142" s="61"/>
      <c r="S142" s="94">
        <f t="shared" si="49"/>
        <v>1</v>
      </c>
      <c r="T142" s="2" t="str">
        <f t="shared" si="50"/>
        <v>NorthBound</v>
      </c>
      <c r="U142" s="67">
        <f>COUNTIFS([2]Variables!$M$2:$M$19,IF(T142="NorthBound","&gt;=","&lt;=")&amp;Z142,[2]Variables!$M$2:$M$19,IF(T142="NorthBound","&lt;=","&gt;=")&amp;AA142)</f>
        <v>12</v>
      </c>
      <c r="W14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23:45:50-0600',mode:absolute,to:'2016-05-30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2" s="73" t="str">
        <f t="shared" si="45"/>
        <v>N</v>
      </c>
      <c r="Y142" s="73">
        <f t="shared" si="46"/>
        <v>1</v>
      </c>
      <c r="Z142" s="73">
        <f t="shared" si="47"/>
        <v>4.4900000000000002E-2</v>
      </c>
      <c r="AA142" s="73">
        <f t="shared" si="41"/>
        <v>23.33</v>
      </c>
      <c r="AB142" s="73">
        <f t="shared" si="48"/>
        <v>23.2851</v>
      </c>
      <c r="AC142" s="74" t="e">
        <f>VLOOKUP(A142,Enforcements!$C$3:$J$60,8,0)</f>
        <v>#N/A</v>
      </c>
      <c r="AD142" s="74" t="e">
        <f>VLOOKUP(A142,Enforcements!$C$3:$J$60,3,0)</f>
        <v>#N/A</v>
      </c>
    </row>
    <row r="143" spans="1:30" s="2" customFormat="1" x14ac:dyDescent="0.25">
      <c r="A143" s="60" t="s">
        <v>380</v>
      </c>
      <c r="B143" s="60">
        <v>4043</v>
      </c>
      <c r="C143" s="60" t="s">
        <v>65</v>
      </c>
      <c r="D143" s="60" t="s">
        <v>77</v>
      </c>
      <c r="E143" s="30">
        <v>42520.035740740743</v>
      </c>
      <c r="F143" s="30">
        <v>42520.036527777775</v>
      </c>
      <c r="G143" s="38">
        <v>1</v>
      </c>
      <c r="H143" s="30" t="s">
        <v>381</v>
      </c>
      <c r="I143" s="30">
        <v>42520.065162037034</v>
      </c>
      <c r="J143" s="60">
        <v>0</v>
      </c>
      <c r="K143" s="60" t="str">
        <f t="shared" si="42"/>
        <v>4043/4044</v>
      </c>
      <c r="L143" s="60" t="str">
        <f>VLOOKUP(A143,'Trips&amp;Operators'!$C$1:$E$9999,3,FALSE)</f>
        <v>YORK</v>
      </c>
      <c r="M143" s="12">
        <f t="shared" si="43"/>
        <v>2.8634259258979E-2</v>
      </c>
      <c r="N143" s="13">
        <f t="shared" si="40"/>
        <v>41.23333333292976</v>
      </c>
      <c r="O143" s="13"/>
      <c r="P143" s="13"/>
      <c r="Q143" s="61"/>
      <c r="R143" s="61"/>
      <c r="S143" s="94">
        <f t="shared" si="49"/>
        <v>1</v>
      </c>
      <c r="T143" s="2" t="str">
        <f t="shared" si="50"/>
        <v>Southbound</v>
      </c>
      <c r="U143" s="67">
        <f>COUNTIFS([2]Variables!$M$2:$M$19,IF(T143="NorthBound","&gt;=","&lt;=")&amp;Z143,[2]Variables!$M$2:$M$19,IF(T143="NorthBound","&lt;=","&gt;=")&amp;AA143)</f>
        <v>12</v>
      </c>
      <c r="W14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https://search-rtdc-monitor-bjffxe2xuh6vdkpspy63sjmuny.us-east-1.es.amazonaws.com/_plugin/kibana/#/discover/Steve-Slow-Train-Analysis-(2080s-and-2083s)?_g=(refreshInterval:(display:Off,section:0,value:0),time:(from:'2016-05-30 00:50:28-0600',mode:absolute,to:'2016-05-30 01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3" s="73" t="str">
        <f t="shared" si="45"/>
        <v>N</v>
      </c>
      <c r="Y143" s="73">
        <f t="shared" si="46"/>
        <v>1</v>
      </c>
      <c r="Z143" s="73">
        <f t="shared" si="47"/>
        <v>23.299399999999999</v>
      </c>
      <c r="AA143" s="73">
        <f t="shared" si="41"/>
        <v>1.7600000000000001E-2</v>
      </c>
      <c r="AB143" s="73">
        <f t="shared" si="48"/>
        <v>23.281799999999997</v>
      </c>
      <c r="AC143" s="74" t="e">
        <f>VLOOKUP(A143,Enforcements!$C$3:$J$60,8,0)</f>
        <v>#N/A</v>
      </c>
      <c r="AD143" s="74" t="e">
        <f>VLOOKUP(A143,Enforcements!$C$3:$J$60,3,0)</f>
        <v>#N/A</v>
      </c>
    </row>
    <row r="144" spans="1:30" s="2" customFormat="1" x14ac:dyDescent="0.25">
      <c r="A144" s="60" t="s">
        <v>382</v>
      </c>
      <c r="B144" s="60">
        <v>4011</v>
      </c>
      <c r="C144" s="60" t="s">
        <v>65</v>
      </c>
      <c r="D144" s="60" t="s">
        <v>173</v>
      </c>
      <c r="E144" s="30">
        <v>42520.009525462963</v>
      </c>
      <c r="F144" s="30">
        <v>42520.010601851849</v>
      </c>
      <c r="G144" s="38">
        <v>1</v>
      </c>
      <c r="H144" s="30" t="s">
        <v>120</v>
      </c>
      <c r="I144" s="30">
        <v>42520.047939814816</v>
      </c>
      <c r="J144" s="60">
        <v>0</v>
      </c>
      <c r="K144" s="60" t="str">
        <f t="shared" si="42"/>
        <v>4011/4012</v>
      </c>
      <c r="L144" s="60" t="str">
        <f>VLOOKUP(A144,'Trips&amp;Operators'!$C$1:$E$9999,3,FALSE)</f>
        <v>BARTLETT</v>
      </c>
      <c r="M144" s="12">
        <f t="shared" si="43"/>
        <v>3.7337962967285421E-2</v>
      </c>
      <c r="N144" s="13">
        <f t="shared" si="40"/>
        <v>53.766666672891006</v>
      </c>
      <c r="O144" s="13"/>
      <c r="P144" s="13"/>
      <c r="Q144" s="61"/>
      <c r="R144" s="61"/>
      <c r="S144" s="94">
        <f t="shared" si="49"/>
        <v>1</v>
      </c>
      <c r="T144" s="2" t="str">
        <f t="shared" si="50"/>
        <v>NorthBound</v>
      </c>
      <c r="U144" s="67">
        <f>COUNTIFS([2]Variables!$M$2:$M$19,IF(T144="NorthBound","&gt;=","&lt;=")&amp;Z144,[2]Variables!$M$2:$M$19,IF(T144="NorthBound","&lt;=","&gt;=")&amp;AA144)</f>
        <v>12</v>
      </c>
      <c r="W14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https://search-rtdc-monitor-bjffxe2xuh6vdkpspy63sjmuny.us-east-1.es.amazonaws.com/_plugin/kibana/#/discover/Steve-Slow-Train-Analysis-(2080s-and-2083s)?_g=(refreshInterval:(display:Off,section:0,value:0),time:(from:'2016-05-30 00:12:43-0600',mode:absolute,to:'2016-05-30 01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44" s="73" t="str">
        <f t="shared" si="45"/>
        <v>N</v>
      </c>
      <c r="Y144" s="73">
        <f t="shared" si="46"/>
        <v>1</v>
      </c>
      <c r="Z144" s="73">
        <f t="shared" si="47"/>
        <v>5.2400000000000002E-2</v>
      </c>
      <c r="AA144" s="73">
        <f t="shared" si="41"/>
        <v>23.330400000000001</v>
      </c>
      <c r="AB144" s="73">
        <f t="shared" si="48"/>
        <v>23.278000000000002</v>
      </c>
      <c r="AC144" s="74" t="e">
        <f>VLOOKUP(A144,Enforcements!$C$3:$J$60,8,0)</f>
        <v>#N/A</v>
      </c>
      <c r="AD144" s="74" t="e">
        <f>VLOOKUP(A144,Enforcements!$C$3:$J$60,3,0)</f>
        <v>#N/A</v>
      </c>
    </row>
    <row r="145" spans="1:30" s="2" customFormat="1" x14ac:dyDescent="0.25">
      <c r="A145" s="60" t="s">
        <v>383</v>
      </c>
      <c r="B145" s="60">
        <v>4012</v>
      </c>
      <c r="C145" s="60" t="s">
        <v>65</v>
      </c>
      <c r="D145" s="60" t="s">
        <v>169</v>
      </c>
      <c r="E145" s="30">
        <v>42520.050682870373</v>
      </c>
      <c r="F145" s="30">
        <v>42520.051944444444</v>
      </c>
      <c r="G145" s="38">
        <v>1</v>
      </c>
      <c r="H145" s="30" t="s">
        <v>374</v>
      </c>
      <c r="I145" s="30">
        <v>42520.088460648149</v>
      </c>
      <c r="J145" s="60">
        <v>1</v>
      </c>
      <c r="K145" s="60" t="str">
        <f t="shared" si="42"/>
        <v>4011/4012</v>
      </c>
      <c r="L145" s="60" t="str">
        <f>VLOOKUP(A145,'Trips&amp;Operators'!$C$1:$E$9999,3,FALSE)</f>
        <v>BARTLETT</v>
      </c>
      <c r="M145" s="12">
        <f t="shared" si="43"/>
        <v>3.6516203705104999E-2</v>
      </c>
      <c r="N145" s="13">
        <f t="shared" si="40"/>
        <v>52.583333335351199</v>
      </c>
      <c r="O145" s="13"/>
      <c r="P145" s="13"/>
      <c r="Q145" s="61"/>
      <c r="R145" s="61"/>
      <c r="S145" s="94">
        <f t="shared" si="49"/>
        <v>1</v>
      </c>
      <c r="T145" s="2" t="str">
        <f t="shared" si="50"/>
        <v>Southbound</v>
      </c>
      <c r="U145" s="67">
        <f>COUNTIFS([2]Variables!$M$2:$M$19,IF(T145="NorthBound","&gt;=","&lt;=")&amp;Z145,[2]Variables!$M$2:$M$19,IF(T145="NorthBound","&lt;=","&gt;=")&amp;AA145)</f>
        <v>12</v>
      </c>
      <c r="W14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https://search-rtdc-monitor-bjffxe2xuh6vdkpspy63sjmuny.us-east-1.es.amazonaws.com/_plugin/kibana/#/discover/Steve-Slow-Train-Analysis-(2080s-and-2083s)?_g=(refreshInterval:(display:Off,section:0,value:0),time:(from:'2016-05-30 01:11:59-0600',mode:absolute,to:'2016-05-30 02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5" s="73" t="str">
        <f t="shared" si="45"/>
        <v>N</v>
      </c>
      <c r="Y145" s="73">
        <f t="shared" si="46"/>
        <v>1</v>
      </c>
      <c r="Z145" s="73">
        <f t="shared" si="47"/>
        <v>23.298300000000001</v>
      </c>
      <c r="AA145" s="73">
        <f t="shared" si="41"/>
        <v>3.7999999999999999E-2</v>
      </c>
      <c r="AB145" s="73">
        <f t="shared" si="48"/>
        <v>23.260300000000001</v>
      </c>
      <c r="AC145" s="74" t="e">
        <f>VLOOKUP(A145,Enforcements!$C$3:$J$60,8,0)</f>
        <v>#N/A</v>
      </c>
      <c r="AD145" s="74" t="e">
        <f>VLOOKUP(A145,Enforcements!$C$3:$J$60,3,0)</f>
        <v>#N/A</v>
      </c>
    </row>
    <row r="146" spans="1:30" s="2" customFormat="1" x14ac:dyDescent="0.25">
      <c r="A146" s="60" t="s">
        <v>384</v>
      </c>
      <c r="B146" s="60">
        <v>4008</v>
      </c>
      <c r="C146" s="60" t="s">
        <v>65</v>
      </c>
      <c r="D146" s="60" t="s">
        <v>169</v>
      </c>
      <c r="E146" s="30">
        <v>42519.079143518517</v>
      </c>
      <c r="F146" s="30">
        <v>42519.080231481479</v>
      </c>
      <c r="G146" s="38">
        <v>1</v>
      </c>
      <c r="H146" s="30" t="s">
        <v>385</v>
      </c>
      <c r="I146" s="30">
        <v>42519.106562499997</v>
      </c>
      <c r="J146" s="60">
        <v>2</v>
      </c>
      <c r="K146" s="60" t="str">
        <f t="shared" si="42"/>
        <v>4007/4008</v>
      </c>
      <c r="L146" s="60" t="e">
        <f>VLOOKUP(A146,'Trips&amp;Operators'!$C$1:$E$9999,3,FALSE)</f>
        <v>#N/A</v>
      </c>
      <c r="M146" s="12">
        <f t="shared" si="43"/>
        <v>2.6331018518249039E-2</v>
      </c>
      <c r="N146" s="13">
        <f t="shared" si="40"/>
        <v>37.916666666278616</v>
      </c>
      <c r="O146" s="13"/>
      <c r="P146" s="13"/>
      <c r="Q146" s="61"/>
      <c r="R146" s="61"/>
      <c r="S146" s="94">
        <f t="shared" si="49"/>
        <v>1</v>
      </c>
      <c r="T146" s="2" t="str">
        <f t="shared" si="50"/>
        <v>Southbound</v>
      </c>
      <c r="U146" s="67">
        <f>COUNTIFS([2]Variables!$M$2:$M$19,IF(T146="NorthBound","&gt;=","&lt;=")&amp;Z146,[2]Variables!$M$2:$M$19,IF(T146="NorthBound","&lt;=","&gt;=")&amp;AA146)</f>
        <v>12</v>
      </c>
      <c r="W14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https://search-rtdc-monitor-bjffxe2xuh6vdkpspy63sjmuny.us-east-1.es.amazonaws.com/_plugin/kibana/#/discover/Steve-Slow-Train-Analysis-(2080s-and-2083s)?_g=(refreshInterval:(display:Off,section:0,value:0),time:(from:'2016-05-29 01:52:58-0600',mode:absolute,to:'2016-05-29 02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46" s="73" t="str">
        <f t="shared" si="45"/>
        <v>N</v>
      </c>
      <c r="Y146" s="73">
        <f t="shared" si="46"/>
        <v>2</v>
      </c>
      <c r="Z146" s="73">
        <f t="shared" si="47"/>
        <v>23.298300000000001</v>
      </c>
      <c r="AA146" s="73">
        <f t="shared" si="41"/>
        <v>1.8499999999999999E-2</v>
      </c>
      <c r="AB146" s="73">
        <f t="shared" si="48"/>
        <v>23.279800000000002</v>
      </c>
      <c r="AC146" s="74" t="e">
        <f>VLOOKUP(A146,Enforcements!$C$3:$J$60,8,0)</f>
        <v>#N/A</v>
      </c>
      <c r="AD146" s="74" t="e">
        <f>VLOOKUP(A146,Enforcements!$C$3:$J$60,3,0)</f>
        <v>#N/A</v>
      </c>
    </row>
    <row r="147" spans="1:30" s="2" customFormat="1" ht="15.75" thickBot="1" x14ac:dyDescent="0.3">
      <c r="A147" s="62"/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S147" s="94"/>
      <c r="U147" s="67"/>
      <c r="W147" s="68"/>
      <c r="X147" s="68"/>
      <c r="Y147" s="68"/>
      <c r="Z147" s="68"/>
      <c r="AA147" s="68"/>
      <c r="AB147" s="68"/>
      <c r="AC147" s="69"/>
      <c r="AD147" s="69"/>
    </row>
    <row r="148" spans="1:30" s="2" customFormat="1" ht="15.75" thickBot="1" x14ac:dyDescent="0.3">
      <c r="E148" s="31"/>
      <c r="F148" s="31"/>
      <c r="G148" s="39"/>
      <c r="H148" s="31"/>
      <c r="I148" s="85">
        <f>Variables!A2</f>
        <v>42519</v>
      </c>
      <c r="J148" s="86"/>
      <c r="K148" s="75"/>
      <c r="L148" s="75"/>
      <c r="M148" s="87" t="s">
        <v>8</v>
      </c>
      <c r="N148" s="88"/>
      <c r="O148" s="89"/>
      <c r="P148" s="5"/>
      <c r="S148" s="94"/>
      <c r="U148" s="67"/>
      <c r="W148" s="56"/>
      <c r="X148" s="56"/>
      <c r="Y148" s="56"/>
      <c r="Z148" s="56"/>
      <c r="AA148" s="56"/>
      <c r="AB148" s="56"/>
      <c r="AC148" s="57"/>
      <c r="AD148" s="57"/>
    </row>
    <row r="149" spans="1:30" s="2" customFormat="1" ht="15.75" thickBot="1" x14ac:dyDescent="0.3">
      <c r="E149" s="31"/>
      <c r="F149" s="31"/>
      <c r="G149" s="39"/>
      <c r="H149" s="31"/>
      <c r="I149" s="90" t="s">
        <v>10</v>
      </c>
      <c r="J149" s="91"/>
      <c r="K149" s="35"/>
      <c r="L149" s="58"/>
      <c r="M149" s="9" t="s">
        <v>11</v>
      </c>
      <c r="N149" s="6" t="s">
        <v>12</v>
      </c>
      <c r="O149" s="7" t="s">
        <v>13</v>
      </c>
      <c r="P149" s="5"/>
      <c r="S149" s="94"/>
      <c r="U149" s="67"/>
      <c r="W149" s="56"/>
      <c r="X149" s="56"/>
      <c r="Y149" s="56"/>
      <c r="Z149" s="56"/>
      <c r="AA149" s="56"/>
      <c r="AB149" s="56"/>
      <c r="AC149" s="57"/>
      <c r="AD149" s="57"/>
    </row>
    <row r="150" spans="1:30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144</v>
      </c>
      <c r="K150" s="3"/>
      <c r="L150" s="3"/>
      <c r="M150" s="70" t="s">
        <v>15</v>
      </c>
      <c r="N150" s="6" t="s">
        <v>15</v>
      </c>
      <c r="O150" s="7" t="s">
        <v>15</v>
      </c>
      <c r="P150" s="5"/>
      <c r="S150" s="94"/>
      <c r="U150" s="67"/>
      <c r="W150" s="56"/>
      <c r="X150" s="56"/>
      <c r="Y150" s="56"/>
      <c r="Z150" s="56"/>
      <c r="AA150" s="56"/>
      <c r="AB150" s="56"/>
      <c r="AC150" s="57"/>
      <c r="AD150" s="57"/>
    </row>
    <row r="151" spans="1:30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141</v>
      </c>
      <c r="K151" s="3"/>
      <c r="L151" s="3"/>
      <c r="M151" s="70">
        <f>AVERAGE(N3:N146)</f>
        <v>42.745035461080754</v>
      </c>
      <c r="N151" s="6">
        <f>MIN(N3:N146)</f>
        <v>35.866666669026017</v>
      </c>
      <c r="O151" s="7">
        <f>MAX(N3:N146)</f>
        <v>53.766666672891006</v>
      </c>
      <c r="P151" s="5"/>
      <c r="S151" s="94"/>
      <c r="T151" s="59"/>
      <c r="U151" s="67"/>
      <c r="W151" s="56"/>
      <c r="X151" s="56"/>
      <c r="Y151" s="56"/>
      <c r="Z151" s="56"/>
      <c r="AA151" s="56"/>
      <c r="AB151" s="56"/>
      <c r="AC151" s="57"/>
      <c r="AD151" s="57"/>
    </row>
    <row r="152" spans="1:30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0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 s="94"/>
      <c r="T152" s="59"/>
      <c r="U152" s="67"/>
      <c r="V152"/>
      <c r="W152" s="54"/>
      <c r="X152" s="54"/>
      <c r="Y152" s="54"/>
      <c r="Z152" s="54"/>
      <c r="AA152" s="54"/>
      <c r="AB152" s="54"/>
      <c r="AC152" s="55"/>
      <c r="AD152" s="55"/>
    </row>
    <row r="153" spans="1:30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4" t="s">
        <v>9</v>
      </c>
      <c r="J153" s="3">
        <f>COUNT(P3:P146)</f>
        <v>3</v>
      </c>
      <c r="K153" s="3"/>
      <c r="L153" s="3"/>
      <c r="M153" s="70" t="s">
        <v>15</v>
      </c>
      <c r="N153" s="6" t="s">
        <v>15</v>
      </c>
      <c r="O153" s="7" t="s">
        <v>15</v>
      </c>
      <c r="P153" s="4"/>
      <c r="Q153"/>
      <c r="R153"/>
      <c r="S153" s="94"/>
      <c r="U153" s="67"/>
      <c r="V153"/>
      <c r="W153" s="54"/>
      <c r="X153" s="54"/>
      <c r="Y153" s="54"/>
      <c r="Z153" s="54"/>
      <c r="AA153" s="54"/>
      <c r="AB153" s="54"/>
      <c r="AC153" s="55"/>
      <c r="AD153" s="55"/>
    </row>
    <row r="154" spans="1:30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141</v>
      </c>
      <c r="K154" s="3"/>
      <c r="L154" s="3"/>
      <c r="M154" s="70">
        <f>AVERAGE(N3:P146)</f>
        <v>41.961342592694564</v>
      </c>
      <c r="N154" s="6">
        <f>MIN(N3:O146)</f>
        <v>35.866666669026017</v>
      </c>
      <c r="O154" s="7">
        <f>MAX(N3:O146)</f>
        <v>53.766666672891006</v>
      </c>
      <c r="P154" s="5"/>
      <c r="S154" s="94"/>
      <c r="T154" s="59"/>
      <c r="U154" s="67"/>
      <c r="W154" s="56"/>
      <c r="X154" s="56"/>
      <c r="Y154" s="56"/>
      <c r="Z154" s="56"/>
      <c r="AA154" s="56"/>
      <c r="AB154" s="56"/>
      <c r="AC154" s="57"/>
      <c r="AD154" s="57"/>
    </row>
    <row r="155" spans="1:30" s="2" customFormat="1" ht="30.75" thickBot="1" x14ac:dyDescent="0.3">
      <c r="B155" s="59"/>
      <c r="C155" s="59"/>
      <c r="D155" s="59"/>
      <c r="E155" s="14"/>
      <c r="F155" s="14"/>
      <c r="G155" s="40"/>
      <c r="H155" s="14"/>
      <c r="I155" s="32" t="s">
        <v>19</v>
      </c>
      <c r="J155" s="8">
        <f>J154/J150</f>
        <v>0.97916666666666663</v>
      </c>
      <c r="K155" s="8"/>
      <c r="L155" s="8"/>
      <c r="M155" s="1"/>
      <c r="N155" s="4"/>
      <c r="O155" s="4"/>
      <c r="P155" s="4"/>
      <c r="Q155"/>
      <c r="R155"/>
      <c r="S155" s="59"/>
      <c r="T155" s="59"/>
      <c r="U155" s="59"/>
      <c r="V155"/>
      <c r="W155" s="54"/>
      <c r="X155" s="54"/>
      <c r="Y155" s="54"/>
      <c r="Z155" s="54"/>
      <c r="AA155" s="54"/>
      <c r="AB155" s="54"/>
      <c r="AC155" s="55"/>
      <c r="AD155" s="55"/>
    </row>
    <row r="156" spans="1:30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 s="59"/>
      <c r="T156" s="59"/>
      <c r="U156" s="59"/>
      <c r="V156"/>
      <c r="W156" s="54"/>
      <c r="X156" s="54"/>
      <c r="Y156" s="54"/>
      <c r="Z156" s="54"/>
      <c r="AA156" s="54"/>
      <c r="AB156" s="54"/>
      <c r="AC156" s="55"/>
      <c r="AD156" s="55"/>
    </row>
    <row r="157" spans="1:30" s="2" customFormat="1" ht="45" x14ac:dyDescent="0.25">
      <c r="B157" s="59"/>
      <c r="C157" s="59"/>
      <c r="D157" s="59"/>
      <c r="E157" s="14"/>
      <c r="F157" s="14"/>
      <c r="G157" s="40"/>
      <c r="H157" s="14"/>
      <c r="I157" s="95" t="s">
        <v>405</v>
      </c>
      <c r="J157" s="96" t="s">
        <v>406</v>
      </c>
      <c r="K157" s="96" t="s">
        <v>407</v>
      </c>
      <c r="L157" s="97" t="s">
        <v>408</v>
      </c>
      <c r="M157" s="1"/>
      <c r="N157" s="4"/>
      <c r="O157" s="4"/>
      <c r="P157" s="4"/>
      <c r="Q157"/>
      <c r="R157"/>
      <c r="S157" s="59"/>
      <c r="T157" s="59"/>
      <c r="U157" s="59"/>
      <c r="V157"/>
      <c r="W157" s="54"/>
      <c r="X157" s="54"/>
      <c r="Y157" s="54"/>
      <c r="Z157" s="54"/>
      <c r="AA157" s="54"/>
      <c r="AB157" s="54"/>
      <c r="AC157" s="55"/>
      <c r="AD157" s="55"/>
    </row>
    <row r="158" spans="1:30" s="2" customFormat="1" x14ac:dyDescent="0.25">
      <c r="B158" s="59"/>
      <c r="C158" s="59"/>
      <c r="D158" s="59"/>
      <c r="E158" s="14"/>
      <c r="F158" s="14"/>
      <c r="G158" s="40"/>
      <c r="H158" s="14"/>
      <c r="I158" s="40">
        <f>J154</f>
        <v>141</v>
      </c>
      <c r="J158" s="59">
        <f>J153</f>
        <v>3</v>
      </c>
      <c r="K158" s="98">
        <f>J155</f>
        <v>0.97916666666666663</v>
      </c>
      <c r="L158" s="99">
        <f>AVERAGE(S:S)</f>
        <v>0.98032407407407418</v>
      </c>
      <c r="M158" s="1"/>
      <c r="N158" s="4"/>
      <c r="O158" s="4"/>
      <c r="P158" s="4"/>
      <c r="Q158"/>
      <c r="R158"/>
      <c r="S158" s="59"/>
      <c r="T158" s="59"/>
      <c r="U158" s="59"/>
      <c r="V158"/>
      <c r="W158" s="54"/>
      <c r="X158" s="54"/>
      <c r="Y158" s="54"/>
      <c r="Z158" s="54"/>
      <c r="AA158" s="54"/>
      <c r="AB158" s="54"/>
      <c r="AC158" s="55"/>
      <c r="AD158" s="55"/>
    </row>
    <row r="159" spans="1:30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V159"/>
      <c r="W159" s="54"/>
      <c r="X159" s="54"/>
      <c r="Y159" s="54"/>
      <c r="Z159" s="54"/>
      <c r="AA159" s="54"/>
      <c r="AB159" s="54"/>
      <c r="AC159" s="55"/>
      <c r="AD159" s="55"/>
    </row>
    <row r="160" spans="1:30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V160"/>
      <c r="W160" s="54"/>
      <c r="X160" s="54"/>
      <c r="Y160" s="54"/>
      <c r="Z160" s="54"/>
      <c r="AA160" s="54"/>
      <c r="AB160" s="54"/>
      <c r="AC160" s="55"/>
      <c r="AD160" s="55"/>
    </row>
    <row r="163" spans="2:30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 s="59"/>
      <c r="T163" s="59"/>
      <c r="U163" s="59"/>
      <c r="V163"/>
      <c r="W163" s="54"/>
      <c r="X163" s="54"/>
      <c r="Y163" s="54"/>
      <c r="Z163" s="54"/>
      <c r="AA163" s="54"/>
      <c r="AB163" s="54"/>
      <c r="AC163" s="55"/>
      <c r="AD163" s="55"/>
    </row>
  </sheetData>
  <autoFilter ref="A2:AD146">
    <sortState ref="A3:AA146">
      <sortCondition ref="A2:A146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X1:X2 X3:Y1048576">
    <cfRule type="cellIs" dxfId="19" priority="33" operator="equal">
      <formula>"Y"</formula>
    </cfRule>
  </conditionalFormatting>
  <conditionalFormatting sqref="Y3:Y1048576">
    <cfRule type="cellIs" dxfId="18" priority="16" operator="greaterThan">
      <formula>1</formula>
    </cfRule>
  </conditionalFormatting>
  <conditionalFormatting sqref="Y2:Y1048576">
    <cfRule type="cellIs" dxfId="17" priority="13" operator="equal">
      <formula>0</formula>
    </cfRule>
  </conditionalFormatting>
  <conditionalFormatting sqref="A3:R146">
    <cfRule type="expression" dxfId="16" priority="8">
      <formula>$P3&gt;0</formula>
    </cfRule>
    <cfRule type="expression" dxfId="15" priority="9">
      <formula>$O3&gt;0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  <x14:conditionalFormatting xmlns:xm="http://schemas.microsoft.com/office/excel/2006/main">
          <x14:cfRule type="expression" priority="1" id="{ADE1E63E-E2A7-4254-8AF7-18F3B0469380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topLeftCell="A4" zoomScale="85" zoomScaleNormal="85" workbookViewId="0">
      <selection activeCell="N18" sqref="N1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127</v>
      </c>
    </row>
    <row r="3" spans="1:17" s="19" customFormat="1" x14ac:dyDescent="0.25">
      <c r="A3" s="23">
        <v>42519.456087962964</v>
      </c>
      <c r="B3" s="22" t="s">
        <v>63</v>
      </c>
      <c r="C3" s="22" t="s">
        <v>265</v>
      </c>
      <c r="D3" s="22" t="s">
        <v>52</v>
      </c>
      <c r="E3" s="22" t="s">
        <v>179</v>
      </c>
      <c r="F3" s="22">
        <v>280</v>
      </c>
      <c r="G3" s="22">
        <v>515</v>
      </c>
      <c r="H3" s="22">
        <v>40772</v>
      </c>
      <c r="I3" s="22" t="s">
        <v>180</v>
      </c>
      <c r="J3" s="22">
        <v>42779</v>
      </c>
      <c r="K3" s="21" t="s">
        <v>55</v>
      </c>
      <c r="L3" s="21" t="str">
        <f>VLOOKUP(C3,'Trips&amp;Operators'!$C$1:$E$9999,3,FALSE)</f>
        <v>STRICKLAND</v>
      </c>
      <c r="M3" s="20" t="s">
        <v>80</v>
      </c>
      <c r="N3" s="21"/>
      <c r="P3" s="80" t="str">
        <f>VLOOKUP(C3,'Train Runs'!$A$3:$W$255,20,0)</f>
        <v>NorthBound</v>
      </c>
      <c r="Q3" s="19" t="str">
        <f>MID(B3,13,4)</f>
        <v>4020</v>
      </c>
    </row>
    <row r="4" spans="1:17" s="19" customFormat="1" x14ac:dyDescent="0.25">
      <c r="A4" s="23">
        <v>42519.633819444447</v>
      </c>
      <c r="B4" s="22" t="s">
        <v>108</v>
      </c>
      <c r="C4" s="22" t="s">
        <v>309</v>
      </c>
      <c r="D4" s="22" t="s">
        <v>57</v>
      </c>
      <c r="E4" s="22" t="s">
        <v>179</v>
      </c>
      <c r="F4" s="22">
        <v>690</v>
      </c>
      <c r="G4" s="22">
        <v>749</v>
      </c>
      <c r="H4" s="22">
        <v>47987</v>
      </c>
      <c r="I4" s="22" t="s">
        <v>180</v>
      </c>
      <c r="J4" s="22">
        <v>47866</v>
      </c>
      <c r="K4" s="21" t="s">
        <v>55</v>
      </c>
      <c r="L4" s="21" t="str">
        <f>VLOOKUP(C4,'Trips&amp;Operators'!$C$1:$E$9999,3,FALSE)</f>
        <v>BONDS</v>
      </c>
      <c r="M4" s="20" t="s">
        <v>80</v>
      </c>
      <c r="N4" s="21"/>
      <c r="P4" s="80" t="str">
        <f>VLOOKUP(C4,'Train Runs'!$A$3:$W$255,20,0)</f>
        <v>NorthBound</v>
      </c>
      <c r="Q4" s="19" t="str">
        <f t="shared" ref="Q4:Q60" si="0">MID(B4,13,4)</f>
        <v>4011</v>
      </c>
    </row>
    <row r="5" spans="1:17" s="19" customFormat="1" x14ac:dyDescent="0.25">
      <c r="A5" s="23">
        <v>42519.7577662037</v>
      </c>
      <c r="B5" s="22" t="s">
        <v>63</v>
      </c>
      <c r="C5" s="22" t="s">
        <v>341</v>
      </c>
      <c r="D5" s="22" t="s">
        <v>52</v>
      </c>
      <c r="E5" s="22" t="s">
        <v>179</v>
      </c>
      <c r="F5" s="22">
        <v>0</v>
      </c>
      <c r="G5" s="22">
        <v>40</v>
      </c>
      <c r="H5" s="22">
        <v>108532</v>
      </c>
      <c r="I5" s="22" t="s">
        <v>180</v>
      </c>
      <c r="J5" s="22">
        <v>108954</v>
      </c>
      <c r="K5" s="21" t="s">
        <v>55</v>
      </c>
      <c r="L5" s="21" t="str">
        <f>VLOOKUP(C5,'Trips&amp;Operators'!$C$1:$E$9999,3,FALSE)</f>
        <v>CHANDLER</v>
      </c>
      <c r="M5" s="20" t="s">
        <v>80</v>
      </c>
      <c r="N5" s="21" t="s">
        <v>397</v>
      </c>
      <c r="P5" s="80" t="str">
        <f>VLOOKUP(C5,'Train Runs'!$A$3:$W$255,20,0)</f>
        <v>NorthBound</v>
      </c>
      <c r="Q5" s="19" t="str">
        <f t="shared" si="0"/>
        <v>4020</v>
      </c>
    </row>
    <row r="6" spans="1:17" s="19" customFormat="1" x14ac:dyDescent="0.25">
      <c r="A6" s="23">
        <v>42519.757962962962</v>
      </c>
      <c r="B6" s="22" t="s">
        <v>107</v>
      </c>
      <c r="C6" s="22" t="s">
        <v>331</v>
      </c>
      <c r="D6" s="22" t="s">
        <v>52</v>
      </c>
      <c r="E6" s="22" t="s">
        <v>179</v>
      </c>
      <c r="F6" s="22">
        <v>350</v>
      </c>
      <c r="G6" s="22">
        <v>451</v>
      </c>
      <c r="H6" s="22">
        <v>58438</v>
      </c>
      <c r="I6" s="22" t="s">
        <v>180</v>
      </c>
      <c r="J6" s="22">
        <v>58301</v>
      </c>
      <c r="K6" s="21" t="s">
        <v>56</v>
      </c>
      <c r="L6" s="21" t="str">
        <f>VLOOKUP(C6,'Trips&amp;Operators'!$C$1:$E$9999,3,FALSE)</f>
        <v>BONDS</v>
      </c>
      <c r="M6" s="20" t="s">
        <v>80</v>
      </c>
      <c r="N6" s="21"/>
      <c r="P6" s="80" t="str">
        <f>VLOOKUP(C6,'Train Runs'!$A$3:$W$255,20,0)</f>
        <v>Southbound</v>
      </c>
      <c r="Q6" s="19" t="str">
        <f t="shared" si="0"/>
        <v>4012</v>
      </c>
    </row>
    <row r="7" spans="1:17" s="19" customFormat="1" x14ac:dyDescent="0.25">
      <c r="A7" s="23">
        <v>42519.774560185186</v>
      </c>
      <c r="B7" s="22" t="s">
        <v>124</v>
      </c>
      <c r="C7" s="22" t="s">
        <v>337</v>
      </c>
      <c r="D7" s="22" t="s">
        <v>52</v>
      </c>
      <c r="E7" s="22" t="s">
        <v>179</v>
      </c>
      <c r="F7" s="22">
        <v>80</v>
      </c>
      <c r="G7" s="22">
        <v>196</v>
      </c>
      <c r="H7" s="22">
        <v>109533</v>
      </c>
      <c r="I7" s="22" t="s">
        <v>180</v>
      </c>
      <c r="J7" s="22">
        <v>109135</v>
      </c>
      <c r="K7" s="21" t="s">
        <v>56</v>
      </c>
      <c r="L7" s="21" t="str">
        <f>VLOOKUP(C7,'Trips&amp;Operators'!$C$1:$E$9999,3,FALSE)</f>
        <v>MAYBERRY</v>
      </c>
      <c r="M7" s="20" t="s">
        <v>80</v>
      </c>
      <c r="N7" s="21"/>
      <c r="P7" s="80" t="str">
        <f>VLOOKUP(C7,'Train Runs'!$A$3:$W$255,20,0)</f>
        <v>Southbound</v>
      </c>
      <c r="Q7" s="19" t="str">
        <f t="shared" si="0"/>
        <v>4037</v>
      </c>
    </row>
    <row r="8" spans="1:17" s="19" customFormat="1" x14ac:dyDescent="0.25">
      <c r="A8" s="23">
        <v>42519.243750000001</v>
      </c>
      <c r="B8" s="22" t="s">
        <v>99</v>
      </c>
      <c r="C8" s="22" t="s">
        <v>207</v>
      </c>
      <c r="D8" s="22" t="s">
        <v>52</v>
      </c>
      <c r="E8" s="22" t="s">
        <v>60</v>
      </c>
      <c r="F8" s="22">
        <v>300</v>
      </c>
      <c r="G8" s="22">
        <v>248</v>
      </c>
      <c r="H8" s="22">
        <v>19691</v>
      </c>
      <c r="I8" s="22" t="s">
        <v>61</v>
      </c>
      <c r="J8" s="22">
        <v>20338</v>
      </c>
      <c r="K8" s="21" t="s">
        <v>55</v>
      </c>
      <c r="L8" s="21" t="str">
        <f>VLOOKUP(C8,'Trips&amp;Operators'!$C$1:$E$9999,3,FALSE)</f>
        <v>NELSON</v>
      </c>
      <c r="M8" s="20" t="s">
        <v>80</v>
      </c>
      <c r="N8" s="21"/>
      <c r="P8" s="80" t="str">
        <f>VLOOKUP(C8,'Train Runs'!$A$3:$W$255,20,0)</f>
        <v>NorthBound</v>
      </c>
      <c r="Q8" s="19" t="str">
        <f t="shared" si="0"/>
        <v>4031</v>
      </c>
    </row>
    <row r="9" spans="1:17" s="19" customFormat="1" x14ac:dyDescent="0.25">
      <c r="A9" s="23">
        <v>42519.269259259258</v>
      </c>
      <c r="B9" s="22" t="s">
        <v>64</v>
      </c>
      <c r="C9" s="22" t="s">
        <v>206</v>
      </c>
      <c r="D9" s="22" t="s">
        <v>52</v>
      </c>
      <c r="E9" s="22" t="s">
        <v>60</v>
      </c>
      <c r="F9" s="22">
        <v>150</v>
      </c>
      <c r="G9" s="22">
        <v>203</v>
      </c>
      <c r="H9" s="22">
        <v>229519</v>
      </c>
      <c r="I9" s="22" t="s">
        <v>61</v>
      </c>
      <c r="J9" s="22">
        <v>229055</v>
      </c>
      <c r="K9" s="21" t="s">
        <v>56</v>
      </c>
      <c r="L9" s="21" t="str">
        <f>VLOOKUP(C9,'Trips&amp;Operators'!$C$1:$E$9999,3,FALSE)</f>
        <v>GOODNIGHT</v>
      </c>
      <c r="M9" s="20" t="s">
        <v>80</v>
      </c>
      <c r="N9" s="21"/>
      <c r="P9" s="80" t="str">
        <f>VLOOKUP(C9,'Train Runs'!$A$3:$W$255,20,0)</f>
        <v>Southbound</v>
      </c>
      <c r="Q9" s="19" t="str">
        <f t="shared" si="0"/>
        <v>4019</v>
      </c>
    </row>
    <row r="10" spans="1:17" s="19" customFormat="1" x14ac:dyDescent="0.25">
      <c r="A10" s="23">
        <v>42519.384328703702</v>
      </c>
      <c r="B10" s="22" t="s">
        <v>94</v>
      </c>
      <c r="C10" s="22" t="s">
        <v>237</v>
      </c>
      <c r="D10" s="22" t="s">
        <v>57</v>
      </c>
      <c r="E10" s="22" t="s">
        <v>60</v>
      </c>
      <c r="F10" s="22">
        <v>350</v>
      </c>
      <c r="G10" s="22">
        <v>400</v>
      </c>
      <c r="H10" s="22">
        <v>224796</v>
      </c>
      <c r="I10" s="22" t="s">
        <v>61</v>
      </c>
      <c r="J10" s="22">
        <v>232107</v>
      </c>
      <c r="K10" s="21" t="s">
        <v>56</v>
      </c>
      <c r="L10" s="21" t="str">
        <f>VLOOKUP(C10,'Trips&amp;Operators'!$C$1:$E$9999,3,FALSE)</f>
        <v>MALAVE</v>
      </c>
      <c r="M10" s="20" t="s">
        <v>80</v>
      </c>
      <c r="N10" s="21"/>
      <c r="P10" s="80" t="str">
        <f>VLOOKUP(C10,'Train Runs'!$A$3:$W$255,20,0)</f>
        <v>Southbound</v>
      </c>
      <c r="Q10" s="19" t="str">
        <f t="shared" si="0"/>
        <v>4039</v>
      </c>
    </row>
    <row r="11" spans="1:17" s="19" customFormat="1" x14ac:dyDescent="0.25">
      <c r="A11" s="23">
        <v>42519.430358796293</v>
      </c>
      <c r="B11" s="22" t="s">
        <v>108</v>
      </c>
      <c r="C11" s="22" t="s">
        <v>254</v>
      </c>
      <c r="D11" s="22" t="s">
        <v>52</v>
      </c>
      <c r="E11" s="22" t="s">
        <v>60</v>
      </c>
      <c r="F11" s="22">
        <v>150</v>
      </c>
      <c r="G11" s="22">
        <v>142</v>
      </c>
      <c r="H11" s="22">
        <v>230126</v>
      </c>
      <c r="I11" s="22" t="s">
        <v>61</v>
      </c>
      <c r="J11" s="22">
        <v>230436</v>
      </c>
      <c r="K11" s="21" t="s">
        <v>55</v>
      </c>
      <c r="L11" s="21" t="str">
        <f>VLOOKUP(C11,'Trips&amp;Operators'!$C$1:$E$9999,3,FALSE)</f>
        <v>SANTIZO</v>
      </c>
      <c r="M11" s="20" t="s">
        <v>80</v>
      </c>
      <c r="N11" s="21"/>
      <c r="P11" s="80" t="str">
        <f>VLOOKUP(C11,'Train Runs'!$A$3:$W$255,20,0)</f>
        <v>NorthBound</v>
      </c>
      <c r="Q11" s="19" t="str">
        <f t="shared" si="0"/>
        <v>4011</v>
      </c>
    </row>
    <row r="12" spans="1:17" s="19" customFormat="1" x14ac:dyDescent="0.25">
      <c r="A12" s="23">
        <v>42519.47283564815</v>
      </c>
      <c r="B12" s="22" t="s">
        <v>63</v>
      </c>
      <c r="C12" s="22" t="s">
        <v>265</v>
      </c>
      <c r="D12" s="22" t="s">
        <v>52</v>
      </c>
      <c r="E12" s="22" t="s">
        <v>60</v>
      </c>
      <c r="F12" s="22">
        <v>350</v>
      </c>
      <c r="G12" s="22">
        <v>444</v>
      </c>
      <c r="H12" s="22">
        <v>223393</v>
      </c>
      <c r="I12" s="22" t="s">
        <v>61</v>
      </c>
      <c r="J12" s="22">
        <v>224578</v>
      </c>
      <c r="K12" s="21" t="s">
        <v>55</v>
      </c>
      <c r="L12" s="21" t="str">
        <f>VLOOKUP(C12,'Trips&amp;Operators'!$C$1:$E$9999,3,FALSE)</f>
        <v>STRICKLAND</v>
      </c>
      <c r="M12" s="20" t="s">
        <v>80</v>
      </c>
      <c r="N12" s="21"/>
      <c r="P12" s="80" t="str">
        <f>VLOOKUP(C12,'Train Runs'!$A$3:$W$255,20,0)</f>
        <v>NorthBound</v>
      </c>
      <c r="Q12" s="19" t="str">
        <f t="shared" si="0"/>
        <v>4020</v>
      </c>
    </row>
    <row r="13" spans="1:17" s="19" customFormat="1" x14ac:dyDescent="0.25">
      <c r="A13" s="23">
        <v>42519.474074074074</v>
      </c>
      <c r="B13" s="22" t="s">
        <v>63</v>
      </c>
      <c r="C13" s="22" t="s">
        <v>265</v>
      </c>
      <c r="D13" s="22" t="s">
        <v>52</v>
      </c>
      <c r="E13" s="22" t="s">
        <v>60</v>
      </c>
      <c r="F13" s="22">
        <v>150</v>
      </c>
      <c r="G13" s="22">
        <v>300</v>
      </c>
      <c r="H13" s="22">
        <v>228657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STRICKLAND</v>
      </c>
      <c r="M13" s="20" t="s">
        <v>80</v>
      </c>
      <c r="N13" s="21"/>
      <c r="P13" s="80" t="str">
        <f>VLOOKUP(C13,'Train Runs'!$A$3:$W$255,20,0)</f>
        <v>NorthBound</v>
      </c>
      <c r="Q13" s="19" t="str">
        <f t="shared" si="0"/>
        <v>4020</v>
      </c>
    </row>
    <row r="14" spans="1:17" s="19" customFormat="1" x14ac:dyDescent="0.25">
      <c r="A14" s="23">
        <v>42519.494398148148</v>
      </c>
      <c r="B14" s="22" t="s">
        <v>63</v>
      </c>
      <c r="C14" s="22" t="s">
        <v>265</v>
      </c>
      <c r="D14" s="22" t="s">
        <v>52</v>
      </c>
      <c r="E14" s="22" t="s">
        <v>60</v>
      </c>
      <c r="F14" s="22">
        <v>450</v>
      </c>
      <c r="G14" s="22">
        <v>414</v>
      </c>
      <c r="H14" s="22">
        <v>191587</v>
      </c>
      <c r="I14" s="22" t="s">
        <v>61</v>
      </c>
      <c r="J14" s="22">
        <v>191108</v>
      </c>
      <c r="K14" s="21" t="s">
        <v>56</v>
      </c>
      <c r="L14" s="21" t="str">
        <f>VLOOKUP(C14,'Trips&amp;Operators'!$C$1:$E$9999,3,FALSE)</f>
        <v>STRICKLAND</v>
      </c>
      <c r="M14" s="20" t="s">
        <v>80</v>
      </c>
      <c r="N14" s="21"/>
      <c r="P14" s="80" t="str">
        <f>VLOOKUP(C14,'Train Runs'!$A$3:$W$255,20,0)</f>
        <v>NorthBound</v>
      </c>
      <c r="Q14" s="19" t="str">
        <f t="shared" si="0"/>
        <v>4020</v>
      </c>
    </row>
    <row r="15" spans="1:17" s="19" customFormat="1" x14ac:dyDescent="0.25">
      <c r="A15" s="23">
        <v>42519.541215277779</v>
      </c>
      <c r="B15" s="22" t="s">
        <v>63</v>
      </c>
      <c r="C15" s="22" t="s">
        <v>286</v>
      </c>
      <c r="D15" s="22" t="s">
        <v>57</v>
      </c>
      <c r="E15" s="22" t="s">
        <v>60</v>
      </c>
      <c r="F15" s="22">
        <v>700</v>
      </c>
      <c r="G15" s="22">
        <v>750</v>
      </c>
      <c r="H15" s="22">
        <v>174271</v>
      </c>
      <c r="I15" s="22" t="s">
        <v>61</v>
      </c>
      <c r="J15" s="22">
        <v>161962</v>
      </c>
      <c r="K15" s="21" t="s">
        <v>55</v>
      </c>
      <c r="L15" s="21" t="str">
        <f>VLOOKUP(C15,'Trips&amp;Operators'!$C$1:$E$9999,3,FALSE)</f>
        <v>STRICKLAND</v>
      </c>
      <c r="M15" s="20" t="s">
        <v>80</v>
      </c>
      <c r="N15" s="21"/>
      <c r="P15" s="80" t="str">
        <f>VLOOKUP(C15,'Train Runs'!$A$3:$W$255,20,0)</f>
        <v>NorthBound</v>
      </c>
      <c r="Q15" s="19" t="str">
        <f t="shared" si="0"/>
        <v>4020</v>
      </c>
    </row>
    <row r="16" spans="1:17" s="19" customFormat="1" x14ac:dyDescent="0.25">
      <c r="A16" s="23">
        <v>42519.581180555557</v>
      </c>
      <c r="B16" s="22" t="s">
        <v>64</v>
      </c>
      <c r="C16" s="22" t="s">
        <v>287</v>
      </c>
      <c r="D16" s="22" t="s">
        <v>52</v>
      </c>
      <c r="E16" s="22" t="s">
        <v>60</v>
      </c>
      <c r="F16" s="22">
        <v>200</v>
      </c>
      <c r="G16" s="22">
        <v>278</v>
      </c>
      <c r="H16" s="22">
        <v>31435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STRICKLAND</v>
      </c>
      <c r="M16" s="20" t="s">
        <v>80</v>
      </c>
      <c r="N16" s="21"/>
      <c r="P16" s="80" t="str">
        <f>VLOOKUP(C16,'Train Runs'!$A$3:$W$255,20,0)</f>
        <v>Southbound</v>
      </c>
      <c r="Q16" s="19" t="str">
        <f t="shared" si="0"/>
        <v>4019</v>
      </c>
    </row>
    <row r="17" spans="1:18" s="19" customFormat="1" x14ac:dyDescent="0.25">
      <c r="A17" s="23">
        <v>42519.620138888888</v>
      </c>
      <c r="B17" s="22" t="s">
        <v>63</v>
      </c>
      <c r="C17" s="22" t="s">
        <v>302</v>
      </c>
      <c r="D17" s="22" t="s">
        <v>52</v>
      </c>
      <c r="E17" s="22" t="s">
        <v>60</v>
      </c>
      <c r="F17" s="22">
        <v>150</v>
      </c>
      <c r="G17" s="22">
        <v>188</v>
      </c>
      <c r="H17" s="22">
        <v>231831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STRICKLAND</v>
      </c>
      <c r="M17" s="20" t="s">
        <v>80</v>
      </c>
      <c r="N17" s="21"/>
      <c r="P17" s="80" t="str">
        <f>VLOOKUP(C17,'Train Runs'!$A$3:$W$255,20,0)</f>
        <v>NorthBound</v>
      </c>
      <c r="Q17" s="19" t="str">
        <f t="shared" si="0"/>
        <v>4020</v>
      </c>
    </row>
    <row r="18" spans="1:18" s="19" customFormat="1" x14ac:dyDescent="0.25">
      <c r="A18" s="23">
        <v>42519.64638888889</v>
      </c>
      <c r="B18" s="22" t="s">
        <v>113</v>
      </c>
      <c r="C18" s="22" t="s">
        <v>301</v>
      </c>
      <c r="D18" s="22" t="s">
        <v>52</v>
      </c>
      <c r="E18" s="22" t="s">
        <v>60</v>
      </c>
      <c r="F18" s="22">
        <v>200</v>
      </c>
      <c r="G18" s="22">
        <v>384</v>
      </c>
      <c r="H18" s="22">
        <v>6931</v>
      </c>
      <c r="I18" s="22" t="s">
        <v>61</v>
      </c>
      <c r="J18" s="22">
        <v>5439</v>
      </c>
      <c r="K18" s="21" t="s">
        <v>56</v>
      </c>
      <c r="L18" s="21" t="str">
        <f>VLOOKUP(C18,'Trips&amp;Operators'!$C$1:$E$9999,3,FALSE)</f>
        <v>STEWART</v>
      </c>
      <c r="M18" s="20" t="s">
        <v>80</v>
      </c>
      <c r="N18" s="21"/>
      <c r="P18" s="80" t="str">
        <f>VLOOKUP(C18,'Train Runs'!$A$3:$W$255,20,0)</f>
        <v>Southbound</v>
      </c>
      <c r="Q18" s="19" t="str">
        <f t="shared" si="0"/>
        <v>4041</v>
      </c>
    </row>
    <row r="19" spans="1:18" s="19" customFormat="1" x14ac:dyDescent="0.25">
      <c r="A19" s="23">
        <v>42519.730844907404</v>
      </c>
      <c r="B19" s="22" t="s">
        <v>64</v>
      </c>
      <c r="C19" s="22" t="s">
        <v>323</v>
      </c>
      <c r="D19" s="22" t="s">
        <v>52</v>
      </c>
      <c r="E19" s="22" t="s">
        <v>60</v>
      </c>
      <c r="F19" s="22">
        <v>150</v>
      </c>
      <c r="G19" s="22">
        <v>174</v>
      </c>
      <c r="H19" s="22">
        <v>4941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STRICKLAND</v>
      </c>
      <c r="M19" s="20" t="s">
        <v>80</v>
      </c>
      <c r="N19" s="21"/>
      <c r="P19" s="80" t="str">
        <f>VLOOKUP(C19,'Train Runs'!$A$3:$W$255,20,0)</f>
        <v>Southbound</v>
      </c>
      <c r="Q19" s="19" t="str">
        <f t="shared" si="0"/>
        <v>4019</v>
      </c>
    </row>
    <row r="20" spans="1:18" s="19" customFormat="1" x14ac:dyDescent="0.25">
      <c r="A20" s="23">
        <v>42519.743275462963</v>
      </c>
      <c r="B20" s="22" t="s">
        <v>123</v>
      </c>
      <c r="C20" s="22" t="s">
        <v>336</v>
      </c>
      <c r="D20" s="22" t="s">
        <v>52</v>
      </c>
      <c r="E20" s="22" t="s">
        <v>60</v>
      </c>
      <c r="F20" s="22">
        <v>150</v>
      </c>
      <c r="G20" s="22">
        <v>270</v>
      </c>
      <c r="H20" s="22">
        <v>228949</v>
      </c>
      <c r="I20" s="22" t="s">
        <v>61</v>
      </c>
      <c r="J20" s="22">
        <v>230436</v>
      </c>
      <c r="K20" s="21" t="s">
        <v>55</v>
      </c>
      <c r="L20" s="21" t="str">
        <f>VLOOKUP(C20,'Trips&amp;Operators'!$C$1:$E$9999,3,FALSE)</f>
        <v>MAYBERRY</v>
      </c>
      <c r="M20" s="20" t="s">
        <v>80</v>
      </c>
      <c r="N20" s="21"/>
      <c r="P20" s="80" t="str">
        <f>VLOOKUP(C20,'Train Runs'!$A$3:$W$255,20,0)</f>
        <v>NorthBound</v>
      </c>
      <c r="Q20" s="19" t="str">
        <f t="shared" si="0"/>
        <v>4038</v>
      </c>
    </row>
    <row r="21" spans="1:18" s="19" customFormat="1" x14ac:dyDescent="0.25">
      <c r="A21" s="23">
        <v>42519.766168981485</v>
      </c>
      <c r="B21" s="22" t="s">
        <v>107</v>
      </c>
      <c r="C21" s="22" t="s">
        <v>331</v>
      </c>
      <c r="D21" s="22" t="s">
        <v>52</v>
      </c>
      <c r="E21" s="22" t="s">
        <v>60</v>
      </c>
      <c r="F21" s="22">
        <v>150</v>
      </c>
      <c r="G21" s="22">
        <v>131</v>
      </c>
      <c r="H21" s="22">
        <v>5067</v>
      </c>
      <c r="I21" s="22" t="s">
        <v>61</v>
      </c>
      <c r="J21" s="22">
        <v>4677</v>
      </c>
      <c r="K21" s="21" t="s">
        <v>56</v>
      </c>
      <c r="L21" s="21" t="str">
        <f>VLOOKUP(C21,'Trips&amp;Operators'!$C$1:$E$9999,3,FALSE)</f>
        <v>BONDS</v>
      </c>
      <c r="M21" s="20" t="s">
        <v>80</v>
      </c>
      <c r="N21" s="21"/>
      <c r="P21" s="80" t="str">
        <f>VLOOKUP(C21,'Train Runs'!$A$3:$W$255,20,0)</f>
        <v>Southbound</v>
      </c>
      <c r="Q21" s="19" t="str">
        <f t="shared" si="0"/>
        <v>4012</v>
      </c>
    </row>
    <row r="22" spans="1:18" s="19" customFormat="1" x14ac:dyDescent="0.25">
      <c r="A22" s="23">
        <v>42519.774039351854</v>
      </c>
      <c r="B22" s="22" t="s">
        <v>124</v>
      </c>
      <c r="C22" s="22" t="s">
        <v>337</v>
      </c>
      <c r="D22" s="22" t="s">
        <v>52</v>
      </c>
      <c r="E22" s="22" t="s">
        <v>60</v>
      </c>
      <c r="F22" s="22">
        <v>450</v>
      </c>
      <c r="G22" s="22">
        <v>480</v>
      </c>
      <c r="H22" s="22">
        <v>111842</v>
      </c>
      <c r="I22" s="22" t="s">
        <v>61</v>
      </c>
      <c r="J22" s="22">
        <v>110617</v>
      </c>
      <c r="K22" s="21" t="s">
        <v>56</v>
      </c>
      <c r="L22" s="21" t="str">
        <f>VLOOKUP(C22,'Trips&amp;Operators'!$C$1:$E$9999,3,FALSE)</f>
        <v>MAYBERRY</v>
      </c>
      <c r="M22" s="20" t="s">
        <v>80</v>
      </c>
      <c r="N22" s="21"/>
      <c r="P22" s="80" t="str">
        <f>VLOOKUP(C22,'Train Runs'!$A$3:$W$255,20,0)</f>
        <v>Southbound</v>
      </c>
      <c r="Q22" s="19" t="str">
        <f t="shared" si="0"/>
        <v>4037</v>
      </c>
    </row>
    <row r="23" spans="1:18" s="19" customFormat="1" x14ac:dyDescent="0.25">
      <c r="A23" s="23">
        <v>42519.264768518522</v>
      </c>
      <c r="B23" s="22" t="s">
        <v>110</v>
      </c>
      <c r="C23" s="22" t="s">
        <v>210</v>
      </c>
      <c r="D23" s="22" t="s">
        <v>57</v>
      </c>
      <c r="E23" s="22" t="s">
        <v>58</v>
      </c>
      <c r="F23" s="22">
        <v>200</v>
      </c>
      <c r="G23" s="22">
        <v>250</v>
      </c>
      <c r="H23" s="22">
        <v>99793</v>
      </c>
      <c r="I23" s="22" t="s">
        <v>59</v>
      </c>
      <c r="J23" s="22">
        <v>95978</v>
      </c>
      <c r="K23" s="21" t="s">
        <v>55</v>
      </c>
      <c r="L23" s="21" t="str">
        <f>VLOOKUP(C23,'Trips&amp;Operators'!$C$1:$E$9999,3,FALSE)</f>
        <v>LEDERHAUSE</v>
      </c>
      <c r="M23" s="20" t="s">
        <v>80</v>
      </c>
      <c r="N23" s="21" t="s">
        <v>395</v>
      </c>
      <c r="P23" s="80" t="str">
        <f>VLOOKUP(C23,'Train Runs'!$A$3:$W$255,20,0)</f>
        <v>NorthBound</v>
      </c>
      <c r="Q23" s="19" t="str">
        <f t="shared" si="0"/>
        <v>4044</v>
      </c>
    </row>
    <row r="24" spans="1:18" s="19" customFormat="1" x14ac:dyDescent="0.25">
      <c r="A24" s="23">
        <v>42519.417534722219</v>
      </c>
      <c r="B24" s="22" t="s">
        <v>64</v>
      </c>
      <c r="C24" s="22" t="s">
        <v>247</v>
      </c>
      <c r="D24" s="22" t="s">
        <v>52</v>
      </c>
      <c r="E24" s="22" t="s">
        <v>58</v>
      </c>
      <c r="F24" s="22">
        <v>0</v>
      </c>
      <c r="G24" s="22">
        <v>762</v>
      </c>
      <c r="H24" s="22">
        <v>202366</v>
      </c>
      <c r="I24" s="22" t="s">
        <v>59</v>
      </c>
      <c r="J24" s="22">
        <v>198256</v>
      </c>
      <c r="K24" s="21" t="s">
        <v>56</v>
      </c>
      <c r="L24" s="21" t="str">
        <f>VLOOKUP(C24,'Trips&amp;Operators'!$C$1:$E$9999,3,FALSE)</f>
        <v>GOODNIGHT</v>
      </c>
      <c r="M24" s="20" t="s">
        <v>115</v>
      </c>
      <c r="N24" s="21" t="s">
        <v>398</v>
      </c>
      <c r="P24" s="80" t="str">
        <f>VLOOKUP(C24,'Train Runs'!$A$3:$W$255,20,0)</f>
        <v>Southbound</v>
      </c>
      <c r="Q24" s="19" t="str">
        <f t="shared" si="0"/>
        <v>4019</v>
      </c>
    </row>
    <row r="25" spans="1:18" s="19" customFormat="1" x14ac:dyDescent="0.25">
      <c r="A25" s="23">
        <v>42519.465370370373</v>
      </c>
      <c r="B25" s="22" t="s">
        <v>94</v>
      </c>
      <c r="C25" s="22" t="s">
        <v>258</v>
      </c>
      <c r="D25" s="22" t="s">
        <v>52</v>
      </c>
      <c r="E25" s="22" t="s">
        <v>58</v>
      </c>
      <c r="F25" s="22">
        <v>0</v>
      </c>
      <c r="G25" s="22">
        <v>141</v>
      </c>
      <c r="H25" s="22">
        <v>128073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MALAVE</v>
      </c>
      <c r="M25" s="20" t="s">
        <v>80</v>
      </c>
      <c r="N25" s="21" t="s">
        <v>399</v>
      </c>
      <c r="P25" s="80" t="str">
        <f>VLOOKUP(C25,'Train Runs'!$A$3:$W$255,20,0)</f>
        <v>Southbound</v>
      </c>
      <c r="Q25" s="19" t="str">
        <f t="shared" si="0"/>
        <v>4039</v>
      </c>
    </row>
    <row r="26" spans="1:18" s="19" customFormat="1" x14ac:dyDescent="0.25">
      <c r="A26" s="23">
        <v>42519.747719907406</v>
      </c>
      <c r="B26" s="22" t="s">
        <v>107</v>
      </c>
      <c r="C26" s="22" t="s">
        <v>331</v>
      </c>
      <c r="D26" s="22" t="s">
        <v>52</v>
      </c>
      <c r="E26" s="22" t="s">
        <v>58</v>
      </c>
      <c r="F26" s="22">
        <v>0</v>
      </c>
      <c r="G26" s="22">
        <v>96</v>
      </c>
      <c r="H26" s="22">
        <v>127916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BONDS</v>
      </c>
      <c r="M26" s="20" t="s">
        <v>80</v>
      </c>
      <c r="N26" s="21" t="s">
        <v>399</v>
      </c>
      <c r="P26" s="80" t="str">
        <f>VLOOKUP(C26,'Train Runs'!$A$3:$W$255,20,0)</f>
        <v>Southbound</v>
      </c>
      <c r="Q26" s="19" t="str">
        <f t="shared" si="0"/>
        <v>4012</v>
      </c>
    </row>
    <row r="27" spans="1:18" s="19" customFormat="1" x14ac:dyDescent="0.25">
      <c r="A27" s="23">
        <v>42519.748067129629</v>
      </c>
      <c r="B27" s="22" t="s">
        <v>107</v>
      </c>
      <c r="C27" s="22" t="s">
        <v>331</v>
      </c>
      <c r="D27" s="22" t="s">
        <v>52</v>
      </c>
      <c r="E27" s="22" t="s">
        <v>58</v>
      </c>
      <c r="F27" s="22">
        <v>0</v>
      </c>
      <c r="G27" s="22">
        <v>38</v>
      </c>
      <c r="H27" s="22">
        <v>127790</v>
      </c>
      <c r="I27" s="22" t="s">
        <v>59</v>
      </c>
      <c r="J27" s="22">
        <v>127587</v>
      </c>
      <c r="K27" s="21" t="s">
        <v>56</v>
      </c>
      <c r="L27" s="21" t="str">
        <f>VLOOKUP(C27,'Trips&amp;Operators'!$C$1:$E$9999,3,FALSE)</f>
        <v>BONDS</v>
      </c>
      <c r="M27" s="20" t="s">
        <v>80</v>
      </c>
      <c r="N27" s="21" t="s">
        <v>399</v>
      </c>
      <c r="P27" s="80" t="str">
        <f>VLOOKUP(C27,'Train Runs'!$A$3:$W$255,20,0)</f>
        <v>Southbound</v>
      </c>
      <c r="Q27" s="19" t="str">
        <f t="shared" si="0"/>
        <v>4012</v>
      </c>
    </row>
    <row r="28" spans="1:18" s="19" customFormat="1" x14ac:dyDescent="0.25">
      <c r="A28" s="23">
        <v>42519.808182870373</v>
      </c>
      <c r="B28" s="22" t="s">
        <v>109</v>
      </c>
      <c r="C28" s="22" t="s">
        <v>347</v>
      </c>
      <c r="D28" s="22" t="s">
        <v>52</v>
      </c>
      <c r="E28" s="22" t="s">
        <v>58</v>
      </c>
      <c r="F28" s="22">
        <v>0</v>
      </c>
      <c r="G28" s="22">
        <v>555</v>
      </c>
      <c r="H28" s="22">
        <v>131504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YORK</v>
      </c>
      <c r="M28" s="20" t="s">
        <v>80</v>
      </c>
      <c r="N28" s="21" t="s">
        <v>399</v>
      </c>
      <c r="P28" s="80" t="str">
        <f>VLOOKUP(C28,'Train Runs'!$A$3:$W$255,20,0)</f>
        <v>Southbound</v>
      </c>
      <c r="Q28" s="19" t="str">
        <f t="shared" si="0"/>
        <v>4043</v>
      </c>
    </row>
    <row r="29" spans="1:18" s="19" customFormat="1" x14ac:dyDescent="0.25">
      <c r="A29" s="23">
        <v>42519.251805555556</v>
      </c>
      <c r="B29" s="22" t="s">
        <v>94</v>
      </c>
      <c r="C29" s="22" t="s">
        <v>197</v>
      </c>
      <c r="D29" s="22" t="s">
        <v>57</v>
      </c>
      <c r="E29" s="22" t="s">
        <v>386</v>
      </c>
      <c r="F29" s="22">
        <v>790</v>
      </c>
      <c r="G29" s="22">
        <v>855</v>
      </c>
      <c r="H29" s="22">
        <v>98652</v>
      </c>
      <c r="I29" s="22" t="s">
        <v>61</v>
      </c>
      <c r="J29" s="22">
        <v>126678</v>
      </c>
      <c r="K29" s="21" t="s">
        <v>56</v>
      </c>
      <c r="L29" s="21" t="str">
        <f>VLOOKUP(C29,'Trips&amp;Operators'!$C$1:$E$9999,3,FALSE)</f>
        <v>MALAVE</v>
      </c>
      <c r="M29" s="20" t="s">
        <v>80</v>
      </c>
      <c r="N29" s="21"/>
      <c r="P29" s="80" t="str">
        <f>VLOOKUP(C29,'Train Runs'!$A$3:$W$255,20,0)</f>
        <v>Southbound</v>
      </c>
      <c r="Q29" s="19" t="str">
        <f t="shared" si="0"/>
        <v>4039</v>
      </c>
      <c r="R29" s="83" t="s">
        <v>182</v>
      </c>
    </row>
    <row r="30" spans="1:18" s="19" customFormat="1" x14ac:dyDescent="0.25">
      <c r="A30" s="23">
        <v>42519.255925925929</v>
      </c>
      <c r="B30" s="22" t="s">
        <v>107</v>
      </c>
      <c r="C30" s="22" t="s">
        <v>194</v>
      </c>
      <c r="D30" s="22" t="s">
        <v>52</v>
      </c>
      <c r="E30" s="22" t="s">
        <v>53</v>
      </c>
      <c r="F30" s="22">
        <v>0</v>
      </c>
      <c r="G30" s="22">
        <v>56</v>
      </c>
      <c r="H30" s="22">
        <v>194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SANTIZO</v>
      </c>
      <c r="M30" s="20" t="s">
        <v>80</v>
      </c>
      <c r="N30" s="21"/>
      <c r="P30" s="80" t="str">
        <f>VLOOKUP(C30,'Train Runs'!$A$3:$W$255,20,0)</f>
        <v>Southbound</v>
      </c>
      <c r="Q30" s="19" t="str">
        <f t="shared" si="0"/>
        <v>4012</v>
      </c>
    </row>
    <row r="31" spans="1:18" s="19" customFormat="1" x14ac:dyDescent="0.25">
      <c r="A31" s="23">
        <v>42519.266006944446</v>
      </c>
      <c r="B31" s="22" t="s">
        <v>94</v>
      </c>
      <c r="C31" s="22" t="s">
        <v>197</v>
      </c>
      <c r="D31" s="22" t="s">
        <v>52</v>
      </c>
      <c r="E31" s="22" t="s">
        <v>53</v>
      </c>
      <c r="F31" s="22">
        <v>0</v>
      </c>
      <c r="G31" s="22">
        <v>9</v>
      </c>
      <c r="H31" s="22">
        <v>125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80</v>
      </c>
      <c r="N31" s="21"/>
      <c r="P31" s="80" t="str">
        <f>VLOOKUP(C31,'Train Runs'!$A$3:$W$255,20,0)</f>
        <v>Southbound</v>
      </c>
      <c r="Q31" s="19" t="str">
        <f t="shared" si="0"/>
        <v>4039</v>
      </c>
    </row>
    <row r="32" spans="1:18" s="19" customFormat="1" x14ac:dyDescent="0.25">
      <c r="A32" s="23">
        <v>42519.266770833332</v>
      </c>
      <c r="B32" s="22" t="s">
        <v>99</v>
      </c>
      <c r="C32" s="22" t="s">
        <v>207</v>
      </c>
      <c r="D32" s="22" t="s">
        <v>52</v>
      </c>
      <c r="E32" s="22" t="s">
        <v>53</v>
      </c>
      <c r="F32" s="22">
        <v>0</v>
      </c>
      <c r="G32" s="22">
        <v>8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NELSON</v>
      </c>
      <c r="M32" s="20" t="s">
        <v>80</v>
      </c>
      <c r="N32" s="21"/>
      <c r="P32" s="80" t="str">
        <f>VLOOKUP(C32,'Train Runs'!$A$3:$W$255,20,0)</f>
        <v>NorthBound</v>
      </c>
      <c r="Q32" s="19" t="str">
        <f t="shared" si="0"/>
        <v>4031</v>
      </c>
    </row>
    <row r="33" spans="1:17" s="19" customFormat="1" x14ac:dyDescent="0.25">
      <c r="A33" s="23">
        <v>42519.316134259258</v>
      </c>
      <c r="B33" s="22" t="s">
        <v>111</v>
      </c>
      <c r="C33" s="22" t="s">
        <v>222</v>
      </c>
      <c r="D33" s="22" t="s">
        <v>52</v>
      </c>
      <c r="E33" s="22" t="s">
        <v>53</v>
      </c>
      <c r="F33" s="22">
        <v>0</v>
      </c>
      <c r="G33" s="22">
        <v>4</v>
      </c>
      <c r="H33" s="22">
        <v>233149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LEVIN</v>
      </c>
      <c r="M33" s="20" t="s">
        <v>80</v>
      </c>
      <c r="N33" s="21"/>
      <c r="P33" s="80" t="str">
        <f>VLOOKUP(C33,'Train Runs'!$A$3:$W$255,20,0)</f>
        <v>NorthBound</v>
      </c>
      <c r="Q33" s="19" t="str">
        <f t="shared" si="0"/>
        <v>4042</v>
      </c>
    </row>
    <row r="34" spans="1:17" s="19" customFormat="1" x14ac:dyDescent="0.25">
      <c r="A34" s="23">
        <v>42519.368298611109</v>
      </c>
      <c r="B34" s="22" t="s">
        <v>93</v>
      </c>
      <c r="C34" s="22" t="s">
        <v>236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233342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MALAVE</v>
      </c>
      <c r="M34" s="20" t="s">
        <v>80</v>
      </c>
      <c r="N34" s="21"/>
      <c r="P34" s="80" t="str">
        <f>VLOOKUP(C34,'Train Runs'!$A$3:$W$255,20,0)</f>
        <v>NorthBound</v>
      </c>
      <c r="Q34" s="19" t="str">
        <f t="shared" si="0"/>
        <v>4040</v>
      </c>
    </row>
    <row r="35" spans="1:17" s="19" customFormat="1" x14ac:dyDescent="0.25">
      <c r="A35" s="23">
        <v>42519.398020833331</v>
      </c>
      <c r="B35" s="22" t="s">
        <v>107</v>
      </c>
      <c r="C35" s="22" t="s">
        <v>234</v>
      </c>
      <c r="D35" s="22" t="s">
        <v>52</v>
      </c>
      <c r="E35" s="22" t="s">
        <v>53</v>
      </c>
      <c r="F35" s="22">
        <v>0</v>
      </c>
      <c r="G35" s="22">
        <v>5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SANTIZO</v>
      </c>
      <c r="M35" s="20" t="s">
        <v>80</v>
      </c>
      <c r="N35" s="21"/>
      <c r="P35" s="80" t="str">
        <f>VLOOKUP(C35,'Train Runs'!$A$3:$W$255,20,0)</f>
        <v>Southbound</v>
      </c>
      <c r="Q35" s="19" t="str">
        <f t="shared" si="0"/>
        <v>4012</v>
      </c>
    </row>
    <row r="36" spans="1:17" s="19" customFormat="1" x14ac:dyDescent="0.25">
      <c r="A36" s="23">
        <v>42519.408437500002</v>
      </c>
      <c r="B36" s="22" t="s">
        <v>94</v>
      </c>
      <c r="C36" s="22" t="s">
        <v>237</v>
      </c>
      <c r="D36" s="22" t="s">
        <v>52</v>
      </c>
      <c r="E36" s="22" t="s">
        <v>53</v>
      </c>
      <c r="F36" s="22">
        <v>0</v>
      </c>
      <c r="G36" s="22">
        <v>4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80</v>
      </c>
      <c r="N36" s="21"/>
      <c r="P36" s="80" t="str">
        <f>VLOOKUP(C36,'Train Runs'!$A$3:$W$255,20,0)</f>
        <v>Southbound</v>
      </c>
      <c r="Q36" s="19" t="str">
        <f t="shared" si="0"/>
        <v>4039</v>
      </c>
    </row>
    <row r="37" spans="1:17" s="19" customFormat="1" x14ac:dyDescent="0.25">
      <c r="A37" s="23">
        <v>42519.439652777779</v>
      </c>
      <c r="B37" s="22" t="s">
        <v>64</v>
      </c>
      <c r="C37" s="22" t="s">
        <v>247</v>
      </c>
      <c r="D37" s="22" t="s">
        <v>52</v>
      </c>
      <c r="E37" s="22" t="s">
        <v>53</v>
      </c>
      <c r="F37" s="22">
        <v>0</v>
      </c>
      <c r="G37" s="22">
        <v>5</v>
      </c>
      <c r="H37" s="22">
        <v>127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GOODNIGHT</v>
      </c>
      <c r="M37" s="20" t="s">
        <v>80</v>
      </c>
      <c r="N37" s="21"/>
      <c r="P37" s="80" t="str">
        <f>VLOOKUP(C37,'Train Runs'!$A$3:$W$255,20,0)</f>
        <v>Southbound</v>
      </c>
      <c r="Q37" s="19" t="str">
        <f t="shared" si="0"/>
        <v>4019</v>
      </c>
    </row>
    <row r="38" spans="1:17" s="19" customFormat="1" x14ac:dyDescent="0.25">
      <c r="A38" s="23">
        <v>42519.450636574074</v>
      </c>
      <c r="B38" s="22" t="s">
        <v>106</v>
      </c>
      <c r="C38" s="22" t="s">
        <v>250</v>
      </c>
      <c r="D38" s="22" t="s">
        <v>52</v>
      </c>
      <c r="E38" s="22" t="s">
        <v>53</v>
      </c>
      <c r="F38" s="22">
        <v>0</v>
      </c>
      <c r="G38" s="22">
        <v>3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NELSON</v>
      </c>
      <c r="M38" s="20" t="s">
        <v>80</v>
      </c>
      <c r="N38" s="21"/>
      <c r="P38" s="80" t="str">
        <f>VLOOKUP(C38,'Train Runs'!$A$3:$W$255,20,0)</f>
        <v>Southbound</v>
      </c>
      <c r="Q38" s="19" t="str">
        <f t="shared" si="0"/>
        <v>4032</v>
      </c>
    </row>
    <row r="39" spans="1:17" s="19" customFormat="1" x14ac:dyDescent="0.25">
      <c r="A39" s="23">
        <v>42519.481620370374</v>
      </c>
      <c r="B39" s="22" t="s">
        <v>94</v>
      </c>
      <c r="C39" s="22" t="s">
        <v>258</v>
      </c>
      <c r="D39" s="22" t="s">
        <v>52</v>
      </c>
      <c r="E39" s="22" t="s">
        <v>53</v>
      </c>
      <c r="F39" s="22">
        <v>0</v>
      </c>
      <c r="G39" s="22">
        <v>6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80</v>
      </c>
      <c r="N39" s="21"/>
      <c r="P39" s="80" t="str">
        <f>VLOOKUP(C39,'Train Runs'!$A$3:$W$255,20,0)</f>
        <v>Southbound</v>
      </c>
      <c r="Q39" s="19" t="str">
        <f t="shared" si="0"/>
        <v>4039</v>
      </c>
    </row>
    <row r="40" spans="1:17" s="19" customFormat="1" x14ac:dyDescent="0.25">
      <c r="A40" s="23">
        <v>42519.513923611114</v>
      </c>
      <c r="B40" s="22" t="s">
        <v>63</v>
      </c>
      <c r="C40" s="22" t="s">
        <v>265</v>
      </c>
      <c r="D40" s="22" t="s">
        <v>52</v>
      </c>
      <c r="E40" s="22" t="s">
        <v>53</v>
      </c>
      <c r="F40" s="22">
        <v>0</v>
      </c>
      <c r="G40" s="22">
        <v>8</v>
      </c>
      <c r="H40" s="22">
        <v>293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STRICKLAND</v>
      </c>
      <c r="M40" s="20" t="s">
        <v>80</v>
      </c>
      <c r="N40" s="21"/>
      <c r="P40" s="80" t="str">
        <f>VLOOKUP(C40,'Train Runs'!$A$3:$W$255,20,0)</f>
        <v>NorthBound</v>
      </c>
      <c r="Q40" s="19" t="str">
        <f t="shared" si="0"/>
        <v>4020</v>
      </c>
    </row>
    <row r="41" spans="1:17" s="19" customFormat="1" x14ac:dyDescent="0.25">
      <c r="A41" s="23">
        <v>42519.514282407406</v>
      </c>
      <c r="B41" s="22" t="s">
        <v>93</v>
      </c>
      <c r="C41" s="22" t="s">
        <v>278</v>
      </c>
      <c r="D41" s="22" t="s">
        <v>52</v>
      </c>
      <c r="E41" s="22" t="s">
        <v>53</v>
      </c>
      <c r="F41" s="22">
        <v>0</v>
      </c>
      <c r="G41" s="22">
        <v>37</v>
      </c>
      <c r="H41" s="22">
        <v>233370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80</v>
      </c>
      <c r="N41" s="21"/>
      <c r="P41" s="80" t="str">
        <f>VLOOKUP(C41,'Train Runs'!$A$3:$W$255,20,0)</f>
        <v>NorthBound</v>
      </c>
      <c r="Q41" s="19" t="str">
        <f t="shared" si="0"/>
        <v>4040</v>
      </c>
    </row>
    <row r="42" spans="1:17" s="19" customFormat="1" x14ac:dyDescent="0.25">
      <c r="A42" s="23">
        <v>42519.544317129628</v>
      </c>
      <c r="B42" s="22" t="s">
        <v>107</v>
      </c>
      <c r="C42" s="22" t="s">
        <v>277</v>
      </c>
      <c r="D42" s="22" t="s">
        <v>52</v>
      </c>
      <c r="E42" s="22" t="s">
        <v>53</v>
      </c>
      <c r="F42" s="22">
        <v>0</v>
      </c>
      <c r="G42" s="22">
        <v>48</v>
      </c>
      <c r="H42" s="22">
        <v>152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BONDS</v>
      </c>
      <c r="M42" s="20" t="s">
        <v>80</v>
      </c>
      <c r="N42" s="21"/>
      <c r="P42" s="80" t="str">
        <f>VLOOKUP(C42,'Train Runs'!$A$3:$W$255,20,0)</f>
        <v>Southbound</v>
      </c>
      <c r="Q42" s="19" t="str">
        <f t="shared" si="0"/>
        <v>4012</v>
      </c>
    </row>
    <row r="43" spans="1:17" s="19" customFormat="1" x14ac:dyDescent="0.25">
      <c r="A43" s="23">
        <v>42519.587025462963</v>
      </c>
      <c r="B43" s="22" t="s">
        <v>93</v>
      </c>
      <c r="C43" s="22" t="s">
        <v>296</v>
      </c>
      <c r="D43" s="22" t="s">
        <v>52</v>
      </c>
      <c r="E43" s="22" t="s">
        <v>53</v>
      </c>
      <c r="F43" s="22">
        <v>0</v>
      </c>
      <c r="G43" s="22">
        <v>74</v>
      </c>
      <c r="H43" s="22">
        <v>233224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80</v>
      </c>
      <c r="N43" s="21"/>
      <c r="P43" s="80" t="str">
        <f>VLOOKUP(C43,'Train Runs'!$A$3:$W$255,20,0)</f>
        <v>NorthBound</v>
      </c>
      <c r="Q43" s="19" t="str">
        <f t="shared" si="0"/>
        <v>4040</v>
      </c>
    </row>
    <row r="44" spans="1:17" s="19" customFormat="1" x14ac:dyDescent="0.25">
      <c r="A44" s="23">
        <v>42519.617025462961</v>
      </c>
      <c r="B44" s="22" t="s">
        <v>107</v>
      </c>
      <c r="C44" s="22" t="s">
        <v>295</v>
      </c>
      <c r="D44" s="22" t="s">
        <v>52</v>
      </c>
      <c r="E44" s="22" t="s">
        <v>53</v>
      </c>
      <c r="F44" s="22">
        <v>0</v>
      </c>
      <c r="G44" s="22">
        <v>49</v>
      </c>
      <c r="H44" s="22">
        <v>174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80</v>
      </c>
      <c r="N44" s="21"/>
      <c r="P44" s="80" t="str">
        <f>VLOOKUP(C44,'Train Runs'!$A$3:$W$255,20,0)</f>
        <v>Southbound</v>
      </c>
      <c r="Q44" s="19" t="str">
        <f t="shared" si="0"/>
        <v>4012</v>
      </c>
    </row>
    <row r="45" spans="1:17" s="19" customFormat="1" x14ac:dyDescent="0.25">
      <c r="A45" s="23">
        <v>42519.617361111108</v>
      </c>
      <c r="B45" s="22" t="s">
        <v>107</v>
      </c>
      <c r="C45" s="22" t="s">
        <v>295</v>
      </c>
      <c r="D45" s="22" t="s">
        <v>52</v>
      </c>
      <c r="E45" s="22" t="s">
        <v>53</v>
      </c>
      <c r="F45" s="22">
        <v>0</v>
      </c>
      <c r="G45" s="22">
        <v>6</v>
      </c>
      <c r="H45" s="22">
        <v>116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BONDS</v>
      </c>
      <c r="M45" s="20" t="s">
        <v>80</v>
      </c>
      <c r="N45" s="21"/>
      <c r="P45" s="80" t="str">
        <f>VLOOKUP(C45,'Train Runs'!$A$3:$W$255,20,0)</f>
        <v>Southbound</v>
      </c>
      <c r="Q45" s="19" t="str">
        <f t="shared" si="0"/>
        <v>4012</v>
      </c>
    </row>
    <row r="46" spans="1:17" s="19" customFormat="1" x14ac:dyDescent="0.25">
      <c r="A46" s="23">
        <v>42519.617638888885</v>
      </c>
      <c r="B46" s="22" t="s">
        <v>107</v>
      </c>
      <c r="C46" s="22" t="s">
        <v>295</v>
      </c>
      <c r="D46" s="22" t="s">
        <v>52</v>
      </c>
      <c r="E46" s="22" t="s">
        <v>53</v>
      </c>
      <c r="F46" s="22">
        <v>0</v>
      </c>
      <c r="G46" s="22">
        <v>6</v>
      </c>
      <c r="H46" s="22">
        <v>112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BONDS</v>
      </c>
      <c r="M46" s="20" t="s">
        <v>80</v>
      </c>
      <c r="N46" s="21"/>
      <c r="P46" s="80" t="str">
        <f>VLOOKUP(C46,'Train Runs'!$A$3:$W$255,20,0)</f>
        <v>Southbound</v>
      </c>
      <c r="Q46" s="19" t="str">
        <f t="shared" si="0"/>
        <v>4012</v>
      </c>
    </row>
    <row r="47" spans="1:17" s="19" customFormat="1" x14ac:dyDescent="0.25">
      <c r="A47" s="23">
        <v>42519.659050925926</v>
      </c>
      <c r="B47" s="22" t="s">
        <v>64</v>
      </c>
      <c r="C47" s="22" t="s">
        <v>303</v>
      </c>
      <c r="D47" s="22" t="s">
        <v>52</v>
      </c>
      <c r="E47" s="22" t="s">
        <v>53</v>
      </c>
      <c r="F47" s="22">
        <v>0</v>
      </c>
      <c r="G47" s="22">
        <v>4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STRICKLAND</v>
      </c>
      <c r="M47" s="20" t="s">
        <v>80</v>
      </c>
      <c r="N47" s="21"/>
      <c r="P47" s="80" t="str">
        <f>VLOOKUP(C47,'Train Runs'!$A$3:$W$255,20,0)</f>
        <v>Southbound</v>
      </c>
      <c r="Q47" s="19" t="str">
        <f t="shared" si="0"/>
        <v>4019</v>
      </c>
    </row>
    <row r="48" spans="1:17" s="19" customFormat="1" x14ac:dyDescent="0.25">
      <c r="A48" s="23">
        <v>42519.660196759258</v>
      </c>
      <c r="B48" s="22" t="s">
        <v>93</v>
      </c>
      <c r="C48" s="22" t="s">
        <v>313</v>
      </c>
      <c r="D48" s="22" t="s">
        <v>52</v>
      </c>
      <c r="E48" s="22" t="s">
        <v>53</v>
      </c>
      <c r="F48" s="22">
        <v>0</v>
      </c>
      <c r="G48" s="22">
        <v>45</v>
      </c>
      <c r="H48" s="22">
        <v>233351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80</v>
      </c>
      <c r="N48" s="21"/>
      <c r="P48" s="80" t="str">
        <f>VLOOKUP(C48,'Train Runs'!$A$3:$W$255,20,0)</f>
        <v>NorthBound</v>
      </c>
      <c r="Q48" s="19" t="str">
        <f t="shared" si="0"/>
        <v>4040</v>
      </c>
    </row>
    <row r="49" spans="1:18" s="19" customFormat="1" x14ac:dyDescent="0.25">
      <c r="A49" s="23">
        <v>42519.670636574076</v>
      </c>
      <c r="B49" s="22" t="s">
        <v>123</v>
      </c>
      <c r="C49" s="22" t="s">
        <v>316</v>
      </c>
      <c r="D49" s="22" t="s">
        <v>52</v>
      </c>
      <c r="E49" s="22" t="s">
        <v>53</v>
      </c>
      <c r="F49" s="22">
        <v>0</v>
      </c>
      <c r="G49" s="22">
        <v>7</v>
      </c>
      <c r="H49" s="22">
        <v>233318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ACKERMAN</v>
      </c>
      <c r="M49" s="20" t="s">
        <v>80</v>
      </c>
      <c r="N49" s="21"/>
      <c r="P49" s="80" t="str">
        <f>VLOOKUP(C49,'Train Runs'!$A$3:$W$255,20,0)</f>
        <v>NorthBound</v>
      </c>
      <c r="Q49" s="19" t="str">
        <f t="shared" si="0"/>
        <v>4038</v>
      </c>
    </row>
    <row r="50" spans="1:18" s="19" customFormat="1" x14ac:dyDescent="0.25">
      <c r="A50" s="23">
        <v>42519.69017361111</v>
      </c>
      <c r="B50" s="22" t="s">
        <v>107</v>
      </c>
      <c r="C50" s="22" t="s">
        <v>312</v>
      </c>
      <c r="D50" s="22" t="s">
        <v>52</v>
      </c>
      <c r="E50" s="22" t="s">
        <v>53</v>
      </c>
      <c r="F50" s="22">
        <v>0</v>
      </c>
      <c r="G50" s="22">
        <v>49</v>
      </c>
      <c r="H50" s="22">
        <v>185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BONDS</v>
      </c>
      <c r="M50" s="20" t="s">
        <v>80</v>
      </c>
      <c r="N50" s="21"/>
      <c r="P50" s="80" t="str">
        <f>VLOOKUP(C50,'Train Runs'!$A$3:$W$255,20,0)</f>
        <v>Southbound</v>
      </c>
      <c r="Q50" s="19" t="str">
        <f t="shared" si="0"/>
        <v>4012</v>
      </c>
    </row>
    <row r="51" spans="1:18" s="19" customFormat="1" x14ac:dyDescent="0.25">
      <c r="A51" s="23">
        <v>42519.732268518521</v>
      </c>
      <c r="B51" s="22" t="s">
        <v>93</v>
      </c>
      <c r="C51" s="22" t="s">
        <v>333</v>
      </c>
      <c r="D51" s="22" t="s">
        <v>52</v>
      </c>
      <c r="E51" s="22" t="s">
        <v>53</v>
      </c>
      <c r="F51" s="22">
        <v>0</v>
      </c>
      <c r="G51" s="22">
        <v>26</v>
      </c>
      <c r="H51" s="22">
        <v>233399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LOCKLEAR</v>
      </c>
      <c r="M51" s="20" t="s">
        <v>80</v>
      </c>
      <c r="N51" s="21"/>
      <c r="P51" s="80" t="str">
        <f>VLOOKUP(C51,'Train Runs'!$A$3:$W$255,20,0)</f>
        <v>NorthBound</v>
      </c>
      <c r="Q51" s="19" t="str">
        <f t="shared" si="0"/>
        <v>4040</v>
      </c>
    </row>
    <row r="52" spans="1:18" s="19" customFormat="1" x14ac:dyDescent="0.25">
      <c r="A52" s="23">
        <v>42519.733194444445</v>
      </c>
      <c r="B52" s="22" t="s">
        <v>64</v>
      </c>
      <c r="C52" s="22" t="s">
        <v>323</v>
      </c>
      <c r="D52" s="22" t="s">
        <v>52</v>
      </c>
      <c r="E52" s="22" t="s">
        <v>53</v>
      </c>
      <c r="F52" s="22">
        <v>0</v>
      </c>
      <c r="G52" s="22">
        <v>6</v>
      </c>
      <c r="H52" s="22">
        <v>127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STRICKLAND</v>
      </c>
      <c r="M52" s="20" t="s">
        <v>80</v>
      </c>
      <c r="N52" s="21"/>
      <c r="P52" s="80" t="str">
        <f>VLOOKUP(C52,'Train Runs'!$A$3:$W$255,20,0)</f>
        <v>Southbound</v>
      </c>
      <c r="Q52" s="19" t="str">
        <f t="shared" si="0"/>
        <v>4019</v>
      </c>
    </row>
    <row r="53" spans="1:18" s="19" customFormat="1" x14ac:dyDescent="0.25">
      <c r="A53" s="23">
        <v>42519.744803240741</v>
      </c>
      <c r="B53" s="22" t="s">
        <v>123</v>
      </c>
      <c r="C53" s="22" t="s">
        <v>336</v>
      </c>
      <c r="D53" s="22" t="s">
        <v>52</v>
      </c>
      <c r="E53" s="22" t="s">
        <v>53</v>
      </c>
      <c r="F53" s="22">
        <v>0</v>
      </c>
      <c r="G53" s="22">
        <v>56</v>
      </c>
      <c r="H53" s="22">
        <v>233251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MAYBERRY</v>
      </c>
      <c r="M53" s="20" t="s">
        <v>80</v>
      </c>
      <c r="N53" s="21"/>
      <c r="P53" s="80" t="str">
        <f>VLOOKUP(C53,'Train Runs'!$A$3:$W$255,20,0)</f>
        <v>NorthBound</v>
      </c>
      <c r="Q53" s="19" t="str">
        <f t="shared" si="0"/>
        <v>4038</v>
      </c>
    </row>
    <row r="54" spans="1:18" s="19" customFormat="1" x14ac:dyDescent="0.25">
      <c r="A54" s="23">
        <v>42519.77002314815</v>
      </c>
      <c r="B54" s="22" t="s">
        <v>63</v>
      </c>
      <c r="C54" s="22" t="s">
        <v>341</v>
      </c>
      <c r="D54" s="22" t="s">
        <v>52</v>
      </c>
      <c r="E54" s="22" t="s">
        <v>53</v>
      </c>
      <c r="F54" s="22">
        <v>0</v>
      </c>
      <c r="G54" s="22">
        <v>5</v>
      </c>
      <c r="H54" s="22">
        <v>233338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CHANDLER</v>
      </c>
      <c r="M54" s="20" t="s">
        <v>80</v>
      </c>
      <c r="N54" s="21"/>
      <c r="P54" s="80" t="str">
        <f>VLOOKUP(C54,'Train Runs'!$A$3:$W$255,20,0)</f>
        <v>NorthBound</v>
      </c>
      <c r="Q54" s="19" t="str">
        <f t="shared" si="0"/>
        <v>4020</v>
      </c>
      <c r="R54" s="83"/>
    </row>
    <row r="55" spans="1:18" s="19" customFormat="1" x14ac:dyDescent="0.25">
      <c r="A55" s="23">
        <v>42519.921215277776</v>
      </c>
      <c r="B55" s="22" t="s">
        <v>107</v>
      </c>
      <c r="C55" s="22" t="s">
        <v>360</v>
      </c>
      <c r="D55" s="22" t="s">
        <v>52</v>
      </c>
      <c r="E55" s="22" t="s">
        <v>53</v>
      </c>
      <c r="F55" s="22">
        <v>0</v>
      </c>
      <c r="G55" s="22">
        <v>37</v>
      </c>
      <c r="H55" s="22">
        <v>114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BARTLETT</v>
      </c>
      <c r="M55" s="20" t="s">
        <v>80</v>
      </c>
      <c r="N55" s="21"/>
      <c r="P55" s="80" t="str">
        <f>VLOOKUP(C55,'Train Runs'!$A$3:$W$255,20,0)</f>
        <v>Southbound</v>
      </c>
      <c r="Q55" s="19" t="str">
        <f t="shared" si="0"/>
        <v>4012</v>
      </c>
    </row>
    <row r="56" spans="1:18" s="19" customFormat="1" x14ac:dyDescent="0.25">
      <c r="A56" s="23">
        <v>42519.921574074076</v>
      </c>
      <c r="B56" s="22" t="s">
        <v>63</v>
      </c>
      <c r="C56" s="22" t="s">
        <v>364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233322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80</v>
      </c>
      <c r="N56" s="21"/>
      <c r="P56" s="80" t="str">
        <f>VLOOKUP(C56,'Train Runs'!$A$3:$W$255,20,0)</f>
        <v>NorthBound</v>
      </c>
      <c r="Q56" s="19" t="str">
        <f t="shared" si="0"/>
        <v>4020</v>
      </c>
    </row>
    <row r="57" spans="1:18" s="19" customFormat="1" x14ac:dyDescent="0.25">
      <c r="A57" s="23">
        <v>42519.964097222219</v>
      </c>
      <c r="B57" s="22" t="s">
        <v>64</v>
      </c>
      <c r="C57" s="22" t="s">
        <v>365</v>
      </c>
      <c r="D57" s="22" t="s">
        <v>52</v>
      </c>
      <c r="E57" s="22" t="s">
        <v>53</v>
      </c>
      <c r="F57" s="22">
        <v>0</v>
      </c>
      <c r="G57" s="22">
        <v>5</v>
      </c>
      <c r="H57" s="22">
        <v>141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CHANDLER</v>
      </c>
      <c r="M57" s="20" t="s">
        <v>80</v>
      </c>
      <c r="N57" s="21"/>
      <c r="P57" s="80" t="str">
        <f>VLOOKUP(C57,'Train Runs'!$A$3:$W$255,20,0)</f>
        <v>Southbound</v>
      </c>
      <c r="Q57" s="19" t="str">
        <f t="shared" si="0"/>
        <v>4019</v>
      </c>
    </row>
    <row r="58" spans="1:18" s="19" customFormat="1" x14ac:dyDescent="0.25">
      <c r="A58" s="23">
        <v>42519.983796296299</v>
      </c>
      <c r="B58" s="22" t="s">
        <v>123</v>
      </c>
      <c r="C58" s="22" t="s">
        <v>375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DE LA ROSA</v>
      </c>
      <c r="M58" s="20" t="s">
        <v>80</v>
      </c>
      <c r="N58" s="21"/>
      <c r="P58" s="80" t="str">
        <f>VLOOKUP(C58,'Train Runs'!$A$3:$W$255,20,0)</f>
        <v>NorthBound</v>
      </c>
      <c r="Q58" s="19" t="str">
        <f t="shared" si="0"/>
        <v>4038</v>
      </c>
    </row>
    <row r="59" spans="1:18" s="19" customFormat="1" x14ac:dyDescent="0.25">
      <c r="A59" s="23">
        <v>42520.005231481482</v>
      </c>
      <c r="B59" s="22" t="s">
        <v>63</v>
      </c>
      <c r="C59" s="22" t="s">
        <v>377</v>
      </c>
      <c r="D59" s="22" t="s">
        <v>52</v>
      </c>
      <c r="E59" s="22" t="s">
        <v>53</v>
      </c>
      <c r="F59" s="22">
        <v>0</v>
      </c>
      <c r="G59" s="22">
        <v>9</v>
      </c>
      <c r="H59" s="22">
        <v>233327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CHANDLER</v>
      </c>
      <c r="M59" s="20" t="s">
        <v>80</v>
      </c>
      <c r="N59" s="21"/>
      <c r="P59" s="80" t="str">
        <f>VLOOKUP(C59,'Train Runs'!$A$3:$W$255,20,0)</f>
        <v>NorthBound</v>
      </c>
      <c r="Q59" s="19" t="str">
        <f t="shared" si="0"/>
        <v>4020</v>
      </c>
    </row>
    <row r="60" spans="1:18" s="19" customFormat="1" x14ac:dyDescent="0.25">
      <c r="A60" s="23">
        <v>42520.046006944445</v>
      </c>
      <c r="B60" s="22" t="s">
        <v>64</v>
      </c>
      <c r="C60" s="22" t="s">
        <v>378</v>
      </c>
      <c r="D60" s="22" t="s">
        <v>52</v>
      </c>
      <c r="E60" s="22" t="s">
        <v>53</v>
      </c>
      <c r="F60" s="22">
        <v>0</v>
      </c>
      <c r="G60" s="22">
        <v>4</v>
      </c>
      <c r="H60" s="22">
        <v>136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CHANDLER</v>
      </c>
      <c r="M60" s="20" t="s">
        <v>80</v>
      </c>
      <c r="N60" s="21"/>
      <c r="P60" s="80" t="str">
        <f>VLOOKUP(C60,'Train Runs'!$A$3:$W$255,20,0)</f>
        <v>Southbound</v>
      </c>
      <c r="Q60" s="19" t="str">
        <f t="shared" si="0"/>
        <v>4019</v>
      </c>
    </row>
    <row r="61" spans="1:18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0"/>
    </row>
    <row r="62" spans="1:18" ht="30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18" t="s">
        <v>28</v>
      </c>
      <c r="L62" s="52"/>
      <c r="M62" s="17">
        <f>COUNTIF(M3:M60,"=Y")</f>
        <v>1</v>
      </c>
      <c r="N62" s="77"/>
    </row>
    <row r="63" spans="1:18" ht="15.75" thickBot="1" x14ac:dyDescent="0.3">
      <c r="B63" s="59"/>
      <c r="C63" s="59"/>
      <c r="D63" s="59"/>
      <c r="E63" s="59"/>
      <c r="F63" s="59"/>
      <c r="G63" s="59"/>
      <c r="H63" s="59"/>
      <c r="I63" s="59"/>
      <c r="J63" s="59"/>
      <c r="K63" s="16" t="s">
        <v>27</v>
      </c>
      <c r="L63" s="53"/>
      <c r="M63" s="15">
        <f>COUNTA(M3:M60)-M62</f>
        <v>57</v>
      </c>
    </row>
  </sheetData>
  <autoFilter ref="A2:N60">
    <sortState ref="A3:N60">
      <sortCondition ref="E2:E60"/>
    </sortState>
  </autoFilter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60">
    <cfRule type="expression" dxfId="12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2016-05-29</v>
      </c>
      <c r="B1" s="77"/>
    </row>
    <row r="2" spans="1:2" x14ac:dyDescent="0.25">
      <c r="A2" s="77" t="s">
        <v>387</v>
      </c>
      <c r="B2" s="77" t="s">
        <v>401</v>
      </c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1"/>
  <sheetViews>
    <sheetView workbookViewId="0">
      <selection sqref="A1:E15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42519.193449074075</v>
      </c>
      <c r="B1" t="s">
        <v>106</v>
      </c>
      <c r="C1" t="s">
        <v>187</v>
      </c>
      <c r="D1">
        <v>1460000</v>
      </c>
      <c r="E1" t="s">
        <v>136</v>
      </c>
    </row>
    <row r="2" spans="1:5" x14ac:dyDescent="0.25">
      <c r="A2" s="14">
        <v>42519.481944444444</v>
      </c>
      <c r="B2" t="s">
        <v>64</v>
      </c>
      <c r="C2" t="s">
        <v>267</v>
      </c>
      <c r="D2">
        <v>1760000</v>
      </c>
      <c r="E2" t="s">
        <v>114</v>
      </c>
    </row>
    <row r="3" spans="1:5" x14ac:dyDescent="0.25">
      <c r="A3" s="14">
        <v>42519.527754629627</v>
      </c>
      <c r="B3" t="s">
        <v>94</v>
      </c>
      <c r="C3" t="s">
        <v>279</v>
      </c>
      <c r="D3">
        <v>1120000</v>
      </c>
      <c r="E3" t="s">
        <v>388</v>
      </c>
    </row>
    <row r="4" spans="1:5" x14ac:dyDescent="0.25">
      <c r="A4" s="14">
        <v>42519.67396990741</v>
      </c>
      <c r="B4" t="s">
        <v>94</v>
      </c>
      <c r="C4" t="s">
        <v>315</v>
      </c>
      <c r="D4">
        <v>1120000</v>
      </c>
      <c r="E4" t="s">
        <v>388</v>
      </c>
    </row>
    <row r="5" spans="1:5" x14ac:dyDescent="0.25">
      <c r="A5" s="14">
        <v>42519.279039351852</v>
      </c>
      <c r="B5" t="s">
        <v>123</v>
      </c>
      <c r="C5" t="s">
        <v>219</v>
      </c>
      <c r="D5">
        <v>1100000</v>
      </c>
      <c r="E5" t="s">
        <v>104</v>
      </c>
    </row>
    <row r="6" spans="1:5" x14ac:dyDescent="0.25">
      <c r="A6" s="14">
        <v>42519.791747685187</v>
      </c>
      <c r="B6" t="s">
        <v>123</v>
      </c>
      <c r="C6" t="s">
        <v>351</v>
      </c>
      <c r="D6">
        <v>1780000</v>
      </c>
      <c r="E6" t="s">
        <v>96</v>
      </c>
    </row>
    <row r="7" spans="1:5" x14ac:dyDescent="0.25">
      <c r="A7" s="14">
        <v>42519.95071759259</v>
      </c>
      <c r="B7" t="s">
        <v>109</v>
      </c>
      <c r="C7" t="s">
        <v>369</v>
      </c>
      <c r="D7">
        <v>1830000</v>
      </c>
      <c r="E7" t="s">
        <v>112</v>
      </c>
    </row>
    <row r="8" spans="1:5" ht="15.75" thickBot="1" x14ac:dyDescent="0.3">
      <c r="A8" s="84">
        <v>42519.648946759262</v>
      </c>
      <c r="B8" t="s">
        <v>109</v>
      </c>
      <c r="C8" t="s">
        <v>308</v>
      </c>
      <c r="D8">
        <v>1470000</v>
      </c>
      <c r="E8" t="s">
        <v>138</v>
      </c>
    </row>
    <row r="9" spans="1:5" x14ac:dyDescent="0.25">
      <c r="A9" s="14">
        <v>42520.016689814816</v>
      </c>
      <c r="B9" t="s">
        <v>64</v>
      </c>
      <c r="C9" t="s">
        <v>378</v>
      </c>
      <c r="D9">
        <v>1800000</v>
      </c>
      <c r="E9" t="s">
        <v>89</v>
      </c>
    </row>
    <row r="10" spans="1:5" x14ac:dyDescent="0.25">
      <c r="A10" s="14">
        <v>42519.574837962966</v>
      </c>
      <c r="B10" t="s">
        <v>109</v>
      </c>
      <c r="C10" t="s">
        <v>292</v>
      </c>
      <c r="D10">
        <v>1470000</v>
      </c>
      <c r="E10" t="s">
        <v>138</v>
      </c>
    </row>
    <row r="11" spans="1:5" x14ac:dyDescent="0.25">
      <c r="A11" s="14">
        <v>42519.551446759258</v>
      </c>
      <c r="B11" t="s">
        <v>64</v>
      </c>
      <c r="C11" t="s">
        <v>287</v>
      </c>
      <c r="D11">
        <v>1760000</v>
      </c>
      <c r="E11" t="s">
        <v>114</v>
      </c>
    </row>
    <row r="12" spans="1:5" x14ac:dyDescent="0.25">
      <c r="A12" s="14">
        <v>42519.642141203702</v>
      </c>
      <c r="B12" t="s">
        <v>123</v>
      </c>
      <c r="C12" t="s">
        <v>316</v>
      </c>
      <c r="D12">
        <v>1260000</v>
      </c>
      <c r="E12" t="s">
        <v>389</v>
      </c>
    </row>
    <row r="13" spans="1:5" x14ac:dyDescent="0.25">
      <c r="A13" s="14">
        <v>42519.484212962961</v>
      </c>
      <c r="B13" t="s">
        <v>93</v>
      </c>
      <c r="C13" t="s">
        <v>278</v>
      </c>
      <c r="D13">
        <v>1120000</v>
      </c>
      <c r="E13" t="s">
        <v>388</v>
      </c>
    </row>
    <row r="14" spans="1:5" x14ac:dyDescent="0.25">
      <c r="A14" s="14">
        <v>42519.715543981481</v>
      </c>
      <c r="B14" t="s">
        <v>123</v>
      </c>
      <c r="C14" t="s">
        <v>336</v>
      </c>
      <c r="D14">
        <v>1520000</v>
      </c>
      <c r="E14" t="s">
        <v>181</v>
      </c>
    </row>
    <row r="15" spans="1:5" x14ac:dyDescent="0.25">
      <c r="A15" s="14">
        <v>42519.444537037038</v>
      </c>
      <c r="B15" t="s">
        <v>63</v>
      </c>
      <c r="C15" t="s">
        <v>265</v>
      </c>
      <c r="D15">
        <v>1760000</v>
      </c>
      <c r="E15" t="s">
        <v>114</v>
      </c>
    </row>
    <row r="16" spans="1:5" x14ac:dyDescent="0.25">
      <c r="A16" s="14">
        <v>42519.745636574073</v>
      </c>
      <c r="B16" t="s">
        <v>94</v>
      </c>
      <c r="C16" t="s">
        <v>334</v>
      </c>
      <c r="D16">
        <v>1120000</v>
      </c>
      <c r="E16" t="s">
        <v>388</v>
      </c>
    </row>
    <row r="17" spans="1:5" x14ac:dyDescent="0.25">
      <c r="A17" s="14">
        <v>42519.380393518521</v>
      </c>
      <c r="B17" t="s">
        <v>99</v>
      </c>
      <c r="C17" t="s">
        <v>249</v>
      </c>
      <c r="D17">
        <v>1460000</v>
      </c>
      <c r="E17" t="s">
        <v>136</v>
      </c>
    </row>
    <row r="18" spans="1:5" x14ac:dyDescent="0.25">
      <c r="A18" s="14">
        <v>42519.972430555557</v>
      </c>
      <c r="B18" t="s">
        <v>107</v>
      </c>
      <c r="C18" t="s">
        <v>373</v>
      </c>
      <c r="D18">
        <v>1280000</v>
      </c>
      <c r="E18" t="s">
        <v>62</v>
      </c>
    </row>
    <row r="19" spans="1:5" x14ac:dyDescent="0.25">
      <c r="A19" s="14">
        <v>42519.205729166664</v>
      </c>
      <c r="B19" t="s">
        <v>123</v>
      </c>
      <c r="C19" t="s">
        <v>198</v>
      </c>
      <c r="D19">
        <v>1100000</v>
      </c>
      <c r="E19" t="s">
        <v>104</v>
      </c>
    </row>
    <row r="20" spans="1:5" x14ac:dyDescent="0.25">
      <c r="A20" s="14">
        <v>42519.732905092591</v>
      </c>
      <c r="B20" t="s">
        <v>107</v>
      </c>
      <c r="C20" t="s">
        <v>331</v>
      </c>
      <c r="D20">
        <v>940000</v>
      </c>
      <c r="E20" t="s">
        <v>390</v>
      </c>
    </row>
    <row r="21" spans="1:5" x14ac:dyDescent="0.25">
      <c r="A21" s="14">
        <v>42519.494212962964</v>
      </c>
      <c r="B21" t="s">
        <v>106</v>
      </c>
      <c r="C21" t="s">
        <v>272</v>
      </c>
      <c r="D21">
        <v>1500000</v>
      </c>
      <c r="E21" t="s">
        <v>391</v>
      </c>
    </row>
    <row r="22" spans="1:5" x14ac:dyDescent="0.25">
      <c r="A22" s="14">
        <v>42519.741851851853</v>
      </c>
      <c r="B22" t="s">
        <v>63</v>
      </c>
      <c r="C22" t="s">
        <v>341</v>
      </c>
      <c r="D22">
        <v>1800000</v>
      </c>
      <c r="E22" t="s">
        <v>89</v>
      </c>
    </row>
    <row r="23" spans="1:5" x14ac:dyDescent="0.25">
      <c r="A23" s="14">
        <v>42519.47215277778</v>
      </c>
      <c r="B23" t="s">
        <v>113</v>
      </c>
      <c r="C23" t="s">
        <v>264</v>
      </c>
      <c r="D23">
        <v>1100000</v>
      </c>
      <c r="E23" t="s">
        <v>104</v>
      </c>
    </row>
    <row r="24" spans="1:5" x14ac:dyDescent="0.25">
      <c r="A24" s="14">
        <v>42519.74490740741</v>
      </c>
      <c r="B24" t="s">
        <v>99</v>
      </c>
      <c r="C24" t="s">
        <v>343</v>
      </c>
      <c r="D24">
        <v>950000</v>
      </c>
      <c r="E24" t="s">
        <v>392</v>
      </c>
    </row>
    <row r="25" spans="1:5" x14ac:dyDescent="0.25">
      <c r="A25" s="14">
        <v>42519.418252314812</v>
      </c>
      <c r="B25" t="s">
        <v>106</v>
      </c>
      <c r="C25" t="s">
        <v>250</v>
      </c>
      <c r="D25">
        <v>1460000</v>
      </c>
      <c r="E25" t="s">
        <v>136</v>
      </c>
    </row>
    <row r="26" spans="1:5" x14ac:dyDescent="0.25">
      <c r="A26" s="14">
        <v>42519.86928240741</v>
      </c>
      <c r="B26" t="s">
        <v>123</v>
      </c>
      <c r="C26" t="s">
        <v>362</v>
      </c>
      <c r="D26">
        <v>1780000</v>
      </c>
      <c r="E26" t="s">
        <v>96</v>
      </c>
    </row>
    <row r="27" spans="1:5" x14ac:dyDescent="0.25">
      <c r="A27" s="14">
        <v>42519.34888888889</v>
      </c>
      <c r="B27" t="s">
        <v>123</v>
      </c>
      <c r="C27" t="s">
        <v>238</v>
      </c>
      <c r="D27">
        <v>1100000</v>
      </c>
      <c r="E27" t="s">
        <v>104</v>
      </c>
    </row>
    <row r="28" spans="1:5" x14ac:dyDescent="0.25">
      <c r="A28" s="14">
        <v>42519.888182870367</v>
      </c>
      <c r="B28" t="s">
        <v>107</v>
      </c>
      <c r="C28" t="s">
        <v>360</v>
      </c>
      <c r="D28">
        <v>1280000</v>
      </c>
      <c r="E28" t="s">
        <v>62</v>
      </c>
    </row>
    <row r="29" spans="1:5" x14ac:dyDescent="0.25">
      <c r="A29" s="14">
        <v>42519.324097222219</v>
      </c>
      <c r="B29" t="s">
        <v>113</v>
      </c>
      <c r="C29" t="s">
        <v>224</v>
      </c>
      <c r="D29">
        <v>1300000</v>
      </c>
      <c r="E29" t="s">
        <v>97</v>
      </c>
    </row>
    <row r="30" spans="1:5" x14ac:dyDescent="0.25">
      <c r="A30" s="14">
        <v>42519.991180555553</v>
      </c>
      <c r="B30" t="s">
        <v>110</v>
      </c>
      <c r="C30" t="s">
        <v>379</v>
      </c>
      <c r="D30">
        <v>1830000</v>
      </c>
      <c r="E30" t="s">
        <v>112</v>
      </c>
    </row>
    <row r="31" spans="1:5" x14ac:dyDescent="0.25">
      <c r="A31" s="14">
        <v>42519.16920138889</v>
      </c>
      <c r="B31" t="s">
        <v>113</v>
      </c>
      <c r="C31" t="s">
        <v>183</v>
      </c>
      <c r="D31">
        <v>1300000</v>
      </c>
      <c r="E31" t="s">
        <v>97</v>
      </c>
    </row>
    <row r="32" spans="1:5" x14ac:dyDescent="0.25">
      <c r="A32" s="14">
        <v>42519.664849537039</v>
      </c>
      <c r="B32" t="s">
        <v>63</v>
      </c>
      <c r="C32" t="s">
        <v>321</v>
      </c>
      <c r="D32">
        <v>1760000</v>
      </c>
      <c r="E32" t="s">
        <v>114</v>
      </c>
    </row>
    <row r="33" spans="1:5" x14ac:dyDescent="0.25">
      <c r="A33" s="14">
        <v>42519.536192129628</v>
      </c>
      <c r="B33" t="s">
        <v>110</v>
      </c>
      <c r="C33" t="s">
        <v>291</v>
      </c>
      <c r="D33">
        <v>1470000</v>
      </c>
      <c r="E33" t="s">
        <v>138</v>
      </c>
    </row>
    <row r="34" spans="1:5" x14ac:dyDescent="0.25">
      <c r="A34" s="14">
        <v>42519.692291666666</v>
      </c>
      <c r="B34" t="s">
        <v>108</v>
      </c>
      <c r="C34" t="s">
        <v>329</v>
      </c>
      <c r="D34">
        <v>940000</v>
      </c>
      <c r="E34" t="s">
        <v>390</v>
      </c>
    </row>
    <row r="35" spans="1:5" x14ac:dyDescent="0.25">
      <c r="A35" s="14">
        <v>42519.498298611114</v>
      </c>
      <c r="B35" t="s">
        <v>123</v>
      </c>
      <c r="C35" t="s">
        <v>281</v>
      </c>
      <c r="D35">
        <v>1260000</v>
      </c>
      <c r="E35" t="s">
        <v>389</v>
      </c>
    </row>
    <row r="36" spans="1:5" x14ac:dyDescent="0.25">
      <c r="A36" s="14">
        <v>42519.705474537041</v>
      </c>
      <c r="B36" t="s">
        <v>93</v>
      </c>
      <c r="C36" t="s">
        <v>333</v>
      </c>
      <c r="D36">
        <v>1120000</v>
      </c>
      <c r="E36" t="s">
        <v>388</v>
      </c>
    </row>
    <row r="37" spans="1:5" x14ac:dyDescent="0.25">
      <c r="A37" s="14">
        <v>42519.474004629628</v>
      </c>
      <c r="B37" t="s">
        <v>108</v>
      </c>
      <c r="C37" t="s">
        <v>276</v>
      </c>
      <c r="D37">
        <v>940000</v>
      </c>
      <c r="E37" t="s">
        <v>390</v>
      </c>
    </row>
    <row r="38" spans="1:5" x14ac:dyDescent="0.25">
      <c r="A38" s="14">
        <v>42519.810972222222</v>
      </c>
      <c r="B38" t="s">
        <v>63</v>
      </c>
      <c r="C38" t="s">
        <v>353</v>
      </c>
      <c r="D38">
        <v>1800000</v>
      </c>
      <c r="E38" t="s">
        <v>89</v>
      </c>
    </row>
    <row r="39" spans="1:5" x14ac:dyDescent="0.25">
      <c r="A39" s="14">
        <v>42519.27207175926</v>
      </c>
      <c r="B39" t="s">
        <v>106</v>
      </c>
      <c r="C39" t="s">
        <v>208</v>
      </c>
      <c r="D39">
        <v>1460000</v>
      </c>
      <c r="E39" t="s">
        <v>136</v>
      </c>
    </row>
    <row r="40" spans="1:5" x14ac:dyDescent="0.25">
      <c r="A40" s="14">
        <v>42519.925879629627</v>
      </c>
      <c r="B40" t="s">
        <v>108</v>
      </c>
      <c r="C40" t="s">
        <v>371</v>
      </c>
      <c r="D40">
        <v>1280000</v>
      </c>
      <c r="E40" t="s">
        <v>62</v>
      </c>
    </row>
    <row r="41" spans="1:5" x14ac:dyDescent="0.25">
      <c r="A41" s="14">
        <v>42519.266631944447</v>
      </c>
      <c r="B41" t="s">
        <v>64</v>
      </c>
      <c r="C41" t="s">
        <v>206</v>
      </c>
      <c r="D41">
        <v>1500000</v>
      </c>
      <c r="E41" t="s">
        <v>391</v>
      </c>
    </row>
    <row r="42" spans="1:5" x14ac:dyDescent="0.25">
      <c r="A42" s="14">
        <v>42520.009918981479</v>
      </c>
      <c r="B42" t="s">
        <v>108</v>
      </c>
      <c r="C42" t="s">
        <v>382</v>
      </c>
      <c r="D42">
        <v>1280000</v>
      </c>
      <c r="E42" t="s">
        <v>62</v>
      </c>
    </row>
    <row r="43" spans="1:5" x14ac:dyDescent="0.25">
      <c r="A43" s="14">
        <v>42519.38721064815</v>
      </c>
      <c r="B43" t="s">
        <v>124</v>
      </c>
      <c r="C43" t="s">
        <v>240</v>
      </c>
      <c r="D43">
        <v>1100000</v>
      </c>
      <c r="E43" t="s">
        <v>104</v>
      </c>
    </row>
    <row r="44" spans="1:5" x14ac:dyDescent="0.25">
      <c r="A44" s="14">
        <v>42519.195416666669</v>
      </c>
      <c r="B44" t="s">
        <v>106</v>
      </c>
      <c r="C44" t="s">
        <v>187</v>
      </c>
      <c r="D44">
        <v>1460000</v>
      </c>
      <c r="E44" t="s">
        <v>136</v>
      </c>
    </row>
    <row r="45" spans="1:5" x14ac:dyDescent="0.25">
      <c r="A45" s="14">
        <v>42519.359895833331</v>
      </c>
      <c r="B45" t="s">
        <v>111</v>
      </c>
      <c r="C45" t="s">
        <v>242</v>
      </c>
      <c r="D45">
        <v>1300000</v>
      </c>
      <c r="E45" t="s">
        <v>97</v>
      </c>
    </row>
    <row r="46" spans="1:5" x14ac:dyDescent="0.25">
      <c r="A46" s="14">
        <v>42519.249050925922</v>
      </c>
      <c r="B46" t="s">
        <v>110</v>
      </c>
      <c r="C46" t="s">
        <v>210</v>
      </c>
      <c r="D46">
        <v>1430000</v>
      </c>
      <c r="E46" t="s">
        <v>105</v>
      </c>
    </row>
    <row r="47" spans="1:5" x14ac:dyDescent="0.25">
      <c r="A47" s="14">
        <v>42519.307951388888</v>
      </c>
      <c r="B47" t="s">
        <v>94</v>
      </c>
      <c r="C47" t="s">
        <v>218</v>
      </c>
      <c r="D47">
        <v>1310000</v>
      </c>
      <c r="E47" t="s">
        <v>160</v>
      </c>
    </row>
    <row r="48" spans="1:5" x14ac:dyDescent="0.25">
      <c r="A48" s="14">
        <v>42519.263495370367</v>
      </c>
      <c r="B48" t="s">
        <v>110</v>
      </c>
      <c r="C48" t="s">
        <v>210</v>
      </c>
      <c r="D48">
        <v>1430000</v>
      </c>
      <c r="E48" t="s">
        <v>105</v>
      </c>
    </row>
    <row r="49" spans="1:5" x14ac:dyDescent="0.25">
      <c r="A49" s="14">
        <v>42519.269571759258</v>
      </c>
      <c r="B49" t="s">
        <v>93</v>
      </c>
      <c r="C49" t="s">
        <v>217</v>
      </c>
      <c r="D49">
        <v>1310000</v>
      </c>
      <c r="E49" t="s">
        <v>160</v>
      </c>
    </row>
    <row r="50" spans="1:5" x14ac:dyDescent="0.25">
      <c r="A50" s="14">
        <v>42519.297662037039</v>
      </c>
      <c r="B50" t="s">
        <v>107</v>
      </c>
      <c r="C50" t="s">
        <v>216</v>
      </c>
      <c r="D50">
        <v>1360000</v>
      </c>
      <c r="E50" t="s">
        <v>128</v>
      </c>
    </row>
    <row r="51" spans="1:5" x14ac:dyDescent="0.25">
      <c r="A51" s="14">
        <v>42519.231516203705</v>
      </c>
      <c r="B51" t="s">
        <v>99</v>
      </c>
      <c r="C51" t="s">
        <v>207</v>
      </c>
      <c r="D51">
        <v>1460000</v>
      </c>
      <c r="E51" t="s">
        <v>136</v>
      </c>
    </row>
    <row r="52" spans="1:5" x14ac:dyDescent="0.25">
      <c r="A52" s="14">
        <v>42519.360532407409</v>
      </c>
      <c r="B52" t="s">
        <v>109</v>
      </c>
      <c r="C52" t="s">
        <v>232</v>
      </c>
      <c r="D52">
        <v>1430000</v>
      </c>
      <c r="E52" t="s">
        <v>105</v>
      </c>
    </row>
    <row r="53" spans="1:5" x14ac:dyDescent="0.25">
      <c r="A53" s="14">
        <v>42519.187268518515</v>
      </c>
      <c r="B53" t="s">
        <v>108</v>
      </c>
      <c r="C53" t="s">
        <v>192</v>
      </c>
      <c r="D53">
        <v>1360000</v>
      </c>
      <c r="E53" t="s">
        <v>128</v>
      </c>
    </row>
    <row r="54" spans="1:5" x14ac:dyDescent="0.25">
      <c r="A54" s="14">
        <v>42519.560925925929</v>
      </c>
      <c r="B54" t="s">
        <v>93</v>
      </c>
      <c r="C54" t="s">
        <v>296</v>
      </c>
      <c r="D54">
        <v>1120000</v>
      </c>
      <c r="E54" t="s">
        <v>388</v>
      </c>
    </row>
    <row r="55" spans="1:5" x14ac:dyDescent="0.25">
      <c r="A55" s="14">
        <v>42519.174895833334</v>
      </c>
      <c r="B55" t="s">
        <v>110</v>
      </c>
      <c r="C55" t="s">
        <v>189</v>
      </c>
      <c r="D55">
        <v>1430000</v>
      </c>
      <c r="E55" t="s">
        <v>105</v>
      </c>
    </row>
    <row r="56" spans="1:5" x14ac:dyDescent="0.25">
      <c r="A56" s="14">
        <v>42519.578506944446</v>
      </c>
      <c r="B56" t="s">
        <v>111</v>
      </c>
      <c r="C56" t="s">
        <v>300</v>
      </c>
      <c r="D56">
        <v>880000</v>
      </c>
      <c r="E56" t="s">
        <v>95</v>
      </c>
    </row>
    <row r="57" spans="1:5" x14ac:dyDescent="0.25">
      <c r="A57" s="14">
        <v>42519.318553240744</v>
      </c>
      <c r="B57" t="s">
        <v>110</v>
      </c>
      <c r="C57" t="s">
        <v>231</v>
      </c>
      <c r="D57">
        <v>1430000</v>
      </c>
      <c r="E57" t="s">
        <v>105</v>
      </c>
    </row>
    <row r="58" spans="1:5" x14ac:dyDescent="0.25">
      <c r="A58" s="14">
        <v>42519.235925925925</v>
      </c>
      <c r="B58" t="s">
        <v>94</v>
      </c>
      <c r="C58" t="s">
        <v>197</v>
      </c>
      <c r="D58">
        <v>1310000</v>
      </c>
      <c r="E58" t="s">
        <v>160</v>
      </c>
    </row>
    <row r="59" spans="1:5" x14ac:dyDescent="0.25">
      <c r="A59" s="14">
        <v>42519.289120370369</v>
      </c>
      <c r="B59" t="s">
        <v>111</v>
      </c>
      <c r="C59" t="s">
        <v>222</v>
      </c>
      <c r="D59">
        <v>1300000</v>
      </c>
      <c r="E59" t="s">
        <v>97</v>
      </c>
    </row>
    <row r="60" spans="1:5" x14ac:dyDescent="0.25">
      <c r="A60" s="14">
        <v>42519.251446759263</v>
      </c>
      <c r="B60" t="s">
        <v>113</v>
      </c>
      <c r="C60" t="s">
        <v>203</v>
      </c>
      <c r="D60">
        <v>1300000</v>
      </c>
      <c r="E60" t="s">
        <v>97</v>
      </c>
    </row>
    <row r="61" spans="1:5" x14ac:dyDescent="0.25">
      <c r="A61" s="14">
        <v>42519.230752314812</v>
      </c>
      <c r="B61" t="s">
        <v>63</v>
      </c>
      <c r="C61" t="s">
        <v>204</v>
      </c>
      <c r="D61">
        <v>1500000</v>
      </c>
      <c r="E61" t="s">
        <v>391</v>
      </c>
    </row>
    <row r="62" spans="1:5" x14ac:dyDescent="0.25">
      <c r="A62" s="14">
        <v>42519.29886574074</v>
      </c>
      <c r="B62" t="s">
        <v>63</v>
      </c>
      <c r="C62" t="s">
        <v>226</v>
      </c>
      <c r="D62">
        <v>1500000</v>
      </c>
      <c r="E62" t="s">
        <v>391</v>
      </c>
    </row>
    <row r="63" spans="1:5" x14ac:dyDescent="0.25">
      <c r="A63" s="14">
        <v>42519.21166666667</v>
      </c>
      <c r="B63" t="s">
        <v>111</v>
      </c>
      <c r="C63" t="s">
        <v>201</v>
      </c>
      <c r="D63">
        <v>1300000</v>
      </c>
      <c r="E63" t="s">
        <v>97</v>
      </c>
    </row>
    <row r="64" spans="1:5" x14ac:dyDescent="0.25">
      <c r="A64" s="14">
        <v>42519.368715277778</v>
      </c>
      <c r="B64" t="s">
        <v>63</v>
      </c>
      <c r="C64" t="s">
        <v>245</v>
      </c>
      <c r="D64">
        <v>1500000</v>
      </c>
      <c r="E64" t="s">
        <v>391</v>
      </c>
    </row>
    <row r="65" spans="1:5" x14ac:dyDescent="0.25">
      <c r="A65" s="14">
        <v>42519.13417824074</v>
      </c>
      <c r="B65" t="s">
        <v>123</v>
      </c>
      <c r="C65" t="s">
        <v>393</v>
      </c>
      <c r="D65">
        <v>1300000</v>
      </c>
      <c r="E65" t="s">
        <v>97</v>
      </c>
    </row>
    <row r="66" spans="1:5" x14ac:dyDescent="0.25">
      <c r="A66" s="14">
        <v>42519.400949074072</v>
      </c>
      <c r="B66" t="s">
        <v>108</v>
      </c>
      <c r="C66" t="s">
        <v>254</v>
      </c>
      <c r="D66">
        <v>1360000</v>
      </c>
      <c r="E66" t="s">
        <v>128</v>
      </c>
    </row>
    <row r="67" spans="1:5" x14ac:dyDescent="0.25">
      <c r="A67" s="14">
        <v>42519.453182870369</v>
      </c>
      <c r="B67" t="s">
        <v>99</v>
      </c>
      <c r="C67" t="s">
        <v>269</v>
      </c>
      <c r="D67">
        <v>1500000</v>
      </c>
      <c r="E67" t="s">
        <v>391</v>
      </c>
    </row>
    <row r="68" spans="1:5" x14ac:dyDescent="0.25">
      <c r="A68" s="14">
        <v>42519.546423611115</v>
      </c>
      <c r="B68" t="s">
        <v>113</v>
      </c>
      <c r="C68" t="s">
        <v>285</v>
      </c>
      <c r="D68">
        <v>880000</v>
      </c>
      <c r="E68" t="s">
        <v>95</v>
      </c>
    </row>
    <row r="69" spans="1:5" x14ac:dyDescent="0.25">
      <c r="A69" s="14">
        <v>42519.433530092596</v>
      </c>
      <c r="B69" t="s">
        <v>111</v>
      </c>
      <c r="C69" t="s">
        <v>263</v>
      </c>
      <c r="D69">
        <v>1100000</v>
      </c>
      <c r="E69" t="s">
        <v>104</v>
      </c>
    </row>
    <row r="70" spans="1:5" x14ac:dyDescent="0.25">
      <c r="A70" s="14">
        <v>42519.17664351852</v>
      </c>
      <c r="B70" t="s">
        <v>110</v>
      </c>
      <c r="C70" t="s">
        <v>189</v>
      </c>
      <c r="D70">
        <v>1430000</v>
      </c>
      <c r="E70" t="s">
        <v>105</v>
      </c>
    </row>
    <row r="71" spans="1:5" x14ac:dyDescent="0.25">
      <c r="A71" s="14">
        <v>42519.411458333336</v>
      </c>
      <c r="B71" t="s">
        <v>64</v>
      </c>
      <c r="C71" t="s">
        <v>247</v>
      </c>
      <c r="D71">
        <v>1500000</v>
      </c>
      <c r="E71" t="s">
        <v>391</v>
      </c>
    </row>
    <row r="72" spans="1:5" x14ac:dyDescent="0.25">
      <c r="A72" s="14">
        <v>42519.284895833334</v>
      </c>
      <c r="B72" t="s">
        <v>109</v>
      </c>
      <c r="C72" t="s">
        <v>213</v>
      </c>
      <c r="D72">
        <v>1430000</v>
      </c>
      <c r="E72" t="s">
        <v>105</v>
      </c>
    </row>
    <row r="73" spans="1:5" x14ac:dyDescent="0.25">
      <c r="A73" s="14">
        <v>42519.389965277776</v>
      </c>
      <c r="B73" t="s">
        <v>110</v>
      </c>
      <c r="C73" t="s">
        <v>252</v>
      </c>
      <c r="D73">
        <v>1430000</v>
      </c>
      <c r="E73" t="s">
        <v>105</v>
      </c>
    </row>
    <row r="74" spans="1:5" x14ac:dyDescent="0.25">
      <c r="A74" s="14">
        <v>42519.43241898148</v>
      </c>
      <c r="B74" t="s">
        <v>109</v>
      </c>
      <c r="C74" t="s">
        <v>253</v>
      </c>
      <c r="D74">
        <v>1430000</v>
      </c>
      <c r="E74" t="s">
        <v>105</v>
      </c>
    </row>
    <row r="75" spans="1:5" x14ac:dyDescent="0.25">
      <c r="A75" s="14">
        <v>42519.336770833332</v>
      </c>
      <c r="B75" t="s">
        <v>64</v>
      </c>
      <c r="C75" t="s">
        <v>227</v>
      </c>
      <c r="D75">
        <v>1500000</v>
      </c>
      <c r="E75" t="s">
        <v>391</v>
      </c>
    </row>
    <row r="76" spans="1:5" x14ac:dyDescent="0.25">
      <c r="A76" s="14">
        <v>42519.453923611109</v>
      </c>
      <c r="B76" t="s">
        <v>94</v>
      </c>
      <c r="C76" t="s">
        <v>258</v>
      </c>
      <c r="D76">
        <v>1310000</v>
      </c>
      <c r="E76" t="s">
        <v>160</v>
      </c>
    </row>
    <row r="77" spans="1:5" x14ac:dyDescent="0.25">
      <c r="A77" s="14">
        <v>42519.328738425924</v>
      </c>
      <c r="B77" t="s">
        <v>108</v>
      </c>
      <c r="C77" t="s">
        <v>233</v>
      </c>
      <c r="D77">
        <v>1360000</v>
      </c>
      <c r="E77" t="s">
        <v>128</v>
      </c>
    </row>
    <row r="78" spans="1:5" x14ac:dyDescent="0.25">
      <c r="A78" s="14">
        <v>42519.565729166665</v>
      </c>
      <c r="B78" t="s">
        <v>106</v>
      </c>
      <c r="C78" t="s">
        <v>289</v>
      </c>
      <c r="D78">
        <v>950000</v>
      </c>
      <c r="E78" t="s">
        <v>392</v>
      </c>
    </row>
    <row r="79" spans="1:5" x14ac:dyDescent="0.25">
      <c r="A79" s="14">
        <v>42519.258113425924</v>
      </c>
      <c r="B79" t="s">
        <v>108</v>
      </c>
      <c r="C79" t="s">
        <v>214</v>
      </c>
      <c r="D79">
        <v>1360000</v>
      </c>
      <c r="E79" t="s">
        <v>128</v>
      </c>
    </row>
    <row r="80" spans="1:5" x14ac:dyDescent="0.25">
      <c r="A80" s="14">
        <v>42519.340775462966</v>
      </c>
      <c r="B80" t="s">
        <v>93</v>
      </c>
      <c r="C80" t="s">
        <v>236</v>
      </c>
      <c r="D80">
        <v>1310000</v>
      </c>
      <c r="E80" t="s">
        <v>160</v>
      </c>
    </row>
    <row r="81" spans="1:5" x14ac:dyDescent="0.25">
      <c r="A81" s="14">
        <v>42519.155289351853</v>
      </c>
      <c r="B81" t="s">
        <v>63</v>
      </c>
      <c r="C81" t="s">
        <v>185</v>
      </c>
      <c r="D81">
        <v>1460000</v>
      </c>
      <c r="E81" t="s">
        <v>136</v>
      </c>
    </row>
    <row r="82" spans="1:5" x14ac:dyDescent="0.25">
      <c r="A82" s="14">
        <v>42519.36755787037</v>
      </c>
      <c r="B82" t="s">
        <v>107</v>
      </c>
      <c r="C82" t="s">
        <v>234</v>
      </c>
      <c r="D82">
        <v>1360000</v>
      </c>
      <c r="E82" t="s">
        <v>128</v>
      </c>
    </row>
    <row r="83" spans="1:5" x14ac:dyDescent="0.25">
      <c r="A83" s="14">
        <v>42519.771365740744</v>
      </c>
      <c r="B83" t="s">
        <v>108</v>
      </c>
      <c r="C83" t="s">
        <v>348</v>
      </c>
      <c r="D83">
        <v>1280000</v>
      </c>
      <c r="E83" t="s">
        <v>62</v>
      </c>
    </row>
    <row r="84" spans="1:5" x14ac:dyDescent="0.25">
      <c r="A84" s="14">
        <v>42519.632824074077</v>
      </c>
      <c r="B84" t="s">
        <v>93</v>
      </c>
      <c r="C84" t="s">
        <v>313</v>
      </c>
      <c r="D84">
        <v>1120000</v>
      </c>
      <c r="E84" t="s">
        <v>388</v>
      </c>
    </row>
    <row r="85" spans="1:5" x14ac:dyDescent="0.25">
      <c r="A85" s="14">
        <v>42519.758657407408</v>
      </c>
      <c r="B85" t="s">
        <v>110</v>
      </c>
      <c r="C85" t="s">
        <v>346</v>
      </c>
      <c r="D85">
        <v>1830000</v>
      </c>
      <c r="E85" t="s">
        <v>112</v>
      </c>
    </row>
    <row r="86" spans="1:5" x14ac:dyDescent="0.25">
      <c r="A86" s="14">
        <v>42519.657511574071</v>
      </c>
      <c r="B86" t="s">
        <v>107</v>
      </c>
      <c r="C86" t="s">
        <v>312</v>
      </c>
      <c r="D86">
        <v>940000</v>
      </c>
      <c r="E86" t="s">
        <v>390</v>
      </c>
    </row>
    <row r="87" spans="1:5" x14ac:dyDescent="0.25">
      <c r="A87" s="14">
        <v>42519.619375000002</v>
      </c>
      <c r="B87" t="s">
        <v>108</v>
      </c>
      <c r="C87" t="s">
        <v>309</v>
      </c>
      <c r="D87">
        <v>940000</v>
      </c>
      <c r="E87" t="s">
        <v>390</v>
      </c>
    </row>
    <row r="88" spans="1:5" x14ac:dyDescent="0.25">
      <c r="A88" s="14">
        <v>42519.316099537034</v>
      </c>
      <c r="B88" t="s">
        <v>124</v>
      </c>
      <c r="C88" t="s">
        <v>221</v>
      </c>
      <c r="D88">
        <v>1100000</v>
      </c>
      <c r="E88" t="s">
        <v>104</v>
      </c>
    </row>
    <row r="89" spans="1:5" x14ac:dyDescent="0.25">
      <c r="A89" s="14">
        <v>42519.606574074074</v>
      </c>
      <c r="B89" t="s">
        <v>124</v>
      </c>
      <c r="C89" t="s">
        <v>299</v>
      </c>
      <c r="D89">
        <v>1260000</v>
      </c>
      <c r="E89" t="s">
        <v>389</v>
      </c>
    </row>
    <row r="90" spans="1:5" x14ac:dyDescent="0.25">
      <c r="A90" s="14">
        <v>42519.507337962961</v>
      </c>
      <c r="B90" t="s">
        <v>111</v>
      </c>
      <c r="C90" t="s">
        <v>284</v>
      </c>
      <c r="D90">
        <v>880000</v>
      </c>
      <c r="E90" t="s">
        <v>95</v>
      </c>
    </row>
    <row r="91" spans="1:5" x14ac:dyDescent="0.25">
      <c r="A91" s="14">
        <v>42519.598958333336</v>
      </c>
      <c r="B91" t="s">
        <v>99</v>
      </c>
      <c r="C91" t="s">
        <v>305</v>
      </c>
      <c r="D91">
        <v>950000</v>
      </c>
      <c r="E91" t="s">
        <v>392</v>
      </c>
    </row>
    <row r="92" spans="1:5" x14ac:dyDescent="0.25">
      <c r="A92" s="14">
        <v>42519.136064814818</v>
      </c>
      <c r="B92" t="s">
        <v>123</v>
      </c>
      <c r="C92" t="s">
        <v>393</v>
      </c>
      <c r="D92">
        <v>1300000</v>
      </c>
      <c r="E92" t="s">
        <v>97</v>
      </c>
    </row>
    <row r="93" spans="1:5" x14ac:dyDescent="0.25">
      <c r="A93" s="14">
        <v>42519.511712962965</v>
      </c>
      <c r="B93" t="s">
        <v>107</v>
      </c>
      <c r="C93" t="s">
        <v>277</v>
      </c>
      <c r="D93">
        <v>940000</v>
      </c>
      <c r="E93" t="s">
        <v>390</v>
      </c>
    </row>
    <row r="94" spans="1:5" x14ac:dyDescent="0.25">
      <c r="A94" s="14">
        <v>42519.185960648145</v>
      </c>
      <c r="B94" t="s">
        <v>108</v>
      </c>
      <c r="C94" t="s">
        <v>192</v>
      </c>
      <c r="D94">
        <v>1360000</v>
      </c>
      <c r="E94" t="s">
        <v>128</v>
      </c>
    </row>
    <row r="95" spans="1:5" x14ac:dyDescent="0.25">
      <c r="A95" s="14">
        <v>42519.72693287037</v>
      </c>
      <c r="B95" t="s">
        <v>111</v>
      </c>
      <c r="C95" t="s">
        <v>339</v>
      </c>
      <c r="D95">
        <v>880000</v>
      </c>
      <c r="E95" t="s">
        <v>95</v>
      </c>
    </row>
    <row r="96" spans="1:5" x14ac:dyDescent="0.25">
      <c r="A96" s="14">
        <v>42519.39702546296</v>
      </c>
      <c r="B96" t="s">
        <v>113</v>
      </c>
      <c r="C96" t="s">
        <v>244</v>
      </c>
      <c r="D96">
        <v>1300000</v>
      </c>
      <c r="E96" t="s">
        <v>97</v>
      </c>
    </row>
    <row r="97" spans="1:5" x14ac:dyDescent="0.25">
      <c r="A97" s="14">
        <v>42519.691793981481</v>
      </c>
      <c r="B97" t="s">
        <v>113</v>
      </c>
      <c r="C97" t="s">
        <v>319</v>
      </c>
      <c r="D97">
        <v>880000</v>
      </c>
      <c r="E97" t="s">
        <v>95</v>
      </c>
    </row>
    <row r="98" spans="1:5" x14ac:dyDescent="0.25">
      <c r="A98" s="14">
        <v>42519.414953703701</v>
      </c>
      <c r="B98" t="s">
        <v>93</v>
      </c>
      <c r="C98" t="s">
        <v>257</v>
      </c>
      <c r="D98">
        <v>1310000</v>
      </c>
      <c r="E98" t="s">
        <v>160</v>
      </c>
    </row>
    <row r="99" spans="1:5" x14ac:dyDescent="0.25">
      <c r="A99" s="14">
        <v>42519.683287037034</v>
      </c>
      <c r="B99" t="s">
        <v>110</v>
      </c>
      <c r="C99" t="s">
        <v>327</v>
      </c>
      <c r="D99">
        <v>1470000</v>
      </c>
      <c r="E99" t="s">
        <v>138</v>
      </c>
    </row>
    <row r="100" spans="1:5" x14ac:dyDescent="0.25">
      <c r="A100" s="14">
        <v>42519.458645833336</v>
      </c>
      <c r="B100" t="s">
        <v>124</v>
      </c>
      <c r="C100" t="s">
        <v>262</v>
      </c>
      <c r="D100">
        <v>1260000</v>
      </c>
      <c r="E100" t="s">
        <v>389</v>
      </c>
    </row>
    <row r="101" spans="1:5" x14ac:dyDescent="0.25">
      <c r="A101" s="14">
        <v>42519.608865740738</v>
      </c>
      <c r="B101" t="s">
        <v>110</v>
      </c>
      <c r="C101" t="s">
        <v>307</v>
      </c>
      <c r="D101">
        <v>1470000</v>
      </c>
      <c r="E101" t="s">
        <v>138</v>
      </c>
    </row>
    <row r="102" spans="1:5" x14ac:dyDescent="0.25">
      <c r="A102" s="14">
        <v>42519.463541666664</v>
      </c>
      <c r="B102" t="s">
        <v>110</v>
      </c>
      <c r="C102" t="s">
        <v>274</v>
      </c>
      <c r="D102">
        <v>1470000</v>
      </c>
      <c r="E102" t="s">
        <v>138</v>
      </c>
    </row>
    <row r="103" spans="1:5" x14ac:dyDescent="0.25">
      <c r="A103" s="14">
        <v>42519.599259259259</v>
      </c>
      <c r="B103" t="s">
        <v>94</v>
      </c>
      <c r="C103" t="s">
        <v>297</v>
      </c>
      <c r="D103">
        <v>1120000</v>
      </c>
      <c r="E103" t="s">
        <v>388</v>
      </c>
    </row>
    <row r="104" spans="1:5" x14ac:dyDescent="0.25">
      <c r="A104" s="14">
        <v>42519.590671296297</v>
      </c>
      <c r="B104" t="s">
        <v>63</v>
      </c>
      <c r="C104" t="s">
        <v>302</v>
      </c>
      <c r="D104">
        <v>1760000</v>
      </c>
      <c r="E104" t="s">
        <v>114</v>
      </c>
    </row>
    <row r="105" spans="1:5" x14ac:dyDescent="0.25">
      <c r="A105" s="14">
        <v>42519.569085648145</v>
      </c>
      <c r="B105" t="s">
        <v>123</v>
      </c>
      <c r="C105" t="s">
        <v>298</v>
      </c>
      <c r="D105">
        <v>1260000</v>
      </c>
      <c r="E105" t="s">
        <v>389</v>
      </c>
    </row>
    <row r="106" spans="1:5" x14ac:dyDescent="0.25">
      <c r="A106" s="14">
        <v>42519.213553240741</v>
      </c>
      <c r="B106" t="s">
        <v>137</v>
      </c>
      <c r="C106" t="s">
        <v>191</v>
      </c>
      <c r="D106">
        <v>1430000</v>
      </c>
      <c r="E106" t="s">
        <v>105</v>
      </c>
    </row>
    <row r="107" spans="1:5" x14ac:dyDescent="0.25">
      <c r="A107" s="14">
        <v>42519.531736111108</v>
      </c>
      <c r="B107" t="s">
        <v>124</v>
      </c>
      <c r="C107" t="s">
        <v>283</v>
      </c>
      <c r="D107">
        <v>1260000</v>
      </c>
      <c r="E107" t="s">
        <v>389</v>
      </c>
    </row>
    <row r="108" spans="1:5" x14ac:dyDescent="0.25">
      <c r="A108" s="14">
        <v>42519.344710648147</v>
      </c>
      <c r="B108" t="s">
        <v>106</v>
      </c>
      <c r="C108" t="s">
        <v>230</v>
      </c>
      <c r="D108">
        <v>1460000</v>
      </c>
      <c r="E108" t="s">
        <v>136</v>
      </c>
    </row>
    <row r="109" spans="1:5" x14ac:dyDescent="0.25">
      <c r="A109" s="14">
        <v>42519.909282407411</v>
      </c>
      <c r="B109" t="s">
        <v>124</v>
      </c>
      <c r="C109" t="s">
        <v>363</v>
      </c>
      <c r="D109">
        <v>1780000</v>
      </c>
      <c r="E109" t="s">
        <v>96</v>
      </c>
    </row>
    <row r="110" spans="1:5" x14ac:dyDescent="0.25">
      <c r="A110" s="14">
        <v>42519.546469907407</v>
      </c>
      <c r="B110" t="s">
        <v>108</v>
      </c>
      <c r="C110" t="s">
        <v>293</v>
      </c>
      <c r="D110">
        <v>940000</v>
      </c>
      <c r="E110" t="s">
        <v>390</v>
      </c>
    </row>
    <row r="111" spans="1:5" x14ac:dyDescent="0.25">
      <c r="A111" s="14">
        <v>42519.583819444444</v>
      </c>
      <c r="B111" t="s">
        <v>107</v>
      </c>
      <c r="C111" t="s">
        <v>295</v>
      </c>
      <c r="D111">
        <v>940000</v>
      </c>
      <c r="E111" t="s">
        <v>390</v>
      </c>
    </row>
    <row r="112" spans="1:5" x14ac:dyDescent="0.25">
      <c r="A112" s="14">
        <v>42519.619768518518</v>
      </c>
      <c r="B112" t="s">
        <v>113</v>
      </c>
      <c r="C112" t="s">
        <v>301</v>
      </c>
      <c r="D112">
        <v>880000</v>
      </c>
      <c r="E112" t="s">
        <v>95</v>
      </c>
    </row>
    <row r="113" spans="1:5" x14ac:dyDescent="0.25">
      <c r="A113" s="14">
        <v>42519.379918981482</v>
      </c>
      <c r="B113" t="s">
        <v>94</v>
      </c>
      <c r="C113" t="s">
        <v>237</v>
      </c>
      <c r="D113">
        <v>1310000</v>
      </c>
      <c r="E113" t="s">
        <v>160</v>
      </c>
    </row>
    <row r="114" spans="1:5" x14ac:dyDescent="0.25">
      <c r="A114" s="14">
        <v>42519.223171296297</v>
      </c>
      <c r="B114" t="s">
        <v>107</v>
      </c>
      <c r="C114" t="s">
        <v>194</v>
      </c>
      <c r="D114">
        <v>1360000</v>
      </c>
      <c r="E114" t="s">
        <v>128</v>
      </c>
    </row>
    <row r="115" spans="1:5" x14ac:dyDescent="0.25">
      <c r="A115" s="14">
        <v>42520.036111111112</v>
      </c>
      <c r="B115" t="s">
        <v>109</v>
      </c>
      <c r="C115" t="s">
        <v>380</v>
      </c>
      <c r="D115">
        <v>1830000</v>
      </c>
      <c r="E115" t="s">
        <v>112</v>
      </c>
    </row>
    <row r="116" spans="1:5" x14ac:dyDescent="0.25">
      <c r="A116" s="14">
        <v>42519.440949074073</v>
      </c>
      <c r="B116" t="s">
        <v>107</v>
      </c>
      <c r="C116" t="s">
        <v>256</v>
      </c>
      <c r="D116">
        <v>1360000</v>
      </c>
      <c r="E116" t="s">
        <v>128</v>
      </c>
    </row>
    <row r="117" spans="1:5" x14ac:dyDescent="0.25">
      <c r="A117" s="14">
        <v>42519.722002314818</v>
      </c>
      <c r="B117" t="s">
        <v>109</v>
      </c>
      <c r="C117" t="s">
        <v>328</v>
      </c>
      <c r="D117">
        <v>1470000</v>
      </c>
      <c r="E117" t="s">
        <v>138</v>
      </c>
    </row>
    <row r="118" spans="1:5" x14ac:dyDescent="0.25">
      <c r="A118" s="14">
        <v>42519.501643518517</v>
      </c>
      <c r="B118" t="s">
        <v>109</v>
      </c>
      <c r="C118" t="s">
        <v>275</v>
      </c>
      <c r="D118">
        <v>1470000</v>
      </c>
      <c r="E118" t="s">
        <v>138</v>
      </c>
    </row>
    <row r="119" spans="1:5" x14ac:dyDescent="0.25">
      <c r="A119" s="14">
        <v>42519.866967592592</v>
      </c>
      <c r="B119" t="s">
        <v>109</v>
      </c>
      <c r="C119" t="s">
        <v>357</v>
      </c>
      <c r="D119">
        <v>1830000</v>
      </c>
      <c r="E119" t="s">
        <v>112</v>
      </c>
    </row>
    <row r="120" spans="1:5" x14ac:dyDescent="0.25">
      <c r="A120" s="14">
        <v>42519.518067129633</v>
      </c>
      <c r="B120" t="s">
        <v>63</v>
      </c>
      <c r="C120" t="s">
        <v>286</v>
      </c>
      <c r="D120">
        <v>1760000</v>
      </c>
      <c r="E120" t="s">
        <v>114</v>
      </c>
    </row>
    <row r="121" spans="1:5" x14ac:dyDescent="0.25">
      <c r="A121" s="14">
        <v>42519.67491898148</v>
      </c>
      <c r="B121" t="s">
        <v>99</v>
      </c>
      <c r="C121" t="s">
        <v>324</v>
      </c>
      <c r="D121">
        <v>950000</v>
      </c>
      <c r="E121" t="s">
        <v>392</v>
      </c>
    </row>
    <row r="122" spans="1:5" x14ac:dyDescent="0.25">
      <c r="A122" s="14">
        <v>42519.765439814815</v>
      </c>
      <c r="B122" t="s">
        <v>113</v>
      </c>
      <c r="C122" t="s">
        <v>340</v>
      </c>
      <c r="D122">
        <v>880000</v>
      </c>
      <c r="E122" t="s">
        <v>95</v>
      </c>
    </row>
    <row r="123" spans="1:5" x14ac:dyDescent="0.25">
      <c r="A123" s="14">
        <v>42519.63082175926</v>
      </c>
      <c r="B123" t="s">
        <v>64</v>
      </c>
      <c r="C123" t="s">
        <v>303</v>
      </c>
      <c r="D123">
        <v>1760000</v>
      </c>
      <c r="E123" t="s">
        <v>114</v>
      </c>
    </row>
    <row r="124" spans="1:5" x14ac:dyDescent="0.25">
      <c r="A124" s="14">
        <v>42519.955023148148</v>
      </c>
      <c r="B124" t="s">
        <v>123</v>
      </c>
      <c r="C124" t="s">
        <v>375</v>
      </c>
      <c r="D124">
        <v>1780000</v>
      </c>
      <c r="E124" t="s">
        <v>96</v>
      </c>
    </row>
    <row r="125" spans="1:5" x14ac:dyDescent="0.25">
      <c r="A125" s="14">
        <v>42519.421851851854</v>
      </c>
      <c r="B125" t="s">
        <v>123</v>
      </c>
      <c r="C125" t="s">
        <v>260</v>
      </c>
      <c r="D125">
        <v>1260000</v>
      </c>
      <c r="E125" t="s">
        <v>389</v>
      </c>
    </row>
    <row r="126" spans="1:5" x14ac:dyDescent="0.25">
      <c r="A126" s="14">
        <v>42519.749502314815</v>
      </c>
      <c r="B126" t="s">
        <v>124</v>
      </c>
      <c r="C126" t="s">
        <v>337</v>
      </c>
      <c r="D126">
        <v>1520000</v>
      </c>
      <c r="E126" t="s">
        <v>181</v>
      </c>
    </row>
    <row r="127" spans="1:5" x14ac:dyDescent="0.25">
      <c r="A127" s="14">
        <v>42519.992812500001</v>
      </c>
      <c r="B127" t="s">
        <v>124</v>
      </c>
      <c r="C127" t="s">
        <v>376</v>
      </c>
      <c r="D127">
        <v>1780000</v>
      </c>
      <c r="E127" t="s">
        <v>96</v>
      </c>
    </row>
    <row r="128" spans="1:5" x14ac:dyDescent="0.25">
      <c r="A128" s="14">
        <v>42519.825543981482</v>
      </c>
      <c r="B128" t="s">
        <v>124</v>
      </c>
      <c r="C128" t="s">
        <v>352</v>
      </c>
      <c r="D128">
        <v>1780000</v>
      </c>
      <c r="E128" t="s">
        <v>96</v>
      </c>
    </row>
    <row r="129" spans="1:5" x14ac:dyDescent="0.25">
      <c r="A129" s="14">
        <v>42519.786874999998</v>
      </c>
      <c r="B129" t="s">
        <v>106</v>
      </c>
      <c r="C129" t="s">
        <v>344</v>
      </c>
      <c r="D129">
        <v>950000</v>
      </c>
      <c r="E129" t="s">
        <v>392</v>
      </c>
    </row>
    <row r="130" spans="1:5" x14ac:dyDescent="0.25">
      <c r="A130" s="14">
        <v>42519.830821759257</v>
      </c>
      <c r="B130" t="s">
        <v>110</v>
      </c>
      <c r="C130" t="s">
        <v>356</v>
      </c>
      <c r="D130">
        <v>1830000</v>
      </c>
      <c r="E130" t="s">
        <v>112</v>
      </c>
    </row>
    <row r="131" spans="1:5" x14ac:dyDescent="0.25">
      <c r="A131" s="14">
        <v>42519.308842592596</v>
      </c>
      <c r="B131" t="s">
        <v>99</v>
      </c>
      <c r="C131" t="s">
        <v>228</v>
      </c>
      <c r="D131">
        <v>1460000</v>
      </c>
      <c r="E131" t="s">
        <v>136</v>
      </c>
    </row>
    <row r="132" spans="1:5" x14ac:dyDescent="0.25">
      <c r="A132" s="14">
        <v>42520.051377314812</v>
      </c>
      <c r="B132" t="s">
        <v>107</v>
      </c>
      <c r="C132" t="s">
        <v>383</v>
      </c>
      <c r="D132">
        <v>1280000</v>
      </c>
      <c r="E132" t="s">
        <v>62</v>
      </c>
    </row>
    <row r="133" spans="1:5" x14ac:dyDescent="0.25">
      <c r="A133" s="14">
        <v>42519.245405092595</v>
      </c>
      <c r="B133" t="s">
        <v>124</v>
      </c>
      <c r="C133" t="s">
        <v>200</v>
      </c>
      <c r="D133">
        <v>1100000</v>
      </c>
      <c r="E133" t="s">
        <v>104</v>
      </c>
    </row>
    <row r="134" spans="1:5" x14ac:dyDescent="0.25">
      <c r="A134" s="14">
        <v>42519.748541666668</v>
      </c>
      <c r="B134" t="s">
        <v>124</v>
      </c>
      <c r="C134" t="s">
        <v>337</v>
      </c>
      <c r="D134">
        <v>1520000</v>
      </c>
      <c r="E134" t="s">
        <v>181</v>
      </c>
    </row>
    <row r="135" spans="1:5" x14ac:dyDescent="0.25">
      <c r="A135" s="14">
        <v>42519.197152777779</v>
      </c>
      <c r="B135" t="s">
        <v>93</v>
      </c>
      <c r="C135" t="s">
        <v>195</v>
      </c>
      <c r="D135">
        <v>1310000</v>
      </c>
      <c r="E135" t="s">
        <v>160</v>
      </c>
    </row>
    <row r="136" spans="1:5" x14ac:dyDescent="0.25">
      <c r="A136" s="14">
        <v>42519.775208333333</v>
      </c>
      <c r="B136" t="s">
        <v>64</v>
      </c>
      <c r="C136" t="s">
        <v>342</v>
      </c>
      <c r="D136">
        <v>1800000</v>
      </c>
      <c r="E136" t="s">
        <v>89</v>
      </c>
    </row>
    <row r="137" spans="1:5" x14ac:dyDescent="0.25">
      <c r="A137" s="14">
        <v>42519.893842592595</v>
      </c>
      <c r="B137" t="s">
        <v>63</v>
      </c>
      <c r="C137" t="s">
        <v>364</v>
      </c>
      <c r="D137">
        <v>1800000</v>
      </c>
      <c r="E137" t="s">
        <v>89</v>
      </c>
    </row>
    <row r="138" spans="1:5" x14ac:dyDescent="0.25">
      <c r="A138" s="14">
        <v>42519.794641203705</v>
      </c>
      <c r="B138" t="s">
        <v>109</v>
      </c>
      <c r="C138" t="s">
        <v>347</v>
      </c>
      <c r="D138">
        <v>1830000</v>
      </c>
      <c r="E138" t="s">
        <v>112</v>
      </c>
    </row>
    <row r="139" spans="1:5" x14ac:dyDescent="0.25">
      <c r="A139" s="14">
        <v>42519.849432870367</v>
      </c>
      <c r="B139" t="s">
        <v>64</v>
      </c>
      <c r="C139" t="s">
        <v>354</v>
      </c>
      <c r="D139">
        <v>1800000</v>
      </c>
      <c r="E139" t="s">
        <v>89</v>
      </c>
    </row>
    <row r="140" spans="1:5" x14ac:dyDescent="0.25">
      <c r="A140" s="14">
        <v>42519.807708333334</v>
      </c>
      <c r="B140" t="s">
        <v>107</v>
      </c>
      <c r="C140" t="s">
        <v>349</v>
      </c>
      <c r="D140">
        <v>1280000</v>
      </c>
      <c r="E140" t="s">
        <v>62</v>
      </c>
    </row>
    <row r="141" spans="1:5" x14ac:dyDescent="0.25">
      <c r="A141" s="14">
        <v>42519.713877314818</v>
      </c>
      <c r="B141" t="s">
        <v>106</v>
      </c>
      <c r="C141" t="s">
        <v>326</v>
      </c>
      <c r="D141">
        <v>950000</v>
      </c>
      <c r="E141" t="s">
        <v>392</v>
      </c>
    </row>
    <row r="142" spans="1:5" x14ac:dyDescent="0.25">
      <c r="A142" s="14">
        <v>42519.843587962961</v>
      </c>
      <c r="B142" t="s">
        <v>108</v>
      </c>
      <c r="C142" t="s">
        <v>358</v>
      </c>
      <c r="D142">
        <v>1280000</v>
      </c>
      <c r="E142" t="s">
        <v>62</v>
      </c>
    </row>
    <row r="143" spans="1:5" x14ac:dyDescent="0.25">
      <c r="A143" s="14">
        <v>42519.652280092596</v>
      </c>
      <c r="B143" t="s">
        <v>111</v>
      </c>
      <c r="C143" t="s">
        <v>318</v>
      </c>
      <c r="D143">
        <v>880000</v>
      </c>
      <c r="E143" t="s">
        <v>95</v>
      </c>
    </row>
    <row r="144" spans="1:5" x14ac:dyDescent="0.25">
      <c r="A144" s="14">
        <v>42519.911851851852</v>
      </c>
      <c r="B144" t="s">
        <v>110</v>
      </c>
      <c r="C144" t="s">
        <v>367</v>
      </c>
      <c r="D144">
        <v>1830000</v>
      </c>
      <c r="E144" t="s">
        <v>112</v>
      </c>
    </row>
    <row r="145" spans="1:5" x14ac:dyDescent="0.25">
      <c r="A145" s="14">
        <v>42519.640810185185</v>
      </c>
      <c r="B145" t="s">
        <v>106</v>
      </c>
      <c r="C145" t="s">
        <v>306</v>
      </c>
      <c r="D145">
        <v>950000</v>
      </c>
      <c r="E145" t="s">
        <v>392</v>
      </c>
    </row>
    <row r="146" spans="1:5" x14ac:dyDescent="0.25">
      <c r="A146" s="14">
        <v>42519.932199074072</v>
      </c>
      <c r="B146" t="s">
        <v>64</v>
      </c>
      <c r="C146" t="s">
        <v>365</v>
      </c>
      <c r="D146">
        <v>1800000</v>
      </c>
      <c r="E146" t="s">
        <v>89</v>
      </c>
    </row>
    <row r="147" spans="1:5" x14ac:dyDescent="0.25">
      <c r="A147" s="14">
        <v>42519.527499999997</v>
      </c>
      <c r="B147" t="s">
        <v>99</v>
      </c>
      <c r="C147" t="s">
        <v>288</v>
      </c>
      <c r="D147">
        <v>950000</v>
      </c>
      <c r="E147" t="s">
        <v>392</v>
      </c>
    </row>
    <row r="148" spans="1:5" x14ac:dyDescent="0.25">
      <c r="A148" s="14">
        <v>42519.698703703703</v>
      </c>
      <c r="B148" t="s">
        <v>64</v>
      </c>
      <c r="C148" t="s">
        <v>323</v>
      </c>
      <c r="D148">
        <v>1760000</v>
      </c>
      <c r="E148" t="s">
        <v>114</v>
      </c>
    </row>
    <row r="149" spans="1:5" x14ac:dyDescent="0.25">
      <c r="A149" s="14">
        <v>42519.468935185185</v>
      </c>
      <c r="B149" t="s">
        <v>124</v>
      </c>
      <c r="C149" t="s">
        <v>262</v>
      </c>
      <c r="D149">
        <v>1260000</v>
      </c>
      <c r="E149" t="s">
        <v>389</v>
      </c>
    </row>
    <row r="150" spans="1:5" x14ac:dyDescent="0.25">
      <c r="A150" s="14">
        <v>42519.976331018515</v>
      </c>
      <c r="B150" t="s">
        <v>63</v>
      </c>
      <c r="C150" t="s">
        <v>377</v>
      </c>
      <c r="D150">
        <v>1800000</v>
      </c>
      <c r="E150" t="s">
        <v>89</v>
      </c>
    </row>
    <row r="151" spans="1:5" x14ac:dyDescent="0.25">
      <c r="A151" s="14">
        <v>42519.677499999998</v>
      </c>
      <c r="B151" t="s">
        <v>124</v>
      </c>
      <c r="C151" t="s">
        <v>317</v>
      </c>
      <c r="D151">
        <v>1260000</v>
      </c>
      <c r="E151" t="s">
        <v>389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42519</v>
      </c>
      <c r="B2" s="10"/>
      <c r="C2" s="37">
        <v>50</v>
      </c>
      <c r="F2" t="s">
        <v>81</v>
      </c>
    </row>
    <row r="3" spans="1:6" x14ac:dyDescent="0.25">
      <c r="F3" t="s">
        <v>82</v>
      </c>
    </row>
    <row r="4" spans="1:6" x14ac:dyDescent="0.25">
      <c r="F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2016-06-29T15:01:31Z</dcterms:modified>
</cp:coreProperties>
</file>