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\Documents\GitHub\eaglep3-reporting\EC\"/>
    </mc:Choice>
  </mc:AlternateContent>
  <bookViews>
    <workbookView xWindow="0" yWindow="0" windowWidth="20490" windowHeight="7905"/>
  </bookViews>
  <sheets>
    <sheet name="Train Runs" sheetId="1" r:id="rId1"/>
    <sheet name="Enforcements" sheetId="3" r:id="rId2"/>
    <sheet name="Missing Trips" sheetId="6" r:id="rId3"/>
    <sheet name="Trips&amp;Operators" sheetId="4" r:id="rId4"/>
    <sheet name="Variables" sheetId="5" r:id="rId5"/>
  </sheets>
  <externalReferences>
    <externalReference r:id="rId6"/>
    <externalReference r:id="rId7"/>
  </externalReferences>
  <definedNames>
    <definedName name="_xlnm._FilterDatabase" localSheetId="1" hidden="1">Enforcements!$A$2:$N$52</definedName>
    <definedName name="_xlnm._FilterDatabase" localSheetId="0" hidden="1">'Train Runs'!$A$2:$AD$142</definedName>
    <definedName name="Denver_Train_Runs_04122016" localSheetId="0">'Train Runs'!$A$2:$J$147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54" i="1" l="1"/>
  <c r="K154" i="1"/>
  <c r="J154" i="1"/>
  <c r="I154" i="1"/>
  <c r="T142" i="1"/>
  <c r="U142" i="1" s="1"/>
  <c r="S142" i="1" s="1"/>
  <c r="U141" i="1"/>
  <c r="S141" i="1" s="1"/>
  <c r="T141" i="1"/>
  <c r="T140" i="1"/>
  <c r="U140" i="1" s="1"/>
  <c r="S140" i="1" s="1"/>
  <c r="U139" i="1"/>
  <c r="T139" i="1"/>
  <c r="S139" i="1"/>
  <c r="T138" i="1"/>
  <c r="U138" i="1" s="1"/>
  <c r="S138" i="1" s="1"/>
  <c r="U137" i="1"/>
  <c r="S137" i="1" s="1"/>
  <c r="T137" i="1"/>
  <c r="T136" i="1"/>
  <c r="U136" i="1" s="1"/>
  <c r="S136" i="1" s="1"/>
  <c r="U135" i="1"/>
  <c r="T135" i="1"/>
  <c r="S135" i="1"/>
  <c r="T134" i="1"/>
  <c r="U134" i="1" s="1"/>
  <c r="S134" i="1" s="1"/>
  <c r="U133" i="1"/>
  <c r="S133" i="1" s="1"/>
  <c r="T133" i="1"/>
  <c r="T132" i="1"/>
  <c r="U132" i="1" s="1"/>
  <c r="S132" i="1" s="1"/>
  <c r="U131" i="1"/>
  <c r="T131" i="1"/>
  <c r="S131" i="1"/>
  <c r="T130" i="1"/>
  <c r="U130" i="1" s="1"/>
  <c r="S130" i="1" s="1"/>
  <c r="U129" i="1"/>
  <c r="S129" i="1" s="1"/>
  <c r="T129" i="1"/>
  <c r="T128" i="1"/>
  <c r="U128" i="1" s="1"/>
  <c r="S128" i="1" s="1"/>
  <c r="U127" i="1"/>
  <c r="T127" i="1"/>
  <c r="S127" i="1"/>
  <c r="T126" i="1"/>
  <c r="U126" i="1" s="1"/>
  <c r="S126" i="1" s="1"/>
  <c r="U125" i="1"/>
  <c r="S125" i="1" s="1"/>
  <c r="T125" i="1"/>
  <c r="T124" i="1"/>
  <c r="U124" i="1" s="1"/>
  <c r="S124" i="1" s="1"/>
  <c r="U123" i="1"/>
  <c r="T123" i="1"/>
  <c r="S123" i="1"/>
  <c r="T122" i="1"/>
  <c r="U122" i="1" s="1"/>
  <c r="S122" i="1" s="1"/>
  <c r="U121" i="1"/>
  <c r="S121" i="1" s="1"/>
  <c r="T121" i="1"/>
  <c r="T120" i="1"/>
  <c r="U120" i="1" s="1"/>
  <c r="S120" i="1" s="1"/>
  <c r="U119" i="1"/>
  <c r="T119" i="1"/>
  <c r="S119" i="1"/>
  <c r="T118" i="1"/>
  <c r="U118" i="1" s="1"/>
  <c r="S118" i="1" s="1"/>
  <c r="U117" i="1"/>
  <c r="S117" i="1" s="1"/>
  <c r="T117" i="1"/>
  <c r="T116" i="1"/>
  <c r="U116" i="1" s="1"/>
  <c r="S116" i="1" s="1"/>
  <c r="U115" i="1"/>
  <c r="T115" i="1"/>
  <c r="S115" i="1"/>
  <c r="T114" i="1"/>
  <c r="U114" i="1" s="1"/>
  <c r="S114" i="1" s="1"/>
  <c r="U113" i="1"/>
  <c r="S113" i="1" s="1"/>
  <c r="T113" i="1"/>
  <c r="T112" i="1"/>
  <c r="U112" i="1" s="1"/>
  <c r="S112" i="1" s="1"/>
  <c r="U111" i="1"/>
  <c r="T111" i="1"/>
  <c r="S111" i="1"/>
  <c r="T110" i="1"/>
  <c r="U110" i="1" s="1"/>
  <c r="S110" i="1" s="1"/>
  <c r="U109" i="1"/>
  <c r="S109" i="1" s="1"/>
  <c r="T109" i="1"/>
  <c r="T108" i="1"/>
  <c r="U108" i="1" s="1"/>
  <c r="S108" i="1" s="1"/>
  <c r="U107" i="1"/>
  <c r="T107" i="1"/>
  <c r="S107" i="1"/>
  <c r="T106" i="1"/>
  <c r="U106" i="1" s="1"/>
  <c r="S106" i="1" s="1"/>
  <c r="U105" i="1"/>
  <c r="S105" i="1" s="1"/>
  <c r="T105" i="1"/>
  <c r="T104" i="1"/>
  <c r="U104" i="1" s="1"/>
  <c r="S104" i="1" s="1"/>
  <c r="U103" i="1"/>
  <c r="T103" i="1"/>
  <c r="S103" i="1"/>
  <c r="T102" i="1"/>
  <c r="U102" i="1" s="1"/>
  <c r="S102" i="1" s="1"/>
  <c r="U101" i="1"/>
  <c r="S101" i="1" s="1"/>
  <c r="T101" i="1"/>
  <c r="T100" i="1"/>
  <c r="U100" i="1" s="1"/>
  <c r="S100" i="1" s="1"/>
  <c r="U99" i="1"/>
  <c r="T99" i="1"/>
  <c r="S99" i="1"/>
  <c r="T98" i="1"/>
  <c r="U98" i="1" s="1"/>
  <c r="S98" i="1" s="1"/>
  <c r="U97" i="1"/>
  <c r="S97" i="1" s="1"/>
  <c r="T97" i="1"/>
  <c r="T96" i="1"/>
  <c r="U96" i="1" s="1"/>
  <c r="S96" i="1" s="1"/>
  <c r="U95" i="1"/>
  <c r="T95" i="1"/>
  <c r="S95" i="1"/>
  <c r="T94" i="1"/>
  <c r="U94" i="1" s="1"/>
  <c r="S94" i="1" s="1"/>
  <c r="U93" i="1"/>
  <c r="S93" i="1" s="1"/>
  <c r="T93" i="1"/>
  <c r="T92" i="1"/>
  <c r="U92" i="1" s="1"/>
  <c r="S92" i="1" s="1"/>
  <c r="U91" i="1"/>
  <c r="T91" i="1"/>
  <c r="S91" i="1"/>
  <c r="T90" i="1"/>
  <c r="U90" i="1" s="1"/>
  <c r="S90" i="1" s="1"/>
  <c r="U89" i="1"/>
  <c r="S89" i="1" s="1"/>
  <c r="T89" i="1"/>
  <c r="T88" i="1"/>
  <c r="U88" i="1" s="1"/>
  <c r="S88" i="1" s="1"/>
  <c r="U87" i="1"/>
  <c r="T87" i="1"/>
  <c r="S87" i="1"/>
  <c r="T86" i="1"/>
  <c r="U86" i="1" s="1"/>
  <c r="S86" i="1" s="1"/>
  <c r="U85" i="1"/>
  <c r="S85" i="1" s="1"/>
  <c r="T85" i="1"/>
  <c r="T84" i="1"/>
  <c r="U84" i="1" s="1"/>
  <c r="S84" i="1" s="1"/>
  <c r="U83" i="1"/>
  <c r="T83" i="1"/>
  <c r="S83" i="1"/>
  <c r="T82" i="1"/>
  <c r="U82" i="1" s="1"/>
  <c r="S82" i="1" s="1"/>
  <c r="U81" i="1"/>
  <c r="S81" i="1" s="1"/>
  <c r="T81" i="1"/>
  <c r="T80" i="1"/>
  <c r="U80" i="1" s="1"/>
  <c r="S80" i="1" s="1"/>
  <c r="U79" i="1"/>
  <c r="T79" i="1"/>
  <c r="S79" i="1"/>
  <c r="T78" i="1"/>
  <c r="U78" i="1" s="1"/>
  <c r="S78" i="1" s="1"/>
  <c r="U77" i="1"/>
  <c r="S77" i="1" s="1"/>
  <c r="T77" i="1"/>
  <c r="T76" i="1"/>
  <c r="U76" i="1" s="1"/>
  <c r="S76" i="1" s="1"/>
  <c r="U75" i="1"/>
  <c r="T75" i="1"/>
  <c r="S75" i="1"/>
  <c r="T74" i="1"/>
  <c r="U74" i="1" s="1"/>
  <c r="S74" i="1" s="1"/>
  <c r="U73" i="1"/>
  <c r="S73" i="1" s="1"/>
  <c r="T73" i="1"/>
  <c r="T72" i="1"/>
  <c r="U72" i="1" s="1"/>
  <c r="S72" i="1" s="1"/>
  <c r="U71" i="1"/>
  <c r="T71" i="1"/>
  <c r="S71" i="1"/>
  <c r="T70" i="1"/>
  <c r="U70" i="1" s="1"/>
  <c r="S70" i="1" s="1"/>
  <c r="U69" i="1"/>
  <c r="S69" i="1" s="1"/>
  <c r="T69" i="1"/>
  <c r="T68" i="1"/>
  <c r="U68" i="1" s="1"/>
  <c r="S68" i="1" s="1"/>
  <c r="U67" i="1"/>
  <c r="T67" i="1"/>
  <c r="S67" i="1"/>
  <c r="T66" i="1"/>
  <c r="U66" i="1" s="1"/>
  <c r="S66" i="1" s="1"/>
  <c r="U65" i="1"/>
  <c r="S65" i="1" s="1"/>
  <c r="T65" i="1"/>
  <c r="T64" i="1"/>
  <c r="U64" i="1" s="1"/>
  <c r="S64" i="1" s="1"/>
  <c r="U63" i="1"/>
  <c r="T63" i="1"/>
  <c r="S63" i="1"/>
  <c r="T62" i="1"/>
  <c r="U62" i="1" s="1"/>
  <c r="S62" i="1" s="1"/>
  <c r="U61" i="1"/>
  <c r="S61" i="1" s="1"/>
  <c r="T61" i="1"/>
  <c r="T60" i="1"/>
  <c r="U60" i="1" s="1"/>
  <c r="S60" i="1" s="1"/>
  <c r="U59" i="1"/>
  <c r="T59" i="1"/>
  <c r="S59" i="1"/>
  <c r="T58" i="1"/>
  <c r="U58" i="1" s="1"/>
  <c r="S58" i="1" s="1"/>
  <c r="U57" i="1"/>
  <c r="S57" i="1" s="1"/>
  <c r="T57" i="1"/>
  <c r="T56" i="1"/>
  <c r="U56" i="1" s="1"/>
  <c r="S56" i="1" s="1"/>
  <c r="U55" i="1"/>
  <c r="T55" i="1"/>
  <c r="S55" i="1"/>
  <c r="T54" i="1"/>
  <c r="U54" i="1" s="1"/>
  <c r="S54" i="1" s="1"/>
  <c r="U53" i="1"/>
  <c r="S53" i="1" s="1"/>
  <c r="T53" i="1"/>
  <c r="T52" i="1"/>
  <c r="U52" i="1" s="1"/>
  <c r="S52" i="1" s="1"/>
  <c r="U51" i="1"/>
  <c r="T51" i="1"/>
  <c r="S51" i="1"/>
  <c r="T50" i="1"/>
  <c r="U50" i="1" s="1"/>
  <c r="S50" i="1" s="1"/>
  <c r="U49" i="1"/>
  <c r="S49" i="1" s="1"/>
  <c r="T49" i="1"/>
  <c r="T48" i="1"/>
  <c r="U48" i="1" s="1"/>
  <c r="S48" i="1" s="1"/>
  <c r="U47" i="1"/>
  <c r="T47" i="1"/>
  <c r="S47" i="1"/>
  <c r="T46" i="1"/>
  <c r="U46" i="1" s="1"/>
  <c r="S46" i="1" s="1"/>
  <c r="U45" i="1"/>
  <c r="S45" i="1" s="1"/>
  <c r="T45" i="1"/>
  <c r="T44" i="1"/>
  <c r="U44" i="1" s="1"/>
  <c r="S44" i="1" s="1"/>
  <c r="U43" i="1"/>
  <c r="T43" i="1"/>
  <c r="S43" i="1"/>
  <c r="T42" i="1"/>
  <c r="U42" i="1" s="1"/>
  <c r="S42" i="1" s="1"/>
  <c r="U41" i="1"/>
  <c r="S41" i="1" s="1"/>
  <c r="T41" i="1"/>
  <c r="T40" i="1"/>
  <c r="U40" i="1" s="1"/>
  <c r="S40" i="1" s="1"/>
  <c r="U39" i="1"/>
  <c r="T39" i="1"/>
  <c r="S39" i="1"/>
  <c r="T38" i="1"/>
  <c r="U38" i="1" s="1"/>
  <c r="S38" i="1" s="1"/>
  <c r="U37" i="1"/>
  <c r="S37" i="1" s="1"/>
  <c r="T37" i="1"/>
  <c r="T36" i="1"/>
  <c r="U36" i="1" s="1"/>
  <c r="S36" i="1" s="1"/>
  <c r="U35" i="1"/>
  <c r="T35" i="1"/>
  <c r="S35" i="1"/>
  <c r="T34" i="1"/>
  <c r="U34" i="1" s="1"/>
  <c r="S34" i="1" s="1"/>
  <c r="U33" i="1"/>
  <c r="S33" i="1" s="1"/>
  <c r="T33" i="1"/>
  <c r="T32" i="1"/>
  <c r="U32" i="1" s="1"/>
  <c r="S32" i="1" s="1"/>
  <c r="U31" i="1"/>
  <c r="T31" i="1"/>
  <c r="S31" i="1"/>
  <c r="T30" i="1"/>
  <c r="U30" i="1" s="1"/>
  <c r="S30" i="1" s="1"/>
  <c r="U29" i="1"/>
  <c r="S29" i="1" s="1"/>
  <c r="T29" i="1"/>
  <c r="T28" i="1"/>
  <c r="U28" i="1" s="1"/>
  <c r="S28" i="1" s="1"/>
  <c r="U27" i="1"/>
  <c r="T27" i="1"/>
  <c r="S27" i="1"/>
  <c r="T26" i="1"/>
  <c r="U26" i="1" s="1"/>
  <c r="S26" i="1" s="1"/>
  <c r="U25" i="1"/>
  <c r="T25" i="1"/>
  <c r="S25" i="1"/>
  <c r="T24" i="1"/>
  <c r="U24" i="1" s="1"/>
  <c r="S24" i="1" s="1"/>
  <c r="U23" i="1"/>
  <c r="T23" i="1"/>
  <c r="S23" i="1"/>
  <c r="T22" i="1"/>
  <c r="U22" i="1" s="1"/>
  <c r="S22" i="1" s="1"/>
  <c r="U21" i="1"/>
  <c r="T21" i="1"/>
  <c r="S21" i="1"/>
  <c r="T20" i="1"/>
  <c r="U20" i="1" s="1"/>
  <c r="S20" i="1" s="1"/>
  <c r="U19" i="1"/>
  <c r="T19" i="1"/>
  <c r="S19" i="1"/>
  <c r="T18" i="1"/>
  <c r="U18" i="1" s="1"/>
  <c r="S18" i="1" s="1"/>
  <c r="U17" i="1"/>
  <c r="T17" i="1"/>
  <c r="S17" i="1"/>
  <c r="T16" i="1"/>
  <c r="U16" i="1" s="1"/>
  <c r="S16" i="1" s="1"/>
  <c r="U15" i="1"/>
  <c r="T15" i="1"/>
  <c r="S15" i="1"/>
  <c r="T14" i="1"/>
  <c r="U14" i="1" s="1"/>
  <c r="S14" i="1" s="1"/>
  <c r="U13" i="1"/>
  <c r="T13" i="1"/>
  <c r="S13" i="1"/>
  <c r="T12" i="1"/>
  <c r="U12" i="1" s="1"/>
  <c r="S12" i="1" s="1"/>
  <c r="U11" i="1"/>
  <c r="T11" i="1"/>
  <c r="S11" i="1"/>
  <c r="T10" i="1"/>
  <c r="U10" i="1" s="1"/>
  <c r="S10" i="1" s="1"/>
  <c r="U9" i="1"/>
  <c r="T9" i="1"/>
  <c r="S9" i="1"/>
  <c r="T8" i="1"/>
  <c r="U8" i="1" s="1"/>
  <c r="S8" i="1" s="1"/>
  <c r="U7" i="1"/>
  <c r="T7" i="1"/>
  <c r="S7" i="1"/>
  <c r="T6" i="1"/>
  <c r="U6" i="1" s="1"/>
  <c r="S6" i="1" s="1"/>
  <c r="U5" i="1"/>
  <c r="T5" i="1"/>
  <c r="S5" i="1"/>
  <c r="T4" i="1"/>
  <c r="U4" i="1" s="1"/>
  <c r="S4" i="1" s="1"/>
  <c r="U3" i="1"/>
  <c r="T3" i="1"/>
  <c r="S3" i="1"/>
  <c r="W99" i="1" l="1"/>
  <c r="P28" i="3" s="1"/>
  <c r="AB99" i="1"/>
  <c r="AC99" i="1"/>
  <c r="AD99" i="1"/>
  <c r="X99" i="1"/>
  <c r="Y99" i="1"/>
  <c r="K99" i="1"/>
  <c r="L99" i="1"/>
  <c r="M99" i="1"/>
  <c r="N99" i="1" s="1"/>
  <c r="P27" i="3"/>
  <c r="N91" i="1"/>
  <c r="N68" i="1"/>
  <c r="P67" i="1"/>
  <c r="K67" i="1"/>
  <c r="L67" i="1"/>
  <c r="M67" i="1"/>
  <c r="W67" i="1"/>
  <c r="Y67" i="1"/>
  <c r="Z67" i="1"/>
  <c r="AA67" i="1"/>
  <c r="AB67" i="1" s="1"/>
  <c r="X67" i="1" s="1"/>
  <c r="AC67" i="1"/>
  <c r="AD67" i="1"/>
  <c r="Y42" i="1"/>
  <c r="Y43" i="1"/>
  <c r="Y29" i="1"/>
  <c r="Y30" i="1"/>
  <c r="M91" i="1" l="1"/>
  <c r="M68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100" i="1"/>
  <c r="Y101" i="1"/>
  <c r="Y102" i="1"/>
  <c r="Y103" i="1"/>
  <c r="Y104" i="1"/>
  <c r="Y105" i="1"/>
  <c r="Y48" i="1"/>
  <c r="Y49" i="1"/>
  <c r="K34" i="1"/>
  <c r="L34" i="1"/>
  <c r="M34" i="1"/>
  <c r="N34" i="1" s="1"/>
  <c r="K35" i="1"/>
  <c r="L35" i="1"/>
  <c r="M35" i="1"/>
  <c r="N35" i="1" s="1"/>
  <c r="K36" i="1"/>
  <c r="L36" i="1"/>
  <c r="M36" i="1"/>
  <c r="P36" i="1" s="1"/>
  <c r="K37" i="1"/>
  <c r="L37" i="1"/>
  <c r="M37" i="1"/>
  <c r="N37" i="1" s="1"/>
  <c r="K38" i="1"/>
  <c r="L38" i="1"/>
  <c r="M38" i="1"/>
  <c r="P38" i="1" s="1"/>
  <c r="K39" i="1"/>
  <c r="L39" i="1"/>
  <c r="M39" i="1"/>
  <c r="N39" i="1"/>
  <c r="K40" i="1"/>
  <c r="L40" i="1"/>
  <c r="M40" i="1"/>
  <c r="N40" i="1" s="1"/>
  <c r="K41" i="1"/>
  <c r="L41" i="1"/>
  <c r="M41" i="1"/>
  <c r="N41" i="1" s="1"/>
  <c r="K42" i="1"/>
  <c r="L42" i="1"/>
  <c r="M42" i="1"/>
  <c r="N42" i="1" s="1"/>
  <c r="K43" i="1"/>
  <c r="L43" i="1"/>
  <c r="M43" i="1"/>
  <c r="N43" i="1" s="1"/>
  <c r="K44" i="1"/>
  <c r="L44" i="1"/>
  <c r="M44" i="1"/>
  <c r="N44" i="1" s="1"/>
  <c r="K45" i="1"/>
  <c r="L45" i="1"/>
  <c r="M45" i="1"/>
  <c r="N45" i="1" s="1"/>
  <c r="K46" i="1"/>
  <c r="L46" i="1"/>
  <c r="M46" i="1"/>
  <c r="N46" i="1" s="1"/>
  <c r="K47" i="1"/>
  <c r="L47" i="1"/>
  <c r="M47" i="1"/>
  <c r="N47" i="1" s="1"/>
  <c r="K48" i="1"/>
  <c r="L48" i="1"/>
  <c r="M48" i="1"/>
  <c r="N48" i="1" s="1"/>
  <c r="W34" i="1"/>
  <c r="Y34" i="1"/>
  <c r="Z34" i="1"/>
  <c r="AA34" i="1"/>
  <c r="AC34" i="1"/>
  <c r="AD34" i="1"/>
  <c r="W35" i="1"/>
  <c r="Y35" i="1"/>
  <c r="Z35" i="1"/>
  <c r="AA35" i="1"/>
  <c r="AC35" i="1"/>
  <c r="AD35" i="1"/>
  <c r="W36" i="1"/>
  <c r="Y36" i="1"/>
  <c r="Z36" i="1"/>
  <c r="AA36" i="1"/>
  <c r="AC36" i="1"/>
  <c r="AD36" i="1"/>
  <c r="W37" i="1"/>
  <c r="Y37" i="1"/>
  <c r="Z37" i="1"/>
  <c r="AA37" i="1"/>
  <c r="AC37" i="1"/>
  <c r="AD37" i="1"/>
  <c r="W38" i="1"/>
  <c r="Y38" i="1"/>
  <c r="Z38" i="1"/>
  <c r="AA38" i="1"/>
  <c r="AC38" i="1"/>
  <c r="AD38" i="1"/>
  <c r="W39" i="1"/>
  <c r="Y39" i="1"/>
  <c r="Z39" i="1"/>
  <c r="AA39" i="1"/>
  <c r="AB39" i="1" s="1"/>
  <c r="X39" i="1" s="1"/>
  <c r="AC39" i="1"/>
  <c r="AD39" i="1"/>
  <c r="W40" i="1"/>
  <c r="Y40" i="1"/>
  <c r="Z40" i="1"/>
  <c r="AA40" i="1"/>
  <c r="AC40" i="1"/>
  <c r="AD40" i="1"/>
  <c r="W41" i="1"/>
  <c r="Y41" i="1"/>
  <c r="Z41" i="1"/>
  <c r="AA41" i="1"/>
  <c r="AC41" i="1"/>
  <c r="AD41" i="1"/>
  <c r="W42" i="1"/>
  <c r="Z42" i="1"/>
  <c r="AA42" i="1"/>
  <c r="AC42" i="1"/>
  <c r="AD42" i="1"/>
  <c r="W43" i="1"/>
  <c r="Z43" i="1"/>
  <c r="AA43" i="1"/>
  <c r="AC43" i="1"/>
  <c r="AD43" i="1"/>
  <c r="W44" i="1"/>
  <c r="Y44" i="1"/>
  <c r="Z44" i="1"/>
  <c r="AA44" i="1"/>
  <c r="AC44" i="1"/>
  <c r="AD44" i="1"/>
  <c r="W45" i="1"/>
  <c r="Y45" i="1"/>
  <c r="Z45" i="1"/>
  <c r="AA45" i="1"/>
  <c r="AC45" i="1"/>
  <c r="AD45" i="1"/>
  <c r="W46" i="1"/>
  <c r="Y46" i="1"/>
  <c r="Z46" i="1"/>
  <c r="AA46" i="1"/>
  <c r="AC46" i="1"/>
  <c r="AD46" i="1"/>
  <c r="W47" i="1"/>
  <c r="Y47" i="1"/>
  <c r="Z47" i="1"/>
  <c r="AA47" i="1"/>
  <c r="AC47" i="1"/>
  <c r="AD47" i="1"/>
  <c r="AB46" i="1" l="1"/>
  <c r="X46" i="1" s="1"/>
  <c r="AB42" i="1"/>
  <c r="X42" i="1" s="1"/>
  <c r="AB38" i="1"/>
  <c r="X38" i="1" s="1"/>
  <c r="AB34" i="1"/>
  <c r="X34" i="1" s="1"/>
  <c r="AB41" i="1"/>
  <c r="X41" i="1" s="1"/>
  <c r="AB43" i="1"/>
  <c r="X43" i="1" s="1"/>
  <c r="AB45" i="1"/>
  <c r="X45" i="1" s="1"/>
  <c r="AB37" i="1"/>
  <c r="X37" i="1" s="1"/>
  <c r="AB40" i="1"/>
  <c r="X40" i="1" s="1"/>
  <c r="AB47" i="1"/>
  <c r="X47" i="1" s="1"/>
  <c r="AB35" i="1"/>
  <c r="X35" i="1" s="1"/>
  <c r="AB44" i="1"/>
  <c r="X44" i="1" s="1"/>
  <c r="AB36" i="1"/>
  <c r="X36" i="1" s="1"/>
  <c r="L39" i="3"/>
  <c r="L44" i="3"/>
  <c r="L7" i="3"/>
  <c r="L45" i="3"/>
  <c r="W141" i="1"/>
  <c r="Y141" i="1"/>
  <c r="Z141" i="1"/>
  <c r="AA141" i="1"/>
  <c r="AC141" i="1"/>
  <c r="AD141" i="1"/>
  <c r="K141" i="1"/>
  <c r="L141" i="1"/>
  <c r="M141" i="1"/>
  <c r="N141" i="1" s="1"/>
  <c r="K112" i="1"/>
  <c r="L112" i="1"/>
  <c r="M112" i="1"/>
  <c r="N112" i="1" s="1"/>
  <c r="W112" i="1"/>
  <c r="Y112" i="1"/>
  <c r="Z112" i="1"/>
  <c r="AA112" i="1"/>
  <c r="AC112" i="1"/>
  <c r="AD112" i="1"/>
  <c r="K113" i="1"/>
  <c r="L113" i="1"/>
  <c r="M113" i="1"/>
  <c r="N113" i="1" s="1"/>
  <c r="W113" i="1"/>
  <c r="Y113" i="1"/>
  <c r="Z113" i="1"/>
  <c r="AA113" i="1"/>
  <c r="AC113" i="1"/>
  <c r="AD113" i="1"/>
  <c r="K114" i="1"/>
  <c r="L114" i="1"/>
  <c r="M114" i="1"/>
  <c r="N114" i="1" s="1"/>
  <c r="W114" i="1"/>
  <c r="Y114" i="1"/>
  <c r="Z114" i="1"/>
  <c r="AA114" i="1"/>
  <c r="AC114" i="1"/>
  <c r="AD114" i="1"/>
  <c r="K115" i="1"/>
  <c r="L115" i="1"/>
  <c r="M115" i="1"/>
  <c r="N115" i="1" s="1"/>
  <c r="W115" i="1"/>
  <c r="Y115" i="1"/>
  <c r="Z115" i="1"/>
  <c r="AA115" i="1"/>
  <c r="AC115" i="1"/>
  <c r="AD115" i="1"/>
  <c r="K116" i="1"/>
  <c r="L116" i="1"/>
  <c r="M116" i="1"/>
  <c r="N116" i="1" s="1"/>
  <c r="W116" i="1"/>
  <c r="Y116" i="1"/>
  <c r="Z116" i="1"/>
  <c r="AA116" i="1"/>
  <c r="AC116" i="1"/>
  <c r="AD116" i="1"/>
  <c r="K117" i="1"/>
  <c r="L117" i="1"/>
  <c r="M117" i="1"/>
  <c r="N117" i="1" s="1"/>
  <c r="W117" i="1"/>
  <c r="Y117" i="1"/>
  <c r="Z117" i="1"/>
  <c r="AA117" i="1"/>
  <c r="AC117" i="1"/>
  <c r="AD117" i="1"/>
  <c r="K118" i="1"/>
  <c r="L118" i="1"/>
  <c r="M118" i="1"/>
  <c r="N118" i="1" s="1"/>
  <c r="W118" i="1"/>
  <c r="Y118" i="1"/>
  <c r="Z118" i="1"/>
  <c r="AA118" i="1"/>
  <c r="AB118" i="1" s="1"/>
  <c r="X118" i="1" s="1"/>
  <c r="AC118" i="1"/>
  <c r="AD118" i="1"/>
  <c r="K119" i="1"/>
  <c r="L119" i="1"/>
  <c r="M119" i="1"/>
  <c r="N119" i="1" s="1"/>
  <c r="W119" i="1"/>
  <c r="Y119" i="1"/>
  <c r="Z119" i="1"/>
  <c r="AA119" i="1"/>
  <c r="AC119" i="1"/>
  <c r="AD119" i="1"/>
  <c r="K120" i="1"/>
  <c r="L120" i="1"/>
  <c r="M120" i="1"/>
  <c r="N120" i="1" s="1"/>
  <c r="W120" i="1"/>
  <c r="Y120" i="1"/>
  <c r="Z120" i="1"/>
  <c r="AA120" i="1"/>
  <c r="AC120" i="1"/>
  <c r="AD120" i="1"/>
  <c r="K122" i="1"/>
  <c r="L122" i="1"/>
  <c r="M122" i="1"/>
  <c r="N122" i="1" s="1"/>
  <c r="W122" i="1"/>
  <c r="Y122" i="1"/>
  <c r="Z122" i="1"/>
  <c r="AA122" i="1"/>
  <c r="AB122" i="1" s="1"/>
  <c r="X122" i="1" s="1"/>
  <c r="AC122" i="1"/>
  <c r="AD122" i="1"/>
  <c r="K124" i="1"/>
  <c r="L124" i="1"/>
  <c r="M124" i="1"/>
  <c r="N124" i="1" s="1"/>
  <c r="W124" i="1"/>
  <c r="Y124" i="1"/>
  <c r="Z124" i="1"/>
  <c r="AA124" i="1"/>
  <c r="AC124" i="1"/>
  <c r="AD124" i="1"/>
  <c r="K126" i="1"/>
  <c r="L126" i="1"/>
  <c r="M126" i="1"/>
  <c r="N126" i="1" s="1"/>
  <c r="W126" i="1"/>
  <c r="Y126" i="1"/>
  <c r="Z126" i="1"/>
  <c r="AA126" i="1"/>
  <c r="AC126" i="1"/>
  <c r="AD126" i="1"/>
  <c r="K128" i="1"/>
  <c r="L128" i="1"/>
  <c r="M128" i="1"/>
  <c r="P128" i="1" s="1"/>
  <c r="W128" i="1"/>
  <c r="Y128" i="1"/>
  <c r="Z128" i="1"/>
  <c r="AA128" i="1"/>
  <c r="AC128" i="1"/>
  <c r="AD128" i="1"/>
  <c r="K130" i="1"/>
  <c r="L130" i="1"/>
  <c r="M130" i="1"/>
  <c r="N130" i="1" s="1"/>
  <c r="W130" i="1"/>
  <c r="Y130" i="1"/>
  <c r="Z130" i="1"/>
  <c r="AA130" i="1"/>
  <c r="AC130" i="1"/>
  <c r="AD130" i="1"/>
  <c r="K132" i="1"/>
  <c r="L132" i="1"/>
  <c r="M132" i="1"/>
  <c r="N132" i="1" s="1"/>
  <c r="W132" i="1"/>
  <c r="Y132" i="1"/>
  <c r="Z132" i="1"/>
  <c r="AA132" i="1"/>
  <c r="AC132" i="1"/>
  <c r="AD132" i="1"/>
  <c r="K134" i="1"/>
  <c r="L134" i="1"/>
  <c r="M134" i="1"/>
  <c r="N134" i="1" s="1"/>
  <c r="W134" i="1"/>
  <c r="Y134" i="1"/>
  <c r="Z134" i="1"/>
  <c r="AA134" i="1"/>
  <c r="AC134" i="1"/>
  <c r="AD134" i="1"/>
  <c r="K136" i="1"/>
  <c r="L136" i="1"/>
  <c r="M136" i="1"/>
  <c r="N136" i="1" s="1"/>
  <c r="W136" i="1"/>
  <c r="Y136" i="1"/>
  <c r="Z136" i="1"/>
  <c r="AA136" i="1"/>
  <c r="AC136" i="1"/>
  <c r="AD136" i="1"/>
  <c r="K138" i="1"/>
  <c r="L138" i="1"/>
  <c r="M138" i="1"/>
  <c r="N138" i="1" s="1"/>
  <c r="W138" i="1"/>
  <c r="Y138" i="1"/>
  <c r="Z138" i="1"/>
  <c r="AA138" i="1"/>
  <c r="AC138" i="1"/>
  <c r="AD138" i="1"/>
  <c r="K140" i="1"/>
  <c r="L140" i="1"/>
  <c r="M140" i="1"/>
  <c r="N140" i="1" s="1"/>
  <c r="W140" i="1"/>
  <c r="Y140" i="1"/>
  <c r="Z140" i="1"/>
  <c r="AA140" i="1"/>
  <c r="AC140" i="1"/>
  <c r="AD140" i="1"/>
  <c r="K142" i="1"/>
  <c r="L142" i="1"/>
  <c r="M142" i="1"/>
  <c r="N142" i="1" s="1"/>
  <c r="W142" i="1"/>
  <c r="Y142" i="1"/>
  <c r="Z142" i="1"/>
  <c r="AA142" i="1"/>
  <c r="AB142" i="1" s="1"/>
  <c r="X142" i="1" s="1"/>
  <c r="AC142" i="1"/>
  <c r="AD142" i="1"/>
  <c r="K121" i="1"/>
  <c r="L121" i="1"/>
  <c r="M121" i="1"/>
  <c r="N121" i="1" s="1"/>
  <c r="W121" i="1"/>
  <c r="Y121" i="1"/>
  <c r="Z121" i="1"/>
  <c r="AA121" i="1"/>
  <c r="AC121" i="1"/>
  <c r="AD121" i="1"/>
  <c r="K123" i="1"/>
  <c r="L123" i="1"/>
  <c r="M123" i="1"/>
  <c r="N123" i="1" s="1"/>
  <c r="W123" i="1"/>
  <c r="Y123" i="1"/>
  <c r="Z123" i="1"/>
  <c r="AA123" i="1"/>
  <c r="AC123" i="1"/>
  <c r="AD123" i="1"/>
  <c r="K125" i="1"/>
  <c r="L125" i="1"/>
  <c r="M125" i="1"/>
  <c r="N125" i="1" s="1"/>
  <c r="W125" i="1"/>
  <c r="Y125" i="1"/>
  <c r="Z125" i="1"/>
  <c r="AA125" i="1"/>
  <c r="AB125" i="1" s="1"/>
  <c r="X125" i="1" s="1"/>
  <c r="AC125" i="1"/>
  <c r="AD125" i="1"/>
  <c r="K127" i="1"/>
  <c r="L127" i="1"/>
  <c r="M127" i="1"/>
  <c r="N127" i="1" s="1"/>
  <c r="W127" i="1"/>
  <c r="Y127" i="1"/>
  <c r="Z127" i="1"/>
  <c r="AA127" i="1"/>
  <c r="AC127" i="1"/>
  <c r="AD127" i="1"/>
  <c r="K129" i="1"/>
  <c r="L129" i="1"/>
  <c r="M129" i="1"/>
  <c r="N129" i="1" s="1"/>
  <c r="W129" i="1"/>
  <c r="Y129" i="1"/>
  <c r="Z129" i="1"/>
  <c r="AA129" i="1"/>
  <c r="AC129" i="1"/>
  <c r="AD129" i="1"/>
  <c r="K131" i="1"/>
  <c r="L131" i="1"/>
  <c r="M131" i="1"/>
  <c r="N131" i="1" s="1"/>
  <c r="W131" i="1"/>
  <c r="Y131" i="1"/>
  <c r="Z131" i="1"/>
  <c r="AA131" i="1"/>
  <c r="AB131" i="1" s="1"/>
  <c r="X131" i="1" s="1"/>
  <c r="AC131" i="1"/>
  <c r="AD131" i="1"/>
  <c r="K133" i="1"/>
  <c r="L133" i="1"/>
  <c r="M133" i="1"/>
  <c r="N133" i="1" s="1"/>
  <c r="W133" i="1"/>
  <c r="Y133" i="1"/>
  <c r="Z133" i="1"/>
  <c r="AA133" i="1"/>
  <c r="AC133" i="1"/>
  <c r="AD133" i="1"/>
  <c r="K135" i="1"/>
  <c r="L135" i="1"/>
  <c r="M135" i="1"/>
  <c r="N135" i="1" s="1"/>
  <c r="W135" i="1"/>
  <c r="Y135" i="1"/>
  <c r="Z135" i="1"/>
  <c r="AA135" i="1"/>
  <c r="AC135" i="1"/>
  <c r="AD135" i="1"/>
  <c r="K137" i="1"/>
  <c r="L137" i="1"/>
  <c r="M137" i="1"/>
  <c r="N137" i="1" s="1"/>
  <c r="W137" i="1"/>
  <c r="Y137" i="1"/>
  <c r="Z137" i="1"/>
  <c r="AA137" i="1"/>
  <c r="AC137" i="1"/>
  <c r="AD137" i="1"/>
  <c r="K139" i="1"/>
  <c r="L139" i="1"/>
  <c r="M139" i="1"/>
  <c r="N139" i="1" s="1"/>
  <c r="W139" i="1"/>
  <c r="Y139" i="1"/>
  <c r="Z139" i="1"/>
  <c r="AA139" i="1"/>
  <c r="AC139" i="1"/>
  <c r="AD139" i="1"/>
  <c r="AB141" i="1" l="1"/>
  <c r="X141" i="1" s="1"/>
  <c r="AB134" i="1"/>
  <c r="X134" i="1" s="1"/>
  <c r="AB123" i="1"/>
  <c r="X123" i="1" s="1"/>
  <c r="AB127" i="1"/>
  <c r="X127" i="1" s="1"/>
  <c r="AB129" i="1"/>
  <c r="X129" i="1" s="1"/>
  <c r="AB137" i="1"/>
  <c r="X137" i="1" s="1"/>
  <c r="AB139" i="1"/>
  <c r="X139" i="1" s="1"/>
  <c r="AB116" i="1"/>
  <c r="X116" i="1" s="1"/>
  <c r="AB115" i="1"/>
  <c r="X115" i="1" s="1"/>
  <c r="AB138" i="1"/>
  <c r="X138" i="1" s="1"/>
  <c r="AB113" i="1"/>
  <c r="X113" i="1" s="1"/>
  <c r="AB130" i="1"/>
  <c r="X130" i="1" s="1"/>
  <c r="AB117" i="1"/>
  <c r="X117" i="1" s="1"/>
  <c r="AB124" i="1"/>
  <c r="X124" i="1" s="1"/>
  <c r="AB114" i="1"/>
  <c r="X114" i="1" s="1"/>
  <c r="AB119" i="1"/>
  <c r="X119" i="1" s="1"/>
  <c r="AB128" i="1"/>
  <c r="X128" i="1" s="1"/>
  <c r="AB112" i="1"/>
  <c r="X112" i="1" s="1"/>
  <c r="AB121" i="1"/>
  <c r="X121" i="1" s="1"/>
  <c r="AB133" i="1"/>
  <c r="X133" i="1" s="1"/>
  <c r="AB126" i="1"/>
  <c r="X126" i="1" s="1"/>
  <c r="AB136" i="1"/>
  <c r="X136" i="1" s="1"/>
  <c r="AB120" i="1"/>
  <c r="X120" i="1" s="1"/>
  <c r="AB140" i="1"/>
  <c r="X140" i="1" s="1"/>
  <c r="AB135" i="1"/>
  <c r="X135" i="1" s="1"/>
  <c r="AB132" i="1"/>
  <c r="X132" i="1" s="1"/>
  <c r="L40" i="3"/>
  <c r="L6" i="3"/>
  <c r="L27" i="3"/>
  <c r="L30" i="3"/>
  <c r="I144" i="1"/>
  <c r="J148" i="1"/>
  <c r="A1" i="1" l="1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L24" i="3"/>
  <c r="L41" i="3"/>
  <c r="L31" i="3"/>
  <c r="Y70" i="1"/>
  <c r="Y71" i="1"/>
  <c r="Y72" i="1"/>
  <c r="Y73" i="1"/>
  <c r="Y74" i="1"/>
  <c r="Y75" i="1"/>
  <c r="Y76" i="1"/>
  <c r="Y77" i="1"/>
  <c r="Y78" i="1"/>
  <c r="Y79" i="1"/>
  <c r="Y80" i="1"/>
  <c r="Y18" i="1"/>
  <c r="Y20" i="1"/>
  <c r="Y19" i="1"/>
  <c r="Y21" i="1"/>
  <c r="Y22" i="1"/>
  <c r="Y23" i="1"/>
  <c r="Y24" i="1"/>
  <c r="Y25" i="1"/>
  <c r="Y53" i="1" l="1"/>
  <c r="Z53" i="1"/>
  <c r="AA53" i="1"/>
  <c r="Y54" i="1"/>
  <c r="Z54" i="1"/>
  <c r="AA54" i="1"/>
  <c r="Y55" i="1"/>
  <c r="Z55" i="1"/>
  <c r="AA55" i="1"/>
  <c r="L34" i="3"/>
  <c r="L35" i="3"/>
  <c r="L18" i="3"/>
  <c r="L32" i="3"/>
  <c r="L17" i="3"/>
  <c r="L22" i="3"/>
  <c r="L15" i="3"/>
  <c r="L26" i="3"/>
  <c r="L21" i="3"/>
  <c r="L5" i="3"/>
  <c r="L8" i="3"/>
  <c r="L43" i="3"/>
  <c r="L20" i="3"/>
  <c r="L11" i="3"/>
  <c r="L29" i="3"/>
  <c r="L13" i="3"/>
  <c r="L23" i="3"/>
  <c r="L50" i="3"/>
  <c r="L52" i="3"/>
  <c r="L19" i="3"/>
  <c r="L46" i="3"/>
  <c r="L47" i="3"/>
  <c r="L12" i="3"/>
  <c r="L9" i="3"/>
  <c r="L14" i="3"/>
  <c r="L49" i="3"/>
  <c r="L36" i="3"/>
  <c r="L51" i="3"/>
  <c r="L10" i="3"/>
  <c r="L38" i="3"/>
  <c r="L37" i="3"/>
  <c r="L4" i="3"/>
  <c r="L16" i="3"/>
  <c r="L42" i="3"/>
  <c r="L33" i="3"/>
  <c r="L25" i="3"/>
  <c r="L48" i="3"/>
  <c r="L3" i="3"/>
  <c r="M5" i="1"/>
  <c r="N5" i="1" s="1"/>
  <c r="W5" i="1"/>
  <c r="Y5" i="1"/>
  <c r="Z5" i="1"/>
  <c r="AA5" i="1"/>
  <c r="AC5" i="1"/>
  <c r="AD5" i="1"/>
  <c r="M6" i="1"/>
  <c r="N6" i="1" s="1"/>
  <c r="W6" i="1"/>
  <c r="P30" i="3" s="1"/>
  <c r="Y6" i="1"/>
  <c r="Z6" i="1"/>
  <c r="AA6" i="1"/>
  <c r="AC6" i="1"/>
  <c r="AD6" i="1"/>
  <c r="M7" i="1"/>
  <c r="N7" i="1" s="1"/>
  <c r="W7" i="1"/>
  <c r="Y7" i="1"/>
  <c r="Z7" i="1"/>
  <c r="AA7" i="1"/>
  <c r="AC7" i="1"/>
  <c r="AD7" i="1"/>
  <c r="M8" i="1"/>
  <c r="N8" i="1" s="1"/>
  <c r="W8" i="1"/>
  <c r="Y8" i="1"/>
  <c r="Z8" i="1"/>
  <c r="AA8" i="1"/>
  <c r="AC8" i="1"/>
  <c r="AD8" i="1"/>
  <c r="M9" i="1"/>
  <c r="N9" i="1" s="1"/>
  <c r="W9" i="1"/>
  <c r="Y9" i="1"/>
  <c r="Z9" i="1"/>
  <c r="AA9" i="1"/>
  <c r="AC9" i="1"/>
  <c r="AD9" i="1"/>
  <c r="M10" i="1"/>
  <c r="N10" i="1" s="1"/>
  <c r="W10" i="1"/>
  <c r="Y10" i="1"/>
  <c r="Z10" i="1"/>
  <c r="AA10" i="1"/>
  <c r="AC10" i="1"/>
  <c r="AD10" i="1"/>
  <c r="M11" i="1"/>
  <c r="N11" i="1" s="1"/>
  <c r="W11" i="1"/>
  <c r="Y11" i="1"/>
  <c r="Z11" i="1"/>
  <c r="AA11" i="1"/>
  <c r="AC11" i="1"/>
  <c r="AD11" i="1"/>
  <c r="M12" i="1"/>
  <c r="N12" i="1" s="1"/>
  <c r="W12" i="1"/>
  <c r="Y12" i="1"/>
  <c r="Z12" i="1"/>
  <c r="AA12" i="1"/>
  <c r="AC12" i="1"/>
  <c r="AD12" i="1"/>
  <c r="M13" i="1"/>
  <c r="N13" i="1" s="1"/>
  <c r="W13" i="1"/>
  <c r="Y13" i="1"/>
  <c r="Z13" i="1"/>
  <c r="AA13" i="1"/>
  <c r="AC13" i="1"/>
  <c r="AD13" i="1"/>
  <c r="M14" i="1"/>
  <c r="N14" i="1" s="1"/>
  <c r="W14" i="1"/>
  <c r="Y14" i="1"/>
  <c r="Z14" i="1"/>
  <c r="AB14" i="1" s="1"/>
  <c r="AC14" i="1"/>
  <c r="AD14" i="1"/>
  <c r="M15" i="1"/>
  <c r="P15" i="1" s="1"/>
  <c r="W15" i="1"/>
  <c r="Y15" i="1"/>
  <c r="Z15" i="1"/>
  <c r="AA15" i="1"/>
  <c r="AC15" i="1"/>
  <c r="AD15" i="1"/>
  <c r="M16" i="1"/>
  <c r="N16" i="1" s="1"/>
  <c r="W16" i="1"/>
  <c r="Y16" i="1"/>
  <c r="Z16" i="1"/>
  <c r="AA16" i="1"/>
  <c r="AC16" i="1"/>
  <c r="AD16" i="1"/>
  <c r="M17" i="1"/>
  <c r="N17" i="1" s="1"/>
  <c r="W17" i="1"/>
  <c r="Y17" i="1"/>
  <c r="Z17" i="1"/>
  <c r="AA17" i="1"/>
  <c r="AC17" i="1"/>
  <c r="AD17" i="1"/>
  <c r="M18" i="1"/>
  <c r="N18" i="1" s="1"/>
  <c r="W18" i="1"/>
  <c r="Z18" i="1"/>
  <c r="AA18" i="1"/>
  <c r="AC18" i="1"/>
  <c r="AD18" i="1"/>
  <c r="M20" i="1"/>
  <c r="W20" i="1"/>
  <c r="Z20" i="1"/>
  <c r="AA20" i="1"/>
  <c r="AC20" i="1"/>
  <c r="AD20" i="1"/>
  <c r="M19" i="1"/>
  <c r="W19" i="1"/>
  <c r="Z19" i="1"/>
  <c r="AA19" i="1"/>
  <c r="AC19" i="1"/>
  <c r="AD19" i="1"/>
  <c r="M21" i="1"/>
  <c r="N21" i="1" s="1"/>
  <c r="W21" i="1"/>
  <c r="Z21" i="1"/>
  <c r="AA21" i="1"/>
  <c r="AC21" i="1"/>
  <c r="AD21" i="1"/>
  <c r="M22" i="1"/>
  <c r="N22" i="1" s="1"/>
  <c r="W22" i="1"/>
  <c r="Z22" i="1"/>
  <c r="AA22" i="1"/>
  <c r="AC22" i="1"/>
  <c r="AD22" i="1"/>
  <c r="M23" i="1"/>
  <c r="P23" i="1" s="1"/>
  <c r="W23" i="1"/>
  <c r="Z23" i="1"/>
  <c r="AA23" i="1"/>
  <c r="AC23" i="1"/>
  <c r="AD23" i="1"/>
  <c r="M24" i="1"/>
  <c r="N24" i="1" s="1"/>
  <c r="W24" i="1"/>
  <c r="Z24" i="1"/>
  <c r="AA24" i="1"/>
  <c r="AC24" i="1"/>
  <c r="AD24" i="1"/>
  <c r="M25" i="1"/>
  <c r="N25" i="1" s="1"/>
  <c r="W25" i="1"/>
  <c r="Z25" i="1"/>
  <c r="AA25" i="1"/>
  <c r="AC25" i="1"/>
  <c r="AD25" i="1"/>
  <c r="M26" i="1"/>
  <c r="N26" i="1" s="1"/>
  <c r="W26" i="1"/>
  <c r="Y26" i="1"/>
  <c r="Z26" i="1"/>
  <c r="AA26" i="1"/>
  <c r="AC26" i="1"/>
  <c r="AD26" i="1"/>
  <c r="M27" i="1"/>
  <c r="N27" i="1" s="1"/>
  <c r="W27" i="1"/>
  <c r="Y27" i="1"/>
  <c r="Z27" i="1"/>
  <c r="AA27" i="1"/>
  <c r="AC27" i="1"/>
  <c r="AD27" i="1"/>
  <c r="M28" i="1"/>
  <c r="N28" i="1" s="1"/>
  <c r="W28" i="1"/>
  <c r="Y28" i="1"/>
  <c r="Z28" i="1"/>
  <c r="AA28" i="1"/>
  <c r="AC28" i="1"/>
  <c r="AD28" i="1"/>
  <c r="M29" i="1"/>
  <c r="N29" i="1" s="1"/>
  <c r="W29" i="1"/>
  <c r="Z29" i="1"/>
  <c r="AA29" i="1"/>
  <c r="AC29" i="1"/>
  <c r="AD29" i="1"/>
  <c r="M30" i="1"/>
  <c r="N30" i="1" s="1"/>
  <c r="W30" i="1"/>
  <c r="Z30" i="1"/>
  <c r="AA30" i="1"/>
  <c r="AC30" i="1"/>
  <c r="AD30" i="1"/>
  <c r="M31" i="1"/>
  <c r="N31" i="1" s="1"/>
  <c r="W31" i="1"/>
  <c r="Y31" i="1"/>
  <c r="Z31" i="1"/>
  <c r="AA31" i="1"/>
  <c r="AC31" i="1"/>
  <c r="AD31" i="1"/>
  <c r="M32" i="1"/>
  <c r="N32" i="1" s="1"/>
  <c r="W32" i="1"/>
  <c r="P51" i="3" s="1"/>
  <c r="Y32" i="1"/>
  <c r="Z32" i="1"/>
  <c r="AA32" i="1"/>
  <c r="AC32" i="1"/>
  <c r="AD32" i="1"/>
  <c r="M33" i="1"/>
  <c r="N33" i="1" s="1"/>
  <c r="W33" i="1"/>
  <c r="Y33" i="1"/>
  <c r="Z33" i="1"/>
  <c r="AA33" i="1"/>
  <c r="AC33" i="1"/>
  <c r="AD33" i="1"/>
  <c r="W48" i="1"/>
  <c r="Z48" i="1"/>
  <c r="AA48" i="1"/>
  <c r="AC48" i="1"/>
  <c r="AD48" i="1"/>
  <c r="M49" i="1"/>
  <c r="N49" i="1" s="1"/>
  <c r="W49" i="1"/>
  <c r="Z49" i="1"/>
  <c r="AA49" i="1"/>
  <c r="AC49" i="1"/>
  <c r="AD49" i="1"/>
  <c r="M50" i="1"/>
  <c r="N50" i="1" s="1"/>
  <c r="W50" i="1"/>
  <c r="Y50" i="1"/>
  <c r="Z50" i="1"/>
  <c r="AA50" i="1"/>
  <c r="AC50" i="1"/>
  <c r="AD50" i="1"/>
  <c r="M51" i="1"/>
  <c r="N51" i="1" s="1"/>
  <c r="W51" i="1"/>
  <c r="Y51" i="1"/>
  <c r="Z51" i="1"/>
  <c r="AC51" i="1"/>
  <c r="AD51" i="1"/>
  <c r="M52" i="1"/>
  <c r="N52" i="1" s="1"/>
  <c r="W52" i="1"/>
  <c r="Y52" i="1"/>
  <c r="Z52" i="1"/>
  <c r="AA52" i="1"/>
  <c r="AC52" i="1"/>
  <c r="AD52" i="1"/>
  <c r="M53" i="1"/>
  <c r="N53" i="1" s="1"/>
  <c r="W53" i="1"/>
  <c r="AC53" i="1"/>
  <c r="AD53" i="1"/>
  <c r="M54" i="1"/>
  <c r="N54" i="1" s="1"/>
  <c r="W54" i="1"/>
  <c r="AC54" i="1"/>
  <c r="AD54" i="1"/>
  <c r="M55" i="1"/>
  <c r="N55" i="1" s="1"/>
  <c r="W55" i="1"/>
  <c r="AC55" i="1"/>
  <c r="AD55" i="1"/>
  <c r="M56" i="1"/>
  <c r="N56" i="1" s="1"/>
  <c r="W56" i="1"/>
  <c r="Y56" i="1"/>
  <c r="Z56" i="1"/>
  <c r="AA56" i="1"/>
  <c r="AC56" i="1"/>
  <c r="AD56" i="1"/>
  <c r="M57" i="1"/>
  <c r="N57" i="1" s="1"/>
  <c r="W57" i="1"/>
  <c r="Y57" i="1"/>
  <c r="Z57" i="1"/>
  <c r="AA57" i="1"/>
  <c r="AC57" i="1"/>
  <c r="AD57" i="1"/>
  <c r="M58" i="1"/>
  <c r="N58" i="1" s="1"/>
  <c r="W58" i="1"/>
  <c r="Y58" i="1"/>
  <c r="Z58" i="1"/>
  <c r="AA58" i="1"/>
  <c r="AC58" i="1"/>
  <c r="AD58" i="1"/>
  <c r="M59" i="1"/>
  <c r="N59" i="1" s="1"/>
  <c r="W59" i="1"/>
  <c r="Y59" i="1"/>
  <c r="Z59" i="1"/>
  <c r="AA59" i="1"/>
  <c r="AC59" i="1"/>
  <c r="AD59" i="1"/>
  <c r="M60" i="1"/>
  <c r="N60" i="1" s="1"/>
  <c r="W60" i="1"/>
  <c r="Y60" i="1"/>
  <c r="Z60" i="1"/>
  <c r="AA60" i="1"/>
  <c r="AC60" i="1"/>
  <c r="AD60" i="1"/>
  <c r="M61" i="1"/>
  <c r="N61" i="1" s="1"/>
  <c r="W61" i="1"/>
  <c r="Y61" i="1"/>
  <c r="Z61" i="1"/>
  <c r="AA61" i="1"/>
  <c r="AC61" i="1"/>
  <c r="AD61" i="1"/>
  <c r="M62" i="1"/>
  <c r="N62" i="1" s="1"/>
  <c r="W62" i="1"/>
  <c r="Y62" i="1"/>
  <c r="Z62" i="1"/>
  <c r="AA62" i="1"/>
  <c r="AC62" i="1"/>
  <c r="AD62" i="1"/>
  <c r="M63" i="1"/>
  <c r="N63" i="1" s="1"/>
  <c r="W63" i="1"/>
  <c r="Y63" i="1"/>
  <c r="Z63" i="1"/>
  <c r="AA63" i="1"/>
  <c r="AC63" i="1"/>
  <c r="AD63" i="1"/>
  <c r="M64" i="1"/>
  <c r="N64" i="1" s="1"/>
  <c r="W64" i="1"/>
  <c r="Y64" i="1"/>
  <c r="Z64" i="1"/>
  <c r="AA64" i="1"/>
  <c r="AC64" i="1"/>
  <c r="AD64" i="1"/>
  <c r="M65" i="1"/>
  <c r="N65" i="1" s="1"/>
  <c r="W65" i="1"/>
  <c r="Y65" i="1"/>
  <c r="Z65" i="1"/>
  <c r="AA65" i="1"/>
  <c r="AC65" i="1"/>
  <c r="AD65" i="1"/>
  <c r="M66" i="1"/>
  <c r="W66" i="1"/>
  <c r="Y66" i="1"/>
  <c r="Z66" i="1"/>
  <c r="AA66" i="1"/>
  <c r="AC66" i="1"/>
  <c r="AD66" i="1"/>
  <c r="W68" i="1"/>
  <c r="Y68" i="1"/>
  <c r="Z68" i="1"/>
  <c r="AC68" i="1"/>
  <c r="AD68" i="1"/>
  <c r="M69" i="1"/>
  <c r="N69" i="1" s="1"/>
  <c r="W69" i="1"/>
  <c r="Y69" i="1"/>
  <c r="Z69" i="1"/>
  <c r="AA69" i="1"/>
  <c r="AC69" i="1"/>
  <c r="AD69" i="1"/>
  <c r="M70" i="1"/>
  <c r="N70" i="1" s="1"/>
  <c r="W70" i="1"/>
  <c r="Z70" i="1"/>
  <c r="AA70" i="1"/>
  <c r="AC70" i="1"/>
  <c r="AD70" i="1"/>
  <c r="M71" i="1"/>
  <c r="N71" i="1" s="1"/>
  <c r="W71" i="1"/>
  <c r="Z71" i="1"/>
  <c r="AC71" i="1"/>
  <c r="AD71" i="1"/>
  <c r="M72" i="1"/>
  <c r="N72" i="1" s="1"/>
  <c r="W72" i="1"/>
  <c r="Z72" i="1"/>
  <c r="AA72" i="1"/>
  <c r="AC72" i="1"/>
  <c r="AD72" i="1"/>
  <c r="M73" i="1"/>
  <c r="N73" i="1" s="1"/>
  <c r="W73" i="1"/>
  <c r="Z73" i="1"/>
  <c r="AA73" i="1"/>
  <c r="AC73" i="1"/>
  <c r="AD73" i="1"/>
  <c r="M74" i="1"/>
  <c r="N74" i="1" s="1"/>
  <c r="W74" i="1"/>
  <c r="Z74" i="1"/>
  <c r="AA74" i="1"/>
  <c r="AC74" i="1"/>
  <c r="AD74" i="1"/>
  <c r="M75" i="1"/>
  <c r="N75" i="1" s="1"/>
  <c r="W75" i="1"/>
  <c r="Z75" i="1"/>
  <c r="AA75" i="1"/>
  <c r="AC75" i="1"/>
  <c r="AD75" i="1"/>
  <c r="M76" i="1"/>
  <c r="N76" i="1" s="1"/>
  <c r="W76" i="1"/>
  <c r="Z76" i="1"/>
  <c r="AA76" i="1"/>
  <c r="AC76" i="1"/>
  <c r="AD76" i="1"/>
  <c r="M77" i="1"/>
  <c r="N77" i="1" s="1"/>
  <c r="W77" i="1"/>
  <c r="Z77" i="1"/>
  <c r="AA77" i="1"/>
  <c r="AC77" i="1"/>
  <c r="AD77" i="1"/>
  <c r="M78" i="1"/>
  <c r="N78" i="1" s="1"/>
  <c r="W78" i="1"/>
  <c r="Z78" i="1"/>
  <c r="AA78" i="1"/>
  <c r="AC78" i="1"/>
  <c r="AD78" i="1"/>
  <c r="M79" i="1"/>
  <c r="N79" i="1" s="1"/>
  <c r="W79" i="1"/>
  <c r="Z79" i="1"/>
  <c r="AA79" i="1"/>
  <c r="AC79" i="1"/>
  <c r="AD79" i="1"/>
  <c r="M80" i="1"/>
  <c r="N80" i="1" s="1"/>
  <c r="W80" i="1"/>
  <c r="Z80" i="1"/>
  <c r="AA80" i="1"/>
  <c r="AC80" i="1"/>
  <c r="AD80" i="1"/>
  <c r="M81" i="1"/>
  <c r="N81" i="1" s="1"/>
  <c r="W81" i="1"/>
  <c r="Y81" i="1"/>
  <c r="Z81" i="1"/>
  <c r="AA81" i="1"/>
  <c r="AC81" i="1"/>
  <c r="AD81" i="1"/>
  <c r="M82" i="1"/>
  <c r="N82" i="1" s="1"/>
  <c r="W82" i="1"/>
  <c r="Y82" i="1"/>
  <c r="Z82" i="1"/>
  <c r="AA82" i="1"/>
  <c r="AC82" i="1"/>
  <c r="AD82" i="1"/>
  <c r="M83" i="1"/>
  <c r="N83" i="1" s="1"/>
  <c r="W83" i="1"/>
  <c r="Y83" i="1"/>
  <c r="Z83" i="1"/>
  <c r="AA83" i="1"/>
  <c r="AC83" i="1"/>
  <c r="AD83" i="1"/>
  <c r="M84" i="1"/>
  <c r="N84" i="1" s="1"/>
  <c r="W84" i="1"/>
  <c r="P26" i="3" s="1"/>
  <c r="Y84" i="1"/>
  <c r="Z84" i="1"/>
  <c r="AA84" i="1"/>
  <c r="AC84" i="1"/>
  <c r="AD84" i="1"/>
  <c r="M85" i="1"/>
  <c r="N85" i="1" s="1"/>
  <c r="W85" i="1"/>
  <c r="Z85" i="1"/>
  <c r="AA85" i="1"/>
  <c r="AC85" i="1"/>
  <c r="AD85" i="1"/>
  <c r="M86" i="1"/>
  <c r="N86" i="1" s="1"/>
  <c r="W86" i="1"/>
  <c r="Z86" i="1"/>
  <c r="AA86" i="1"/>
  <c r="AC86" i="1"/>
  <c r="AD86" i="1"/>
  <c r="M87" i="1"/>
  <c r="N87" i="1" s="1"/>
  <c r="W87" i="1"/>
  <c r="Z87" i="1"/>
  <c r="AA87" i="1"/>
  <c r="AC87" i="1"/>
  <c r="AD87" i="1"/>
  <c r="M88" i="1"/>
  <c r="N88" i="1" s="1"/>
  <c r="W88" i="1"/>
  <c r="Z88" i="1"/>
  <c r="AA88" i="1"/>
  <c r="AC88" i="1"/>
  <c r="AD88" i="1"/>
  <c r="M89" i="1"/>
  <c r="N89" i="1" s="1"/>
  <c r="W89" i="1"/>
  <c r="Z89" i="1"/>
  <c r="AA89" i="1"/>
  <c r="AC89" i="1"/>
  <c r="AD89" i="1"/>
  <c r="M90" i="1"/>
  <c r="N90" i="1" s="1"/>
  <c r="W90" i="1"/>
  <c r="Z90" i="1"/>
  <c r="AA90" i="1"/>
  <c r="AC90" i="1"/>
  <c r="AD90" i="1"/>
  <c r="W91" i="1"/>
  <c r="Z91" i="1"/>
  <c r="AB91" i="1" s="1"/>
  <c r="X91" i="1" s="1"/>
  <c r="AC91" i="1"/>
  <c r="AD91" i="1"/>
  <c r="M92" i="1"/>
  <c r="N92" i="1" s="1"/>
  <c r="W92" i="1"/>
  <c r="Z92" i="1"/>
  <c r="AA92" i="1"/>
  <c r="AC92" i="1"/>
  <c r="AD92" i="1"/>
  <c r="M93" i="1"/>
  <c r="N93" i="1" s="1"/>
  <c r="W93" i="1"/>
  <c r="Z93" i="1"/>
  <c r="AA93" i="1"/>
  <c r="AC93" i="1"/>
  <c r="AD93" i="1"/>
  <c r="M94" i="1"/>
  <c r="N94" i="1" s="1"/>
  <c r="W94" i="1"/>
  <c r="Z94" i="1"/>
  <c r="AA94" i="1"/>
  <c r="AC94" i="1"/>
  <c r="AD94" i="1"/>
  <c r="M95" i="1"/>
  <c r="N95" i="1" s="1"/>
  <c r="W95" i="1"/>
  <c r="Z95" i="1"/>
  <c r="AA95" i="1"/>
  <c r="AC95" i="1"/>
  <c r="AD95" i="1"/>
  <c r="M96" i="1"/>
  <c r="N96" i="1" s="1"/>
  <c r="W96" i="1"/>
  <c r="Z96" i="1"/>
  <c r="AA96" i="1"/>
  <c r="AC96" i="1"/>
  <c r="AD96" i="1"/>
  <c r="M97" i="1"/>
  <c r="N97" i="1" s="1"/>
  <c r="W97" i="1"/>
  <c r="Z97" i="1"/>
  <c r="AA97" i="1"/>
  <c r="AC97" i="1"/>
  <c r="AD97" i="1"/>
  <c r="M98" i="1"/>
  <c r="N98" i="1" s="1"/>
  <c r="W98" i="1"/>
  <c r="Z98" i="1"/>
  <c r="AA98" i="1"/>
  <c r="AC98" i="1"/>
  <c r="AD98" i="1"/>
  <c r="M100" i="1"/>
  <c r="N100" i="1" s="1"/>
  <c r="W100" i="1"/>
  <c r="Z100" i="1"/>
  <c r="AA100" i="1"/>
  <c r="AC100" i="1"/>
  <c r="AD100" i="1"/>
  <c r="M101" i="1"/>
  <c r="N101" i="1" s="1"/>
  <c r="W101" i="1"/>
  <c r="P47" i="3" s="1"/>
  <c r="Z101" i="1"/>
  <c r="AA101" i="1"/>
  <c r="AC101" i="1"/>
  <c r="AD101" i="1"/>
  <c r="M102" i="1"/>
  <c r="N102" i="1" s="1"/>
  <c r="W102" i="1"/>
  <c r="Z102" i="1"/>
  <c r="AA102" i="1"/>
  <c r="AC102" i="1"/>
  <c r="AD102" i="1"/>
  <c r="M103" i="1"/>
  <c r="N103" i="1" s="1"/>
  <c r="W103" i="1"/>
  <c r="Z103" i="1"/>
  <c r="AA103" i="1"/>
  <c r="AC103" i="1"/>
  <c r="AD103" i="1"/>
  <c r="M104" i="1"/>
  <c r="N104" i="1" s="1"/>
  <c r="W104" i="1"/>
  <c r="Z104" i="1"/>
  <c r="AA104" i="1"/>
  <c r="AC104" i="1"/>
  <c r="AD104" i="1"/>
  <c r="M105" i="1"/>
  <c r="N105" i="1" s="1"/>
  <c r="W105" i="1"/>
  <c r="Z105" i="1"/>
  <c r="AA105" i="1"/>
  <c r="AC105" i="1"/>
  <c r="AD105" i="1"/>
  <c r="M106" i="1"/>
  <c r="W106" i="1"/>
  <c r="Y106" i="1"/>
  <c r="Z106" i="1"/>
  <c r="AA106" i="1"/>
  <c r="AC106" i="1"/>
  <c r="AD106" i="1"/>
  <c r="M107" i="1"/>
  <c r="W107" i="1"/>
  <c r="Y107" i="1"/>
  <c r="Z107" i="1"/>
  <c r="AA107" i="1"/>
  <c r="AC107" i="1"/>
  <c r="AD107" i="1"/>
  <c r="M108" i="1"/>
  <c r="N108" i="1" s="1"/>
  <c r="W108" i="1"/>
  <c r="P48" i="3" s="1"/>
  <c r="Y108" i="1"/>
  <c r="Z108" i="1"/>
  <c r="AA108" i="1"/>
  <c r="AC108" i="1"/>
  <c r="AD108" i="1"/>
  <c r="M109" i="1"/>
  <c r="N109" i="1" s="1"/>
  <c r="W109" i="1"/>
  <c r="Y109" i="1"/>
  <c r="Z109" i="1"/>
  <c r="AA109" i="1"/>
  <c r="AC109" i="1"/>
  <c r="AD109" i="1"/>
  <c r="M110" i="1"/>
  <c r="N110" i="1" s="1"/>
  <c r="W110" i="1"/>
  <c r="Y110" i="1"/>
  <c r="Z110" i="1"/>
  <c r="AA110" i="1"/>
  <c r="AC110" i="1"/>
  <c r="AD110" i="1"/>
  <c r="M111" i="1"/>
  <c r="N111" i="1" s="1"/>
  <c r="W111" i="1"/>
  <c r="Y111" i="1"/>
  <c r="Z111" i="1"/>
  <c r="AA111" i="1"/>
  <c r="AC111" i="1"/>
  <c r="AD111" i="1"/>
  <c r="P20" i="1" l="1"/>
  <c r="P107" i="1"/>
  <c r="P9" i="3"/>
  <c r="AB15" i="1"/>
  <c r="P41" i="3"/>
  <c r="P33" i="3"/>
  <c r="P34" i="3"/>
  <c r="P43" i="3"/>
  <c r="P16" i="3"/>
  <c r="P15" i="3"/>
  <c r="P11" i="3"/>
  <c r="P18" i="3"/>
  <c r="P49" i="3"/>
  <c r="P4" i="3"/>
  <c r="P42" i="3"/>
  <c r="P23" i="3"/>
  <c r="P38" i="3"/>
  <c r="P35" i="3"/>
  <c r="P17" i="3"/>
  <c r="P50" i="3"/>
  <c r="P20" i="3"/>
  <c r="P8" i="3"/>
  <c r="P32" i="3"/>
  <c r="P19" i="3"/>
  <c r="P52" i="3"/>
  <c r="P31" i="3"/>
  <c r="P37" i="3"/>
  <c r="P24" i="3"/>
  <c r="P14" i="3"/>
  <c r="P40" i="3"/>
  <c r="P12" i="3"/>
  <c r="P13" i="3"/>
  <c r="P5" i="3"/>
  <c r="P36" i="3"/>
  <c r="P7" i="3"/>
  <c r="P22" i="3"/>
  <c r="P6" i="3"/>
  <c r="P21" i="3"/>
  <c r="P39" i="3"/>
  <c r="P25" i="3"/>
  <c r="P44" i="3"/>
  <c r="P45" i="3"/>
  <c r="P46" i="3"/>
  <c r="AB57" i="1"/>
  <c r="X57" i="1" s="1"/>
  <c r="AB65" i="1"/>
  <c r="X65" i="1" s="1"/>
  <c r="AB108" i="1"/>
  <c r="X108" i="1" s="1"/>
  <c r="AB104" i="1"/>
  <c r="X104" i="1" s="1"/>
  <c r="AB100" i="1"/>
  <c r="X100" i="1" s="1"/>
  <c r="AB95" i="1"/>
  <c r="X95" i="1" s="1"/>
  <c r="AB87" i="1"/>
  <c r="X87" i="1" s="1"/>
  <c r="AB83" i="1"/>
  <c r="X83" i="1" s="1"/>
  <c r="AB79" i="1"/>
  <c r="X79" i="1" s="1"/>
  <c r="AB75" i="1"/>
  <c r="X75" i="1" s="1"/>
  <c r="AB56" i="1"/>
  <c r="X56" i="1" s="1"/>
  <c r="AB110" i="1"/>
  <c r="X110" i="1" s="1"/>
  <c r="AB72" i="1"/>
  <c r="X72" i="1" s="1"/>
  <c r="AB51" i="1"/>
  <c r="X51" i="1" s="1"/>
  <c r="AB33" i="1"/>
  <c r="X33" i="1" s="1"/>
  <c r="AB29" i="1"/>
  <c r="X29" i="1" s="1"/>
  <c r="AB26" i="1"/>
  <c r="X26" i="1" s="1"/>
  <c r="AB22" i="1"/>
  <c r="X22" i="1" s="1"/>
  <c r="AB18" i="1"/>
  <c r="X18" i="1" s="1"/>
  <c r="X14" i="1"/>
  <c r="AB10" i="1"/>
  <c r="X10" i="1" s="1"/>
  <c r="AB6" i="1"/>
  <c r="X6" i="1" s="1"/>
  <c r="AB64" i="1"/>
  <c r="X64" i="1" s="1"/>
  <c r="AB109" i="1"/>
  <c r="X109" i="1" s="1"/>
  <c r="AB106" i="1"/>
  <c r="X106" i="1" s="1"/>
  <c r="AB102" i="1"/>
  <c r="X102" i="1" s="1"/>
  <c r="AB97" i="1"/>
  <c r="X97" i="1" s="1"/>
  <c r="AB93" i="1"/>
  <c r="X93" i="1" s="1"/>
  <c r="AB89" i="1"/>
  <c r="X89" i="1" s="1"/>
  <c r="AB85" i="1"/>
  <c r="X85" i="1" s="1"/>
  <c r="AB81" i="1"/>
  <c r="X81" i="1" s="1"/>
  <c r="AB77" i="1"/>
  <c r="X77" i="1" s="1"/>
  <c r="AB73" i="1"/>
  <c r="X73" i="1" s="1"/>
  <c r="AB49" i="1"/>
  <c r="X49" i="1" s="1"/>
  <c r="AB31" i="1"/>
  <c r="X31" i="1" s="1"/>
  <c r="AB28" i="1"/>
  <c r="X28" i="1" s="1"/>
  <c r="AB24" i="1"/>
  <c r="X24" i="1" s="1"/>
  <c r="AB19" i="1"/>
  <c r="X19" i="1" s="1"/>
  <c r="AB16" i="1"/>
  <c r="X16" i="1" s="1"/>
  <c r="AB12" i="1"/>
  <c r="X12" i="1" s="1"/>
  <c r="AB8" i="1"/>
  <c r="X8" i="1" s="1"/>
  <c r="AB107" i="1"/>
  <c r="X107" i="1" s="1"/>
  <c r="AB103" i="1"/>
  <c r="X103" i="1" s="1"/>
  <c r="AB98" i="1"/>
  <c r="X98" i="1" s="1"/>
  <c r="AB94" i="1"/>
  <c r="X94" i="1" s="1"/>
  <c r="AB90" i="1"/>
  <c r="X90" i="1" s="1"/>
  <c r="AB86" i="1"/>
  <c r="X86" i="1" s="1"/>
  <c r="AB82" i="1"/>
  <c r="X82" i="1" s="1"/>
  <c r="AB78" i="1"/>
  <c r="X78" i="1" s="1"/>
  <c r="AB74" i="1"/>
  <c r="X74" i="1" s="1"/>
  <c r="AB68" i="1"/>
  <c r="X68" i="1" s="1"/>
  <c r="AB62" i="1"/>
  <c r="X62" i="1" s="1"/>
  <c r="AB58" i="1"/>
  <c r="X58" i="1" s="1"/>
  <c r="AB13" i="1"/>
  <c r="X13" i="1" s="1"/>
  <c r="AB111" i="1"/>
  <c r="X111" i="1" s="1"/>
  <c r="AB105" i="1"/>
  <c r="X105" i="1" s="1"/>
  <c r="AB101" i="1"/>
  <c r="X101" i="1" s="1"/>
  <c r="AB96" i="1"/>
  <c r="X96" i="1" s="1"/>
  <c r="AB92" i="1"/>
  <c r="X92" i="1" s="1"/>
  <c r="AB88" i="1"/>
  <c r="X88" i="1" s="1"/>
  <c r="AB84" i="1"/>
  <c r="X84" i="1" s="1"/>
  <c r="AB80" i="1"/>
  <c r="X80" i="1" s="1"/>
  <c r="AB76" i="1"/>
  <c r="X76" i="1" s="1"/>
  <c r="AB70" i="1"/>
  <c r="X70" i="1" s="1"/>
  <c r="AB60" i="1"/>
  <c r="X60" i="1" s="1"/>
  <c r="AB54" i="1"/>
  <c r="X54" i="1" s="1"/>
  <c r="AB50" i="1"/>
  <c r="X50" i="1" s="1"/>
  <c r="AB21" i="1"/>
  <c r="X21" i="1" s="1"/>
  <c r="AB9" i="1"/>
  <c r="X9" i="1" s="1"/>
  <c r="AB5" i="1"/>
  <c r="X5" i="1" s="1"/>
  <c r="AB69" i="1"/>
  <c r="X69" i="1" s="1"/>
  <c r="AB61" i="1"/>
  <c r="X61" i="1" s="1"/>
  <c r="AB53" i="1"/>
  <c r="X53" i="1" s="1"/>
  <c r="AB32" i="1"/>
  <c r="X32" i="1" s="1"/>
  <c r="AB25" i="1"/>
  <c r="X25" i="1" s="1"/>
  <c r="AB17" i="1"/>
  <c r="X17" i="1" s="1"/>
  <c r="AB66" i="1"/>
  <c r="X66" i="1" s="1"/>
  <c r="AB59" i="1"/>
  <c r="X59" i="1" s="1"/>
  <c r="AB52" i="1"/>
  <c r="X52" i="1" s="1"/>
  <c r="AB30" i="1"/>
  <c r="X30" i="1" s="1"/>
  <c r="AB23" i="1"/>
  <c r="X23" i="1" s="1"/>
  <c r="X15" i="1"/>
  <c r="AB7" i="1"/>
  <c r="X7" i="1" s="1"/>
  <c r="AB71" i="1"/>
  <c r="X71" i="1" s="1"/>
  <c r="AB63" i="1"/>
  <c r="X63" i="1" s="1"/>
  <c r="AB55" i="1"/>
  <c r="X55" i="1" s="1"/>
  <c r="AB48" i="1"/>
  <c r="X48" i="1" s="1"/>
  <c r="AB27" i="1"/>
  <c r="X27" i="1" s="1"/>
  <c r="AB20" i="1"/>
  <c r="X20" i="1" s="1"/>
  <c r="AB11" i="1"/>
  <c r="X11" i="1" s="1"/>
  <c r="K5" i="1"/>
  <c r="L5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20" i="1"/>
  <c r="L20" i="1"/>
  <c r="K19" i="1"/>
  <c r="L19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30" i="1"/>
  <c r="L30" i="1"/>
  <c r="K31" i="1"/>
  <c r="L31" i="1"/>
  <c r="K32" i="1"/>
  <c r="L32" i="1"/>
  <c r="K33" i="1"/>
  <c r="L33" i="1"/>
  <c r="K49" i="1"/>
  <c r="L49" i="1"/>
  <c r="K50" i="1"/>
  <c r="L50" i="1"/>
  <c r="K51" i="1"/>
  <c r="L51" i="1"/>
  <c r="K52" i="1"/>
  <c r="L52" i="1"/>
  <c r="K53" i="1"/>
  <c r="L53" i="1"/>
  <c r="K54" i="1"/>
  <c r="L54" i="1"/>
  <c r="K55" i="1"/>
  <c r="L55" i="1"/>
  <c r="K56" i="1"/>
  <c r="L56" i="1"/>
  <c r="K57" i="1"/>
  <c r="L57" i="1"/>
  <c r="K58" i="1"/>
  <c r="L58" i="1"/>
  <c r="K59" i="1"/>
  <c r="L59" i="1"/>
  <c r="K60" i="1"/>
  <c r="L60" i="1"/>
  <c r="K61" i="1"/>
  <c r="L61" i="1"/>
  <c r="K62" i="1"/>
  <c r="L62" i="1"/>
  <c r="K63" i="1"/>
  <c r="L63" i="1"/>
  <c r="K64" i="1"/>
  <c r="L64" i="1"/>
  <c r="K65" i="1"/>
  <c r="L65" i="1"/>
  <c r="K66" i="1"/>
  <c r="L66" i="1"/>
  <c r="K68" i="1"/>
  <c r="L68" i="1"/>
  <c r="K69" i="1"/>
  <c r="L69" i="1"/>
  <c r="K70" i="1"/>
  <c r="L70" i="1"/>
  <c r="K71" i="1"/>
  <c r="L71" i="1"/>
  <c r="K72" i="1"/>
  <c r="L72" i="1"/>
  <c r="K73" i="1"/>
  <c r="L73" i="1"/>
  <c r="K74" i="1"/>
  <c r="L74" i="1"/>
  <c r="K75" i="1"/>
  <c r="L75" i="1"/>
  <c r="K76" i="1"/>
  <c r="L76" i="1"/>
  <c r="K77" i="1"/>
  <c r="L77" i="1"/>
  <c r="K78" i="1"/>
  <c r="L78" i="1"/>
  <c r="K79" i="1"/>
  <c r="L79" i="1"/>
  <c r="K80" i="1"/>
  <c r="L80" i="1"/>
  <c r="K81" i="1"/>
  <c r="L81" i="1"/>
  <c r="K82" i="1"/>
  <c r="L82" i="1"/>
  <c r="K83" i="1"/>
  <c r="L83" i="1"/>
  <c r="K84" i="1"/>
  <c r="L84" i="1"/>
  <c r="K85" i="1"/>
  <c r="L85" i="1"/>
  <c r="K86" i="1"/>
  <c r="L86" i="1"/>
  <c r="K87" i="1"/>
  <c r="L87" i="1"/>
  <c r="K88" i="1"/>
  <c r="L88" i="1"/>
  <c r="K89" i="1"/>
  <c r="L89" i="1"/>
  <c r="K90" i="1"/>
  <c r="L90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L3" i="1" l="1"/>
  <c r="K4" i="1"/>
  <c r="L4" i="1"/>
  <c r="M4" i="1"/>
  <c r="N4" i="1" s="1"/>
  <c r="M3" i="1"/>
  <c r="N3" i="1" s="1"/>
  <c r="K3" i="1"/>
  <c r="J147" i="1" l="1"/>
  <c r="J146" i="1"/>
  <c r="N150" i="1"/>
  <c r="J150" i="1"/>
  <c r="J149" i="1"/>
  <c r="L28" i="3"/>
  <c r="J151" i="1" l="1"/>
  <c r="A1" i="6"/>
  <c r="M54" i="3"/>
  <c r="M55" i="3" s="1"/>
  <c r="Q3" i="3"/>
  <c r="A1" i="3"/>
  <c r="O148" i="1"/>
  <c r="N148" i="1"/>
  <c r="M148" i="1"/>
  <c r="AD4" i="1"/>
  <c r="AC4" i="1"/>
  <c r="AA4" i="1"/>
  <c r="Z4" i="1"/>
  <c r="Y4" i="1"/>
  <c r="W4" i="1"/>
  <c r="AD3" i="1"/>
  <c r="AC3" i="1"/>
  <c r="AA3" i="1"/>
  <c r="Z3" i="1"/>
  <c r="Y3" i="1"/>
  <c r="W3" i="1"/>
  <c r="P29" i="3" s="1"/>
  <c r="P10" i="3" l="1"/>
  <c r="P3" i="3"/>
  <c r="AB4" i="1"/>
  <c r="X4" i="1" s="1"/>
  <c r="AB3" i="1"/>
  <c r="X3" i="1" s="1"/>
  <c r="O150" i="1"/>
  <c r="O147" i="1"/>
  <c r="M150" i="1"/>
  <c r="N147" i="1"/>
  <c r="M147" i="1"/>
</calcChain>
</file>

<file path=xl/connections.xml><?xml version="1.0" encoding="utf-8"?>
<connections xmlns="http://schemas.openxmlformats.org/spreadsheetml/2006/main">
  <connection id="1" name="Denver Train Runs 04122016" type="6" refreshedVersion="5" deleted="1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<sst xmlns="http://schemas.openxmlformats.org/spreadsheetml/2006/main" count="1464" uniqueCount="448">
  <si>
    <t>Train ID</t>
  </si>
  <si>
    <t>Departure/Init Location</t>
  </si>
  <si>
    <t>Initialization Date/Time (US/Mountain)</t>
  </si>
  <si>
    <t>Departure Date/Time (US/Mountain)</t>
  </si>
  <si>
    <t>Delay (minutes)</t>
  </si>
  <si>
    <t>Arrival Location</t>
  </si>
  <si>
    <t>Arrival Date/Time (US/Mountain)</t>
  </si>
  <si>
    <t>2083 Enforcements (count)</t>
  </si>
  <si>
    <t>Trip Length</t>
  </si>
  <si>
    <t>Cut out runs</t>
  </si>
  <si>
    <t>PTC Runs</t>
  </si>
  <si>
    <t>Average</t>
  </si>
  <si>
    <t>Min</t>
  </si>
  <si>
    <t>Max</t>
  </si>
  <si>
    <t>Total</t>
  </si>
  <si>
    <t>NA</t>
  </si>
  <si>
    <t>Total Completed PTC runs</t>
  </si>
  <si>
    <t>Single Init runs</t>
  </si>
  <si>
    <t>Cut out</t>
  </si>
  <si>
    <t>Total Completed PTC runs (%)</t>
  </si>
  <si>
    <t>Trip Start MP</t>
  </si>
  <si>
    <t>Trip End MP</t>
  </si>
  <si>
    <t>Trip Distance</t>
  </si>
  <si>
    <t>Concerning?</t>
  </si>
  <si>
    <t>Comments</t>
  </si>
  <si>
    <t>Operating Date</t>
  </si>
  <si>
    <t>Onboard Software Version</t>
  </si>
  <si>
    <t>Training enforcement</t>
  </si>
  <si>
    <t>Possible System Enforcement</t>
  </si>
  <si>
    <t>System Enforcement Y/N</t>
  </si>
  <si>
    <t xml:space="preserve">Data.Enforcement Direction of Travel </t>
  </si>
  <si>
    <t xml:space="preserve">Data.Target Start Milepost </t>
  </si>
  <si>
    <t xml:space="preserve">Data.Target Type </t>
  </si>
  <si>
    <t xml:space="preserve">Data.Enforcement Start Milepost </t>
  </si>
  <si>
    <t xml:space="preserve">Data.Enforcement Train Speed </t>
  </si>
  <si>
    <t xml:space="preserve">Data.Target Speed </t>
  </si>
  <si>
    <t xml:space="preserve">Data.Target Description </t>
  </si>
  <si>
    <t xml:space="preserve">Data.Warning/Enforcement Type </t>
  </si>
  <si>
    <t xml:space="preserve">Data.Train ID </t>
  </si>
  <si>
    <t xml:space="preserve">Source </t>
  </si>
  <si>
    <t xml:space="preserve">Time </t>
  </si>
  <si>
    <t>Enforcement MP</t>
  </si>
  <si>
    <t>Enforcement Desc</t>
  </si>
  <si>
    <t>w/o multiple inits</t>
  </si>
  <si>
    <t>w/ multiple inits</t>
  </si>
  <si>
    <t>Multi Init runs</t>
  </si>
  <si>
    <t>Loco ID</t>
  </si>
  <si>
    <t>Kibana Link</t>
  </si>
  <si>
    <t>Threshold for Pink Highlight (Slow Run) (mins)</t>
  </si>
  <si>
    <t>Status</t>
  </si>
  <si>
    <t>Operator Name</t>
  </si>
  <si>
    <t>Difference between last trip</t>
  </si>
  <si>
    <t>Predictive Enforcement (2)</t>
  </si>
  <si>
    <t>TRACK WARRANT AUTHORITY</t>
  </si>
  <si>
    <t>Form based authority (4)</t>
  </si>
  <si>
    <t>Increasing Mileposts (1)</t>
  </si>
  <si>
    <t>Decreasing Mileposts (2)</t>
  </si>
  <si>
    <t>Reactive Enforcement (3)</t>
  </si>
  <si>
    <t>SIGNAL</t>
  </si>
  <si>
    <t>Signal based authority (5)</t>
  </si>
  <si>
    <t>PERMANENT SPEED RESTRICTION</t>
  </si>
  <si>
    <t>Speed (6)</t>
  </si>
  <si>
    <t>DE.1.0.6.0</t>
  </si>
  <si>
    <t>204:233295</t>
  </si>
  <si>
    <t>204:154</t>
  </si>
  <si>
    <t>204:145</t>
  </si>
  <si>
    <t>204:447</t>
  </si>
  <si>
    <t>204:233308</t>
  </si>
  <si>
    <t>204:455</t>
  </si>
  <si>
    <t>204:451</t>
  </si>
  <si>
    <t>204:152</t>
  </si>
  <si>
    <t>204:232994</t>
  </si>
  <si>
    <t>204:464</t>
  </si>
  <si>
    <t>N</t>
  </si>
  <si>
    <t>baselines:</t>
  </si>
  <si>
    <t>sunday - thu - 144/day</t>
  </si>
  <si>
    <t>fri-sat - 146/day</t>
  </si>
  <si>
    <t>204:150</t>
  </si>
  <si>
    <t>Married Pair</t>
  </si>
  <si>
    <t>204:147</t>
  </si>
  <si>
    <t>204:158</t>
  </si>
  <si>
    <t>204:458</t>
  </si>
  <si>
    <t>rtdc.l.rtdc.4040:itc</t>
  </si>
  <si>
    <t>rtdc.l.rtdc.4039:itc</t>
  </si>
  <si>
    <t>204:233306</t>
  </si>
  <si>
    <t>rtdc.l.rtdc.4031:itc</t>
  </si>
  <si>
    <t>204:233302</t>
  </si>
  <si>
    <t>204:232996</t>
  </si>
  <si>
    <t>204:160</t>
  </si>
  <si>
    <t>204:460</t>
  </si>
  <si>
    <t>rtdc.l.rtdc.4032:itc</t>
  </si>
  <si>
    <t>Y</t>
  </si>
  <si>
    <t>204:233293</t>
  </si>
  <si>
    <t>204:233314</t>
  </si>
  <si>
    <t>204:232977</t>
  </si>
  <si>
    <t>204:233304</t>
  </si>
  <si>
    <t>204:466</t>
  </si>
  <si>
    <t>204:143</t>
  </si>
  <si>
    <t>204:440</t>
  </si>
  <si>
    <t>204:462</t>
  </si>
  <si>
    <t>Kibana URL</t>
  </si>
  <si>
    <t>204:233289</t>
  </si>
  <si>
    <t>204:457</t>
  </si>
  <si>
    <t>204:232991</t>
  </si>
  <si>
    <t>204:438</t>
  </si>
  <si>
    <t>204:233305</t>
  </si>
  <si>
    <t>204:139</t>
  </si>
  <si>
    <t>204:233280</t>
  </si>
  <si>
    <t>204:233312</t>
  </si>
  <si>
    <t>204:141</t>
  </si>
  <si>
    <t>204:232982</t>
  </si>
  <si>
    <t>204:232985</t>
  </si>
  <si>
    <t>204:134</t>
  </si>
  <si>
    <t>204:156</t>
  </si>
  <si>
    <t>204:149</t>
  </si>
  <si>
    <t>204:233298</t>
  </si>
  <si>
    <t>204:232983</t>
  </si>
  <si>
    <t>204:233297</t>
  </si>
  <si>
    <t>204:233359</t>
  </si>
  <si>
    <t>GRADE CROSSING</t>
  </si>
  <si>
    <t>Bulletin (2)</t>
  </si>
  <si>
    <t>204:471</t>
  </si>
  <si>
    <t>204:478</t>
  </si>
  <si>
    <t>204:232971</t>
  </si>
  <si>
    <t>204:232969</t>
  </si>
  <si>
    <t>204:163</t>
  </si>
  <si>
    <t>204:444</t>
  </si>
  <si>
    <t>204:442</t>
  </si>
  <si>
    <t>LOCKLEAR</t>
  </si>
  <si>
    <t>WEBSTER</t>
  </si>
  <si>
    <t>204:233310</t>
  </si>
  <si>
    <t>204:232984</t>
  </si>
  <si>
    <t>204:138</t>
  </si>
  <si>
    <t>204:233301</t>
  </si>
  <si>
    <t>204:232973</t>
  </si>
  <si>
    <t>204:169</t>
  </si>
  <si>
    <t>rtdc.l.rtdc.4029:itc</t>
  </si>
  <si>
    <t>rtdc.l.rtdc.4030:itc</t>
  </si>
  <si>
    <t>LEVERE</t>
  </si>
  <si>
    <t>ADANE</t>
  </si>
  <si>
    <t>GRASTON</t>
  </si>
  <si>
    <t>STARKS</t>
  </si>
  <si>
    <t>204:233283</t>
  </si>
  <si>
    <t>204:233055</t>
  </si>
  <si>
    <t>204:473</t>
  </si>
  <si>
    <t>204:19130</t>
  </si>
  <si>
    <t>204:453</t>
  </si>
  <si>
    <t>204:233321</t>
  </si>
  <si>
    <t>204:232998</t>
  </si>
  <si>
    <t>204:437</t>
  </si>
  <si>
    <t>204:233038</t>
  </si>
  <si>
    <t>204:233278</t>
  </si>
  <si>
    <t>204:161</t>
  </si>
  <si>
    <t>204:233030</t>
  </si>
  <si>
    <t>204:233299</t>
  </si>
  <si>
    <t>204:232980</t>
  </si>
  <si>
    <t>204:446</t>
  </si>
  <si>
    <t>204:233013</t>
  </si>
  <si>
    <t>204:129</t>
  </si>
  <si>
    <t>204:200</t>
  </si>
  <si>
    <t>rtdc.l.rtdc.4044:itc</t>
  </si>
  <si>
    <t>rtdc.l.rtdc.4043:itc</t>
  </si>
  <si>
    <t>BEAM</t>
  </si>
  <si>
    <t>LOZA</t>
  </si>
  <si>
    <t>ROCHA</t>
  </si>
  <si>
    <t>SPECTOR</t>
  </si>
  <si>
    <t>101-31</t>
  </si>
  <si>
    <t>204:755</t>
  </si>
  <si>
    <t>102-31</t>
  </si>
  <si>
    <t>204:232679</t>
  </si>
  <si>
    <t>103-31</t>
  </si>
  <si>
    <t>204:781</t>
  </si>
  <si>
    <t>204:233397</t>
  </si>
  <si>
    <t>104-31</t>
  </si>
  <si>
    <t>204:232769</t>
  </si>
  <si>
    <t>204:240</t>
  </si>
  <si>
    <t>105-31</t>
  </si>
  <si>
    <t>204:766</t>
  </si>
  <si>
    <t>106-31</t>
  </si>
  <si>
    <t>204:232666</t>
  </si>
  <si>
    <t>107-31</t>
  </si>
  <si>
    <t>204:355</t>
  </si>
  <si>
    <t>204:233288</t>
  </si>
  <si>
    <t>108-31</t>
  </si>
  <si>
    <t>109-31</t>
  </si>
  <si>
    <t>110-31</t>
  </si>
  <si>
    <t>204:232981</t>
  </si>
  <si>
    <t>111-31</t>
  </si>
  <si>
    <t>204:954</t>
  </si>
  <si>
    <t>112-31</t>
  </si>
  <si>
    <t>204:232978</t>
  </si>
  <si>
    <t>204:232974</t>
  </si>
  <si>
    <t>113-31</t>
  </si>
  <si>
    <t>204:504</t>
  </si>
  <si>
    <t>204:218889</t>
  </si>
  <si>
    <t>114-31</t>
  </si>
  <si>
    <t>115-31</t>
  </si>
  <si>
    <t>204:857</t>
  </si>
  <si>
    <t>116-31</t>
  </si>
  <si>
    <t>117-31</t>
  </si>
  <si>
    <t>204:233408</t>
  </si>
  <si>
    <t>204:546</t>
  </si>
  <si>
    <t>204:1368</t>
  </si>
  <si>
    <t>118-31</t>
  </si>
  <si>
    <t>204:233045</t>
  </si>
  <si>
    <t>204:121</t>
  </si>
  <si>
    <t>119-31</t>
  </si>
  <si>
    <t>204:706</t>
  </si>
  <si>
    <t>204:233360</t>
  </si>
  <si>
    <t>120-31</t>
  </si>
  <si>
    <t>204:127857</t>
  </si>
  <si>
    <t>204:90</t>
  </si>
  <si>
    <t>121-31</t>
  </si>
  <si>
    <t>204:475</t>
  </si>
  <si>
    <t>204:233346</t>
  </si>
  <si>
    <t>122-31</t>
  </si>
  <si>
    <t>204:233019</t>
  </si>
  <si>
    <t>123-31</t>
  </si>
  <si>
    <t>124-31</t>
  </si>
  <si>
    <t>125-31</t>
  </si>
  <si>
    <t>126-31</t>
  </si>
  <si>
    <t>127-31</t>
  </si>
  <si>
    <t>204:233320</t>
  </si>
  <si>
    <t>128-31</t>
  </si>
  <si>
    <t>129-31</t>
  </si>
  <si>
    <t>204:407</t>
  </si>
  <si>
    <t>204:233374</t>
  </si>
  <si>
    <t>130-31</t>
  </si>
  <si>
    <t>131-31</t>
  </si>
  <si>
    <t>204:233382</t>
  </si>
  <si>
    <t>132-31</t>
  </si>
  <si>
    <t>204:233092</t>
  </si>
  <si>
    <t>133-31</t>
  </si>
  <si>
    <t>204:19159</t>
  </si>
  <si>
    <t>204:233419</t>
  </si>
  <si>
    <t>134-31</t>
  </si>
  <si>
    <t>204:233096</t>
  </si>
  <si>
    <t>135-31</t>
  </si>
  <si>
    <t>204:429</t>
  </si>
  <si>
    <t>204:213781</t>
  </si>
  <si>
    <t>136-31</t>
  </si>
  <si>
    <t>204:233023</t>
  </si>
  <si>
    <t>137-31</t>
  </si>
  <si>
    <t>138-31</t>
  </si>
  <si>
    <t>139-31</t>
  </si>
  <si>
    <t>140-31</t>
  </si>
  <si>
    <t>141-31</t>
  </si>
  <si>
    <t>204:233287</t>
  </si>
  <si>
    <t>142-31</t>
  </si>
  <si>
    <t>143-31</t>
  </si>
  <si>
    <t>144-31</t>
  </si>
  <si>
    <t>145-31</t>
  </si>
  <si>
    <t>204:427</t>
  </si>
  <si>
    <t>204:233378</t>
  </si>
  <si>
    <t>146-31</t>
  </si>
  <si>
    <t>204:233060</t>
  </si>
  <si>
    <t>147-31</t>
  </si>
  <si>
    <t>204:477</t>
  </si>
  <si>
    <t>204:233351</t>
  </si>
  <si>
    <t>148-31</t>
  </si>
  <si>
    <t>204:3452</t>
  </si>
  <si>
    <t>149-31</t>
  </si>
  <si>
    <t>204:498</t>
  </si>
  <si>
    <t>204:233323</t>
  </si>
  <si>
    <t>150-31</t>
  </si>
  <si>
    <t>204:233008</t>
  </si>
  <si>
    <t>151-31</t>
  </si>
  <si>
    <t>152-31</t>
  </si>
  <si>
    <t>153-31</t>
  </si>
  <si>
    <t>154-31</t>
  </si>
  <si>
    <t>204:232979</t>
  </si>
  <si>
    <t>155-31</t>
  </si>
  <si>
    <t>156-31</t>
  </si>
  <si>
    <t>157-31</t>
  </si>
  <si>
    <t>158-31</t>
  </si>
  <si>
    <t>204:233036</t>
  </si>
  <si>
    <t>204:125</t>
  </si>
  <si>
    <t>159-31</t>
  </si>
  <si>
    <t>204:233316</t>
  </si>
  <si>
    <t>160-31</t>
  </si>
  <si>
    <t>204:233005</t>
  </si>
  <si>
    <t>161-31</t>
  </si>
  <si>
    <t>204:233338</t>
  </si>
  <si>
    <t>162-31</t>
  </si>
  <si>
    <t>163-31</t>
  </si>
  <si>
    <t>204:20800</t>
  </si>
  <si>
    <t>204:233403</t>
  </si>
  <si>
    <t>204:433</t>
  </si>
  <si>
    <t>204:1366</t>
  </si>
  <si>
    <t>164-31</t>
  </si>
  <si>
    <t>204:233094</t>
  </si>
  <si>
    <t>165-31</t>
  </si>
  <si>
    <t>166-31</t>
  </si>
  <si>
    <t>204:233002</t>
  </si>
  <si>
    <t>204:234</t>
  </si>
  <si>
    <t>167-31</t>
  </si>
  <si>
    <t>168-31</t>
  </si>
  <si>
    <t>169-31</t>
  </si>
  <si>
    <t>170-31</t>
  </si>
  <si>
    <t>171-31</t>
  </si>
  <si>
    <t>172-31</t>
  </si>
  <si>
    <t>173-31</t>
  </si>
  <si>
    <t>204:233270</t>
  </si>
  <si>
    <t>174-31</t>
  </si>
  <si>
    <t>175-31</t>
  </si>
  <si>
    <t>204:233355</t>
  </si>
  <si>
    <t>176-31</t>
  </si>
  <si>
    <t>177-31</t>
  </si>
  <si>
    <t>204:233215</t>
  </si>
  <si>
    <t>178-31</t>
  </si>
  <si>
    <t>204:232894</t>
  </si>
  <si>
    <t>179-31</t>
  </si>
  <si>
    <t>204:557</t>
  </si>
  <si>
    <t>180-31</t>
  </si>
  <si>
    <t>182-31</t>
  </si>
  <si>
    <t>183-31</t>
  </si>
  <si>
    <t>184-31</t>
  </si>
  <si>
    <t>185-31</t>
  </si>
  <si>
    <t>204:233311</t>
  </si>
  <si>
    <t>186-31</t>
  </si>
  <si>
    <t>204:233009</t>
  </si>
  <si>
    <t>187-31</t>
  </si>
  <si>
    <t>188-31</t>
  </si>
  <si>
    <t>189-31</t>
  </si>
  <si>
    <t>204:449</t>
  </si>
  <si>
    <t>204:233309</t>
  </si>
  <si>
    <t>190-31</t>
  </si>
  <si>
    <t>204:233048</t>
  </si>
  <si>
    <t>191-31</t>
  </si>
  <si>
    <t>204:233255</t>
  </si>
  <si>
    <t>193-31</t>
  </si>
  <si>
    <t>194-31</t>
  </si>
  <si>
    <t>195-31</t>
  </si>
  <si>
    <t>196-31</t>
  </si>
  <si>
    <t>204:232986</t>
  </si>
  <si>
    <t>204:123</t>
  </si>
  <si>
    <t>200-31</t>
  </si>
  <si>
    <t>201-31</t>
  </si>
  <si>
    <t>202-31</t>
  </si>
  <si>
    <t>204:232968</t>
  </si>
  <si>
    <t>203-31</t>
  </si>
  <si>
    <t>204:431</t>
  </si>
  <si>
    <t>204:233343</t>
  </si>
  <si>
    <t>204-31</t>
  </si>
  <si>
    <t>204:130</t>
  </si>
  <si>
    <t>206-31</t>
  </si>
  <si>
    <t>204:233149</t>
  </si>
  <si>
    <t>204:201</t>
  </si>
  <si>
    <t>207-31</t>
  </si>
  <si>
    <t>208-31</t>
  </si>
  <si>
    <t>209-31</t>
  </si>
  <si>
    <t>210-31</t>
  </si>
  <si>
    <t>204:1379</t>
  </si>
  <si>
    <t>211-31</t>
  </si>
  <si>
    <t>204:233318</t>
  </si>
  <si>
    <t>212-31</t>
  </si>
  <si>
    <t>213-31</t>
  </si>
  <si>
    <t>214-31</t>
  </si>
  <si>
    <t>215-31</t>
  </si>
  <si>
    <t>216-31</t>
  </si>
  <si>
    <t>204:194</t>
  </si>
  <si>
    <t>217-31</t>
  </si>
  <si>
    <t>218-31</t>
  </si>
  <si>
    <t>219-31</t>
  </si>
  <si>
    <t>204:508</t>
  </si>
  <si>
    <t>204:233291</t>
  </si>
  <si>
    <t>220-31</t>
  </si>
  <si>
    <t>221-31</t>
  </si>
  <si>
    <t>222-31</t>
  </si>
  <si>
    <t>223-31</t>
  </si>
  <si>
    <t>224-31</t>
  </si>
  <si>
    <t>225-31</t>
  </si>
  <si>
    <t>204:467</t>
  </si>
  <si>
    <t>204:233315</t>
  </si>
  <si>
    <t>226-31</t>
  </si>
  <si>
    <t>227-31</t>
  </si>
  <si>
    <t>228-31</t>
  </si>
  <si>
    <t>204:228259</t>
  </si>
  <si>
    <t>229-31</t>
  </si>
  <si>
    <t>230-31</t>
  </si>
  <si>
    <t>204:232972</t>
  </si>
  <si>
    <t>231-31</t>
  </si>
  <si>
    <t>204:426</t>
  </si>
  <si>
    <t>204:233300</t>
  </si>
  <si>
    <t>232-31</t>
  </si>
  <si>
    <t>233-31</t>
  </si>
  <si>
    <t>235-31</t>
  </si>
  <si>
    <t>204:233285</t>
  </si>
  <si>
    <t>236-31</t>
  </si>
  <si>
    <t>238-31</t>
  </si>
  <si>
    <t>204:232976</t>
  </si>
  <si>
    <t>239-31</t>
  </si>
  <si>
    <t>240-31</t>
  </si>
  <si>
    <t>204:232962</t>
  </si>
  <si>
    <t>204:189</t>
  </si>
  <si>
    <t>241-31</t>
  </si>
  <si>
    <t>242-31</t>
  </si>
  <si>
    <t>204:232987</t>
  </si>
  <si>
    <t>204:242</t>
  </si>
  <si>
    <t>243-31</t>
  </si>
  <si>
    <t>204:502</t>
  </si>
  <si>
    <t>244-31</t>
  </si>
  <si>
    <t>181-31</t>
  </si>
  <si>
    <t>192-31</t>
  </si>
  <si>
    <t>197-31</t>
  </si>
  <si>
    <t>198-31</t>
  </si>
  <si>
    <t>199-31</t>
  </si>
  <si>
    <t>205-31</t>
  </si>
  <si>
    <t>234-31</t>
  </si>
  <si>
    <t>237-31</t>
  </si>
  <si>
    <t>rtdc.l.rtdc.4010:itc</t>
  </si>
  <si>
    <t>STRICKLAND</t>
  </si>
  <si>
    <t>RIVERA</t>
  </si>
  <si>
    <t>HELVIE</t>
  </si>
  <si>
    <t>rtdc.l.rtdc.4014:itc</t>
  </si>
  <si>
    <t>REBOLETTI</t>
  </si>
  <si>
    <t>rtdc.l.rtdc.4013:itc</t>
  </si>
  <si>
    <t>rtdc.l.rtdc.4008:itc</t>
  </si>
  <si>
    <t>BARTLETT</t>
  </si>
  <si>
    <t>rtdc.l.rtdc.4009:itc</t>
  </si>
  <si>
    <t>rtdc.l.rtdc.4012:itc</t>
  </si>
  <si>
    <t>BONDS</t>
  </si>
  <si>
    <t>YANAI</t>
  </si>
  <si>
    <t>BRABO</t>
  </si>
  <si>
    <t>rtdc.l.rtdc.4011:itc</t>
  </si>
  <si>
    <t>ACKERMAN</t>
  </si>
  <si>
    <t>rtdc.l.rtdc.4007:itc</t>
  </si>
  <si>
    <t>EQUIPMENT RESTRICTION</t>
  </si>
  <si>
    <t>Routing</t>
  </si>
  <si>
    <t>Unexpected Signal Downgrade Tumble Down From Issue DIA EC2308RH</t>
  </si>
  <si>
    <t>Trip Restarted at 1.9</t>
  </si>
  <si>
    <t>Enroute Failure</t>
  </si>
  <si>
    <t>Trip Started at 1.9</t>
  </si>
  <si>
    <t xml:space="preserve">Dispatch had issue clearing the 2N Signal at 78th EC2174RH </t>
  </si>
  <si>
    <t>Trip Restarted at 2</t>
  </si>
  <si>
    <t>Preceded by Enroute Failure</t>
  </si>
  <si>
    <t xml:space="preserve">Form C 1 minute warning </t>
  </si>
  <si>
    <t xml:space="preserve">Form C </t>
  </si>
  <si>
    <t>Wimax</t>
  </si>
  <si>
    <t>Unexpected Signal Downgrade at EC0816RH</t>
  </si>
  <si>
    <t>Not Offered</t>
  </si>
  <si>
    <t>Xing Completion Percentage</t>
  </si>
  <si>
    <t>IsEven</t>
  </si>
  <si>
    <t>Xing#</t>
  </si>
  <si>
    <t>Total PTC Runs</t>
  </si>
  <si>
    <t>Total Cut Out Runs</t>
  </si>
  <si>
    <t>%</t>
  </si>
  <si>
    <t>Wireless Crossing%$age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</si>
</sst>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:ss;@"/>
    <numFmt numFmtId="165" formatCode="0.0%"/>
    <numFmt numFmtId="166" formatCode="yyyy\-mm\-dd"/>
    <numFmt numFmtId="167" formatCode="yyyy\-mm\-dd\ hh:mm:ss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rgb="FFECF0F1"/>
      </bottom>
      <diagonal/>
    </border>
  </borders>
  <cellStyleXfs count="3">
    <xf numFmtId="0" fontId="0" fillId="0" borderId="0"/>
    <xf numFmtId="0" fontId="9" fillId="0" borderId="0" applyNumberFormat="0" applyFill="0" applyBorder="0" applyAlignment="0" applyProtection="0"/>
    <xf numFmtId="9" fontId="10" fillId="0" borderId="0" applyFont="0" applyFill="0" applyBorder="0" applyAlignment="0" applyProtection="0"/>
  </cellStyleXfs>
  <cellXfs count="100">
    <xf numFmtId="0" fontId="0" fillId="0" borderId="0" xfId="0"/>
    <xf numFmtId="20" fontId="0" fillId="0" borderId="0" xfId="0" applyNumberFormat="1" applyFill="1" applyAlignment="1">
      <alignment wrapText="1"/>
    </xf>
    <xf numFmtId="0" fontId="0" fillId="0" borderId="0" xfId="0" applyFill="1"/>
    <xf numFmtId="0" fontId="0" fillId="0" borderId="4" xfId="0" applyBorder="1" applyAlignment="1">
      <alignment horizontal="center" vertical="center"/>
    </xf>
    <xf numFmtId="1" fontId="0" fillId="0" borderId="0" xfId="0" applyNumberFormat="1"/>
    <xf numFmtId="1" fontId="0" fillId="0" borderId="0" xfId="0" applyNumberFormat="1" applyFill="1"/>
    <xf numFmtId="1" fontId="0" fillId="0" borderId="3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/>
    </xf>
    <xf numFmtId="0" fontId="0" fillId="0" borderId="3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164" fontId="0" fillId="0" borderId="5" xfId="0" applyNumberFormat="1" applyFill="1" applyBorder="1" applyAlignment="1">
      <alignment horizontal="left"/>
    </xf>
    <xf numFmtId="1" fontId="0" fillId="0" borderId="5" xfId="0" applyNumberFormat="1" applyFill="1" applyBorder="1" applyAlignment="1">
      <alignment horizontal="left"/>
    </xf>
    <xf numFmtId="167" fontId="0" fillId="0" borderId="0" xfId="0" applyNumberFormat="1"/>
    <xf numFmtId="0" fontId="0" fillId="0" borderId="7" xfId="0" applyBorder="1"/>
    <xf numFmtId="0" fontId="0" fillId="0" borderId="6" xfId="0" applyBorder="1" applyAlignment="1">
      <alignment vertical="center" wrapText="1"/>
    </xf>
    <xf numFmtId="0" fontId="0" fillId="2" borderId="10" xfId="0" applyFill="1" applyBorder="1"/>
    <xf numFmtId="0" fontId="0" fillId="2" borderId="11" xfId="0" applyFill="1" applyBorder="1" applyAlignment="1">
      <alignment vertical="center" wrapText="1"/>
    </xf>
    <xf numFmtId="0" fontId="0" fillId="0" borderId="0" xfId="0" applyFill="1" applyAlignment="1"/>
    <xf numFmtId="0" fontId="0" fillId="0" borderId="5" xfId="0" applyFill="1" applyBorder="1" applyAlignment="1"/>
    <xf numFmtId="0" fontId="0" fillId="0" borderId="5" xfId="0" applyFill="1" applyBorder="1" applyAlignment="1">
      <alignment vertical="center"/>
    </xf>
    <xf numFmtId="0" fontId="0" fillId="0" borderId="5" xfId="0" applyBorder="1" applyAlignment="1">
      <alignment vertical="center"/>
    </xf>
    <xf numFmtId="167" fontId="0" fillId="0" borderId="5" xfId="0" applyNumberFormat="1" applyBorder="1" applyAlignment="1">
      <alignment vertical="center"/>
    </xf>
    <xf numFmtId="0" fontId="1" fillId="0" borderId="5" xfId="0" applyFont="1" applyFill="1" applyBorder="1" applyAlignment="1">
      <alignment horizontal="center" vertical="center" wrapText="1"/>
    </xf>
    <xf numFmtId="167" fontId="1" fillId="0" borderId="5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3" fillId="0" borderId="8" xfId="0" applyFont="1" applyBorder="1" applyAlignment="1">
      <alignment horizontal="center" wrapText="1"/>
    </xf>
    <xf numFmtId="166" fontId="4" fillId="0" borderId="9" xfId="0" applyNumberFormat="1" applyFont="1" applyBorder="1" applyAlignment="1">
      <alignment horizontal="center" vertical="center" wrapText="1"/>
    </xf>
    <xf numFmtId="167" fontId="0" fillId="0" borderId="5" xfId="0" applyNumberFormat="1" applyFill="1" applyBorder="1" applyAlignment="1">
      <alignment horizontal="left"/>
    </xf>
    <xf numFmtId="167" fontId="0" fillId="0" borderId="0" xfId="0" applyNumberFormat="1" applyFill="1"/>
    <xf numFmtId="167" fontId="0" fillId="0" borderId="3" xfId="0" applyNumberFormat="1" applyBorder="1" applyAlignment="1">
      <alignment horizontal="right" vertical="center" wrapText="1"/>
    </xf>
    <xf numFmtId="167" fontId="0" fillId="2" borderId="3" xfId="0" applyNumberFormat="1" applyFill="1" applyBorder="1" applyAlignment="1">
      <alignment horizontal="right" vertical="center" wrapText="1"/>
    </xf>
    <xf numFmtId="167" fontId="0" fillId="3" borderId="3" xfId="0" applyNumberFormat="1" applyFill="1" applyBorder="1" applyAlignment="1">
      <alignment horizontal="right" vertical="center" wrapText="1"/>
    </xf>
    <xf numFmtId="20" fontId="0" fillId="0" borderId="2" xfId="0" applyNumberFormat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wrapText="1"/>
    </xf>
    <xf numFmtId="0" fontId="1" fillId="0" borderId="9" xfId="0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left"/>
    </xf>
    <xf numFmtId="2" fontId="0" fillId="0" borderId="0" xfId="0" applyNumberFormat="1" applyFill="1"/>
    <xf numFmtId="2" fontId="0" fillId="0" borderId="0" xfId="0" applyNumberFormat="1"/>
    <xf numFmtId="167" fontId="0" fillId="0" borderId="0" xfId="0" applyNumberForma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/>
    <xf numFmtId="0" fontId="1" fillId="0" borderId="5" xfId="0" applyFont="1" applyFill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167" fontId="1" fillId="0" borderId="5" xfId="0" applyNumberFormat="1" applyFont="1" applyBorder="1" applyAlignment="1">
      <alignment horizontal="left" vertical="center" wrapText="1"/>
    </xf>
    <xf numFmtId="2" fontId="1" fillId="0" borderId="5" xfId="0" applyNumberFormat="1" applyFont="1" applyBorder="1" applyAlignment="1">
      <alignment horizontal="left" vertical="center" wrapText="1"/>
    </xf>
    <xf numFmtId="20" fontId="1" fillId="0" borderId="5" xfId="0" applyNumberFormat="1" applyFont="1" applyFill="1" applyBorder="1" applyAlignment="1">
      <alignment horizontal="left" vertical="center" wrapText="1"/>
    </xf>
    <xf numFmtId="1" fontId="1" fillId="0" borderId="5" xfId="0" applyNumberFormat="1" applyFont="1" applyBorder="1" applyAlignment="1">
      <alignment horizontal="left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2" borderId="13" xfId="0" applyFill="1" applyBorder="1" applyAlignment="1">
      <alignment vertical="center" wrapText="1"/>
    </xf>
    <xf numFmtId="0" fontId="0" fillId="0" borderId="14" xfId="0" applyBorder="1" applyAlignment="1">
      <alignment vertical="center" wrapText="1"/>
    </xf>
    <xf numFmtId="0" fontId="5" fillId="0" borderId="0" xfId="0" applyFont="1"/>
    <xf numFmtId="0" fontId="5" fillId="0" borderId="0" xfId="0" applyFont="1" applyAlignment="1">
      <alignment horizontal="left"/>
    </xf>
    <xf numFmtId="0" fontId="5" fillId="0" borderId="0" xfId="0" applyFont="1" applyFill="1"/>
    <xf numFmtId="0" fontId="5" fillId="0" borderId="0" xfId="0" applyFont="1" applyFill="1" applyAlignment="1">
      <alignment horizontal="left"/>
    </xf>
    <xf numFmtId="20" fontId="0" fillId="0" borderId="2" xfId="0" applyNumberFormat="1" applyBorder="1" applyAlignment="1">
      <alignment horizontal="center" vertical="center" wrapText="1"/>
    </xf>
    <xf numFmtId="0" fontId="0" fillId="0" borderId="0" xfId="0"/>
    <xf numFmtId="0" fontId="0" fillId="0" borderId="5" xfId="0" applyFill="1" applyBorder="1" applyAlignment="1">
      <alignment horizontal="left"/>
    </xf>
    <xf numFmtId="1" fontId="0" fillId="0" borderId="5" xfId="0" applyNumberFormat="1" applyFill="1" applyBorder="1"/>
    <xf numFmtId="0" fontId="0" fillId="0" borderId="0" xfId="0" applyFill="1" applyBorder="1" applyAlignment="1">
      <alignment horizontal="left"/>
    </xf>
    <xf numFmtId="167" fontId="0" fillId="0" borderId="0" xfId="0" applyNumberFormat="1" applyFill="1" applyBorder="1" applyAlignment="1">
      <alignment horizontal="left"/>
    </xf>
    <xf numFmtId="2" fontId="0" fillId="0" borderId="0" xfId="0" applyNumberFormat="1" applyFill="1" applyBorder="1" applyAlignment="1">
      <alignment horizontal="left"/>
    </xf>
    <xf numFmtId="164" fontId="0" fillId="0" borderId="0" xfId="0" applyNumberFormat="1" applyFill="1" applyBorder="1" applyAlignment="1">
      <alignment horizontal="left"/>
    </xf>
    <xf numFmtId="1" fontId="0" fillId="0" borderId="0" xfId="0" applyNumberFormat="1" applyFill="1" applyBorder="1" applyAlignment="1">
      <alignment horizontal="left"/>
    </xf>
    <xf numFmtId="1" fontId="0" fillId="0" borderId="0" xfId="0" applyNumberFormat="1" applyFill="1" applyBorder="1"/>
    <xf numFmtId="0" fontId="5" fillId="0" borderId="0" xfId="0" applyFont="1" applyFill="1" applyBorder="1"/>
    <xf numFmtId="0" fontId="5" fillId="0" borderId="0" xfId="0" applyFont="1" applyFill="1" applyBorder="1" applyAlignment="1">
      <alignment horizontal="left"/>
    </xf>
    <xf numFmtId="1" fontId="0" fillId="0" borderId="3" xfId="0" applyNumberForma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6" fillId="0" borderId="0" xfId="0" applyFont="1" applyFill="1" applyBorder="1"/>
    <xf numFmtId="0" fontId="6" fillId="0" borderId="0" xfId="0" applyFont="1" applyFill="1" applyBorder="1" applyAlignment="1">
      <alignment horizontal="left"/>
    </xf>
    <xf numFmtId="166" fontId="0" fillId="0" borderId="4" xfId="0" applyNumberFormat="1" applyBorder="1" applyAlignment="1">
      <alignment horizontal="center" wrapText="1"/>
    </xf>
    <xf numFmtId="0" fontId="1" fillId="0" borderId="0" xfId="0" applyFont="1" applyBorder="1"/>
    <xf numFmtId="0" fontId="0" fillId="0" borderId="0" xfId="0" applyBorder="1"/>
    <xf numFmtId="0" fontId="0" fillId="0" borderId="0" xfId="0" applyFill="1" applyBorder="1"/>
    <xf numFmtId="0" fontId="7" fillId="0" borderId="0" xfId="0" applyFont="1" applyAlignment="1">
      <alignment horizontal="center" vertical="center"/>
    </xf>
    <xf numFmtId="0" fontId="7" fillId="0" borderId="0" xfId="0" applyFont="1" applyFill="1" applyAlignment="1"/>
    <xf numFmtId="0" fontId="7" fillId="0" borderId="0" xfId="0" applyFont="1"/>
    <xf numFmtId="0" fontId="8" fillId="0" borderId="0" xfId="0" applyFont="1" applyFill="1" applyBorder="1" applyAlignment="1">
      <alignment horizontal="center" vertical="center" wrapText="1"/>
    </xf>
    <xf numFmtId="0" fontId="9" fillId="0" borderId="0" xfId="1"/>
    <xf numFmtId="167" fontId="0" fillId="0" borderId="15" xfId="0" applyNumberFormat="1" applyBorder="1"/>
    <xf numFmtId="166" fontId="0" fillId="0" borderId="1" xfId="0" applyNumberFormat="1" applyBorder="1" applyAlignment="1">
      <alignment horizontal="center" wrapText="1"/>
    </xf>
    <xf numFmtId="166" fontId="0" fillId="0" borderId="2" xfId="0" applyNumberForma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20" fontId="0" fillId="0" borderId="1" xfId="0" applyNumberFormat="1" applyBorder="1" applyAlignment="1">
      <alignment horizontal="center" vertical="center" wrapText="1"/>
    </xf>
    <xf numFmtId="20" fontId="0" fillId="0" borderId="2" xfId="0" applyNumberForma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9" fontId="0" fillId="0" borderId="5" xfId="0" applyNumberFormat="1" applyFill="1" applyBorder="1"/>
    <xf numFmtId="167" fontId="0" fillId="0" borderId="5" xfId="0" applyNumberFormat="1" applyBorder="1"/>
    <xf numFmtId="0" fontId="0" fillId="0" borderId="5" xfId="0" applyBorder="1"/>
    <xf numFmtId="20" fontId="0" fillId="0" borderId="5" xfId="0" applyNumberFormat="1" applyFill="1" applyBorder="1" applyAlignment="1">
      <alignment wrapText="1"/>
    </xf>
    <xf numFmtId="9" fontId="0" fillId="0" borderId="0" xfId="2" applyFont="1"/>
    <xf numFmtId="9" fontId="0" fillId="0" borderId="0" xfId="0" applyNumberFormat="1" applyFill="1" applyAlignment="1">
      <alignment wrapText="1"/>
    </xf>
  </cellXfs>
  <cellStyles count="3">
    <cellStyle name="Hyperlink" xfId="1" builtinId="8"/>
    <cellStyle name="Normal" xfId="0" builtinId="0"/>
    <cellStyle name="Percent" xfId="2" builtinId="5"/>
  </cellStyles>
  <dxfs count="21"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6-27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0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 refreshError="1"/>
      <sheetData sheetId="1" refreshError="1"/>
      <sheetData sheetId="2" refreshError="1"/>
      <sheetData sheetId="3" refreshError="1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>
        <row r="3">
          <cell r="M3">
            <v>2.7201</v>
          </cell>
        </row>
        <row r="4">
          <cell r="M4">
            <v>3.09</v>
          </cell>
        </row>
        <row r="5">
          <cell r="M5">
            <v>3.3196500000000002</v>
          </cell>
        </row>
        <row r="6">
          <cell r="M6">
            <v>4.2869999999999999</v>
          </cell>
        </row>
        <row r="7">
          <cell r="M7">
            <v>4.7956500000000002</v>
          </cell>
        </row>
        <row r="8">
          <cell r="M8">
            <v>5.3216000000000001</v>
          </cell>
        </row>
        <row r="9">
          <cell r="M9">
            <v>5.8209</v>
          </cell>
        </row>
        <row r="10">
          <cell r="M10">
            <v>5.8843499999999995</v>
          </cell>
        </row>
        <row r="11">
          <cell r="M11">
            <v>6.3188499999999994</v>
          </cell>
        </row>
        <row r="12">
          <cell r="M12">
            <v>7.8408999999999995</v>
          </cell>
        </row>
        <row r="13">
          <cell r="M13">
            <v>10.376899999999999</v>
          </cell>
        </row>
        <row r="14">
          <cell r="M14">
            <v>10.904450000000001</v>
          </cell>
        </row>
      </sheetData>
    </sheetDataSet>
  </externalBook>
</externalLink>
</file>

<file path=xl/queryTables/queryTable1.xml><?xml version="1.0" encoding="utf-8"?>
<queryTable xmlns="http://schemas.openxmlformats.org/spreadsheetml/2006/main" name="Denver Train Runs 04122016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N160"/>
  <sheetViews>
    <sheetView showGridLines="0" tabSelected="1" topLeftCell="A126" zoomScale="85" zoomScaleNormal="85" workbookViewId="0">
      <selection activeCell="I154" sqref="I154:L154"/>
    </sheetView>
  </sheetViews>
  <sheetFormatPr defaultRowHeight="15" x14ac:dyDescent="0.25"/>
  <cols>
    <col min="1" max="1" width="10.5703125" style="2" customWidth="1"/>
    <col min="2" max="2" width="9" customWidth="1"/>
    <col min="3" max="3" width="13.5703125" hidden="1" customWidth="1"/>
    <col min="4" max="4" width="16.140625" hidden="1" customWidth="1"/>
    <col min="5" max="5" width="19.5703125" style="14" hidden="1" customWidth="1"/>
    <col min="6" max="6" width="20.140625" style="14" customWidth="1"/>
    <col min="7" max="7" width="18.42578125" style="40" hidden="1" customWidth="1"/>
    <col min="8" max="8" width="22.140625" style="14" hidden="1" customWidth="1"/>
    <col min="9" max="9" width="19.7109375" style="14" customWidth="1"/>
    <col min="10" max="10" width="7.7109375" bestFit="1" customWidth="1"/>
    <col min="11" max="11" width="13.28515625" customWidth="1"/>
    <col min="12" max="12" width="13.28515625" style="59" customWidth="1"/>
    <col min="13" max="13" width="9.5703125" style="1" customWidth="1"/>
    <col min="14" max="14" width="8.85546875" style="4" customWidth="1"/>
    <col min="15" max="15" width="9.140625" style="4"/>
    <col min="16" max="16" width="6" style="4" customWidth="1"/>
    <col min="17" max="17" width="13.5703125" customWidth="1"/>
    <col min="18" max="18" width="67.5703125" bestFit="1" customWidth="1"/>
    <col min="19" max="19" width="13.28515625" style="59" customWidth="1"/>
    <col min="20" max="20" width="11.28515625" style="59" customWidth="1"/>
    <col min="21" max="21" width="11" style="59" customWidth="1"/>
    <col min="22" max="22" width="4.28515625" customWidth="1"/>
    <col min="23" max="23" width="19.28515625" style="54" customWidth="1"/>
    <col min="24" max="24" width="10.140625" style="54" customWidth="1"/>
    <col min="25" max="25" width="14.140625" style="54" customWidth="1"/>
    <col min="26" max="28" width="9.140625" style="54"/>
    <col min="29" max="29" width="10.7109375" style="55" bestFit="1" customWidth="1"/>
    <col min="30" max="30" width="30.5703125" style="55" bestFit="1" customWidth="1"/>
  </cols>
  <sheetData>
    <row r="1" spans="1:92" ht="57.75" customHeight="1" thickBot="1" x14ac:dyDescent="0.3">
      <c r="A1" s="92" t="str">
        <f>"Eagle P3 System Performance - "&amp;TEXT(Variables!A2,"yyyy-mm-dd")</f>
        <v>Eagle P3 System Performance - 2016-05-31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</row>
    <row r="2" spans="1:92" s="11" customFormat="1" ht="69" customHeight="1" thickBot="1" x14ac:dyDescent="0.3">
      <c r="A2" s="45" t="s">
        <v>0</v>
      </c>
      <c r="B2" s="46" t="s">
        <v>46</v>
      </c>
      <c r="C2" s="46" t="s">
        <v>26</v>
      </c>
      <c r="D2" s="46" t="s">
        <v>1</v>
      </c>
      <c r="E2" s="47" t="s">
        <v>2</v>
      </c>
      <c r="F2" s="47" t="s">
        <v>3</v>
      </c>
      <c r="G2" s="48" t="s">
        <v>4</v>
      </c>
      <c r="H2" s="47" t="s">
        <v>5</v>
      </c>
      <c r="I2" s="47" t="s">
        <v>6</v>
      </c>
      <c r="J2" s="46" t="s">
        <v>7</v>
      </c>
      <c r="K2" s="46" t="s">
        <v>78</v>
      </c>
      <c r="L2" s="46" t="s">
        <v>50</v>
      </c>
      <c r="M2" s="49" t="s">
        <v>8</v>
      </c>
      <c r="N2" s="46" t="s">
        <v>43</v>
      </c>
      <c r="O2" s="50" t="s">
        <v>44</v>
      </c>
      <c r="P2" s="50" t="s">
        <v>18</v>
      </c>
      <c r="Q2" s="51" t="s">
        <v>49</v>
      </c>
      <c r="R2" s="51" t="s">
        <v>24</v>
      </c>
      <c r="S2" s="51" t="s">
        <v>441</v>
      </c>
      <c r="T2" s="10" t="s">
        <v>442</v>
      </c>
      <c r="U2" s="10" t="s">
        <v>443</v>
      </c>
      <c r="V2" s="10"/>
      <c r="W2" s="71" t="s">
        <v>47</v>
      </c>
      <c r="X2" s="71" t="s">
        <v>23</v>
      </c>
      <c r="Y2" s="71" t="s">
        <v>51</v>
      </c>
      <c r="Z2" s="71" t="s">
        <v>20</v>
      </c>
      <c r="AA2" s="71" t="s">
        <v>21</v>
      </c>
      <c r="AB2" s="71" t="s">
        <v>22</v>
      </c>
      <c r="AC2" s="72" t="s">
        <v>41</v>
      </c>
      <c r="AD2" s="72" t="s">
        <v>42</v>
      </c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0"/>
      <c r="CD2" s="10"/>
      <c r="CE2" s="10"/>
      <c r="CF2" s="10"/>
      <c r="CG2" s="10"/>
      <c r="CH2" s="10"/>
      <c r="CI2" s="10"/>
      <c r="CJ2" s="10"/>
      <c r="CK2" s="10"/>
      <c r="CL2" s="10"/>
      <c r="CM2" s="10"/>
      <c r="CN2" s="10"/>
    </row>
    <row r="3" spans="1:92" s="2" customFormat="1" x14ac:dyDescent="0.25">
      <c r="A3" s="60" t="s">
        <v>166</v>
      </c>
      <c r="B3" s="60">
        <v>4009</v>
      </c>
      <c r="C3" s="60" t="s">
        <v>62</v>
      </c>
      <c r="D3" s="60" t="s">
        <v>167</v>
      </c>
      <c r="E3" s="30">
        <v>42521.126064814816</v>
      </c>
      <c r="F3" s="30">
        <v>42521.127395833333</v>
      </c>
      <c r="G3" s="38">
        <v>1</v>
      </c>
      <c r="H3" s="30" t="s">
        <v>63</v>
      </c>
      <c r="I3" s="30">
        <v>42521.16064814815</v>
      </c>
      <c r="J3" s="60">
        <v>1</v>
      </c>
      <c r="K3" s="60" t="str">
        <f t="shared" ref="K3:K33" si="0">IF(ISEVEN(B3),(B3-1)&amp;"/"&amp;B3,B3&amp;"/"&amp;(B3+1))</f>
        <v>4009/4010</v>
      </c>
      <c r="L3" s="60" t="str">
        <f>VLOOKUP(A3,'Trips&amp;Operators'!$C$1:$E$9999,3,FALSE)</f>
        <v>BEAM</v>
      </c>
      <c r="M3" s="12">
        <f t="shared" ref="M3:M33" si="1">I3-F3</f>
        <v>3.3252314817218576E-2</v>
      </c>
      <c r="N3" s="13">
        <f t="shared" ref="N3:N13" si="2">24*60*SUM($M3:$M3)</f>
        <v>47.883333336794749</v>
      </c>
      <c r="O3" s="13"/>
      <c r="P3" s="13"/>
      <c r="Q3" s="61"/>
      <c r="R3" s="61"/>
      <c r="S3" s="94">
        <f>SUM(U3:U3)/12</f>
        <v>1</v>
      </c>
      <c r="T3" s="2" t="str">
        <f>IF(ISEVEN(LEFT(A3,3)),"Southbound","NorthBound")</f>
        <v>NorthBound</v>
      </c>
      <c r="U3" s="67">
        <f>COUNTIFS([2]Variables!$M$2:$M$19,IF(T3="NorthBound","&gt;=","&lt;=")&amp;Z3,[2]Variables!$M$2:$M$19,IF(T3="NorthBound","&lt;=","&gt;=")&amp;AA3)</f>
        <v>12</v>
      </c>
      <c r="W3" s="73" t="str">
        <f t="shared" ref="W3:W33" si="3">"https://search-rtdc-monitor-bjffxe2xuh6vdkpspy63sjmuny.us-east-1.es.amazonaws.com/_plugin/kibana/#/discover/Steve-Slow-Train-Analysis-(2080s-and-2083s)?_g=(refreshInterval:(display:Off,section:0,value:0),time:(from:'"&amp;TEXT(E3-1/24/60,"yyyy-MM-DD hh:mm:ss")&amp;"-0600',mode:absolute,to:'"&amp;TEXT(I3+1/24/60,"yyyy-MM-DD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&amp;"%22')),sort:!(Time,asc))"</f>
        <v>https://search-rtdc-monitor-bjffxe2xuh6vdkpspy63sjmuny.us-east-1.es.amazonaws.com/_plugin/kibana/#/discover/Steve-Slow-Train-Analysis-(2080s-and-2083s)?_g=(refreshInterval:(display:Off,section:0,value:0),time:(from:'2016-05-31 03:00:32-0600',mode:absolute,to:'2016-05-31 03:52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X3" s="73" t="str">
        <f t="shared" ref="X3:X33" si="4">IF(AB3&lt;23,"Y","N")</f>
        <v>N</v>
      </c>
      <c r="Y3" s="73" t="e">
        <f t="shared" ref="Y3:Y47" si="5">VALUE(LEFT(A3,3))-VALUE(LEFT(A2,3))</f>
        <v>#VALUE!</v>
      </c>
      <c r="Z3" s="73">
        <f t="shared" ref="Z3:Z33" si="6">RIGHT(D3,LEN(D3)-4)/10000</f>
        <v>7.5499999999999998E-2</v>
      </c>
      <c r="AA3" s="73">
        <f t="shared" ref="AA3:AA33" si="7">RIGHT(H3,LEN(H3)-4)/10000</f>
        <v>23.329499999999999</v>
      </c>
      <c r="AB3" s="73">
        <f t="shared" ref="AB3:AB33" si="8">ABS(AA3-Z3)</f>
        <v>23.253999999999998</v>
      </c>
      <c r="AC3" s="74">
        <f>VLOOKUP(A3,Enforcements!$C$3:$J$52,8,0)</f>
        <v>233491</v>
      </c>
      <c r="AD3" s="74" t="str">
        <f>VLOOKUP(A3,Enforcements!$C$3:$J$52,3,0)</f>
        <v>TRACK WARRANT AUTHORITY</v>
      </c>
    </row>
    <row r="4" spans="1:92" s="2" customFormat="1" x14ac:dyDescent="0.25">
      <c r="A4" s="60" t="s">
        <v>168</v>
      </c>
      <c r="B4" s="60">
        <v>4039</v>
      </c>
      <c r="C4" s="60" t="s">
        <v>62</v>
      </c>
      <c r="D4" s="60" t="s">
        <v>169</v>
      </c>
      <c r="E4" s="30">
        <v>42521.165034722224</v>
      </c>
      <c r="F4" s="30">
        <v>42521.165925925925</v>
      </c>
      <c r="G4" s="38">
        <v>1</v>
      </c>
      <c r="H4" s="30" t="s">
        <v>159</v>
      </c>
      <c r="I4" s="30">
        <v>42521.200289351851</v>
      </c>
      <c r="J4" s="60">
        <v>0</v>
      </c>
      <c r="K4" s="60" t="str">
        <f t="shared" si="0"/>
        <v>4039/4040</v>
      </c>
      <c r="L4" s="60" t="str">
        <f>VLOOKUP(A4,'Trips&amp;Operators'!$C$1:$E$9999,3,FALSE)</f>
        <v>BEAM</v>
      </c>
      <c r="M4" s="12">
        <f t="shared" si="1"/>
        <v>3.4363425926130731E-2</v>
      </c>
      <c r="N4" s="13">
        <f t="shared" si="2"/>
        <v>49.483333333628252</v>
      </c>
      <c r="O4" s="13"/>
      <c r="P4" s="13"/>
      <c r="Q4" s="61"/>
      <c r="R4" s="61"/>
      <c r="S4" s="94">
        <f t="shared" ref="S4:S67" si="9">SUM(U4:U4)/12</f>
        <v>1</v>
      </c>
      <c r="T4" s="2" t="str">
        <f t="shared" ref="T4:T67" si="10">IF(ISEVEN(LEFT(A4,3)),"Southbound","NorthBound")</f>
        <v>Southbound</v>
      </c>
      <c r="U4" s="67">
        <f>COUNTIFS([2]Variables!$M$2:$M$19,IF(T4="NorthBound","&gt;=","&lt;=")&amp;Z4,[2]Variables!$M$2:$M$19,IF(T4="NorthBound","&lt;=","&gt;=")&amp;AA4)</f>
        <v>12</v>
      </c>
      <c r="W4" s="73" t="str">
        <f t="shared" si="3"/>
        <v>https://search-rtdc-monitor-bjffxe2xuh6vdkpspy63sjmuny.us-east-1.es.amazonaws.com/_plugin/kibana/#/discover/Steve-Slow-Train-Analysis-(2080s-and-2083s)?_g=(refreshInterval:(display:Off,section:0,value:0),time:(from:'2016-05-31 03:56:39-0600',mode:absolute,to:'2016-05-31 04:49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X4" s="73" t="str">
        <f t="shared" si="4"/>
        <v>N</v>
      </c>
      <c r="Y4" s="73">
        <f t="shared" si="5"/>
        <v>1</v>
      </c>
      <c r="Z4" s="73">
        <f t="shared" si="6"/>
        <v>23.267900000000001</v>
      </c>
      <c r="AA4" s="73">
        <f t="shared" si="7"/>
        <v>0.02</v>
      </c>
      <c r="AB4" s="73">
        <f t="shared" si="8"/>
        <v>23.247900000000001</v>
      </c>
      <c r="AC4" s="74" t="e">
        <f>VLOOKUP(A4,Enforcements!$C$3:$J$52,8,0)</f>
        <v>#N/A</v>
      </c>
      <c r="AD4" s="74" t="e">
        <f>VLOOKUP(A4,Enforcements!$C$3:$J$52,3,0)</f>
        <v>#N/A</v>
      </c>
    </row>
    <row r="5" spans="1:92" s="2" customFormat="1" x14ac:dyDescent="0.25">
      <c r="A5" s="60" t="s">
        <v>170</v>
      </c>
      <c r="B5" s="60">
        <v>4011</v>
      </c>
      <c r="C5" s="60" t="s">
        <v>62</v>
      </c>
      <c r="D5" s="60" t="s">
        <v>171</v>
      </c>
      <c r="E5" s="30">
        <v>42521.150925925926</v>
      </c>
      <c r="F5" s="30">
        <v>42521.151979166665</v>
      </c>
      <c r="G5" s="38">
        <v>1</v>
      </c>
      <c r="H5" s="30" t="s">
        <v>172</v>
      </c>
      <c r="I5" s="30">
        <v>42521.181759259256</v>
      </c>
      <c r="J5" s="60">
        <v>0</v>
      </c>
      <c r="K5" s="60" t="str">
        <f t="shared" si="0"/>
        <v>4011/4012</v>
      </c>
      <c r="L5" s="60" t="str">
        <f>VLOOKUP(A5,'Trips&amp;Operators'!$C$1:$E$9999,3,FALSE)</f>
        <v>STARKS</v>
      </c>
      <c r="M5" s="12">
        <f t="shared" si="1"/>
        <v>2.9780092590954155E-2</v>
      </c>
      <c r="N5" s="13">
        <f t="shared" si="2"/>
        <v>42.883333330973983</v>
      </c>
      <c r="O5" s="13"/>
      <c r="P5" s="13"/>
      <c r="Q5" s="61"/>
      <c r="R5" s="61"/>
      <c r="S5" s="94">
        <f t="shared" si="9"/>
        <v>1</v>
      </c>
      <c r="T5" s="2" t="str">
        <f t="shared" si="10"/>
        <v>NorthBound</v>
      </c>
      <c r="U5" s="67">
        <f>COUNTIFS([2]Variables!$M$2:$M$19,IF(T5="NorthBound","&gt;=","&lt;=")&amp;Z5,[2]Variables!$M$2:$M$19,IF(T5="NorthBound","&lt;=","&gt;=")&amp;AA5)</f>
        <v>12</v>
      </c>
      <c r="W5" s="73" t="str">
        <f t="shared" si="3"/>
        <v>https://search-rtdc-monitor-bjffxe2xuh6vdkpspy63sjmuny.us-east-1.es.amazonaws.com/_plugin/kibana/#/discover/Steve-Slow-Train-Analysis-(2080s-and-2083s)?_g=(refreshInterval:(display:Off,section:0,value:0),time:(from:'2016-05-31 03:36:20-0600',mode:absolute,to:'2016-05-31 04:22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X5" s="73" t="str">
        <f t="shared" si="4"/>
        <v>N</v>
      </c>
      <c r="Y5" s="73">
        <f t="shared" si="5"/>
        <v>1</v>
      </c>
      <c r="Z5" s="73">
        <f t="shared" si="6"/>
        <v>7.8100000000000003E-2</v>
      </c>
      <c r="AA5" s="73">
        <f t="shared" si="7"/>
        <v>23.339700000000001</v>
      </c>
      <c r="AB5" s="73">
        <f t="shared" si="8"/>
        <v>23.261600000000001</v>
      </c>
      <c r="AC5" s="74" t="e">
        <f>VLOOKUP(A5,Enforcements!$C$3:$J$52,8,0)</f>
        <v>#N/A</v>
      </c>
      <c r="AD5" s="74" t="e">
        <f>VLOOKUP(A5,Enforcements!$C$3:$J$52,3,0)</f>
        <v>#N/A</v>
      </c>
    </row>
    <row r="6" spans="1:92" s="2" customFormat="1" x14ac:dyDescent="0.25">
      <c r="A6" s="60" t="s">
        <v>173</v>
      </c>
      <c r="B6" s="60">
        <v>4013</v>
      </c>
      <c r="C6" s="60" t="s">
        <v>62</v>
      </c>
      <c r="D6" s="60" t="s">
        <v>174</v>
      </c>
      <c r="E6" s="30">
        <v>42521.193287037036</v>
      </c>
      <c r="F6" s="30">
        <v>42521.194108796299</v>
      </c>
      <c r="G6" s="38">
        <v>1</v>
      </c>
      <c r="H6" s="30" t="s">
        <v>175</v>
      </c>
      <c r="I6" s="30">
        <v>42521.221932870372</v>
      </c>
      <c r="J6" s="60">
        <v>1</v>
      </c>
      <c r="K6" s="60" t="str">
        <f t="shared" si="0"/>
        <v>4013/4014</v>
      </c>
      <c r="L6" s="60" t="str">
        <f>VLOOKUP(A6,'Trips&amp;Operators'!$C$1:$E$9999,3,FALSE)</f>
        <v>STARKS</v>
      </c>
      <c r="M6" s="12">
        <f t="shared" si="1"/>
        <v>2.7824074073578231E-2</v>
      </c>
      <c r="N6" s="13">
        <f t="shared" si="2"/>
        <v>40.066666665952653</v>
      </c>
      <c r="O6" s="13"/>
      <c r="P6" s="13"/>
      <c r="Q6" s="61"/>
      <c r="R6" s="61"/>
      <c r="S6" s="94">
        <f t="shared" si="9"/>
        <v>1</v>
      </c>
      <c r="T6" s="2" t="str">
        <f t="shared" si="10"/>
        <v>Southbound</v>
      </c>
      <c r="U6" s="67">
        <f>COUNTIFS([2]Variables!$M$2:$M$19,IF(T6="NorthBound","&gt;=","&lt;=")&amp;Z6,[2]Variables!$M$2:$M$19,IF(T6="NorthBound","&lt;=","&gt;=")&amp;AA6)</f>
        <v>12</v>
      </c>
      <c r="W6" s="73" t="str">
        <f t="shared" si="3"/>
        <v>https://search-rtdc-monitor-bjffxe2xuh6vdkpspy63sjmuny.us-east-1.es.amazonaws.com/_plugin/kibana/#/discover/Steve-Slow-Train-Analysis-(2080s-and-2083s)?_g=(refreshInterval:(display:Off,section:0,value:0),time:(from:'2016-05-31 04:37:20-0600',mode:absolute,to:'2016-05-31 05:20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X6" s="73" t="str">
        <f t="shared" si="4"/>
        <v>N</v>
      </c>
      <c r="Y6" s="73">
        <f t="shared" si="5"/>
        <v>1</v>
      </c>
      <c r="Z6" s="73">
        <f t="shared" si="6"/>
        <v>23.276900000000001</v>
      </c>
      <c r="AA6" s="73">
        <f t="shared" si="7"/>
        <v>2.4E-2</v>
      </c>
      <c r="AB6" s="73">
        <f t="shared" si="8"/>
        <v>23.2529</v>
      </c>
      <c r="AC6" s="74">
        <f>VLOOKUP(A6,Enforcements!$C$3:$J$52,8,0)</f>
        <v>1</v>
      </c>
      <c r="AD6" s="74" t="str">
        <f>VLOOKUP(A6,Enforcements!$C$3:$J$52,3,0)</f>
        <v>TRACK WARRANT AUTHORITY</v>
      </c>
    </row>
    <row r="7" spans="1:92" s="2" customFormat="1" x14ac:dyDescent="0.25">
      <c r="A7" s="60" t="s">
        <v>176</v>
      </c>
      <c r="B7" s="60">
        <v>4044</v>
      </c>
      <c r="C7" s="60" t="s">
        <v>62</v>
      </c>
      <c r="D7" s="60" t="s">
        <v>177</v>
      </c>
      <c r="E7" s="30">
        <v>42521.168657407405</v>
      </c>
      <c r="F7" s="30">
        <v>42521.169606481482</v>
      </c>
      <c r="G7" s="38">
        <v>1</v>
      </c>
      <c r="H7" s="30" t="s">
        <v>86</v>
      </c>
      <c r="I7" s="30">
        <v>42521.201921296299</v>
      </c>
      <c r="J7" s="60">
        <v>1</v>
      </c>
      <c r="K7" s="60" t="str">
        <f t="shared" si="0"/>
        <v>4043/4044</v>
      </c>
      <c r="L7" s="60" t="str">
        <f>VLOOKUP(A7,'Trips&amp;Operators'!$C$1:$E$9999,3,FALSE)</f>
        <v>ROCHA</v>
      </c>
      <c r="M7" s="12">
        <f t="shared" si="1"/>
        <v>3.2314814816345461E-2</v>
      </c>
      <c r="N7" s="13">
        <f t="shared" si="2"/>
        <v>46.533333335537463</v>
      </c>
      <c r="O7" s="13"/>
      <c r="P7" s="13"/>
      <c r="Q7" s="61"/>
      <c r="R7" s="61"/>
      <c r="S7" s="94">
        <f t="shared" si="9"/>
        <v>1</v>
      </c>
      <c r="T7" s="2" t="str">
        <f t="shared" si="10"/>
        <v>NorthBound</v>
      </c>
      <c r="U7" s="67">
        <f>COUNTIFS([2]Variables!$M$2:$M$19,IF(T7="NorthBound","&gt;=","&lt;=")&amp;Z7,[2]Variables!$M$2:$M$19,IF(T7="NorthBound","&lt;=","&gt;=")&amp;AA7)</f>
        <v>12</v>
      </c>
      <c r="W7" s="73" t="str">
        <f t="shared" si="3"/>
        <v>https://search-rtdc-monitor-bjffxe2xuh6vdkpspy63sjmuny.us-east-1.es.amazonaws.com/_plugin/kibana/#/discover/Steve-Slow-Train-Analysis-(2080s-and-2083s)?_g=(refreshInterval:(display:Off,section:0,value:0),time:(from:'2016-05-31 04:01:52-0600',mode:absolute,to:'2016-05-31 04:51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X7" s="73" t="str">
        <f t="shared" si="4"/>
        <v>N</v>
      </c>
      <c r="Y7" s="73">
        <f t="shared" si="5"/>
        <v>1</v>
      </c>
      <c r="Z7" s="73">
        <f t="shared" si="6"/>
        <v>7.6600000000000001E-2</v>
      </c>
      <c r="AA7" s="73">
        <f t="shared" si="7"/>
        <v>23.330200000000001</v>
      </c>
      <c r="AB7" s="73">
        <f t="shared" si="8"/>
        <v>23.253600000000002</v>
      </c>
      <c r="AC7" s="74">
        <f>VLOOKUP(A7,Enforcements!$C$3:$J$52,8,0)</f>
        <v>81738</v>
      </c>
      <c r="AD7" s="74" t="str">
        <f>VLOOKUP(A7,Enforcements!$C$3:$J$52,3,0)</f>
        <v>SIGNAL</v>
      </c>
    </row>
    <row r="8" spans="1:92" s="2" customFormat="1" x14ac:dyDescent="0.25">
      <c r="A8" s="60" t="s">
        <v>178</v>
      </c>
      <c r="B8" s="60">
        <v>4008</v>
      </c>
      <c r="C8" s="60" t="s">
        <v>62</v>
      </c>
      <c r="D8" s="60" t="s">
        <v>179</v>
      </c>
      <c r="E8" s="30">
        <v>42521.205868055556</v>
      </c>
      <c r="F8" s="30">
        <v>42521.206689814811</v>
      </c>
      <c r="G8" s="38">
        <v>1</v>
      </c>
      <c r="H8" s="30" t="s">
        <v>109</v>
      </c>
      <c r="I8" s="30">
        <v>42521.241215277776</v>
      </c>
      <c r="J8" s="60">
        <v>0</v>
      </c>
      <c r="K8" s="60" t="str">
        <f t="shared" si="0"/>
        <v>4007/4008</v>
      </c>
      <c r="L8" s="60" t="str">
        <f>VLOOKUP(A8,'Trips&amp;Operators'!$C$1:$E$9999,3,FALSE)</f>
        <v>ROCHA</v>
      </c>
      <c r="M8" s="12">
        <f t="shared" si="1"/>
        <v>3.4525462964666076E-2</v>
      </c>
      <c r="N8" s="13">
        <f t="shared" si="2"/>
        <v>49.716666669119149</v>
      </c>
      <c r="O8" s="13"/>
      <c r="P8" s="13"/>
      <c r="Q8" s="61"/>
      <c r="R8" s="61"/>
      <c r="S8" s="94">
        <f t="shared" si="9"/>
        <v>1</v>
      </c>
      <c r="T8" s="2" t="str">
        <f t="shared" si="10"/>
        <v>Southbound</v>
      </c>
      <c r="U8" s="67">
        <f>COUNTIFS([2]Variables!$M$2:$M$19,IF(T8="NorthBound","&gt;=","&lt;=")&amp;Z8,[2]Variables!$M$2:$M$19,IF(T8="NorthBound","&lt;=","&gt;=")&amp;AA8)</f>
        <v>12</v>
      </c>
      <c r="W8" s="73" t="str">
        <f t="shared" si="3"/>
        <v>https://search-rtdc-monitor-bjffxe2xuh6vdkpspy63sjmuny.us-east-1.es.amazonaws.com/_plugin/kibana/#/discover/Steve-Slow-Train-Analysis-(2080s-and-2083s)?_g=(refreshInterval:(display:Off,section:0,value:0),time:(from:'2016-05-31 04:55:27-0600',mode:absolute,to:'2016-05-31 05:48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X8" s="73" t="str">
        <f t="shared" si="4"/>
        <v>N</v>
      </c>
      <c r="Y8" s="73">
        <f t="shared" si="5"/>
        <v>1</v>
      </c>
      <c r="Z8" s="73">
        <f t="shared" si="6"/>
        <v>23.2666</v>
      </c>
      <c r="AA8" s="73">
        <f t="shared" si="7"/>
        <v>1.41E-2</v>
      </c>
      <c r="AB8" s="73">
        <f t="shared" si="8"/>
        <v>23.252500000000001</v>
      </c>
      <c r="AC8" s="74" t="e">
        <f>VLOOKUP(A8,Enforcements!$C$3:$J$52,8,0)</f>
        <v>#N/A</v>
      </c>
      <c r="AD8" s="74" t="e">
        <f>VLOOKUP(A8,Enforcements!$C$3:$J$52,3,0)</f>
        <v>#N/A</v>
      </c>
    </row>
    <row r="9" spans="1:92" s="2" customFormat="1" x14ac:dyDescent="0.25">
      <c r="A9" s="60" t="s">
        <v>180</v>
      </c>
      <c r="B9" s="60">
        <v>4029</v>
      </c>
      <c r="C9" s="60" t="s">
        <v>62</v>
      </c>
      <c r="D9" s="60" t="s">
        <v>181</v>
      </c>
      <c r="E9" s="30">
        <v>42521.182233796295</v>
      </c>
      <c r="F9" s="30">
        <v>42521.183020833334</v>
      </c>
      <c r="G9" s="38">
        <v>1</v>
      </c>
      <c r="H9" s="30" t="s">
        <v>182</v>
      </c>
      <c r="I9" s="30">
        <v>42521.212708333333</v>
      </c>
      <c r="J9" s="60">
        <v>0</v>
      </c>
      <c r="K9" s="60" t="str">
        <f t="shared" si="0"/>
        <v>4029/4030</v>
      </c>
      <c r="L9" s="60" t="str">
        <f>VLOOKUP(A9,'Trips&amp;Operators'!$C$1:$E$9999,3,FALSE)</f>
        <v>YANAI</v>
      </c>
      <c r="M9" s="12">
        <f t="shared" si="1"/>
        <v>2.9687499998544808E-2</v>
      </c>
      <c r="N9" s="13">
        <f t="shared" si="2"/>
        <v>42.749999997904524</v>
      </c>
      <c r="O9" s="13"/>
      <c r="P9" s="13"/>
      <c r="Q9" s="61"/>
      <c r="R9" s="61"/>
      <c r="S9" s="94">
        <f t="shared" si="9"/>
        <v>1</v>
      </c>
      <c r="T9" s="2" t="str">
        <f t="shared" si="10"/>
        <v>NorthBound</v>
      </c>
      <c r="U9" s="67">
        <f>COUNTIFS([2]Variables!$M$2:$M$19,IF(T9="NorthBound","&gt;=","&lt;=")&amp;Z9,[2]Variables!$M$2:$M$19,IF(T9="NorthBound","&lt;=","&gt;=")&amp;AA9)</f>
        <v>12</v>
      </c>
      <c r="W9" s="73" t="str">
        <f t="shared" si="3"/>
        <v>https://search-rtdc-monitor-bjffxe2xuh6vdkpspy63sjmuny.us-east-1.es.amazonaws.com/_plugin/kibana/#/discover/Steve-Slow-Train-Analysis-(2080s-and-2083s)?_g=(refreshInterval:(display:Off,section:0,value:0),time:(from:'2016-05-31 04:21:25-0600',mode:absolute,to:'2016-05-31 05:07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X9" s="73" t="str">
        <f t="shared" si="4"/>
        <v>N</v>
      </c>
      <c r="Y9" s="73">
        <f t="shared" si="5"/>
        <v>1</v>
      </c>
      <c r="Z9" s="73">
        <f t="shared" si="6"/>
        <v>3.5499999999999997E-2</v>
      </c>
      <c r="AA9" s="73">
        <f t="shared" si="7"/>
        <v>23.328800000000001</v>
      </c>
      <c r="AB9" s="73">
        <f t="shared" si="8"/>
        <v>23.293300000000002</v>
      </c>
      <c r="AC9" s="74" t="e">
        <f>VLOOKUP(A9,Enforcements!$C$3:$J$52,8,0)</f>
        <v>#N/A</v>
      </c>
      <c r="AD9" s="74" t="e">
        <f>VLOOKUP(A9,Enforcements!$C$3:$J$52,3,0)</f>
        <v>#N/A</v>
      </c>
    </row>
    <row r="10" spans="1:92" s="2" customFormat="1" x14ac:dyDescent="0.25">
      <c r="A10" s="60" t="s">
        <v>183</v>
      </c>
      <c r="B10" s="60">
        <v>4030</v>
      </c>
      <c r="C10" s="60" t="s">
        <v>62</v>
      </c>
      <c r="D10" s="60" t="s">
        <v>110</v>
      </c>
      <c r="E10" s="30">
        <v>42521.223252314812</v>
      </c>
      <c r="F10" s="30">
        <v>42521.224236111113</v>
      </c>
      <c r="G10" s="38">
        <v>1</v>
      </c>
      <c r="H10" s="30" t="s">
        <v>70</v>
      </c>
      <c r="I10" s="30">
        <v>42521.252175925925</v>
      </c>
      <c r="J10" s="60">
        <v>0</v>
      </c>
      <c r="K10" s="60" t="str">
        <f t="shared" si="0"/>
        <v>4029/4030</v>
      </c>
      <c r="L10" s="60" t="str">
        <f>VLOOKUP(A10,'Trips&amp;Operators'!$C$1:$E$9999,3,FALSE)</f>
        <v>YANAI</v>
      </c>
      <c r="M10" s="12">
        <f t="shared" si="1"/>
        <v>2.7939814812270924E-2</v>
      </c>
      <c r="N10" s="13">
        <f t="shared" si="2"/>
        <v>40.233333329670131</v>
      </c>
      <c r="O10" s="13"/>
      <c r="P10" s="13"/>
      <c r="Q10" s="61"/>
      <c r="R10" s="61"/>
      <c r="S10" s="94">
        <f t="shared" si="9"/>
        <v>1</v>
      </c>
      <c r="T10" s="2" t="str">
        <f t="shared" si="10"/>
        <v>Southbound</v>
      </c>
      <c r="U10" s="67">
        <f>COUNTIFS([2]Variables!$M$2:$M$19,IF(T10="NorthBound","&gt;=","&lt;=")&amp;Z10,[2]Variables!$M$2:$M$19,IF(T10="NorthBound","&lt;=","&gt;=")&amp;AA10)</f>
        <v>12</v>
      </c>
      <c r="W10" s="73" t="str">
        <f t="shared" si="3"/>
        <v>https://search-rtdc-monitor-bjffxe2xuh6vdkpspy63sjmuny.us-east-1.es.amazonaws.com/_plugin/kibana/#/discover/Steve-Slow-Train-Analysis-(2080s-and-2083s)?_g=(refreshInterval:(display:Off,section:0,value:0),time:(from:'2016-05-31 05:20:29-0600',mode:absolute,to:'2016-05-31 06:04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X10" s="73" t="str">
        <f t="shared" si="4"/>
        <v>N</v>
      </c>
      <c r="Y10" s="73">
        <f t="shared" si="5"/>
        <v>1</v>
      </c>
      <c r="Z10" s="73">
        <f t="shared" si="6"/>
        <v>23.298200000000001</v>
      </c>
      <c r="AA10" s="73">
        <f t="shared" si="7"/>
        <v>1.52E-2</v>
      </c>
      <c r="AB10" s="73">
        <f t="shared" si="8"/>
        <v>23.283000000000001</v>
      </c>
      <c r="AC10" s="74" t="e">
        <f>VLOOKUP(A10,Enforcements!$C$3:$J$52,8,0)</f>
        <v>#N/A</v>
      </c>
      <c r="AD10" s="74" t="e">
        <f>VLOOKUP(A10,Enforcements!$C$3:$J$52,3,0)</f>
        <v>#N/A</v>
      </c>
    </row>
    <row r="11" spans="1:92" s="2" customFormat="1" x14ac:dyDescent="0.25">
      <c r="A11" s="60" t="s">
        <v>184</v>
      </c>
      <c r="B11" s="60">
        <v>4031</v>
      </c>
      <c r="C11" s="60" t="s">
        <v>62</v>
      </c>
      <c r="D11" s="60" t="s">
        <v>69</v>
      </c>
      <c r="E11" s="30">
        <v>42521.191030092596</v>
      </c>
      <c r="F11" s="30">
        <v>42521.192164351851</v>
      </c>
      <c r="G11" s="38">
        <v>1</v>
      </c>
      <c r="H11" s="30" t="s">
        <v>117</v>
      </c>
      <c r="I11" s="30">
        <v>42521.223217592589</v>
      </c>
      <c r="J11" s="60">
        <v>0</v>
      </c>
      <c r="K11" s="60" t="str">
        <f t="shared" si="0"/>
        <v>4031/4032</v>
      </c>
      <c r="L11" s="60" t="str">
        <f>VLOOKUP(A11,'Trips&amp;Operators'!$C$1:$E$9999,3,FALSE)</f>
        <v>ACKERMAN</v>
      </c>
      <c r="M11" s="12">
        <f t="shared" si="1"/>
        <v>3.1053240738401655E-2</v>
      </c>
      <c r="N11" s="13">
        <f t="shared" si="2"/>
        <v>44.716666663298383</v>
      </c>
      <c r="O11" s="13"/>
      <c r="P11" s="13"/>
      <c r="Q11" s="61"/>
      <c r="R11" s="61"/>
      <c r="S11" s="94">
        <f t="shared" si="9"/>
        <v>1</v>
      </c>
      <c r="T11" s="2" t="str">
        <f t="shared" si="10"/>
        <v>NorthBound</v>
      </c>
      <c r="U11" s="67">
        <f>COUNTIFS([2]Variables!$M$2:$M$19,IF(T11="NorthBound","&gt;=","&lt;=")&amp;Z11,[2]Variables!$M$2:$M$19,IF(T11="NorthBound","&lt;=","&gt;=")&amp;AA11)</f>
        <v>12</v>
      </c>
      <c r="W11" s="73" t="str">
        <f t="shared" si="3"/>
        <v>https://search-rtdc-monitor-bjffxe2xuh6vdkpspy63sjmuny.us-east-1.es.amazonaws.com/_plugin/kibana/#/discover/Steve-Slow-Train-Analysis-(2080s-and-2083s)?_g=(refreshInterval:(display:Off,section:0,value:0),time:(from:'2016-05-31 04:34:05-0600',mode:absolute,to:'2016-05-31 05:22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X11" s="73" t="str">
        <f t="shared" si="4"/>
        <v>N</v>
      </c>
      <c r="Y11" s="73">
        <f t="shared" si="5"/>
        <v>1</v>
      </c>
      <c r="Z11" s="73">
        <f t="shared" si="6"/>
        <v>4.5100000000000001E-2</v>
      </c>
      <c r="AA11" s="73">
        <f t="shared" si="7"/>
        <v>23.329699999999999</v>
      </c>
      <c r="AB11" s="73">
        <f t="shared" si="8"/>
        <v>23.284599999999998</v>
      </c>
      <c r="AC11" s="74" t="e">
        <f>VLOOKUP(A11,Enforcements!$C$3:$J$52,8,0)</f>
        <v>#N/A</v>
      </c>
      <c r="AD11" s="74" t="e">
        <f>VLOOKUP(A11,Enforcements!$C$3:$J$52,3,0)</f>
        <v>#N/A</v>
      </c>
    </row>
    <row r="12" spans="1:92" s="2" customFormat="1" x14ac:dyDescent="0.25">
      <c r="A12" s="60" t="s">
        <v>185</v>
      </c>
      <c r="B12" s="60">
        <v>4032</v>
      </c>
      <c r="C12" s="60" t="s">
        <v>62</v>
      </c>
      <c r="D12" s="60" t="s">
        <v>186</v>
      </c>
      <c r="E12" s="30">
        <v>42521.230347222219</v>
      </c>
      <c r="F12" s="30">
        <v>42521.231446759259</v>
      </c>
      <c r="G12" s="38">
        <v>1</v>
      </c>
      <c r="H12" s="30" t="s">
        <v>77</v>
      </c>
      <c r="I12" s="30">
        <v>42521.264606481483</v>
      </c>
      <c r="J12" s="60">
        <v>0</v>
      </c>
      <c r="K12" s="60" t="str">
        <f t="shared" si="0"/>
        <v>4031/4032</v>
      </c>
      <c r="L12" s="60" t="str">
        <f>VLOOKUP(A12,'Trips&amp;Operators'!$C$1:$E$9999,3,FALSE)</f>
        <v>ACKERMAN</v>
      </c>
      <c r="M12" s="12">
        <f t="shared" si="1"/>
        <v>3.3159722224809229E-2</v>
      </c>
      <c r="N12" s="13">
        <f t="shared" si="2"/>
        <v>47.75000000372529</v>
      </c>
      <c r="O12" s="13"/>
      <c r="P12" s="13"/>
      <c r="Q12" s="61"/>
      <c r="R12" s="61"/>
      <c r="S12" s="94">
        <f t="shared" si="9"/>
        <v>1</v>
      </c>
      <c r="T12" s="2" t="str">
        <f t="shared" si="10"/>
        <v>Southbound</v>
      </c>
      <c r="U12" s="67">
        <f>COUNTIFS([2]Variables!$M$2:$M$19,IF(T12="NorthBound","&gt;=","&lt;=")&amp;Z12,[2]Variables!$M$2:$M$19,IF(T12="NorthBound","&lt;=","&gt;=")&amp;AA12)</f>
        <v>12</v>
      </c>
      <c r="W12" s="73" t="str">
        <f t="shared" si="3"/>
        <v>https://search-rtdc-monitor-bjffxe2xuh6vdkpspy63sjmuny.us-east-1.es.amazonaws.com/_plugin/kibana/#/discover/Steve-Slow-Train-Analysis-(2080s-and-2083s)?_g=(refreshInterval:(display:Off,section:0,value:0),time:(from:'2016-05-31 05:30:42-0600',mode:absolute,to:'2016-05-31 06:22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X12" s="73" t="str">
        <f t="shared" si="4"/>
        <v>N</v>
      </c>
      <c r="Y12" s="73">
        <f t="shared" si="5"/>
        <v>1</v>
      </c>
      <c r="Z12" s="73">
        <f t="shared" si="6"/>
        <v>23.298100000000002</v>
      </c>
      <c r="AA12" s="73">
        <f t="shared" si="7"/>
        <v>1.4999999999999999E-2</v>
      </c>
      <c r="AB12" s="73">
        <f t="shared" si="8"/>
        <v>23.283100000000001</v>
      </c>
      <c r="AC12" s="74" t="e">
        <f>VLOOKUP(A12,Enforcements!$C$3:$J$52,8,0)</f>
        <v>#N/A</v>
      </c>
      <c r="AD12" s="74" t="e">
        <f>VLOOKUP(A12,Enforcements!$C$3:$J$52,3,0)</f>
        <v>#N/A</v>
      </c>
    </row>
    <row r="13" spans="1:92" s="2" customFormat="1" x14ac:dyDescent="0.25">
      <c r="A13" s="60" t="s">
        <v>187</v>
      </c>
      <c r="B13" s="60">
        <v>4009</v>
      </c>
      <c r="C13" s="60" t="s">
        <v>62</v>
      </c>
      <c r="D13" s="60" t="s">
        <v>188</v>
      </c>
      <c r="E13" s="30">
        <v>42521.206585648149</v>
      </c>
      <c r="F13" s="30">
        <v>42521.208078703705</v>
      </c>
      <c r="G13" s="38">
        <v>2</v>
      </c>
      <c r="H13" s="30" t="s">
        <v>63</v>
      </c>
      <c r="I13" s="30">
        <v>42521.235138888886</v>
      </c>
      <c r="J13" s="60">
        <v>0</v>
      </c>
      <c r="K13" s="60" t="str">
        <f t="shared" si="0"/>
        <v>4009/4010</v>
      </c>
      <c r="L13" s="60" t="str">
        <f>VLOOKUP(A13,'Trips&amp;Operators'!$C$1:$E$9999,3,FALSE)</f>
        <v>STRICKLAND</v>
      </c>
      <c r="M13" s="12">
        <f t="shared" si="1"/>
        <v>2.7060185180744156E-2</v>
      </c>
      <c r="N13" s="13">
        <f t="shared" si="2"/>
        <v>38.966666660271585</v>
      </c>
      <c r="O13" s="13"/>
      <c r="P13" s="13"/>
      <c r="Q13" s="61"/>
      <c r="R13" s="61"/>
      <c r="S13" s="94">
        <f t="shared" si="9"/>
        <v>1</v>
      </c>
      <c r="T13" s="2" t="str">
        <f t="shared" si="10"/>
        <v>NorthBound</v>
      </c>
      <c r="U13" s="67">
        <f>COUNTIFS([2]Variables!$M$2:$M$19,IF(T13="NorthBound","&gt;=","&lt;=")&amp;Z13,[2]Variables!$M$2:$M$19,IF(T13="NorthBound","&lt;=","&gt;=")&amp;AA13)</f>
        <v>12</v>
      </c>
      <c r="W13" s="73" t="str">
        <f t="shared" si="3"/>
        <v>https://search-rtdc-monitor-bjffxe2xuh6vdkpspy63sjmuny.us-east-1.es.amazonaws.com/_plugin/kibana/#/discover/Steve-Slow-Train-Analysis-(2080s-and-2083s)?_g=(refreshInterval:(display:Off,section:0,value:0),time:(from:'2016-05-31 04:56:29-0600',mode:absolute,to:'2016-05-31 05:39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X13" s="73" t="str">
        <f t="shared" si="4"/>
        <v>N</v>
      </c>
      <c r="Y13" s="73">
        <f t="shared" si="5"/>
        <v>1</v>
      </c>
      <c r="Z13" s="73">
        <f t="shared" si="6"/>
        <v>9.5399999999999999E-2</v>
      </c>
      <c r="AA13" s="73">
        <f t="shared" si="7"/>
        <v>23.329499999999999</v>
      </c>
      <c r="AB13" s="73">
        <f t="shared" si="8"/>
        <v>23.234099999999998</v>
      </c>
      <c r="AC13" s="74" t="e">
        <f>VLOOKUP(A13,Enforcements!$C$3:$J$52,8,0)</f>
        <v>#N/A</v>
      </c>
      <c r="AD13" s="74" t="e">
        <f>VLOOKUP(A13,Enforcements!$C$3:$J$52,3,0)</f>
        <v>#N/A</v>
      </c>
    </row>
    <row r="14" spans="1:92" s="2" customFormat="1" x14ac:dyDescent="0.25">
      <c r="A14" s="60" t="s">
        <v>189</v>
      </c>
      <c r="B14" s="60">
        <v>4010</v>
      </c>
      <c r="C14" s="60" t="s">
        <v>62</v>
      </c>
      <c r="D14" s="60" t="s">
        <v>190</v>
      </c>
      <c r="E14" s="30">
        <v>42521.243900462963</v>
      </c>
      <c r="F14" s="30">
        <v>42521.245324074072</v>
      </c>
      <c r="G14" s="38">
        <v>2</v>
      </c>
      <c r="H14" s="30" t="s">
        <v>191</v>
      </c>
      <c r="I14" s="30">
        <v>42521.275613425925</v>
      </c>
      <c r="J14" s="60">
        <v>2</v>
      </c>
      <c r="K14" s="60" t="str">
        <f t="shared" si="0"/>
        <v>4009/4010</v>
      </c>
      <c r="L14" s="60" t="str">
        <f>VLOOKUP(A14,'Trips&amp;Operators'!$C$1:$E$9999,3,FALSE)</f>
        <v>STRICKLAND</v>
      </c>
      <c r="M14" s="12">
        <f t="shared" si="1"/>
        <v>3.0289351852843538E-2</v>
      </c>
      <c r="N14" s="13">
        <f>24*60*SUM($M14:$M14)</f>
        <v>43.616666668094695</v>
      </c>
      <c r="O14" s="13"/>
      <c r="P14" s="13"/>
      <c r="Q14" s="61"/>
      <c r="R14" s="61"/>
      <c r="S14" s="94">
        <f t="shared" si="9"/>
        <v>1</v>
      </c>
      <c r="T14" s="2" t="str">
        <f t="shared" si="10"/>
        <v>Southbound</v>
      </c>
      <c r="U14" s="67">
        <f>COUNTIFS([2]Variables!$M$2:$M$19,IF(T14="NorthBound","&gt;=","&lt;=")&amp;Z14,[2]Variables!$M$2:$M$19,IF(T14="NorthBound","&lt;=","&gt;=")&amp;AA14)</f>
        <v>12</v>
      </c>
      <c r="W14" s="73" t="str">
        <f t="shared" si="3"/>
        <v>https://search-rtdc-monitor-bjffxe2xuh6vdkpspy63sjmuny.us-east-1.es.amazonaws.com/_plugin/kibana/#/discover/Steve-Slow-Train-Analysis-(2080s-and-2083s)?_g=(refreshInterval:(display:Off,section:0,value:0),time:(from:'2016-05-31 05:50:13-0600',mode:absolute,to:'2016-05-31 06:37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X14" s="73" t="str">
        <f t="shared" si="4"/>
        <v>N</v>
      </c>
      <c r="Y14" s="73">
        <f t="shared" si="5"/>
        <v>1</v>
      </c>
      <c r="Z14" s="73">
        <f t="shared" si="6"/>
        <v>23.297799999999999</v>
      </c>
      <c r="AA14" s="73">
        <v>1.6299999999999999E-2</v>
      </c>
      <c r="AB14" s="73">
        <f t="shared" si="8"/>
        <v>23.281499999999998</v>
      </c>
      <c r="AC14" s="74">
        <f>VLOOKUP(A14,Enforcements!$C$3:$J$52,8,0)</f>
        <v>108954</v>
      </c>
      <c r="AD14" s="74" t="str">
        <f>VLOOKUP(A14,Enforcements!$C$3:$J$52,3,0)</f>
        <v>GRADE CROSSING</v>
      </c>
    </row>
    <row r="15" spans="1:92" s="2" customFormat="1" x14ac:dyDescent="0.25">
      <c r="A15" s="60" t="s">
        <v>192</v>
      </c>
      <c r="B15" s="60">
        <v>4040</v>
      </c>
      <c r="C15" s="60" t="s">
        <v>62</v>
      </c>
      <c r="D15" s="60" t="s">
        <v>193</v>
      </c>
      <c r="E15" s="30">
        <v>42521.213414351849</v>
      </c>
      <c r="F15" s="30">
        <v>42521.21434027778</v>
      </c>
      <c r="G15" s="38">
        <v>1</v>
      </c>
      <c r="H15" s="30" t="s">
        <v>194</v>
      </c>
      <c r="I15" s="30">
        <v>42521.242094907408</v>
      </c>
      <c r="J15" s="60">
        <v>1</v>
      </c>
      <c r="K15" s="60" t="str">
        <f t="shared" si="0"/>
        <v>4039/4040</v>
      </c>
      <c r="L15" s="60" t="str">
        <f>VLOOKUP(A15,'Trips&amp;Operators'!$C$1:$E$9999,3,FALSE)</f>
        <v>BEAM</v>
      </c>
      <c r="M15" s="12">
        <f t="shared" si="1"/>
        <v>2.7754629627452232E-2</v>
      </c>
      <c r="N15" s="13"/>
      <c r="O15" s="13"/>
      <c r="P15" s="13">
        <f>24*60*SUM($M15:$M15)</f>
        <v>39.966666663531214</v>
      </c>
      <c r="Q15" s="61"/>
      <c r="R15" s="61" t="s">
        <v>429</v>
      </c>
      <c r="S15" s="94">
        <f t="shared" si="9"/>
        <v>1</v>
      </c>
      <c r="T15" s="2" t="str">
        <f t="shared" si="10"/>
        <v>NorthBound</v>
      </c>
      <c r="U15" s="67">
        <f>COUNTIFS([2]Variables!$M$2:$M$19,IF(T15="NorthBound","&gt;=","&lt;=")&amp;Z15,[2]Variables!$M$2:$M$19,IF(T15="NorthBound","&lt;=","&gt;=")&amp;AA15)</f>
        <v>12</v>
      </c>
      <c r="W15" s="73" t="str">
        <f t="shared" si="3"/>
        <v>https://search-rtdc-monitor-bjffxe2xuh6vdkpspy63sjmuny.us-east-1.es.amazonaws.com/_plugin/kibana/#/discover/Steve-Slow-Train-Analysis-(2080s-and-2083s)?_g=(refreshInterval:(display:Off,section:0,value:0),time:(from:'2016-05-31 05:06:19-0600',mode:absolute,to:'2016-05-31 05:49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X15" s="73" t="str">
        <f t="shared" si="4"/>
        <v>Y</v>
      </c>
      <c r="Y15" s="73">
        <f t="shared" si="5"/>
        <v>1</v>
      </c>
      <c r="Z15" s="73">
        <f t="shared" si="6"/>
        <v>5.04E-2</v>
      </c>
      <c r="AA15" s="73">
        <f t="shared" si="7"/>
        <v>21.8889</v>
      </c>
      <c r="AB15" s="73">
        <f t="shared" si="8"/>
        <v>21.8385</v>
      </c>
      <c r="AC15" s="74">
        <f>VLOOKUP(A15,Enforcements!$C$3:$J$52,8,0)</f>
        <v>217106</v>
      </c>
      <c r="AD15" s="74" t="str">
        <f>VLOOKUP(A15,Enforcements!$C$3:$J$52,3,0)</f>
        <v>SIGNAL</v>
      </c>
    </row>
    <row r="16" spans="1:92" s="2" customFormat="1" x14ac:dyDescent="0.25">
      <c r="A16" s="60" t="s">
        <v>195</v>
      </c>
      <c r="B16" s="60">
        <v>4039</v>
      </c>
      <c r="C16" s="60" t="s">
        <v>62</v>
      </c>
      <c r="D16" s="60" t="s">
        <v>103</v>
      </c>
      <c r="E16" s="30">
        <v>42521.252129629633</v>
      </c>
      <c r="F16" s="30">
        <v>42521.253101851849</v>
      </c>
      <c r="G16" s="38">
        <v>1</v>
      </c>
      <c r="H16" s="30" t="s">
        <v>65</v>
      </c>
      <c r="I16" s="30">
        <v>42521.286493055559</v>
      </c>
      <c r="J16" s="60">
        <v>0</v>
      </c>
      <c r="K16" s="60" t="str">
        <f t="shared" si="0"/>
        <v>4039/4040</v>
      </c>
      <c r="L16" s="60" t="str">
        <f>VLOOKUP(A16,'Trips&amp;Operators'!$C$1:$E$9999,3,FALSE)</f>
        <v>BEAM</v>
      </c>
      <c r="M16" s="12">
        <f t="shared" si="1"/>
        <v>3.3391203709470574E-2</v>
      </c>
      <c r="N16" s="13">
        <f>24*60*SUM($M16:$M16)</f>
        <v>48.083333341637626</v>
      </c>
      <c r="O16" s="13"/>
      <c r="P16" s="13"/>
      <c r="Q16" s="61"/>
      <c r="R16" s="61"/>
      <c r="S16" s="94">
        <f t="shared" si="9"/>
        <v>1</v>
      </c>
      <c r="T16" s="2" t="str">
        <f t="shared" si="10"/>
        <v>Southbound</v>
      </c>
      <c r="U16" s="67">
        <f>COUNTIFS([2]Variables!$M$2:$M$19,IF(T16="NorthBound","&gt;=","&lt;=")&amp;Z16,[2]Variables!$M$2:$M$19,IF(T16="NorthBound","&lt;=","&gt;=")&amp;AA16)</f>
        <v>12</v>
      </c>
      <c r="W16" s="73" t="str">
        <f t="shared" si="3"/>
        <v>https://search-rtdc-monitor-bjffxe2xuh6vdkpspy63sjmuny.us-east-1.es.amazonaws.com/_plugin/kibana/#/discover/Steve-Slow-Train-Analysis-(2080s-and-2083s)?_g=(refreshInterval:(display:Off,section:0,value:0),time:(from:'2016-05-31 06:02:04-0600',mode:absolute,to:'2016-05-31 06:53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X16" s="73" t="str">
        <f t="shared" si="4"/>
        <v>N</v>
      </c>
      <c r="Y16" s="73">
        <f t="shared" si="5"/>
        <v>1</v>
      </c>
      <c r="Z16" s="73">
        <f t="shared" si="6"/>
        <v>23.299099999999999</v>
      </c>
      <c r="AA16" s="73">
        <f t="shared" si="7"/>
        <v>1.4500000000000001E-2</v>
      </c>
      <c r="AB16" s="73">
        <f t="shared" si="8"/>
        <v>23.284599999999998</v>
      </c>
      <c r="AC16" s="74" t="e">
        <f>VLOOKUP(A16,Enforcements!$C$3:$J$52,8,0)</f>
        <v>#N/A</v>
      </c>
      <c r="AD16" s="74" t="e">
        <f>VLOOKUP(A16,Enforcements!$C$3:$J$52,3,0)</f>
        <v>#N/A</v>
      </c>
    </row>
    <row r="17" spans="1:30" s="2" customFormat="1" x14ac:dyDescent="0.25">
      <c r="A17" s="60" t="s">
        <v>196</v>
      </c>
      <c r="B17" s="60">
        <v>4011</v>
      </c>
      <c r="C17" s="60" t="s">
        <v>62</v>
      </c>
      <c r="D17" s="60" t="s">
        <v>197</v>
      </c>
      <c r="E17" s="30">
        <v>42521.22797453704</v>
      </c>
      <c r="F17" s="30">
        <v>42521.229201388887</v>
      </c>
      <c r="G17" s="38">
        <v>1</v>
      </c>
      <c r="H17" s="30" t="s">
        <v>105</v>
      </c>
      <c r="I17" s="30">
        <v>42521.25545138889</v>
      </c>
      <c r="J17" s="60">
        <v>0</v>
      </c>
      <c r="K17" s="60" t="str">
        <f t="shared" si="0"/>
        <v>4011/4012</v>
      </c>
      <c r="L17" s="60" t="str">
        <f>VLOOKUP(A17,'Trips&amp;Operators'!$C$1:$E$9999,3,FALSE)</f>
        <v>SPECTOR</v>
      </c>
      <c r="M17" s="12">
        <f t="shared" si="1"/>
        <v>2.6250000002619345E-2</v>
      </c>
      <c r="N17" s="13">
        <f>24*60*SUM($M17:$M17)</f>
        <v>37.800000003771856</v>
      </c>
      <c r="O17" s="13"/>
      <c r="P17" s="13"/>
      <c r="Q17" s="61"/>
      <c r="R17" s="61"/>
      <c r="S17" s="94">
        <f t="shared" si="9"/>
        <v>1</v>
      </c>
      <c r="T17" s="2" t="str">
        <f t="shared" si="10"/>
        <v>NorthBound</v>
      </c>
      <c r="U17" s="67">
        <f>COUNTIFS([2]Variables!$M$2:$M$19,IF(T17="NorthBound","&gt;=","&lt;=")&amp;Z17,[2]Variables!$M$2:$M$19,IF(T17="NorthBound","&lt;=","&gt;=")&amp;AA17)</f>
        <v>12</v>
      </c>
      <c r="W17" s="73" t="str">
        <f t="shared" si="3"/>
        <v>https://search-rtdc-monitor-bjffxe2xuh6vdkpspy63sjmuny.us-east-1.es.amazonaws.com/_plugin/kibana/#/discover/Steve-Slow-Train-Analysis-(2080s-and-2083s)?_g=(refreshInterval:(display:Off,section:0,value:0),time:(from:'2016-05-31 05:27:17-0600',mode:absolute,to:'2016-05-31 06:08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X17" s="73" t="str">
        <f t="shared" si="4"/>
        <v>N</v>
      </c>
      <c r="Y17" s="73">
        <f t="shared" si="5"/>
        <v>1</v>
      </c>
      <c r="Z17" s="73">
        <f t="shared" si="6"/>
        <v>8.5699999999999998E-2</v>
      </c>
      <c r="AA17" s="73">
        <f t="shared" si="7"/>
        <v>23.330500000000001</v>
      </c>
      <c r="AB17" s="73">
        <f t="shared" si="8"/>
        <v>23.244800000000001</v>
      </c>
      <c r="AC17" s="74" t="e">
        <f>VLOOKUP(A17,Enforcements!$C$3:$J$52,8,0)</f>
        <v>#N/A</v>
      </c>
      <c r="AD17" s="74" t="e">
        <f>VLOOKUP(A17,Enforcements!$C$3:$J$52,3,0)</f>
        <v>#N/A</v>
      </c>
    </row>
    <row r="18" spans="1:30" s="2" customFormat="1" x14ac:dyDescent="0.25">
      <c r="A18" s="60" t="s">
        <v>198</v>
      </c>
      <c r="B18" s="60">
        <v>4012</v>
      </c>
      <c r="C18" s="60" t="s">
        <v>62</v>
      </c>
      <c r="D18" s="60" t="s">
        <v>148</v>
      </c>
      <c r="E18" s="30">
        <v>42521.262442129628</v>
      </c>
      <c r="F18" s="30">
        <v>42521.263518518521</v>
      </c>
      <c r="G18" s="38">
        <v>1</v>
      </c>
      <c r="H18" s="30" t="s">
        <v>132</v>
      </c>
      <c r="I18" s="30">
        <v>42521.294108796297</v>
      </c>
      <c r="J18" s="60">
        <v>0</v>
      </c>
      <c r="K18" s="60" t="str">
        <f t="shared" si="0"/>
        <v>4011/4012</v>
      </c>
      <c r="L18" s="60" t="str">
        <f>VLOOKUP(A18,'Trips&amp;Operators'!$C$1:$E$9999,3,FALSE)</f>
        <v>SPECTOR</v>
      </c>
      <c r="M18" s="12">
        <f t="shared" si="1"/>
        <v>3.0590277776354924E-2</v>
      </c>
      <c r="N18" s="13">
        <f>24*60*SUM($M18:$M18)</f>
        <v>44.04999999795109</v>
      </c>
      <c r="O18" s="13"/>
      <c r="P18" s="13"/>
      <c r="Q18" s="61"/>
      <c r="R18" s="61"/>
      <c r="S18" s="94">
        <f t="shared" si="9"/>
        <v>1</v>
      </c>
      <c r="T18" s="2" t="str">
        <f t="shared" si="10"/>
        <v>Southbound</v>
      </c>
      <c r="U18" s="67">
        <f>COUNTIFS([2]Variables!$M$2:$M$19,IF(T18="NorthBound","&gt;=","&lt;=")&amp;Z18,[2]Variables!$M$2:$M$19,IF(T18="NorthBound","&lt;=","&gt;=")&amp;AA18)</f>
        <v>12</v>
      </c>
      <c r="W18" s="73" t="str">
        <f t="shared" si="3"/>
        <v>https://search-rtdc-monitor-bjffxe2xuh6vdkpspy63sjmuny.us-east-1.es.amazonaws.com/_plugin/kibana/#/discover/Steve-Slow-Train-Analysis-(2080s-and-2083s)?_g=(refreshInterval:(display:Off,section:0,value:0),time:(from:'2016-05-31 06:16:55-0600',mode:absolute,to:'2016-05-31 07:04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X18" s="73" t="str">
        <f t="shared" si="4"/>
        <v>N</v>
      </c>
      <c r="Y18" s="73">
        <f t="shared" si="5"/>
        <v>1</v>
      </c>
      <c r="Z18" s="73">
        <f t="shared" si="6"/>
        <v>23.299800000000001</v>
      </c>
      <c r="AA18" s="73">
        <f t="shared" si="7"/>
        <v>1.38E-2</v>
      </c>
      <c r="AB18" s="73">
        <f t="shared" si="8"/>
        <v>23.286000000000001</v>
      </c>
      <c r="AC18" s="74" t="e">
        <f>VLOOKUP(A18,Enforcements!$C$3:$J$52,8,0)</f>
        <v>#N/A</v>
      </c>
      <c r="AD18" s="74" t="e">
        <f>VLOOKUP(A18,Enforcements!$C$3:$J$52,3,0)</f>
        <v>#N/A</v>
      </c>
    </row>
    <row r="19" spans="1:30" s="2" customFormat="1" x14ac:dyDescent="0.25">
      <c r="A19" s="60" t="s">
        <v>199</v>
      </c>
      <c r="B19" s="60">
        <v>4014</v>
      </c>
      <c r="C19" s="60" t="s">
        <v>62</v>
      </c>
      <c r="D19" s="60" t="s">
        <v>201</v>
      </c>
      <c r="E19" s="30">
        <v>42521.2340625</v>
      </c>
      <c r="F19" s="30">
        <v>42521.234953703701</v>
      </c>
      <c r="G19" s="38">
        <v>1</v>
      </c>
      <c r="H19" s="30" t="s">
        <v>202</v>
      </c>
      <c r="I19" s="30">
        <v>42521.241805555554</v>
      </c>
      <c r="J19" s="60">
        <v>0</v>
      </c>
      <c r="K19" s="60" t="str">
        <f>IF(ISEVEN(B19),(B19-1)&amp;"/"&amp;B19,B19&amp;"/"&amp;(B19+1))</f>
        <v>4013/4014</v>
      </c>
      <c r="L19" s="60" t="str">
        <f>VLOOKUP(A19,'Trips&amp;Operators'!$C$1:$E$9999,3,FALSE)</f>
        <v>STARKS</v>
      </c>
      <c r="M19" s="12">
        <f>I19-F19</f>
        <v>6.8518518528435379E-3</v>
      </c>
      <c r="N19" s="13"/>
      <c r="O19" s="13"/>
      <c r="P19" s="13"/>
      <c r="Q19" s="61"/>
      <c r="R19" s="61"/>
      <c r="S19" s="94">
        <f t="shared" si="9"/>
        <v>0</v>
      </c>
      <c r="T19" s="2" t="str">
        <f t="shared" si="10"/>
        <v>NorthBound</v>
      </c>
      <c r="U19" s="67">
        <f>COUNTIFS([2]Variables!$M$2:$M$19,IF(T19="NorthBound","&gt;=","&lt;=")&amp;Z19,[2]Variables!$M$2:$M$19,IF(T19="NorthBound","&lt;=","&gt;=")&amp;AA19)</f>
        <v>0</v>
      </c>
      <c r="W19" s="73" t="str">
        <f>"https://search-rtdc-monitor-bjffxe2xuh6vdkpspy63sjmuny.us-east-1.es.amazonaws.com/_plugin/kibana/#/discover/Steve-Slow-Train-Analysis-(2080s-and-2083s)?_g=(refreshInterval:(display:Off,section:0,value:0),time:(from:'"&amp;TEXT(E19-1/24/60,"yyyy-MM-DD hh:mm:ss")&amp;"-0600',mode:absolute,to:'"&amp;TEXT(I19+1/24/60,"yyyy-MM-DD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19&amp;"%22')),sort:!(Time,asc))"</f>
        <v>https://search-rtdc-monitor-bjffxe2xuh6vdkpspy63sjmuny.us-east-1.es.amazonaws.com/_plugin/kibana/#/discover/Steve-Slow-Train-Analysis-(2080s-and-2083s)?_g=(refreshInterval:(display:Off,section:0,value:0),time:(from:'2016-05-31 05:36:03-0600',mode:absolute,to:'2016-05-31 05:49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X19" s="73" t="str">
        <f>IF(AB19&lt;23,"Y","N")</f>
        <v>Y</v>
      </c>
      <c r="Y19" s="73">
        <f>VALUE(LEFT(A19,3))-VALUE(LEFT(A20,3))</f>
        <v>0</v>
      </c>
      <c r="Z19" s="73">
        <f>RIGHT(D19,LEN(D19)-4)/10000</f>
        <v>5.4600000000000003E-2</v>
      </c>
      <c r="AA19" s="73">
        <f>RIGHT(H19,LEN(H19)-4)/10000</f>
        <v>0.1368</v>
      </c>
      <c r="AB19" s="73">
        <f>ABS(AA19-Z19)</f>
        <v>8.2199999999999995E-2</v>
      </c>
      <c r="AC19" s="74">
        <f>VLOOKUP(A19,Enforcements!$C$3:$J$52,8,0)</f>
        <v>127562</v>
      </c>
      <c r="AD19" s="74" t="str">
        <f>VLOOKUP(A19,Enforcements!$C$3:$J$52,3,0)</f>
        <v>GRADE CROSSING</v>
      </c>
    </row>
    <row r="20" spans="1:30" s="2" customFormat="1" x14ac:dyDescent="0.25">
      <c r="A20" s="60" t="s">
        <v>199</v>
      </c>
      <c r="B20" s="60">
        <v>4014</v>
      </c>
      <c r="C20" s="60" t="s">
        <v>62</v>
      </c>
      <c r="D20" s="60" t="s">
        <v>145</v>
      </c>
      <c r="E20" s="30">
        <v>42521.244606481479</v>
      </c>
      <c r="F20" s="30">
        <v>42521.245555555557</v>
      </c>
      <c r="G20" s="38">
        <v>1</v>
      </c>
      <c r="H20" s="30" t="s">
        <v>200</v>
      </c>
      <c r="I20" s="30">
        <v>42521.269120370373</v>
      </c>
      <c r="J20" s="60">
        <v>3</v>
      </c>
      <c r="K20" s="60" t="str">
        <f t="shared" si="0"/>
        <v>4013/4014</v>
      </c>
      <c r="L20" s="60" t="str">
        <f>VLOOKUP(A20,'Trips&amp;Operators'!$C$1:$E$9999,3,FALSE)</f>
        <v>STARKS</v>
      </c>
      <c r="M20" s="12">
        <f t="shared" si="1"/>
        <v>2.3564814815472346E-2</v>
      </c>
      <c r="N20" s="13"/>
      <c r="O20" s="13"/>
      <c r="P20" s="13">
        <f>24*60*SUM($M19:$M20)</f>
        <v>43.800000002374873</v>
      </c>
      <c r="Q20" s="61"/>
      <c r="R20" s="61" t="s">
        <v>430</v>
      </c>
      <c r="S20" s="94">
        <f t="shared" si="9"/>
        <v>1</v>
      </c>
      <c r="T20" s="2" t="str">
        <f t="shared" si="10"/>
        <v>NorthBound</v>
      </c>
      <c r="U20" s="67">
        <f>COUNTIFS([2]Variables!$M$2:$M$19,IF(T20="NorthBound","&gt;=","&lt;=")&amp;Z20,[2]Variables!$M$2:$M$19,IF(T20="NorthBound","&lt;=","&gt;=")&amp;AA20)</f>
        <v>12</v>
      </c>
      <c r="W20" s="73" t="str">
        <f t="shared" si="3"/>
        <v>https://search-rtdc-monitor-bjffxe2xuh6vdkpspy63sjmuny.us-east-1.es.amazonaws.com/_plugin/kibana/#/discover/Steve-Slow-Train-Analysis-(2080s-and-2083s)?_g=(refreshInterval:(display:Off,section:0,value:0),time:(from:'2016-05-31 05:51:14-0600',mode:absolute,to:'2016-05-31 06:28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X20" s="73" t="str">
        <f t="shared" si="4"/>
        <v>Y</v>
      </c>
      <c r="Y20" s="73">
        <f>VALUE(LEFT(A20,3))-VALUE(LEFT(A18,3))</f>
        <v>1</v>
      </c>
      <c r="Z20" s="73">
        <f t="shared" si="6"/>
        <v>1.913</v>
      </c>
      <c r="AA20" s="73">
        <f t="shared" si="7"/>
        <v>23.340800000000002</v>
      </c>
      <c r="AB20" s="73">
        <f t="shared" si="8"/>
        <v>21.427800000000001</v>
      </c>
      <c r="AC20" s="74">
        <f>VLOOKUP(A20,Enforcements!$C$3:$J$52,8,0)</f>
        <v>127562</v>
      </c>
      <c r="AD20" s="74" t="str">
        <f>VLOOKUP(A20,Enforcements!$C$3:$J$52,3,0)</f>
        <v>GRADE CROSSING</v>
      </c>
    </row>
    <row r="21" spans="1:30" s="2" customFormat="1" x14ac:dyDescent="0.25">
      <c r="A21" s="60" t="s">
        <v>203</v>
      </c>
      <c r="B21" s="60">
        <v>4013</v>
      </c>
      <c r="C21" s="60" t="s">
        <v>62</v>
      </c>
      <c r="D21" s="60" t="s">
        <v>204</v>
      </c>
      <c r="E21" s="30">
        <v>42521.276747685188</v>
      </c>
      <c r="F21" s="30">
        <v>42521.277662037035</v>
      </c>
      <c r="G21" s="38">
        <v>1</v>
      </c>
      <c r="H21" s="30" t="s">
        <v>205</v>
      </c>
      <c r="I21" s="30">
        <v>42521.305173611108</v>
      </c>
      <c r="J21" s="60">
        <v>1</v>
      </c>
      <c r="K21" s="60" t="str">
        <f t="shared" si="0"/>
        <v>4013/4014</v>
      </c>
      <c r="L21" s="60" t="str">
        <f>VLOOKUP(A21,'Trips&amp;Operators'!$C$1:$E$9999,3,FALSE)</f>
        <v>STARKS</v>
      </c>
      <c r="M21" s="12">
        <f t="shared" si="1"/>
        <v>2.7511574073287193E-2</v>
      </c>
      <c r="N21" s="13">
        <f>24*60*SUM($M21:$M21)</f>
        <v>39.616666665533558</v>
      </c>
      <c r="O21" s="13"/>
      <c r="P21" s="13"/>
      <c r="Q21" s="61"/>
      <c r="R21" s="61"/>
      <c r="S21" s="94">
        <f t="shared" si="9"/>
        <v>1</v>
      </c>
      <c r="T21" s="2" t="str">
        <f t="shared" si="10"/>
        <v>Southbound</v>
      </c>
      <c r="U21" s="67">
        <f>COUNTIFS([2]Variables!$M$2:$M$19,IF(T21="NorthBound","&gt;=","&lt;=")&amp;Z21,[2]Variables!$M$2:$M$19,IF(T21="NorthBound","&lt;=","&gt;=")&amp;AA21)</f>
        <v>12</v>
      </c>
      <c r="W21" s="73" t="str">
        <f t="shared" si="3"/>
        <v>https://search-rtdc-monitor-bjffxe2xuh6vdkpspy63sjmuny.us-east-1.es.amazonaws.com/_plugin/kibana/#/discover/Steve-Slow-Train-Analysis-(2080s-and-2083s)?_g=(refreshInterval:(display:Off,section:0,value:0),time:(from:'2016-05-31 06:37:31-0600',mode:absolute,to:'2016-05-31 07:20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X21" s="73" t="str">
        <f t="shared" si="4"/>
        <v>N</v>
      </c>
      <c r="Y21" s="73">
        <f>VALUE(LEFT(A21,3))-VALUE(LEFT(A19,3))</f>
        <v>1</v>
      </c>
      <c r="Z21" s="73">
        <f t="shared" si="6"/>
        <v>23.304500000000001</v>
      </c>
      <c r="AA21" s="73">
        <f t="shared" si="7"/>
        <v>1.21E-2</v>
      </c>
      <c r="AB21" s="73">
        <f t="shared" si="8"/>
        <v>23.292400000000001</v>
      </c>
      <c r="AC21" s="74">
        <f>VLOOKUP(A21,Enforcements!$C$3:$J$52,8,0)</f>
        <v>30562</v>
      </c>
      <c r="AD21" s="74" t="str">
        <f>VLOOKUP(A21,Enforcements!$C$3:$J$52,3,0)</f>
        <v>PERMANENT SPEED RESTRICTION</v>
      </c>
    </row>
    <row r="22" spans="1:30" s="2" customFormat="1" x14ac:dyDescent="0.25">
      <c r="A22" s="60" t="s">
        <v>206</v>
      </c>
      <c r="B22" s="60">
        <v>4044</v>
      </c>
      <c r="C22" s="60" t="s">
        <v>62</v>
      </c>
      <c r="D22" s="60" t="s">
        <v>207</v>
      </c>
      <c r="E22" s="30">
        <v>42521.246655092589</v>
      </c>
      <c r="F22" s="30">
        <v>42521.247928240744</v>
      </c>
      <c r="G22" s="38">
        <v>1</v>
      </c>
      <c r="H22" s="30" t="s">
        <v>208</v>
      </c>
      <c r="I22" s="30">
        <v>42521.274953703702</v>
      </c>
      <c r="J22" s="60">
        <v>0</v>
      </c>
      <c r="K22" s="60" t="str">
        <f t="shared" si="0"/>
        <v>4043/4044</v>
      </c>
      <c r="L22" s="60" t="str">
        <f>VLOOKUP(A22,'Trips&amp;Operators'!$C$1:$E$9999,3,FALSE)</f>
        <v>ROCHA</v>
      </c>
      <c r="M22" s="12">
        <f t="shared" si="1"/>
        <v>2.7025462957681157E-2</v>
      </c>
      <c r="N22" s="13">
        <f>24*60*SUM($M22:$M22)</f>
        <v>38.916666659060866</v>
      </c>
      <c r="O22" s="13"/>
      <c r="P22" s="13"/>
      <c r="Q22" s="61"/>
      <c r="R22" s="61"/>
      <c r="S22" s="94">
        <f t="shared" si="9"/>
        <v>1</v>
      </c>
      <c r="T22" s="2" t="str">
        <f t="shared" si="10"/>
        <v>NorthBound</v>
      </c>
      <c r="U22" s="67">
        <f>COUNTIFS([2]Variables!$M$2:$M$19,IF(T22="NorthBound","&gt;=","&lt;=")&amp;Z22,[2]Variables!$M$2:$M$19,IF(T22="NorthBound","&lt;=","&gt;=")&amp;AA22)</f>
        <v>12</v>
      </c>
      <c r="W22" s="73" t="str">
        <f t="shared" si="3"/>
        <v>https://search-rtdc-monitor-bjffxe2xuh6vdkpspy63sjmuny.us-east-1.es.amazonaws.com/_plugin/kibana/#/discover/Steve-Slow-Train-Analysis-(2080s-and-2083s)?_g=(refreshInterval:(display:Off,section:0,value:0),time:(from:'2016-05-31 05:54:11-0600',mode:absolute,to:'2016-05-31 06:36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X22" s="73" t="str">
        <f t="shared" si="4"/>
        <v>N</v>
      </c>
      <c r="Y22" s="73">
        <f t="shared" si="5"/>
        <v>1</v>
      </c>
      <c r="Z22" s="73">
        <f t="shared" si="6"/>
        <v>7.0599999999999996E-2</v>
      </c>
      <c r="AA22" s="73">
        <f t="shared" si="7"/>
        <v>23.335999999999999</v>
      </c>
      <c r="AB22" s="73">
        <f t="shared" si="8"/>
        <v>23.2654</v>
      </c>
      <c r="AC22" s="74" t="e">
        <f>VLOOKUP(A22,Enforcements!$C$3:$J$52,8,0)</f>
        <v>#N/A</v>
      </c>
      <c r="AD22" s="74" t="e">
        <f>VLOOKUP(A22,Enforcements!$C$3:$J$52,3,0)</f>
        <v>#N/A</v>
      </c>
    </row>
    <row r="23" spans="1:30" s="2" customFormat="1" x14ac:dyDescent="0.25">
      <c r="A23" s="60" t="s">
        <v>209</v>
      </c>
      <c r="B23" s="60">
        <v>4043</v>
      </c>
      <c r="C23" s="60" t="s">
        <v>62</v>
      </c>
      <c r="D23" s="60" t="s">
        <v>210</v>
      </c>
      <c r="E23" s="30">
        <v>42521.286481481482</v>
      </c>
      <c r="F23" s="30">
        <v>42521.286863425928</v>
      </c>
      <c r="G23" s="38">
        <v>19</v>
      </c>
      <c r="H23" s="30" t="s">
        <v>211</v>
      </c>
      <c r="I23" s="30">
        <v>42521.315763888888</v>
      </c>
      <c r="J23" s="60">
        <v>1</v>
      </c>
      <c r="K23" s="60" t="str">
        <f t="shared" si="0"/>
        <v>4043/4044</v>
      </c>
      <c r="L23" s="60" t="str">
        <f>VLOOKUP(A23,'Trips&amp;Operators'!$C$1:$E$9999,3,FALSE)</f>
        <v>ROCHA</v>
      </c>
      <c r="M23" s="12">
        <f t="shared" si="1"/>
        <v>2.8900462959427387E-2</v>
      </c>
      <c r="N23" s="13"/>
      <c r="O23" s="13"/>
      <c r="P23" s="13">
        <f>24*60*SUM($M23:$M23)</f>
        <v>41.616666661575437</v>
      </c>
      <c r="Q23" s="61"/>
      <c r="R23" s="61" t="s">
        <v>431</v>
      </c>
      <c r="S23" s="94">
        <f t="shared" si="9"/>
        <v>1</v>
      </c>
      <c r="T23" s="2" t="str">
        <f t="shared" si="10"/>
        <v>Southbound</v>
      </c>
      <c r="U23" s="67">
        <f>COUNTIFS([2]Variables!$M$2:$M$19,IF(T23="NorthBound","&gt;=","&lt;=")&amp;Z23,[2]Variables!$M$2:$M$19,IF(T23="NorthBound","&lt;=","&gt;=")&amp;AA23)</f>
        <v>12</v>
      </c>
      <c r="W23" s="73" t="str">
        <f t="shared" si="3"/>
        <v>https://search-rtdc-monitor-bjffxe2xuh6vdkpspy63sjmuny.us-east-1.es.amazonaws.com/_plugin/kibana/#/discover/Steve-Slow-Train-Analysis-(2080s-and-2083s)?_g=(refreshInterval:(display:Off,section:0,value:0),time:(from:'2016-05-31 06:51:32-0600',mode:absolute,to:'2016-05-31 07:35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X23" s="73" t="str">
        <f t="shared" si="4"/>
        <v>Y</v>
      </c>
      <c r="Y23" s="73">
        <f t="shared" si="5"/>
        <v>1</v>
      </c>
      <c r="Z23" s="73">
        <f t="shared" si="6"/>
        <v>12.7857</v>
      </c>
      <c r="AA23" s="73">
        <f t="shared" si="7"/>
        <v>8.9999999999999993E-3</v>
      </c>
      <c r="AB23" s="73">
        <f t="shared" si="8"/>
        <v>12.7767</v>
      </c>
      <c r="AC23" s="74">
        <f>VLOOKUP(A23,Enforcements!$C$3:$J$52,8,0)</f>
        <v>42793</v>
      </c>
      <c r="AD23" s="74" t="str">
        <f>VLOOKUP(A23,Enforcements!$C$3:$J$52,3,0)</f>
        <v>PERMANENT SPEED RESTRICTION</v>
      </c>
    </row>
    <row r="24" spans="1:30" s="2" customFormat="1" x14ac:dyDescent="0.25">
      <c r="A24" s="60" t="s">
        <v>212</v>
      </c>
      <c r="B24" s="60">
        <v>4029</v>
      </c>
      <c r="C24" s="60" t="s">
        <v>62</v>
      </c>
      <c r="D24" s="60" t="s">
        <v>213</v>
      </c>
      <c r="E24" s="30">
        <v>42521.258055555554</v>
      </c>
      <c r="F24" s="30">
        <v>42521.258750000001</v>
      </c>
      <c r="G24" s="38">
        <v>1</v>
      </c>
      <c r="H24" s="30" t="s">
        <v>214</v>
      </c>
      <c r="I24" s="30">
        <v>42521.285451388889</v>
      </c>
      <c r="J24" s="60">
        <v>0</v>
      </c>
      <c r="K24" s="60" t="str">
        <f t="shared" si="0"/>
        <v>4029/4030</v>
      </c>
      <c r="L24" s="60" t="str">
        <f>VLOOKUP(A24,'Trips&amp;Operators'!$C$1:$E$9999,3,FALSE)</f>
        <v>YANAI</v>
      </c>
      <c r="M24" s="12">
        <f t="shared" si="1"/>
        <v>2.6701388887886424E-2</v>
      </c>
      <c r="N24" s="13">
        <f t="shared" ref="N24:N29" si="11">24*60*SUM($M24:$M24)</f>
        <v>38.44999999855645</v>
      </c>
      <c r="O24" s="13"/>
      <c r="P24" s="13"/>
      <c r="Q24" s="61"/>
      <c r="R24" s="61"/>
      <c r="S24" s="94">
        <f t="shared" si="9"/>
        <v>1</v>
      </c>
      <c r="T24" s="2" t="str">
        <f t="shared" si="10"/>
        <v>NorthBound</v>
      </c>
      <c r="U24" s="67">
        <f>COUNTIFS([2]Variables!$M$2:$M$19,IF(T24="NorthBound","&gt;=","&lt;=")&amp;Z24,[2]Variables!$M$2:$M$19,IF(T24="NorthBound","&lt;=","&gt;=")&amp;AA24)</f>
        <v>12</v>
      </c>
      <c r="W24" s="73" t="str">
        <f t="shared" si="3"/>
        <v>https://search-rtdc-monitor-bjffxe2xuh6vdkpspy63sjmuny.us-east-1.es.amazonaws.com/_plugin/kibana/#/discover/Steve-Slow-Train-Analysis-(2080s-and-2083s)?_g=(refreshInterval:(display:Off,section:0,value:0),time:(from:'2016-05-31 06:10:36-0600',mode:absolute,to:'2016-05-31 06:52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X24" s="73" t="str">
        <f t="shared" si="4"/>
        <v>N</v>
      </c>
      <c r="Y24" s="73">
        <f t="shared" si="5"/>
        <v>1</v>
      </c>
      <c r="Z24" s="73">
        <f t="shared" si="6"/>
        <v>4.7500000000000001E-2</v>
      </c>
      <c r="AA24" s="73">
        <f t="shared" si="7"/>
        <v>23.334599999999998</v>
      </c>
      <c r="AB24" s="73">
        <f t="shared" si="8"/>
        <v>23.287099999999999</v>
      </c>
      <c r="AC24" s="74" t="e">
        <f>VLOOKUP(A24,Enforcements!$C$3:$J$52,8,0)</f>
        <v>#N/A</v>
      </c>
      <c r="AD24" s="74" t="e">
        <f>VLOOKUP(A24,Enforcements!$C$3:$J$52,3,0)</f>
        <v>#N/A</v>
      </c>
    </row>
    <row r="25" spans="1:30" s="2" customFormat="1" x14ac:dyDescent="0.25">
      <c r="A25" s="60" t="s">
        <v>215</v>
      </c>
      <c r="B25" s="60">
        <v>4030</v>
      </c>
      <c r="C25" s="60" t="s">
        <v>62</v>
      </c>
      <c r="D25" s="60" t="s">
        <v>216</v>
      </c>
      <c r="E25" s="30">
        <v>42521.292094907411</v>
      </c>
      <c r="F25" s="30">
        <v>42521.293217592596</v>
      </c>
      <c r="G25" s="38">
        <v>1</v>
      </c>
      <c r="H25" s="30" t="s">
        <v>65</v>
      </c>
      <c r="I25" s="30">
        <v>42521.324837962966</v>
      </c>
      <c r="J25" s="60">
        <v>0</v>
      </c>
      <c r="K25" s="60" t="str">
        <f t="shared" si="0"/>
        <v>4029/4030</v>
      </c>
      <c r="L25" s="60" t="str">
        <f>VLOOKUP(A25,'Trips&amp;Operators'!$C$1:$E$9999,3,FALSE)</f>
        <v>YANAI</v>
      </c>
      <c r="M25" s="12">
        <f t="shared" si="1"/>
        <v>3.1620370369637385E-2</v>
      </c>
      <c r="N25" s="13">
        <f t="shared" si="11"/>
        <v>45.533333332277834</v>
      </c>
      <c r="O25" s="13"/>
      <c r="P25" s="13"/>
      <c r="Q25" s="61"/>
      <c r="R25" s="61"/>
      <c r="S25" s="94">
        <f t="shared" si="9"/>
        <v>1</v>
      </c>
      <c r="T25" s="2" t="str">
        <f t="shared" si="10"/>
        <v>Southbound</v>
      </c>
      <c r="U25" s="67">
        <f>COUNTIFS([2]Variables!$M$2:$M$19,IF(T25="NorthBound","&gt;=","&lt;=")&amp;Z25,[2]Variables!$M$2:$M$19,IF(T25="NorthBound","&lt;=","&gt;=")&amp;AA25)</f>
        <v>12</v>
      </c>
      <c r="W25" s="73" t="str">
        <f t="shared" si="3"/>
        <v>https://search-rtdc-monitor-bjffxe2xuh6vdkpspy63sjmuny.us-east-1.es.amazonaws.com/_plugin/kibana/#/discover/Steve-Slow-Train-Analysis-(2080s-and-2083s)?_g=(refreshInterval:(display:Off,section:0,value:0),time:(from:'2016-05-31 06:59:37-0600',mode:absolute,to:'2016-05-31 07:48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X25" s="73" t="str">
        <f t="shared" si="4"/>
        <v>N</v>
      </c>
      <c r="Y25" s="73">
        <f t="shared" si="5"/>
        <v>1</v>
      </c>
      <c r="Z25" s="73">
        <f t="shared" si="6"/>
        <v>23.3019</v>
      </c>
      <c r="AA25" s="73">
        <f t="shared" si="7"/>
        <v>1.4500000000000001E-2</v>
      </c>
      <c r="AB25" s="73">
        <f t="shared" si="8"/>
        <v>23.287399999999998</v>
      </c>
      <c r="AC25" s="74" t="e">
        <f>VLOOKUP(A25,Enforcements!$C$3:$J$52,8,0)</f>
        <v>#N/A</v>
      </c>
      <c r="AD25" s="74" t="e">
        <f>VLOOKUP(A25,Enforcements!$C$3:$J$52,3,0)</f>
        <v>#N/A</v>
      </c>
    </row>
    <row r="26" spans="1:30" s="2" customFormat="1" x14ac:dyDescent="0.25">
      <c r="A26" s="60" t="s">
        <v>217</v>
      </c>
      <c r="B26" s="60">
        <v>4031</v>
      </c>
      <c r="C26" s="60" t="s">
        <v>62</v>
      </c>
      <c r="D26" s="60" t="s">
        <v>96</v>
      </c>
      <c r="E26" s="30">
        <v>42521.266018518516</v>
      </c>
      <c r="F26" s="30">
        <v>42521.266747685186</v>
      </c>
      <c r="G26" s="38">
        <v>1</v>
      </c>
      <c r="H26" s="30" t="s">
        <v>117</v>
      </c>
      <c r="I26" s="30">
        <v>42521.296226851853</v>
      </c>
      <c r="J26" s="60">
        <v>0</v>
      </c>
      <c r="K26" s="60" t="str">
        <f t="shared" si="0"/>
        <v>4031/4032</v>
      </c>
      <c r="L26" s="60" t="str">
        <f>VLOOKUP(A26,'Trips&amp;Operators'!$C$1:$E$9999,3,FALSE)</f>
        <v>ACKERMAN</v>
      </c>
      <c r="M26" s="12">
        <f t="shared" si="1"/>
        <v>2.9479166667442769E-2</v>
      </c>
      <c r="N26" s="13">
        <f t="shared" si="11"/>
        <v>42.450000001117587</v>
      </c>
      <c r="O26" s="13"/>
      <c r="P26" s="13"/>
      <c r="Q26" s="61"/>
      <c r="R26" s="61"/>
      <c r="S26" s="94">
        <f t="shared" si="9"/>
        <v>1</v>
      </c>
      <c r="T26" s="2" t="str">
        <f t="shared" si="10"/>
        <v>NorthBound</v>
      </c>
      <c r="U26" s="67">
        <f>COUNTIFS([2]Variables!$M$2:$M$19,IF(T26="NorthBound","&gt;=","&lt;=")&amp;Z26,[2]Variables!$M$2:$M$19,IF(T26="NorthBound","&lt;=","&gt;=")&amp;AA26)</f>
        <v>12</v>
      </c>
      <c r="W26" s="73" t="str">
        <f t="shared" si="3"/>
        <v>https://search-rtdc-monitor-bjffxe2xuh6vdkpspy63sjmuny.us-east-1.es.amazonaws.com/_plugin/kibana/#/discover/Steve-Slow-Train-Analysis-(2080s-and-2083s)?_g=(refreshInterval:(display:Off,section:0,value:0),time:(from:'2016-05-31 06:22:04-0600',mode:absolute,to:'2016-05-31 07:07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X26" s="73" t="str">
        <f t="shared" si="4"/>
        <v>N</v>
      </c>
      <c r="Y26" s="73">
        <f t="shared" si="5"/>
        <v>1</v>
      </c>
      <c r="Z26" s="73">
        <f t="shared" si="6"/>
        <v>4.6600000000000003E-2</v>
      </c>
      <c r="AA26" s="73">
        <f t="shared" si="7"/>
        <v>23.329699999999999</v>
      </c>
      <c r="AB26" s="73">
        <f t="shared" si="8"/>
        <v>23.283099999999997</v>
      </c>
      <c r="AC26" s="74" t="e">
        <f>VLOOKUP(A26,Enforcements!$C$3:$J$52,8,0)</f>
        <v>#N/A</v>
      </c>
      <c r="AD26" s="74" t="e">
        <f>VLOOKUP(A26,Enforcements!$C$3:$J$52,3,0)</f>
        <v>#N/A</v>
      </c>
    </row>
    <row r="27" spans="1:30" s="2" customFormat="1" x14ac:dyDescent="0.25">
      <c r="A27" s="60" t="s">
        <v>218</v>
      </c>
      <c r="B27" s="60">
        <v>4032</v>
      </c>
      <c r="C27" s="60" t="s">
        <v>62</v>
      </c>
      <c r="D27" s="60" t="s">
        <v>134</v>
      </c>
      <c r="E27" s="30">
        <v>42521.301307870373</v>
      </c>
      <c r="F27" s="30">
        <v>42521.302314814813</v>
      </c>
      <c r="G27" s="38">
        <v>1</v>
      </c>
      <c r="H27" s="30" t="s">
        <v>70</v>
      </c>
      <c r="I27" s="30">
        <v>42521.335613425923</v>
      </c>
      <c r="J27" s="60">
        <v>0</v>
      </c>
      <c r="K27" s="60" t="str">
        <f t="shared" si="0"/>
        <v>4031/4032</v>
      </c>
      <c r="L27" s="60" t="str">
        <f>VLOOKUP(A27,'Trips&amp;Operators'!$C$1:$E$9999,3,FALSE)</f>
        <v>ACKERMAN</v>
      </c>
      <c r="M27" s="12">
        <f t="shared" si="1"/>
        <v>3.329861110978527E-2</v>
      </c>
      <c r="N27" s="13">
        <f t="shared" si="11"/>
        <v>47.949999998090789</v>
      </c>
      <c r="O27" s="13"/>
      <c r="P27" s="13"/>
      <c r="Q27" s="61"/>
      <c r="R27" s="61"/>
      <c r="S27" s="94">
        <f t="shared" si="9"/>
        <v>1</v>
      </c>
      <c r="T27" s="2" t="str">
        <f t="shared" si="10"/>
        <v>Southbound</v>
      </c>
      <c r="U27" s="67">
        <f>COUNTIFS([2]Variables!$M$2:$M$19,IF(T27="NorthBound","&gt;=","&lt;=")&amp;Z27,[2]Variables!$M$2:$M$19,IF(T27="NorthBound","&lt;=","&gt;=")&amp;AA27)</f>
        <v>12</v>
      </c>
      <c r="W27" s="73" t="str">
        <f t="shared" si="3"/>
        <v>https://search-rtdc-monitor-bjffxe2xuh6vdkpspy63sjmuny.us-east-1.es.amazonaws.com/_plugin/kibana/#/discover/Steve-Slow-Train-Analysis-(2080s-and-2083s)?_g=(refreshInterval:(display:Off,section:0,value:0),time:(from:'2016-05-31 07:12:53-0600',mode:absolute,to:'2016-05-31 08:04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X27" s="73" t="str">
        <f t="shared" si="4"/>
        <v>N</v>
      </c>
      <c r="Y27" s="73">
        <f t="shared" si="5"/>
        <v>1</v>
      </c>
      <c r="Z27" s="73">
        <f t="shared" si="6"/>
        <v>23.2973</v>
      </c>
      <c r="AA27" s="73">
        <f t="shared" si="7"/>
        <v>1.52E-2</v>
      </c>
      <c r="AB27" s="73">
        <f t="shared" si="8"/>
        <v>23.2821</v>
      </c>
      <c r="AC27" s="74" t="e">
        <f>VLOOKUP(A27,Enforcements!$C$3:$J$52,8,0)</f>
        <v>#N/A</v>
      </c>
      <c r="AD27" s="74" t="e">
        <f>VLOOKUP(A27,Enforcements!$C$3:$J$52,3,0)</f>
        <v>#N/A</v>
      </c>
    </row>
    <row r="28" spans="1:30" s="2" customFormat="1" x14ac:dyDescent="0.25">
      <c r="A28" s="60" t="s">
        <v>219</v>
      </c>
      <c r="B28" s="60">
        <v>4009</v>
      </c>
      <c r="C28" s="60" t="s">
        <v>62</v>
      </c>
      <c r="D28" s="60" t="s">
        <v>81</v>
      </c>
      <c r="E28" s="30">
        <v>42521.277013888888</v>
      </c>
      <c r="F28" s="30">
        <v>42521.278217592589</v>
      </c>
      <c r="G28" s="38">
        <v>1</v>
      </c>
      <c r="H28" s="30" t="s">
        <v>108</v>
      </c>
      <c r="I28" s="30">
        <v>42521.307175925926</v>
      </c>
      <c r="J28" s="60">
        <v>1</v>
      </c>
      <c r="K28" s="60" t="str">
        <f t="shared" si="0"/>
        <v>4009/4010</v>
      </c>
      <c r="L28" s="60" t="str">
        <f>VLOOKUP(A28,'Trips&amp;Operators'!$C$1:$E$9999,3,FALSE)</f>
        <v>STRICKLAND</v>
      </c>
      <c r="M28" s="12">
        <f t="shared" si="1"/>
        <v>2.8958333336049691E-2</v>
      </c>
      <c r="N28" s="13">
        <f t="shared" si="11"/>
        <v>41.700000003911555</v>
      </c>
      <c r="O28" s="13"/>
      <c r="P28" s="13"/>
      <c r="Q28" s="61"/>
      <c r="R28" s="61"/>
      <c r="S28" s="94">
        <f t="shared" si="9"/>
        <v>1</v>
      </c>
      <c r="T28" s="2" t="str">
        <f t="shared" si="10"/>
        <v>NorthBound</v>
      </c>
      <c r="U28" s="67">
        <f>COUNTIFS([2]Variables!$M$2:$M$19,IF(T28="NorthBound","&gt;=","&lt;=")&amp;Z28,[2]Variables!$M$2:$M$19,IF(T28="NorthBound","&lt;=","&gt;=")&amp;AA28)</f>
        <v>12</v>
      </c>
      <c r="W28" s="73" t="str">
        <f t="shared" si="3"/>
        <v>https://search-rtdc-monitor-bjffxe2xuh6vdkpspy63sjmuny.us-east-1.es.amazonaws.com/_plugin/kibana/#/discover/Steve-Slow-Train-Analysis-(2080s-and-2083s)?_g=(refreshInterval:(display:Off,section:0,value:0),time:(from:'2016-05-31 06:37:54-0600',mode:absolute,to:'2016-05-31 07:23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X28" s="73" t="str">
        <f t="shared" si="4"/>
        <v>N</v>
      </c>
      <c r="Y28" s="73">
        <f t="shared" si="5"/>
        <v>1</v>
      </c>
      <c r="Z28" s="73">
        <f t="shared" si="6"/>
        <v>4.58E-2</v>
      </c>
      <c r="AA28" s="73">
        <f t="shared" si="7"/>
        <v>23.331199999999999</v>
      </c>
      <c r="AB28" s="73">
        <f t="shared" si="8"/>
        <v>23.285399999999999</v>
      </c>
      <c r="AC28" s="74">
        <f>VLOOKUP(A28,Enforcements!$C$3:$J$52,8,0)</f>
        <v>233491</v>
      </c>
      <c r="AD28" s="74" t="str">
        <f>VLOOKUP(A28,Enforcements!$C$3:$J$52,3,0)</f>
        <v>TRACK WARRANT AUTHORITY</v>
      </c>
    </row>
    <row r="29" spans="1:30" s="2" customFormat="1" x14ac:dyDescent="0.25">
      <c r="A29" s="60" t="s">
        <v>220</v>
      </c>
      <c r="B29" s="60">
        <v>4010</v>
      </c>
      <c r="C29" s="60" t="s">
        <v>62</v>
      </c>
      <c r="D29" s="60" t="s">
        <v>116</v>
      </c>
      <c r="E29" s="30">
        <v>42521.31349537037</v>
      </c>
      <c r="F29" s="30">
        <v>42521.314930555556</v>
      </c>
      <c r="G29" s="38">
        <v>2</v>
      </c>
      <c r="H29" s="30" t="s">
        <v>70</v>
      </c>
      <c r="I29" s="30">
        <v>42521.348344907405</v>
      </c>
      <c r="J29" s="60">
        <v>1</v>
      </c>
      <c r="K29" s="60" t="str">
        <f t="shared" si="0"/>
        <v>4009/4010</v>
      </c>
      <c r="L29" s="60" t="str">
        <f>VLOOKUP(A29,'Trips&amp;Operators'!$C$1:$E$9999,3,FALSE)</f>
        <v>STRICKLAND</v>
      </c>
      <c r="M29" s="12">
        <f t="shared" si="1"/>
        <v>3.3414351848477963E-2</v>
      </c>
      <c r="N29" s="13">
        <f t="shared" si="11"/>
        <v>48.116666661808267</v>
      </c>
      <c r="O29" s="13"/>
      <c r="P29" s="13"/>
      <c r="Q29" s="61"/>
      <c r="R29" s="61"/>
      <c r="S29" s="94">
        <f t="shared" si="9"/>
        <v>1</v>
      </c>
      <c r="T29" s="2" t="str">
        <f t="shared" si="10"/>
        <v>Southbound</v>
      </c>
      <c r="U29" s="67">
        <f>COUNTIFS([2]Variables!$M$2:$M$19,IF(T29="NorthBound","&gt;=","&lt;=")&amp;Z29,[2]Variables!$M$2:$M$19,IF(T29="NorthBound","&lt;=","&gt;=")&amp;AA29)</f>
        <v>12</v>
      </c>
      <c r="W29" s="73" t="str">
        <f t="shared" si="3"/>
        <v>https://search-rtdc-monitor-bjffxe2xuh6vdkpspy63sjmuny.us-east-1.es.amazonaws.com/_plugin/kibana/#/discover/Steve-Slow-Train-Analysis-(2080s-and-2083s)?_g=(refreshInterval:(display:Off,section:0,value:0),time:(from:'2016-05-31 07:30:26-0600',mode:absolute,to:'2016-05-31 08:22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X29" s="73" t="str">
        <f t="shared" si="4"/>
        <v>N</v>
      </c>
      <c r="Y29" s="73">
        <f t="shared" si="5"/>
        <v>1</v>
      </c>
      <c r="Z29" s="73">
        <f t="shared" si="6"/>
        <v>23.298300000000001</v>
      </c>
      <c r="AA29" s="73">
        <f t="shared" si="7"/>
        <v>1.52E-2</v>
      </c>
      <c r="AB29" s="73">
        <f t="shared" si="8"/>
        <v>23.283100000000001</v>
      </c>
      <c r="AC29" s="74">
        <f>VLOOKUP(A29,Enforcements!$C$3:$J$52,8,0)</f>
        <v>1</v>
      </c>
      <c r="AD29" s="74" t="str">
        <f>VLOOKUP(A29,Enforcements!$C$3:$J$52,3,0)</f>
        <v>TRACK WARRANT AUTHORITY</v>
      </c>
    </row>
    <row r="30" spans="1:30" s="2" customFormat="1" x14ac:dyDescent="0.25">
      <c r="A30" s="60" t="s">
        <v>221</v>
      </c>
      <c r="B30" s="60">
        <v>4040</v>
      </c>
      <c r="C30" s="60" t="s">
        <v>62</v>
      </c>
      <c r="D30" s="60" t="s">
        <v>149</v>
      </c>
      <c r="E30" s="30">
        <v>42521.28869212963</v>
      </c>
      <c r="F30" s="30">
        <v>42521.289664351854</v>
      </c>
      <c r="G30" s="38">
        <v>1</v>
      </c>
      <c r="H30" s="30" t="s">
        <v>222</v>
      </c>
      <c r="I30" s="30">
        <v>42521.316331018519</v>
      </c>
      <c r="J30" s="60">
        <v>0</v>
      </c>
      <c r="K30" s="60" t="str">
        <f t="shared" si="0"/>
        <v>4039/4040</v>
      </c>
      <c r="L30" s="60" t="str">
        <f>VLOOKUP(A30,'Trips&amp;Operators'!$C$1:$E$9999,3,FALSE)</f>
        <v>BEAM</v>
      </c>
      <c r="M30" s="12">
        <f t="shared" si="1"/>
        <v>2.6666666664823424E-2</v>
      </c>
      <c r="N30" s="13">
        <f t="shared" ref="N30:N35" si="12">24*60*SUM($M30:$M30)</f>
        <v>38.399999997345731</v>
      </c>
      <c r="O30" s="13"/>
      <c r="P30" s="13"/>
      <c r="Q30" s="61"/>
      <c r="R30" s="61"/>
      <c r="S30" s="94">
        <f t="shared" si="9"/>
        <v>1</v>
      </c>
      <c r="T30" s="2" t="str">
        <f t="shared" si="10"/>
        <v>NorthBound</v>
      </c>
      <c r="U30" s="67">
        <f>COUNTIFS([2]Variables!$M$2:$M$19,IF(T30="NorthBound","&gt;=","&lt;=")&amp;Z30,[2]Variables!$M$2:$M$19,IF(T30="NorthBound","&lt;=","&gt;=")&amp;AA30)</f>
        <v>12</v>
      </c>
      <c r="W30" s="73" t="str">
        <f t="shared" si="3"/>
        <v>https://search-rtdc-monitor-bjffxe2xuh6vdkpspy63sjmuny.us-east-1.es.amazonaws.com/_plugin/kibana/#/discover/Steve-Slow-Train-Analysis-(2080s-and-2083s)?_g=(refreshInterval:(display:Off,section:0,value:0),time:(from:'2016-05-31 06:54:43-0600',mode:absolute,to:'2016-05-31 07:36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X30" s="73" t="str">
        <f t="shared" si="4"/>
        <v>N</v>
      </c>
      <c r="Y30" s="73">
        <f t="shared" si="5"/>
        <v>1</v>
      </c>
      <c r="Z30" s="73">
        <f t="shared" si="6"/>
        <v>4.3700000000000003E-2</v>
      </c>
      <c r="AA30" s="73">
        <f t="shared" si="7"/>
        <v>23.332000000000001</v>
      </c>
      <c r="AB30" s="73">
        <f t="shared" si="8"/>
        <v>23.2883</v>
      </c>
      <c r="AC30" s="74" t="e">
        <f>VLOOKUP(A30,Enforcements!$C$3:$J$52,8,0)</f>
        <v>#N/A</v>
      </c>
      <c r="AD30" s="74" t="e">
        <f>VLOOKUP(A30,Enforcements!$C$3:$J$52,3,0)</f>
        <v>#N/A</v>
      </c>
    </row>
    <row r="31" spans="1:30" s="2" customFormat="1" x14ac:dyDescent="0.25">
      <c r="A31" s="60" t="s">
        <v>223</v>
      </c>
      <c r="B31" s="60">
        <v>4039</v>
      </c>
      <c r="C31" s="60" t="s">
        <v>62</v>
      </c>
      <c r="D31" s="60" t="s">
        <v>71</v>
      </c>
      <c r="E31" s="30">
        <v>42521.32340277778</v>
      </c>
      <c r="F31" s="30">
        <v>42521.324305555558</v>
      </c>
      <c r="G31" s="38">
        <v>1</v>
      </c>
      <c r="H31" s="30" t="s">
        <v>109</v>
      </c>
      <c r="I31" s="30">
        <v>42521.357858796298</v>
      </c>
      <c r="J31" s="60">
        <v>0</v>
      </c>
      <c r="K31" s="60" t="str">
        <f t="shared" si="0"/>
        <v>4039/4040</v>
      </c>
      <c r="L31" s="60" t="str">
        <f>VLOOKUP(A31,'Trips&amp;Operators'!$C$1:$E$9999,3,FALSE)</f>
        <v>BEAM</v>
      </c>
      <c r="M31" s="12">
        <f t="shared" si="1"/>
        <v>3.3553240740729962E-2</v>
      </c>
      <c r="N31" s="13">
        <f t="shared" si="12"/>
        <v>48.316666666651145</v>
      </c>
      <c r="O31" s="13"/>
      <c r="P31" s="13"/>
      <c r="Q31" s="61"/>
      <c r="R31" s="61"/>
      <c r="S31" s="94">
        <f t="shared" si="9"/>
        <v>1</v>
      </c>
      <c r="T31" s="2" t="str">
        <f t="shared" si="10"/>
        <v>Southbound</v>
      </c>
      <c r="U31" s="67">
        <f>COUNTIFS([2]Variables!$M$2:$M$19,IF(T31="NorthBound","&gt;=","&lt;=")&amp;Z31,[2]Variables!$M$2:$M$19,IF(T31="NorthBound","&lt;=","&gt;=")&amp;AA31)</f>
        <v>12</v>
      </c>
      <c r="W31" s="73" t="str">
        <f t="shared" si="3"/>
        <v>https://search-rtdc-monitor-bjffxe2xuh6vdkpspy63sjmuny.us-east-1.es.amazonaws.com/_plugin/kibana/#/discover/Steve-Slow-Train-Analysis-(2080s-and-2083s)?_g=(refreshInterval:(display:Off,section:0,value:0),time:(from:'2016-05-31 07:44:42-0600',mode:absolute,to:'2016-05-31 08:36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X31" s="73" t="str">
        <f t="shared" si="4"/>
        <v>N</v>
      </c>
      <c r="Y31" s="73">
        <f t="shared" si="5"/>
        <v>1</v>
      </c>
      <c r="Z31" s="73">
        <f t="shared" si="6"/>
        <v>23.299399999999999</v>
      </c>
      <c r="AA31" s="73">
        <f t="shared" si="7"/>
        <v>1.41E-2</v>
      </c>
      <c r="AB31" s="73">
        <f t="shared" si="8"/>
        <v>23.285299999999999</v>
      </c>
      <c r="AC31" s="74" t="e">
        <f>VLOOKUP(A31,Enforcements!$C$3:$J$52,8,0)</f>
        <v>#N/A</v>
      </c>
      <c r="AD31" s="74" t="e">
        <f>VLOOKUP(A31,Enforcements!$C$3:$J$52,3,0)</f>
        <v>#N/A</v>
      </c>
    </row>
    <row r="32" spans="1:30" s="2" customFormat="1" x14ac:dyDescent="0.25">
      <c r="A32" s="60" t="s">
        <v>224</v>
      </c>
      <c r="B32" s="60">
        <v>4011</v>
      </c>
      <c r="C32" s="60" t="s">
        <v>62</v>
      </c>
      <c r="D32" s="60" t="s">
        <v>225</v>
      </c>
      <c r="E32" s="30">
        <v>42521.298576388886</v>
      </c>
      <c r="F32" s="30">
        <v>42521.299421296295</v>
      </c>
      <c r="G32" s="38">
        <v>1</v>
      </c>
      <c r="H32" s="30" t="s">
        <v>226</v>
      </c>
      <c r="I32" s="30">
        <v>42521.327789351853</v>
      </c>
      <c r="J32" s="60">
        <v>0</v>
      </c>
      <c r="K32" s="60" t="str">
        <f t="shared" si="0"/>
        <v>4011/4012</v>
      </c>
      <c r="L32" s="60" t="str">
        <f>VLOOKUP(A32,'Trips&amp;Operators'!$C$1:$E$9999,3,FALSE)</f>
        <v>SPECTOR</v>
      </c>
      <c r="M32" s="12">
        <f t="shared" si="1"/>
        <v>2.8368055558530614E-2</v>
      </c>
      <c r="N32" s="13">
        <f t="shared" si="12"/>
        <v>40.850000004284084</v>
      </c>
      <c r="O32" s="13"/>
      <c r="P32" s="13"/>
      <c r="Q32" s="61"/>
      <c r="R32" s="61"/>
      <c r="S32" s="94">
        <f t="shared" si="9"/>
        <v>1</v>
      </c>
      <c r="T32" s="2" t="str">
        <f t="shared" si="10"/>
        <v>NorthBound</v>
      </c>
      <c r="U32" s="67">
        <f>COUNTIFS([2]Variables!$M$2:$M$19,IF(T32="NorthBound","&gt;=","&lt;=")&amp;Z32,[2]Variables!$M$2:$M$19,IF(T32="NorthBound","&lt;=","&gt;=")&amp;AA32)</f>
        <v>12</v>
      </c>
      <c r="W32" s="73" t="str">
        <f t="shared" si="3"/>
        <v>https://search-rtdc-monitor-bjffxe2xuh6vdkpspy63sjmuny.us-east-1.es.amazonaws.com/_plugin/kibana/#/discover/Steve-Slow-Train-Analysis-(2080s-and-2083s)?_g=(refreshInterval:(display:Off,section:0,value:0),time:(from:'2016-05-31 07:08:57-0600',mode:absolute,to:'2016-05-31 07:53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X32" s="73" t="str">
        <f t="shared" si="4"/>
        <v>N</v>
      </c>
      <c r="Y32" s="73">
        <f t="shared" si="5"/>
        <v>1</v>
      </c>
      <c r="Z32" s="73">
        <f t="shared" si="6"/>
        <v>4.07E-2</v>
      </c>
      <c r="AA32" s="73">
        <f t="shared" si="7"/>
        <v>23.337399999999999</v>
      </c>
      <c r="AB32" s="73">
        <f t="shared" si="8"/>
        <v>23.296699999999998</v>
      </c>
      <c r="AC32" s="74" t="e">
        <f>VLOOKUP(A32,Enforcements!$C$3:$J$52,8,0)</f>
        <v>#N/A</v>
      </c>
      <c r="AD32" s="74" t="e">
        <f>VLOOKUP(A32,Enforcements!$C$3:$J$52,3,0)</f>
        <v>#N/A</v>
      </c>
    </row>
    <row r="33" spans="1:30" s="2" customFormat="1" x14ac:dyDescent="0.25">
      <c r="A33" s="60" t="s">
        <v>227</v>
      </c>
      <c r="B33" s="60">
        <v>4012</v>
      </c>
      <c r="C33" s="60" t="s">
        <v>62</v>
      </c>
      <c r="D33" s="60" t="s">
        <v>157</v>
      </c>
      <c r="E33" s="30">
        <v>42521.332858796297</v>
      </c>
      <c r="F33" s="30">
        <v>42521.333599537036</v>
      </c>
      <c r="G33" s="38">
        <v>1</v>
      </c>
      <c r="H33" s="30" t="s">
        <v>106</v>
      </c>
      <c r="I33" s="30">
        <v>42521.367731481485</v>
      </c>
      <c r="J33" s="60">
        <v>0</v>
      </c>
      <c r="K33" s="60" t="str">
        <f t="shared" si="0"/>
        <v>4011/4012</v>
      </c>
      <c r="L33" s="60" t="str">
        <f>VLOOKUP(A33,'Trips&amp;Operators'!$C$1:$E$9999,3,FALSE)</f>
        <v>SPECTOR</v>
      </c>
      <c r="M33" s="12">
        <f t="shared" si="1"/>
        <v>3.4131944448745344E-2</v>
      </c>
      <c r="N33" s="13">
        <f t="shared" si="12"/>
        <v>49.150000006193295</v>
      </c>
      <c r="O33" s="13"/>
      <c r="P33" s="13"/>
      <c r="Q33" s="61"/>
      <c r="R33" s="61"/>
      <c r="S33" s="94">
        <f t="shared" si="9"/>
        <v>1</v>
      </c>
      <c r="T33" s="2" t="str">
        <f t="shared" si="10"/>
        <v>Southbound</v>
      </c>
      <c r="U33" s="67">
        <f>COUNTIFS([2]Variables!$M$2:$M$19,IF(T33="NorthBound","&gt;=","&lt;=")&amp;Z33,[2]Variables!$M$2:$M$19,IF(T33="NorthBound","&lt;=","&gt;=")&amp;AA33)</f>
        <v>12</v>
      </c>
      <c r="W33" s="73" t="str">
        <f t="shared" si="3"/>
        <v>https://search-rtdc-monitor-bjffxe2xuh6vdkpspy63sjmuny.us-east-1.es.amazonaws.com/_plugin/kibana/#/discover/Steve-Slow-Train-Analysis-(2080s-and-2083s)?_g=(refreshInterval:(display:Off,section:0,value:0),time:(from:'2016-05-31 07:58:19-0600',mode:absolute,to:'2016-05-31 08:50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X33" s="73" t="str">
        <f t="shared" si="4"/>
        <v>N</v>
      </c>
      <c r="Y33" s="73">
        <f t="shared" si="5"/>
        <v>1</v>
      </c>
      <c r="Z33" s="73">
        <f t="shared" si="6"/>
        <v>23.301300000000001</v>
      </c>
      <c r="AA33" s="73">
        <f t="shared" si="7"/>
        <v>1.3899999999999999E-2</v>
      </c>
      <c r="AB33" s="73">
        <f t="shared" si="8"/>
        <v>23.287400000000002</v>
      </c>
      <c r="AC33" s="74" t="e">
        <f>VLOOKUP(A33,Enforcements!$C$3:$J$52,8,0)</f>
        <v>#N/A</v>
      </c>
      <c r="AD33" s="74" t="e">
        <f>VLOOKUP(A33,Enforcements!$C$3:$J$52,3,0)</f>
        <v>#N/A</v>
      </c>
    </row>
    <row r="34" spans="1:30" s="2" customFormat="1" x14ac:dyDescent="0.25">
      <c r="A34" s="60" t="s">
        <v>228</v>
      </c>
      <c r="B34" s="60">
        <v>4014</v>
      </c>
      <c r="C34" s="60" t="s">
        <v>62</v>
      </c>
      <c r="D34" s="60" t="s">
        <v>126</v>
      </c>
      <c r="E34" s="30">
        <v>42521.308078703703</v>
      </c>
      <c r="F34" s="30">
        <v>42521.308842592596</v>
      </c>
      <c r="G34" s="38">
        <v>1</v>
      </c>
      <c r="H34" s="30" t="s">
        <v>229</v>
      </c>
      <c r="I34" s="30">
        <v>42521.339594907404</v>
      </c>
      <c r="J34" s="60">
        <v>1</v>
      </c>
      <c r="K34" s="60" t="str">
        <f t="shared" ref="K34:K64" si="13">IF(ISEVEN(B34),(B34-1)&amp;"/"&amp;B34,B34&amp;"/"&amp;(B34+1))</f>
        <v>4013/4014</v>
      </c>
      <c r="L34" s="60" t="str">
        <f>VLOOKUP(A34,'Trips&amp;Operators'!$C$1:$E$9999,3,FALSE)</f>
        <v>STARKS</v>
      </c>
      <c r="M34" s="12">
        <f t="shared" ref="M34:M64" si="14">I34-F34</f>
        <v>3.0752314807614312E-2</v>
      </c>
      <c r="N34" s="13">
        <f t="shared" si="12"/>
        <v>44.283333322964609</v>
      </c>
      <c r="O34" s="13"/>
      <c r="P34" s="13"/>
      <c r="Q34" s="61"/>
      <c r="R34" s="61"/>
      <c r="S34" s="94">
        <f t="shared" si="9"/>
        <v>1</v>
      </c>
      <c r="T34" s="2" t="str">
        <f t="shared" si="10"/>
        <v>NorthBound</v>
      </c>
      <c r="U34" s="67">
        <f>COUNTIFS([2]Variables!$M$2:$M$19,IF(T34="NorthBound","&gt;=","&lt;=")&amp;Z34,[2]Variables!$M$2:$M$19,IF(T34="NorthBound","&lt;=","&gt;=")&amp;AA34)</f>
        <v>12</v>
      </c>
      <c r="W34" s="73" t="str">
        <f t="shared" ref="W34:W64" si="15">"https://search-rtdc-monitor-bjffxe2xuh6vdkpspy63sjmuny.us-east-1.es.amazonaws.com/_plugin/kibana/#/discover/Steve-Slow-Train-Analysis-(2080s-and-2083s)?_g=(refreshInterval:(display:Off,section:0,value:0),time:(from:'"&amp;TEXT(E34-1/24/60,"yyyy-MM-DD hh:mm:ss")&amp;"-0600',mode:absolute,to:'"&amp;TEXT(I34+1/24/60,"yyyy-MM-DD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34&amp;"%22')),sort:!(Time,asc))"</f>
        <v>https://search-rtdc-monitor-bjffxe2xuh6vdkpspy63sjmuny.us-east-1.es.amazonaws.com/_plugin/kibana/#/discover/Steve-Slow-Train-Analysis-(2080s-and-2083s)?_g=(refreshInterval:(display:Off,section:0,value:0),time:(from:'2016-05-31 07:22:38-0600',mode:absolute,to:'2016-05-31 08:10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X34" s="73" t="str">
        <f t="shared" ref="X34:X64" si="16">IF(AB34&lt;23,"Y","N")</f>
        <v>N</v>
      </c>
      <c r="Y34" s="73">
        <f t="shared" si="5"/>
        <v>1</v>
      </c>
      <c r="Z34" s="73">
        <f t="shared" ref="Z34:Z64" si="17">RIGHT(D34,LEN(D34)-4)/10000</f>
        <v>4.4400000000000002E-2</v>
      </c>
      <c r="AA34" s="73">
        <f t="shared" ref="AA34:AA50" si="18">RIGHT(H34,LEN(H34)-4)/10000</f>
        <v>23.338200000000001</v>
      </c>
      <c r="AB34" s="73">
        <f t="shared" ref="AB34:AB64" si="19">ABS(AA34-Z34)</f>
        <v>23.293800000000001</v>
      </c>
      <c r="AC34" s="74">
        <f>VLOOKUP(A34,Enforcements!$C$3:$J$52,8,0)</f>
        <v>58783</v>
      </c>
      <c r="AD34" s="74" t="str">
        <f>VLOOKUP(A34,Enforcements!$C$3:$J$52,3,0)</f>
        <v>GRADE CROSSING</v>
      </c>
    </row>
    <row r="35" spans="1:30" s="2" customFormat="1" x14ac:dyDescent="0.25">
      <c r="A35" s="60" t="s">
        <v>230</v>
      </c>
      <c r="B35" s="60">
        <v>4013</v>
      </c>
      <c r="C35" s="60" t="s">
        <v>62</v>
      </c>
      <c r="D35" s="60" t="s">
        <v>231</v>
      </c>
      <c r="E35" s="30">
        <v>42521.348969907405</v>
      </c>
      <c r="F35" s="30">
        <v>42521.349918981483</v>
      </c>
      <c r="G35" s="38">
        <v>1</v>
      </c>
      <c r="H35" s="30" t="s">
        <v>158</v>
      </c>
      <c r="I35" s="30">
        <v>42521.379583333335</v>
      </c>
      <c r="J35" s="60">
        <v>0</v>
      </c>
      <c r="K35" s="60" t="str">
        <f t="shared" si="13"/>
        <v>4013/4014</v>
      </c>
      <c r="L35" s="60" t="str">
        <f>VLOOKUP(A35,'Trips&amp;Operators'!$C$1:$E$9999,3,FALSE)</f>
        <v>STARKS</v>
      </c>
      <c r="M35" s="12">
        <f t="shared" si="14"/>
        <v>2.9664351852261461E-2</v>
      </c>
      <c r="N35" s="13">
        <f t="shared" si="12"/>
        <v>42.716666667256504</v>
      </c>
      <c r="O35" s="13"/>
      <c r="P35" s="13"/>
      <c r="Q35" s="61"/>
      <c r="R35" s="61"/>
      <c r="S35" s="94">
        <f t="shared" si="9"/>
        <v>1</v>
      </c>
      <c r="T35" s="2" t="str">
        <f t="shared" si="10"/>
        <v>Southbound</v>
      </c>
      <c r="U35" s="67">
        <f>COUNTIFS([2]Variables!$M$2:$M$19,IF(T35="NorthBound","&gt;=","&lt;=")&amp;Z35,[2]Variables!$M$2:$M$19,IF(T35="NorthBound","&lt;=","&gt;=")&amp;AA35)</f>
        <v>12</v>
      </c>
      <c r="W35" s="73" t="str">
        <f t="shared" si="15"/>
        <v>https://search-rtdc-monitor-bjffxe2xuh6vdkpspy63sjmuny.us-east-1.es.amazonaws.com/_plugin/kibana/#/discover/Steve-Slow-Train-Analysis-(2080s-and-2083s)?_g=(refreshInterval:(display:Off,section:0,value:0),time:(from:'2016-05-31 08:21:31-0600',mode:absolute,to:'2016-05-31 09:07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X35" s="73" t="str">
        <f t="shared" si="16"/>
        <v>N</v>
      </c>
      <c r="Y35" s="73">
        <f t="shared" si="5"/>
        <v>1</v>
      </c>
      <c r="Z35" s="73">
        <f t="shared" si="17"/>
        <v>23.309200000000001</v>
      </c>
      <c r="AA35" s="73">
        <f t="shared" si="18"/>
        <v>1.29E-2</v>
      </c>
      <c r="AB35" s="73">
        <f t="shared" si="19"/>
        <v>23.296300000000002</v>
      </c>
      <c r="AC35" s="74" t="e">
        <f>VLOOKUP(A35,Enforcements!$C$3:$J$52,8,0)</f>
        <v>#N/A</v>
      </c>
      <c r="AD35" s="74" t="e">
        <f>VLOOKUP(A35,Enforcements!$C$3:$J$52,3,0)</f>
        <v>#N/A</v>
      </c>
    </row>
    <row r="36" spans="1:30" s="2" customFormat="1" x14ac:dyDescent="0.25">
      <c r="A36" s="60" t="s">
        <v>232</v>
      </c>
      <c r="B36" s="60">
        <v>4044</v>
      </c>
      <c r="C36" s="60" t="s">
        <v>62</v>
      </c>
      <c r="D36" s="60" t="s">
        <v>233</v>
      </c>
      <c r="E36" s="30">
        <v>42521.328217592592</v>
      </c>
      <c r="F36" s="30">
        <v>42521.329108796293</v>
      </c>
      <c r="G36" s="38">
        <v>1</v>
      </c>
      <c r="H36" s="30" t="s">
        <v>234</v>
      </c>
      <c r="I36" s="30">
        <v>42521.349861111114</v>
      </c>
      <c r="J36" s="60">
        <v>0</v>
      </c>
      <c r="K36" s="60" t="str">
        <f t="shared" si="13"/>
        <v>4043/4044</v>
      </c>
      <c r="L36" s="60" t="str">
        <f>VLOOKUP(A36,'Trips&amp;Operators'!$C$1:$E$9999,3,FALSE)</f>
        <v>ROCHA</v>
      </c>
      <c r="M36" s="12">
        <f t="shared" si="14"/>
        <v>2.0752314820128959E-2</v>
      </c>
      <c r="N36" s="13"/>
      <c r="O36" s="13"/>
      <c r="P36" s="13">
        <f>24*60*SUM($M36:$M36)</f>
        <v>29.8833333409857</v>
      </c>
      <c r="Q36" s="61"/>
      <c r="R36" s="61" t="s">
        <v>432</v>
      </c>
      <c r="S36" s="94">
        <f t="shared" si="9"/>
        <v>1</v>
      </c>
      <c r="T36" s="2" t="str">
        <f t="shared" si="10"/>
        <v>NorthBound</v>
      </c>
      <c r="U36" s="67">
        <f>COUNTIFS([2]Variables!$M$2:$M$19,IF(T36="NorthBound","&gt;=","&lt;=")&amp;Z36,[2]Variables!$M$2:$M$19,IF(T36="NorthBound","&lt;=","&gt;=")&amp;AA36)</f>
        <v>12</v>
      </c>
      <c r="W36" s="73" t="str">
        <f t="shared" si="15"/>
        <v>https://search-rtdc-monitor-bjffxe2xuh6vdkpspy63sjmuny.us-east-1.es.amazonaws.com/_plugin/kibana/#/discover/Steve-Slow-Train-Analysis-(2080s-and-2083s)?_g=(refreshInterval:(display:Off,section:0,value:0),time:(from:'2016-05-31 07:51:38-0600',mode:absolute,to:'2016-05-31 08:24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X36" s="73" t="str">
        <f t="shared" si="16"/>
        <v>Y</v>
      </c>
      <c r="Y36" s="73">
        <f t="shared" si="5"/>
        <v>1</v>
      </c>
      <c r="Z36" s="73">
        <f t="shared" si="17"/>
        <v>1.9158999999999999</v>
      </c>
      <c r="AA36" s="73">
        <f t="shared" si="18"/>
        <v>23.341899999999999</v>
      </c>
      <c r="AB36" s="73">
        <f t="shared" si="19"/>
        <v>21.425999999999998</v>
      </c>
      <c r="AC36" s="74" t="e">
        <f>VLOOKUP(A36,Enforcements!$C$3:$J$52,8,0)</f>
        <v>#N/A</v>
      </c>
      <c r="AD36" s="74" t="e">
        <f>VLOOKUP(A36,Enforcements!$C$3:$J$52,3,0)</f>
        <v>#N/A</v>
      </c>
    </row>
    <row r="37" spans="1:30" s="2" customFormat="1" x14ac:dyDescent="0.25">
      <c r="A37" s="60" t="s">
        <v>235</v>
      </c>
      <c r="B37" s="60">
        <v>4043</v>
      </c>
      <c r="C37" s="60" t="s">
        <v>62</v>
      </c>
      <c r="D37" s="60" t="s">
        <v>236</v>
      </c>
      <c r="E37" s="30">
        <v>42521.361435185187</v>
      </c>
      <c r="F37" s="30">
        <v>42521.36246527778</v>
      </c>
      <c r="G37" s="38">
        <v>1</v>
      </c>
      <c r="H37" s="30" t="s">
        <v>114</v>
      </c>
      <c r="I37" s="30">
        <v>42521.387233796297</v>
      </c>
      <c r="J37" s="60">
        <v>0</v>
      </c>
      <c r="K37" s="60" t="str">
        <f t="shared" si="13"/>
        <v>4043/4044</v>
      </c>
      <c r="L37" s="60" t="str">
        <f>VLOOKUP(A37,'Trips&amp;Operators'!$C$1:$E$9999,3,FALSE)</f>
        <v>ROCHA</v>
      </c>
      <c r="M37" s="12">
        <f t="shared" si="14"/>
        <v>2.4768518516793847E-2</v>
      </c>
      <c r="N37" s="13">
        <f>24*60*SUM($M37:$M37)</f>
        <v>35.66666666418314</v>
      </c>
      <c r="O37" s="13"/>
      <c r="P37" s="13"/>
      <c r="Q37" s="61"/>
      <c r="R37" s="61"/>
      <c r="S37" s="94">
        <f t="shared" si="9"/>
        <v>1</v>
      </c>
      <c r="T37" s="2" t="str">
        <f t="shared" si="10"/>
        <v>Southbound</v>
      </c>
      <c r="U37" s="67">
        <f>COUNTIFS([2]Variables!$M$2:$M$19,IF(T37="NorthBound","&gt;=","&lt;=")&amp;Z37,[2]Variables!$M$2:$M$19,IF(T37="NorthBound","&lt;=","&gt;=")&amp;AA37)</f>
        <v>12</v>
      </c>
      <c r="W37" s="73" t="str">
        <f t="shared" si="15"/>
        <v>https://search-rtdc-monitor-bjffxe2xuh6vdkpspy63sjmuny.us-east-1.es.amazonaws.com/_plugin/kibana/#/discover/Steve-Slow-Train-Analysis-(2080s-and-2083s)?_g=(refreshInterval:(display:Off,section:0,value:0),time:(from:'2016-05-31 08:39:28-0600',mode:absolute,to:'2016-05-31 09:18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X37" s="73" t="str">
        <f t="shared" si="16"/>
        <v>N</v>
      </c>
      <c r="Y37" s="73">
        <f t="shared" si="5"/>
        <v>1</v>
      </c>
      <c r="Z37" s="73">
        <f t="shared" si="17"/>
        <v>23.3096</v>
      </c>
      <c r="AA37" s="73">
        <f t="shared" si="18"/>
        <v>1.49E-2</v>
      </c>
      <c r="AB37" s="73">
        <f t="shared" si="19"/>
        <v>23.294699999999999</v>
      </c>
      <c r="AC37" s="74" t="e">
        <f>VLOOKUP(A37,Enforcements!$C$3:$J$52,8,0)</f>
        <v>#N/A</v>
      </c>
      <c r="AD37" s="74" t="e">
        <f>VLOOKUP(A37,Enforcements!$C$3:$J$52,3,0)</f>
        <v>#N/A</v>
      </c>
    </row>
    <row r="38" spans="1:30" s="2" customFormat="1" x14ac:dyDescent="0.25">
      <c r="A38" s="60" t="s">
        <v>237</v>
      </c>
      <c r="B38" s="60">
        <v>4029</v>
      </c>
      <c r="C38" s="60" t="s">
        <v>62</v>
      </c>
      <c r="D38" s="60" t="s">
        <v>238</v>
      </c>
      <c r="E38" s="30">
        <v>42521.330682870372</v>
      </c>
      <c r="F38" s="30">
        <v>42521.331516203703</v>
      </c>
      <c r="G38" s="38">
        <v>1</v>
      </c>
      <c r="H38" s="30" t="s">
        <v>239</v>
      </c>
      <c r="I38" s="30">
        <v>42521.35659722222</v>
      </c>
      <c r="J38" s="60">
        <v>0</v>
      </c>
      <c r="K38" s="60" t="str">
        <f t="shared" si="13"/>
        <v>4029/4030</v>
      </c>
      <c r="L38" s="60" t="str">
        <f>VLOOKUP(A38,'Trips&amp;Operators'!$C$1:$E$9999,3,FALSE)</f>
        <v>YANAI</v>
      </c>
      <c r="M38" s="12">
        <f t="shared" si="14"/>
        <v>2.5081018517084885E-2</v>
      </c>
      <c r="N38" s="13"/>
      <c r="O38" s="13"/>
      <c r="P38" s="13">
        <f>24*60*SUM($M38:$M38)</f>
        <v>36.116666664602235</v>
      </c>
      <c r="Q38" s="61"/>
      <c r="R38" s="61" t="s">
        <v>433</v>
      </c>
      <c r="S38" s="94">
        <f t="shared" si="9"/>
        <v>1</v>
      </c>
      <c r="T38" s="2" t="str">
        <f t="shared" si="10"/>
        <v>NorthBound</v>
      </c>
      <c r="U38" s="67">
        <f>COUNTIFS([2]Variables!$M$2:$M$19,IF(T38="NorthBound","&gt;=","&lt;=")&amp;Z38,[2]Variables!$M$2:$M$19,IF(T38="NorthBound","&lt;=","&gt;=")&amp;AA38)</f>
        <v>12</v>
      </c>
      <c r="W38" s="73" t="str">
        <f t="shared" si="15"/>
        <v>https://search-rtdc-monitor-bjffxe2xuh6vdkpspy63sjmuny.us-east-1.es.amazonaws.com/_plugin/kibana/#/discover/Steve-Slow-Train-Analysis-(2080s-and-2083s)?_g=(refreshInterval:(display:Off,section:0,value:0),time:(from:'2016-05-31 07:55:11-0600',mode:absolute,to:'2016-05-31 08:34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X38" s="73" t="str">
        <f t="shared" si="16"/>
        <v>Y</v>
      </c>
      <c r="Y38" s="73">
        <f t="shared" si="5"/>
        <v>1</v>
      </c>
      <c r="Z38" s="73">
        <f t="shared" si="17"/>
        <v>4.2900000000000001E-2</v>
      </c>
      <c r="AA38" s="73">
        <f t="shared" si="18"/>
        <v>21.3781</v>
      </c>
      <c r="AB38" s="73">
        <f t="shared" si="19"/>
        <v>21.3352</v>
      </c>
      <c r="AC38" s="74" t="e">
        <f>VLOOKUP(A38,Enforcements!$C$3:$J$52,8,0)</f>
        <v>#N/A</v>
      </c>
      <c r="AD38" s="74" t="e">
        <f>VLOOKUP(A38,Enforcements!$C$3:$J$52,3,0)</f>
        <v>#N/A</v>
      </c>
    </row>
    <row r="39" spans="1:30" s="2" customFormat="1" x14ac:dyDescent="0.25">
      <c r="A39" s="60" t="s">
        <v>240</v>
      </c>
      <c r="B39" s="60">
        <v>4030</v>
      </c>
      <c r="C39" s="60" t="s">
        <v>62</v>
      </c>
      <c r="D39" s="60" t="s">
        <v>241</v>
      </c>
      <c r="E39" s="30">
        <v>42521.370289351849</v>
      </c>
      <c r="F39" s="30">
        <v>42521.37128472222</v>
      </c>
      <c r="G39" s="38">
        <v>1</v>
      </c>
      <c r="H39" s="30" t="s">
        <v>106</v>
      </c>
      <c r="I39" s="30">
        <v>42521.398622685185</v>
      </c>
      <c r="J39" s="60">
        <v>0</v>
      </c>
      <c r="K39" s="60" t="str">
        <f t="shared" si="13"/>
        <v>4029/4030</v>
      </c>
      <c r="L39" s="60" t="str">
        <f>VLOOKUP(A39,'Trips&amp;Operators'!$C$1:$E$9999,3,FALSE)</f>
        <v>YANAI</v>
      </c>
      <c r="M39" s="12">
        <f t="shared" si="14"/>
        <v>2.7337962965248153E-2</v>
      </c>
      <c r="N39" s="13">
        <f>24*60*SUM($M39:$M39)</f>
        <v>39.36666666995734</v>
      </c>
      <c r="O39" s="13"/>
      <c r="P39" s="13"/>
      <c r="Q39" s="61"/>
      <c r="R39" s="61"/>
      <c r="S39" s="94">
        <f t="shared" si="9"/>
        <v>1</v>
      </c>
      <c r="T39" s="2" t="str">
        <f t="shared" si="10"/>
        <v>Southbound</v>
      </c>
      <c r="U39" s="67">
        <f>COUNTIFS([2]Variables!$M$2:$M$19,IF(T39="NorthBound","&gt;=","&lt;=")&amp;Z39,[2]Variables!$M$2:$M$19,IF(T39="NorthBound","&lt;=","&gt;=")&amp;AA39)</f>
        <v>12</v>
      </c>
      <c r="W39" s="73" t="str">
        <f t="shared" si="15"/>
        <v>https://search-rtdc-monitor-bjffxe2xuh6vdkpspy63sjmuny.us-east-1.es.amazonaws.com/_plugin/kibana/#/discover/Steve-Slow-Train-Analysis-(2080s-and-2083s)?_g=(refreshInterval:(display:Off,section:0,value:0),time:(from:'2016-05-31 08:52:13-0600',mode:absolute,to:'2016-05-31 09:35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X39" s="73" t="str">
        <f t="shared" si="16"/>
        <v>N</v>
      </c>
      <c r="Y39" s="73">
        <f t="shared" si="5"/>
        <v>1</v>
      </c>
      <c r="Z39" s="73">
        <f t="shared" si="17"/>
        <v>23.302299999999999</v>
      </c>
      <c r="AA39" s="73">
        <f t="shared" si="18"/>
        <v>1.3899999999999999E-2</v>
      </c>
      <c r="AB39" s="73">
        <f t="shared" si="19"/>
        <v>23.288399999999999</v>
      </c>
      <c r="AC39" s="74" t="e">
        <f>VLOOKUP(A39,Enforcements!$C$3:$J$52,8,0)</f>
        <v>#N/A</v>
      </c>
      <c r="AD39" s="74" t="e">
        <f>VLOOKUP(A39,Enforcements!$C$3:$J$52,3,0)</f>
        <v>#N/A</v>
      </c>
    </row>
    <row r="40" spans="1:30" s="2" customFormat="1" x14ac:dyDescent="0.25">
      <c r="A40" s="60" t="s">
        <v>242</v>
      </c>
      <c r="B40" s="60">
        <v>4031</v>
      </c>
      <c r="C40" s="60" t="s">
        <v>62</v>
      </c>
      <c r="D40" s="60" t="s">
        <v>149</v>
      </c>
      <c r="E40" s="30">
        <v>42521.338252314818</v>
      </c>
      <c r="F40" s="30">
        <v>42521.339525462965</v>
      </c>
      <c r="G40" s="38">
        <v>1</v>
      </c>
      <c r="H40" s="30" t="s">
        <v>67</v>
      </c>
      <c r="I40" s="30">
        <v>42521.368726851855</v>
      </c>
      <c r="J40" s="60">
        <v>0</v>
      </c>
      <c r="K40" s="60" t="str">
        <f t="shared" si="13"/>
        <v>4031/4032</v>
      </c>
      <c r="L40" s="60" t="str">
        <f>VLOOKUP(A40,'Trips&amp;Operators'!$C$1:$E$9999,3,FALSE)</f>
        <v>ACKERMAN</v>
      </c>
      <c r="M40" s="12">
        <f t="shared" si="14"/>
        <v>2.920138889021473E-2</v>
      </c>
      <c r="N40" s="13">
        <f>24*60*SUM($M40:$M40)</f>
        <v>42.050000001909211</v>
      </c>
      <c r="O40" s="13"/>
      <c r="P40" s="13"/>
      <c r="Q40" s="61"/>
      <c r="R40" s="61"/>
      <c r="S40" s="94">
        <f t="shared" si="9"/>
        <v>1</v>
      </c>
      <c r="T40" s="2" t="str">
        <f t="shared" si="10"/>
        <v>NorthBound</v>
      </c>
      <c r="U40" s="67">
        <f>COUNTIFS([2]Variables!$M$2:$M$19,IF(T40="NorthBound","&gt;=","&lt;=")&amp;Z40,[2]Variables!$M$2:$M$19,IF(T40="NorthBound","&lt;=","&gt;=")&amp;AA40)</f>
        <v>12</v>
      </c>
      <c r="W40" s="73" t="str">
        <f t="shared" si="15"/>
        <v>https://search-rtdc-monitor-bjffxe2xuh6vdkpspy63sjmuny.us-east-1.es.amazonaws.com/_plugin/kibana/#/discover/Steve-Slow-Train-Analysis-(2080s-and-2083s)?_g=(refreshInterval:(display:Off,section:0,value:0),time:(from:'2016-05-31 08:06:05-0600',mode:absolute,to:'2016-05-31 08:51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X40" s="73" t="str">
        <f t="shared" si="16"/>
        <v>N</v>
      </c>
      <c r="Y40" s="73">
        <f t="shared" si="5"/>
        <v>1</v>
      </c>
      <c r="Z40" s="73">
        <f t="shared" si="17"/>
        <v>4.3700000000000003E-2</v>
      </c>
      <c r="AA40" s="73">
        <f t="shared" si="18"/>
        <v>23.3308</v>
      </c>
      <c r="AB40" s="73">
        <f t="shared" si="19"/>
        <v>23.287099999999999</v>
      </c>
      <c r="AC40" s="74" t="e">
        <f>VLOOKUP(A40,Enforcements!$C$3:$J$52,8,0)</f>
        <v>#N/A</v>
      </c>
      <c r="AD40" s="74" t="e">
        <f>VLOOKUP(A40,Enforcements!$C$3:$J$52,3,0)</f>
        <v>#N/A</v>
      </c>
    </row>
    <row r="41" spans="1:30" s="2" customFormat="1" x14ac:dyDescent="0.25">
      <c r="A41" s="60" t="s">
        <v>243</v>
      </c>
      <c r="B41" s="60">
        <v>4032</v>
      </c>
      <c r="C41" s="60" t="s">
        <v>62</v>
      </c>
      <c r="D41" s="60" t="s">
        <v>71</v>
      </c>
      <c r="E41" s="30">
        <v>42521.374259259261</v>
      </c>
      <c r="F41" s="30">
        <v>42521.375092592592</v>
      </c>
      <c r="G41" s="38">
        <v>1</v>
      </c>
      <c r="H41" s="30" t="s">
        <v>64</v>
      </c>
      <c r="I41" s="30">
        <v>42521.408726851849</v>
      </c>
      <c r="J41" s="60">
        <v>1</v>
      </c>
      <c r="K41" s="60" t="str">
        <f t="shared" si="13"/>
        <v>4031/4032</v>
      </c>
      <c r="L41" s="60" t="str">
        <f>VLOOKUP(A41,'Trips&amp;Operators'!$C$1:$E$9999,3,FALSE)</f>
        <v>ACKERMAN</v>
      </c>
      <c r="M41" s="12">
        <f t="shared" si="14"/>
        <v>3.3634259256359655E-2</v>
      </c>
      <c r="N41" s="13">
        <f>24*60*SUM($M41:$M41)</f>
        <v>48.433333329157904</v>
      </c>
      <c r="O41" s="13"/>
      <c r="P41" s="13"/>
      <c r="Q41" s="61"/>
      <c r="R41" s="61"/>
      <c r="S41" s="94">
        <f t="shared" si="9"/>
        <v>1</v>
      </c>
      <c r="T41" s="2" t="str">
        <f t="shared" si="10"/>
        <v>Southbound</v>
      </c>
      <c r="U41" s="67">
        <f>COUNTIFS([2]Variables!$M$2:$M$19,IF(T41="NorthBound","&gt;=","&lt;=")&amp;Z41,[2]Variables!$M$2:$M$19,IF(T41="NorthBound","&lt;=","&gt;=")&amp;AA41)</f>
        <v>12</v>
      </c>
      <c r="W41" s="73" t="str">
        <f t="shared" si="15"/>
        <v>https://search-rtdc-monitor-bjffxe2xuh6vdkpspy63sjmuny.us-east-1.es.amazonaws.com/_plugin/kibana/#/discover/Steve-Slow-Train-Analysis-(2080s-and-2083s)?_g=(refreshInterval:(display:Off,section:0,value:0),time:(from:'2016-05-31 08:57:56-0600',mode:absolute,to:'2016-05-31 09:49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X41" s="73" t="str">
        <f t="shared" si="16"/>
        <v>N</v>
      </c>
      <c r="Y41" s="73">
        <f t="shared" si="5"/>
        <v>1</v>
      </c>
      <c r="Z41" s="73">
        <f t="shared" si="17"/>
        <v>23.299399999999999</v>
      </c>
      <c r="AA41" s="73">
        <f t="shared" si="18"/>
        <v>1.54E-2</v>
      </c>
      <c r="AB41" s="73">
        <f t="shared" si="19"/>
        <v>23.283999999999999</v>
      </c>
      <c r="AC41" s="74">
        <f>VLOOKUP(A41,Enforcements!$C$3:$J$52,8,0)</f>
        <v>1</v>
      </c>
      <c r="AD41" s="74" t="str">
        <f>VLOOKUP(A41,Enforcements!$C$3:$J$52,3,0)</f>
        <v>TRACK WARRANT AUTHORITY</v>
      </c>
    </row>
    <row r="42" spans="1:30" s="2" customFormat="1" x14ac:dyDescent="0.25">
      <c r="A42" s="60" t="s">
        <v>244</v>
      </c>
      <c r="B42" s="60">
        <v>4009</v>
      </c>
      <c r="C42" s="60" t="s">
        <v>62</v>
      </c>
      <c r="D42" s="60" t="s">
        <v>102</v>
      </c>
      <c r="E42" s="30">
        <v>42521.354074074072</v>
      </c>
      <c r="F42" s="30">
        <v>42521.355069444442</v>
      </c>
      <c r="G42" s="38">
        <v>1</v>
      </c>
      <c r="H42" s="30" t="s">
        <v>154</v>
      </c>
      <c r="I42" s="30">
        <v>42521.382071759261</v>
      </c>
      <c r="J42" s="60">
        <v>1</v>
      </c>
      <c r="K42" s="60" t="str">
        <f t="shared" si="13"/>
        <v>4009/4010</v>
      </c>
      <c r="L42" s="60" t="str">
        <f>VLOOKUP(A42,'Trips&amp;Operators'!$C$1:$E$9999,3,FALSE)</f>
        <v>STRICKLAND</v>
      </c>
      <c r="M42" s="12">
        <f t="shared" si="14"/>
        <v>2.7002314818673767E-2</v>
      </c>
      <c r="N42" s="13">
        <f>24*60*SUM($M42:$M42)</f>
        <v>38.883333338890225</v>
      </c>
      <c r="O42" s="13"/>
      <c r="P42" s="13"/>
      <c r="Q42" s="61"/>
      <c r="R42" s="61"/>
      <c r="S42" s="94">
        <f t="shared" si="9"/>
        <v>1</v>
      </c>
      <c r="T42" s="2" t="str">
        <f t="shared" si="10"/>
        <v>NorthBound</v>
      </c>
      <c r="U42" s="67">
        <f>COUNTIFS([2]Variables!$M$2:$M$19,IF(T42="NorthBound","&gt;=","&lt;=")&amp;Z42,[2]Variables!$M$2:$M$19,IF(T42="NorthBound","&lt;=","&gt;=")&amp;AA42)</f>
        <v>12</v>
      </c>
      <c r="W42" s="73" t="str">
        <f t="shared" si="15"/>
        <v>https://search-rtdc-monitor-bjffxe2xuh6vdkpspy63sjmuny.us-east-1.es.amazonaws.com/_plugin/kibana/#/discover/Steve-Slow-Train-Analysis-(2080s-and-2083s)?_g=(refreshInterval:(display:Off,section:0,value:0),time:(from:'2016-05-31 08:28:52-0600',mode:absolute,to:'2016-05-31 09:11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X42" s="73" t="str">
        <f t="shared" si="16"/>
        <v>N</v>
      </c>
      <c r="Y42" s="73">
        <f t="shared" si="5"/>
        <v>1</v>
      </c>
      <c r="Z42" s="73">
        <f t="shared" si="17"/>
        <v>4.5699999999999998E-2</v>
      </c>
      <c r="AA42" s="73">
        <f t="shared" si="18"/>
        <v>23.329899999999999</v>
      </c>
      <c r="AB42" s="73">
        <f t="shared" si="19"/>
        <v>23.284199999999998</v>
      </c>
      <c r="AC42" s="74">
        <f>VLOOKUP(A42,Enforcements!$C$3:$J$52,8,0)</f>
        <v>20338</v>
      </c>
      <c r="AD42" s="74" t="str">
        <f>VLOOKUP(A42,Enforcements!$C$3:$J$52,3,0)</f>
        <v>PERMANENT SPEED RESTRICTION</v>
      </c>
    </row>
    <row r="43" spans="1:30" s="2" customFormat="1" x14ac:dyDescent="0.25">
      <c r="A43" s="60" t="s">
        <v>245</v>
      </c>
      <c r="B43" s="60">
        <v>4010</v>
      </c>
      <c r="C43" s="60" t="s">
        <v>62</v>
      </c>
      <c r="D43" s="60" t="s">
        <v>155</v>
      </c>
      <c r="E43" s="30">
        <v>42521.388564814813</v>
      </c>
      <c r="F43" s="30">
        <v>42521.389814814815</v>
      </c>
      <c r="G43" s="38">
        <v>1</v>
      </c>
      <c r="H43" s="30" t="s">
        <v>114</v>
      </c>
      <c r="I43" s="30">
        <v>42521.419872685183</v>
      </c>
      <c r="J43" s="60">
        <v>0</v>
      </c>
      <c r="K43" s="60" t="str">
        <f t="shared" si="13"/>
        <v>4009/4010</v>
      </c>
      <c r="L43" s="60" t="str">
        <f>VLOOKUP(A43,'Trips&amp;Operators'!$C$1:$E$9999,3,FALSE)</f>
        <v>STRICKLAND</v>
      </c>
      <c r="M43" s="12">
        <f t="shared" si="14"/>
        <v>3.0057870368182193E-2</v>
      </c>
      <c r="N43" s="13">
        <f t="shared" ref="N43:N50" si="20">24*60*SUM($M43:$M43)</f>
        <v>43.283333330182359</v>
      </c>
      <c r="O43" s="13"/>
      <c r="P43" s="13"/>
      <c r="Q43" s="61"/>
      <c r="R43" s="61"/>
      <c r="S43" s="94">
        <f t="shared" si="9"/>
        <v>1</v>
      </c>
      <c r="T43" s="2" t="str">
        <f t="shared" si="10"/>
        <v>Southbound</v>
      </c>
      <c r="U43" s="67">
        <f>COUNTIFS([2]Variables!$M$2:$M$19,IF(T43="NorthBound","&gt;=","&lt;=")&amp;Z43,[2]Variables!$M$2:$M$19,IF(T43="NorthBound","&lt;=","&gt;=")&amp;AA43)</f>
        <v>12</v>
      </c>
      <c r="W43" s="73" t="str">
        <f t="shared" si="15"/>
        <v>https://search-rtdc-monitor-bjffxe2xuh6vdkpspy63sjmuny.us-east-1.es.amazonaws.com/_plugin/kibana/#/discover/Steve-Slow-Train-Analysis-(2080s-and-2083s)?_g=(refreshInterval:(display:Off,section:0,value:0),time:(from:'2016-05-31 09:18:32-0600',mode:absolute,to:'2016-05-31 10:05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X43" s="73" t="str">
        <f t="shared" si="16"/>
        <v>N</v>
      </c>
      <c r="Y43" s="73">
        <f t="shared" si="5"/>
        <v>1</v>
      </c>
      <c r="Z43" s="73">
        <f t="shared" si="17"/>
        <v>23.297999999999998</v>
      </c>
      <c r="AA43" s="73">
        <f t="shared" si="18"/>
        <v>1.49E-2</v>
      </c>
      <c r="AB43" s="73">
        <f t="shared" si="19"/>
        <v>23.283099999999997</v>
      </c>
      <c r="AC43" s="74" t="e">
        <f>VLOOKUP(A43,Enforcements!$C$3:$J$52,8,0)</f>
        <v>#N/A</v>
      </c>
      <c r="AD43" s="74" t="e">
        <f>VLOOKUP(A43,Enforcements!$C$3:$J$52,3,0)</f>
        <v>#N/A</v>
      </c>
    </row>
    <row r="44" spans="1:30" s="2" customFormat="1" x14ac:dyDescent="0.25">
      <c r="A44" s="60" t="s">
        <v>246</v>
      </c>
      <c r="B44" s="60">
        <v>4040</v>
      </c>
      <c r="C44" s="60" t="s">
        <v>62</v>
      </c>
      <c r="D44" s="60" t="s">
        <v>126</v>
      </c>
      <c r="E44" s="30">
        <v>42521.361643518518</v>
      </c>
      <c r="F44" s="30">
        <v>42521.36273148148</v>
      </c>
      <c r="G44" s="38">
        <v>1</v>
      </c>
      <c r="H44" s="30" t="s">
        <v>247</v>
      </c>
      <c r="I44" s="30">
        <v>42521.389606481483</v>
      </c>
      <c r="J44" s="60">
        <v>1</v>
      </c>
      <c r="K44" s="60" t="str">
        <f t="shared" si="13"/>
        <v>4039/4040</v>
      </c>
      <c r="L44" s="60" t="str">
        <f>VLOOKUP(A44,'Trips&amp;Operators'!$C$1:$E$9999,3,FALSE)</f>
        <v>BEAM</v>
      </c>
      <c r="M44" s="12">
        <f t="shared" si="14"/>
        <v>2.6875000003201421E-2</v>
      </c>
      <c r="N44" s="13">
        <f t="shared" si="20"/>
        <v>38.700000004610047</v>
      </c>
      <c r="O44" s="13"/>
      <c r="P44" s="13"/>
      <c r="Q44" s="61"/>
      <c r="R44" s="61"/>
      <c r="S44" s="94">
        <f t="shared" si="9"/>
        <v>1</v>
      </c>
      <c r="T44" s="2" t="str">
        <f t="shared" si="10"/>
        <v>NorthBound</v>
      </c>
      <c r="U44" s="67">
        <f>COUNTIFS([2]Variables!$M$2:$M$19,IF(T44="NorthBound","&gt;=","&lt;=")&amp;Z44,[2]Variables!$M$2:$M$19,IF(T44="NorthBound","&lt;=","&gt;=")&amp;AA44)</f>
        <v>12</v>
      </c>
      <c r="W44" s="73" t="str">
        <f t="shared" si="15"/>
        <v>https://search-rtdc-monitor-bjffxe2xuh6vdkpspy63sjmuny.us-east-1.es.amazonaws.com/_plugin/kibana/#/discover/Steve-Slow-Train-Analysis-(2080s-and-2083s)?_g=(refreshInterval:(display:Off,section:0,value:0),time:(from:'2016-05-31 08:39:46-0600',mode:absolute,to:'2016-05-31 09:22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X44" s="73" t="str">
        <f t="shared" si="16"/>
        <v>N</v>
      </c>
      <c r="Y44" s="73">
        <f t="shared" si="5"/>
        <v>1</v>
      </c>
      <c r="Z44" s="73">
        <f t="shared" si="17"/>
        <v>4.4400000000000002E-2</v>
      </c>
      <c r="AA44" s="73">
        <f t="shared" si="18"/>
        <v>23.328700000000001</v>
      </c>
      <c r="AB44" s="73">
        <f t="shared" si="19"/>
        <v>23.284300000000002</v>
      </c>
      <c r="AC44" s="74">
        <f>VLOOKUP(A44,Enforcements!$C$3:$J$52,8,0)</f>
        <v>233491</v>
      </c>
      <c r="AD44" s="74" t="str">
        <f>VLOOKUP(A44,Enforcements!$C$3:$J$52,3,0)</f>
        <v>TRACK WARRANT AUTHORITY</v>
      </c>
    </row>
    <row r="45" spans="1:30" s="2" customFormat="1" x14ac:dyDescent="0.25">
      <c r="A45" s="60" t="s">
        <v>248</v>
      </c>
      <c r="B45" s="60">
        <v>4039</v>
      </c>
      <c r="C45" s="60" t="s">
        <v>62</v>
      </c>
      <c r="D45" s="60" t="s">
        <v>111</v>
      </c>
      <c r="E45" s="30">
        <v>42521.398738425924</v>
      </c>
      <c r="F45" s="30">
        <v>42521.399641203701</v>
      </c>
      <c r="G45" s="38">
        <v>1</v>
      </c>
      <c r="H45" s="30" t="s">
        <v>97</v>
      </c>
      <c r="I45" s="30">
        <v>42521.429409722223</v>
      </c>
      <c r="J45" s="60">
        <v>0</v>
      </c>
      <c r="K45" s="60" t="str">
        <f t="shared" si="13"/>
        <v>4039/4040</v>
      </c>
      <c r="L45" s="60" t="str">
        <f>VLOOKUP(A45,'Trips&amp;Operators'!$C$1:$E$9999,3,FALSE)</f>
        <v>BEAM</v>
      </c>
      <c r="M45" s="12">
        <f t="shared" si="14"/>
        <v>2.976851852145046E-2</v>
      </c>
      <c r="N45" s="13">
        <f t="shared" si="20"/>
        <v>42.866666670888662</v>
      </c>
      <c r="O45" s="13"/>
      <c r="P45" s="13"/>
      <c r="Q45" s="61"/>
      <c r="R45" s="61"/>
      <c r="S45" s="94">
        <f t="shared" si="9"/>
        <v>1</v>
      </c>
      <c r="T45" s="2" t="str">
        <f t="shared" si="10"/>
        <v>Southbound</v>
      </c>
      <c r="U45" s="67">
        <f>COUNTIFS([2]Variables!$M$2:$M$19,IF(T45="NorthBound","&gt;=","&lt;=")&amp;Z45,[2]Variables!$M$2:$M$19,IF(T45="NorthBound","&lt;=","&gt;=")&amp;AA45)</f>
        <v>12</v>
      </c>
      <c r="W45" s="73" t="str">
        <f t="shared" si="15"/>
        <v>https://search-rtdc-monitor-bjffxe2xuh6vdkpspy63sjmuny.us-east-1.es.amazonaws.com/_plugin/kibana/#/discover/Steve-Slow-Train-Analysis-(2080s-and-2083s)?_g=(refreshInterval:(display:Off,section:0,value:0),time:(from:'2016-05-31 09:33:11-0600',mode:absolute,to:'2016-05-31 10:19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X45" s="73" t="str">
        <f t="shared" si="16"/>
        <v>N</v>
      </c>
      <c r="Y45" s="73">
        <f t="shared" si="5"/>
        <v>1</v>
      </c>
      <c r="Z45" s="73">
        <f t="shared" si="17"/>
        <v>23.298500000000001</v>
      </c>
      <c r="AA45" s="73">
        <f t="shared" si="18"/>
        <v>1.43E-2</v>
      </c>
      <c r="AB45" s="73">
        <f t="shared" si="19"/>
        <v>23.284200000000002</v>
      </c>
      <c r="AC45" s="74">
        <f>VLOOKUP(A45,Enforcements!$C$3:$J$52,8,0)</f>
        <v>1</v>
      </c>
      <c r="AD45" s="74" t="str">
        <f>VLOOKUP(A45,Enforcements!$C$3:$J$52,3,0)</f>
        <v>TRACK WARRANT AUTHORITY</v>
      </c>
    </row>
    <row r="46" spans="1:30" s="2" customFormat="1" x14ac:dyDescent="0.25">
      <c r="A46" s="60" t="s">
        <v>249</v>
      </c>
      <c r="B46" s="60">
        <v>4011</v>
      </c>
      <c r="C46" s="60" t="s">
        <v>62</v>
      </c>
      <c r="D46" s="60" t="s">
        <v>146</v>
      </c>
      <c r="E46" s="30">
        <v>42521.372164351851</v>
      </c>
      <c r="F46" s="30">
        <v>42521.373148148145</v>
      </c>
      <c r="G46" s="38">
        <v>1</v>
      </c>
      <c r="H46" s="30" t="s">
        <v>93</v>
      </c>
      <c r="I46" s="30">
        <v>42521.399965277778</v>
      </c>
      <c r="J46" s="60">
        <v>0</v>
      </c>
      <c r="K46" s="60" t="str">
        <f t="shared" si="13"/>
        <v>4011/4012</v>
      </c>
      <c r="L46" s="60" t="str">
        <f>VLOOKUP(A46,'Trips&amp;Operators'!$C$1:$E$9999,3,FALSE)</f>
        <v>SPECTOR</v>
      </c>
      <c r="M46" s="12">
        <f t="shared" si="14"/>
        <v>2.6817129633855075E-2</v>
      </c>
      <c r="N46" s="13">
        <f t="shared" si="20"/>
        <v>38.616666672751307</v>
      </c>
      <c r="O46" s="13"/>
      <c r="P46" s="13"/>
      <c r="Q46" s="61"/>
      <c r="R46" s="61"/>
      <c r="S46" s="94">
        <f t="shared" si="9"/>
        <v>1</v>
      </c>
      <c r="T46" s="2" t="str">
        <f t="shared" si="10"/>
        <v>NorthBound</v>
      </c>
      <c r="U46" s="67">
        <f>COUNTIFS([2]Variables!$M$2:$M$19,IF(T46="NorthBound","&gt;=","&lt;=")&amp;Z46,[2]Variables!$M$2:$M$19,IF(T46="NorthBound","&lt;=","&gt;=")&amp;AA46)</f>
        <v>12</v>
      </c>
      <c r="W46" s="73" t="str">
        <f t="shared" si="15"/>
        <v>https://search-rtdc-monitor-bjffxe2xuh6vdkpspy63sjmuny.us-east-1.es.amazonaws.com/_plugin/kibana/#/discover/Steve-Slow-Train-Analysis-(2080s-and-2083s)?_g=(refreshInterval:(display:Off,section:0,value:0),time:(from:'2016-05-31 08:54:55-0600',mode:absolute,to:'2016-05-31 09:36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X46" s="73" t="str">
        <f t="shared" si="16"/>
        <v>N</v>
      </c>
      <c r="Y46" s="73">
        <f t="shared" si="5"/>
        <v>1</v>
      </c>
      <c r="Z46" s="73">
        <f t="shared" si="17"/>
        <v>4.53E-2</v>
      </c>
      <c r="AA46" s="73">
        <f t="shared" si="18"/>
        <v>23.331399999999999</v>
      </c>
      <c r="AB46" s="73">
        <f t="shared" si="19"/>
        <v>23.286099999999998</v>
      </c>
      <c r="AC46" s="74" t="e">
        <f>VLOOKUP(A46,Enforcements!$C$3:$J$52,8,0)</f>
        <v>#N/A</v>
      </c>
      <c r="AD46" s="74" t="e">
        <f>VLOOKUP(A46,Enforcements!$C$3:$J$52,3,0)</f>
        <v>#N/A</v>
      </c>
    </row>
    <row r="47" spans="1:30" s="2" customFormat="1" x14ac:dyDescent="0.25">
      <c r="A47" s="60" t="s">
        <v>250</v>
      </c>
      <c r="B47" s="60">
        <v>4012</v>
      </c>
      <c r="C47" s="60" t="s">
        <v>62</v>
      </c>
      <c r="D47" s="60" t="s">
        <v>190</v>
      </c>
      <c r="E47" s="30">
        <v>42521.406354166669</v>
      </c>
      <c r="F47" s="30">
        <v>42521.407210648147</v>
      </c>
      <c r="G47" s="38">
        <v>1</v>
      </c>
      <c r="H47" s="30" t="s">
        <v>80</v>
      </c>
      <c r="I47" s="30">
        <v>42521.440983796296</v>
      </c>
      <c r="J47" s="60">
        <v>0</v>
      </c>
      <c r="K47" s="60" t="str">
        <f t="shared" si="13"/>
        <v>4011/4012</v>
      </c>
      <c r="L47" s="60" t="str">
        <f>VLOOKUP(A47,'Trips&amp;Operators'!$C$1:$E$9999,3,FALSE)</f>
        <v>SPECTOR</v>
      </c>
      <c r="M47" s="12">
        <f t="shared" si="14"/>
        <v>3.3773148148611654E-2</v>
      </c>
      <c r="N47" s="13">
        <f t="shared" si="20"/>
        <v>48.633333334000781</v>
      </c>
      <c r="O47" s="13"/>
      <c r="P47" s="13"/>
      <c r="Q47" s="61"/>
      <c r="R47" s="61"/>
      <c r="S47" s="94">
        <f t="shared" si="9"/>
        <v>1</v>
      </c>
      <c r="T47" s="2" t="str">
        <f t="shared" si="10"/>
        <v>Southbound</v>
      </c>
      <c r="U47" s="67">
        <f>COUNTIFS([2]Variables!$M$2:$M$19,IF(T47="NorthBound","&gt;=","&lt;=")&amp;Z47,[2]Variables!$M$2:$M$19,IF(T47="NorthBound","&lt;=","&gt;=")&amp;AA47)</f>
        <v>12</v>
      </c>
      <c r="W47" s="73" t="str">
        <f t="shared" si="15"/>
        <v>https://search-rtdc-monitor-bjffxe2xuh6vdkpspy63sjmuny.us-east-1.es.amazonaws.com/_plugin/kibana/#/discover/Steve-Slow-Train-Analysis-(2080s-and-2083s)?_g=(refreshInterval:(display:Off,section:0,value:0),time:(from:'2016-05-31 09:44:09-0600',mode:absolute,to:'2016-05-31 10:36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X47" s="73" t="str">
        <f t="shared" si="16"/>
        <v>N</v>
      </c>
      <c r="Y47" s="73">
        <f t="shared" si="5"/>
        <v>1</v>
      </c>
      <c r="Z47" s="73">
        <f t="shared" si="17"/>
        <v>23.297799999999999</v>
      </c>
      <c r="AA47" s="73">
        <f t="shared" si="18"/>
        <v>1.5800000000000002E-2</v>
      </c>
      <c r="AB47" s="73">
        <f t="shared" si="19"/>
        <v>23.282</v>
      </c>
      <c r="AC47" s="74" t="e">
        <f>VLOOKUP(A47,Enforcements!$C$3:$J$52,8,0)</f>
        <v>#N/A</v>
      </c>
      <c r="AD47" s="74" t="e">
        <f>VLOOKUP(A47,Enforcements!$C$3:$J$52,3,0)</f>
        <v>#N/A</v>
      </c>
    </row>
    <row r="48" spans="1:30" s="2" customFormat="1" x14ac:dyDescent="0.25">
      <c r="A48" s="60" t="s">
        <v>251</v>
      </c>
      <c r="B48" s="60">
        <v>4014</v>
      </c>
      <c r="C48" s="60" t="s">
        <v>62</v>
      </c>
      <c r="D48" s="60" t="s">
        <v>252</v>
      </c>
      <c r="E48" s="30">
        <v>42521.381180555552</v>
      </c>
      <c r="F48" s="30">
        <v>42521.382708333331</v>
      </c>
      <c r="G48" s="38">
        <v>2</v>
      </c>
      <c r="H48" s="30" t="s">
        <v>253</v>
      </c>
      <c r="I48" s="30">
        <v>42521.410486111112</v>
      </c>
      <c r="J48" s="60">
        <v>1</v>
      </c>
      <c r="K48" s="60" t="str">
        <f t="shared" si="13"/>
        <v>4013/4014</v>
      </c>
      <c r="L48" s="60" t="str">
        <f>VLOOKUP(A48,'Trips&amp;Operators'!$C$1:$E$9999,3,FALSE)</f>
        <v>STARKS</v>
      </c>
      <c r="M48" s="12">
        <f t="shared" si="14"/>
        <v>2.7777777781011537E-2</v>
      </c>
      <c r="N48" s="13">
        <f t="shared" si="20"/>
        <v>40.000000004656613</v>
      </c>
      <c r="O48" s="13"/>
      <c r="P48" s="13"/>
      <c r="Q48" s="61"/>
      <c r="R48" s="61"/>
      <c r="S48" s="94">
        <f t="shared" si="9"/>
        <v>1</v>
      </c>
      <c r="T48" s="2" t="str">
        <f t="shared" si="10"/>
        <v>NorthBound</v>
      </c>
      <c r="U48" s="67">
        <f>COUNTIFS([2]Variables!$M$2:$M$19,IF(T48="NorthBound","&gt;=","&lt;=")&amp;Z48,[2]Variables!$M$2:$M$19,IF(T48="NorthBound","&lt;=","&gt;=")&amp;AA48)</f>
        <v>12</v>
      </c>
      <c r="W48" s="73" t="str">
        <f t="shared" si="15"/>
        <v>https://search-rtdc-monitor-bjffxe2xuh6vdkpspy63sjmuny.us-east-1.es.amazonaws.com/_plugin/kibana/#/discover/Steve-Slow-Train-Analysis-(2080s-and-2083s)?_g=(refreshInterval:(display:Off,section:0,value:0),time:(from:'2016-05-31 09:07:54-0600',mode:absolute,to:'2016-05-31 09:52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X48" s="73" t="str">
        <f t="shared" si="16"/>
        <v>N</v>
      </c>
      <c r="Y48" s="73">
        <f t="shared" ref="Y48:Y49" si="21">VALUE(LEFT(A48,3))-VALUE(LEFT(A47,3))</f>
        <v>1</v>
      </c>
      <c r="Z48" s="73">
        <f t="shared" si="17"/>
        <v>4.2700000000000002E-2</v>
      </c>
      <c r="AA48" s="73">
        <f t="shared" si="18"/>
        <v>23.337800000000001</v>
      </c>
      <c r="AB48" s="73">
        <f t="shared" si="19"/>
        <v>23.295100000000001</v>
      </c>
      <c r="AC48" s="74">
        <f>VLOOKUP(A48,Enforcements!$C$3:$J$52,8,0)</f>
        <v>233491</v>
      </c>
      <c r="AD48" s="74" t="str">
        <f>VLOOKUP(A48,Enforcements!$C$3:$J$52,3,0)</f>
        <v>TRACK WARRANT AUTHORITY</v>
      </c>
    </row>
    <row r="49" spans="1:30" s="2" customFormat="1" x14ac:dyDescent="0.25">
      <c r="A49" s="60" t="s">
        <v>254</v>
      </c>
      <c r="B49" s="60">
        <v>4013</v>
      </c>
      <c r="C49" s="60" t="s">
        <v>62</v>
      </c>
      <c r="D49" s="60" t="s">
        <v>255</v>
      </c>
      <c r="E49" s="30">
        <v>42521.420023148145</v>
      </c>
      <c r="F49" s="30">
        <v>42521.421261574076</v>
      </c>
      <c r="G49" s="38">
        <v>1</v>
      </c>
      <c r="H49" s="30" t="s">
        <v>64</v>
      </c>
      <c r="I49" s="30">
        <v>42521.451342592591</v>
      </c>
      <c r="J49" s="60">
        <v>1</v>
      </c>
      <c r="K49" s="60" t="str">
        <f t="shared" si="13"/>
        <v>4013/4014</v>
      </c>
      <c r="L49" s="60" t="str">
        <f>VLOOKUP(A49,'Trips&amp;Operators'!$C$1:$E$9999,3,FALSE)</f>
        <v>STARKS</v>
      </c>
      <c r="M49" s="12">
        <f t="shared" si="14"/>
        <v>3.0081018514465541E-2</v>
      </c>
      <c r="N49" s="13">
        <f t="shared" si="20"/>
        <v>43.316666660830379</v>
      </c>
      <c r="O49" s="13"/>
      <c r="P49" s="13"/>
      <c r="Q49" s="61"/>
      <c r="R49" s="61"/>
      <c r="S49" s="94">
        <f t="shared" si="9"/>
        <v>1</v>
      </c>
      <c r="T49" s="2" t="str">
        <f t="shared" si="10"/>
        <v>Southbound</v>
      </c>
      <c r="U49" s="67">
        <f>COUNTIFS([2]Variables!$M$2:$M$19,IF(T49="NorthBound","&gt;=","&lt;=")&amp;Z49,[2]Variables!$M$2:$M$19,IF(T49="NorthBound","&lt;=","&gt;=")&amp;AA49)</f>
        <v>12</v>
      </c>
      <c r="W49" s="73" t="str">
        <f t="shared" si="15"/>
        <v>https://search-rtdc-monitor-bjffxe2xuh6vdkpspy63sjmuny.us-east-1.es.amazonaws.com/_plugin/kibana/#/discover/Steve-Slow-Train-Analysis-(2080s-and-2083s)?_g=(refreshInterval:(display:Off,section:0,value:0),time:(from:'2016-05-31 10:03:50-0600',mode:absolute,to:'2016-05-31 10:50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X49" s="73" t="str">
        <f t="shared" si="16"/>
        <v>N</v>
      </c>
      <c r="Y49" s="73">
        <f t="shared" si="21"/>
        <v>1</v>
      </c>
      <c r="Z49" s="73">
        <f t="shared" si="17"/>
        <v>23.306000000000001</v>
      </c>
      <c r="AA49" s="73">
        <f t="shared" si="18"/>
        <v>1.54E-2</v>
      </c>
      <c r="AB49" s="73">
        <f t="shared" si="19"/>
        <v>23.290600000000001</v>
      </c>
      <c r="AC49" s="74">
        <f>VLOOKUP(A49,Enforcements!$C$3:$J$52,8,0)</f>
        <v>1</v>
      </c>
      <c r="AD49" s="74" t="str">
        <f>VLOOKUP(A49,Enforcements!$C$3:$J$52,3,0)</f>
        <v>TRACK WARRANT AUTHORITY</v>
      </c>
    </row>
    <row r="50" spans="1:30" s="2" customFormat="1" x14ac:dyDescent="0.25">
      <c r="A50" s="60" t="s">
        <v>256</v>
      </c>
      <c r="B50" s="60">
        <v>4044</v>
      </c>
      <c r="C50" s="60" t="s">
        <v>62</v>
      </c>
      <c r="D50" s="60" t="s">
        <v>257</v>
      </c>
      <c r="E50" s="30">
        <v>42521.388287037036</v>
      </c>
      <c r="F50" s="30">
        <v>42521.389293981483</v>
      </c>
      <c r="G50" s="38">
        <v>1</v>
      </c>
      <c r="H50" s="30" t="s">
        <v>258</v>
      </c>
      <c r="I50" s="30">
        <v>42521.420613425929</v>
      </c>
      <c r="J50" s="60">
        <v>2</v>
      </c>
      <c r="K50" s="60" t="str">
        <f t="shared" si="13"/>
        <v>4043/4044</v>
      </c>
      <c r="L50" s="60" t="str">
        <f>VLOOKUP(A50,'Trips&amp;Operators'!$C$1:$E$9999,3,FALSE)</f>
        <v>ROCHA</v>
      </c>
      <c r="M50" s="12">
        <f t="shared" si="14"/>
        <v>3.1319444446125999E-2</v>
      </c>
      <c r="N50" s="13">
        <f t="shared" si="20"/>
        <v>45.100000002421439</v>
      </c>
      <c r="O50" s="13"/>
      <c r="P50" s="13"/>
      <c r="Q50" s="61"/>
      <c r="R50" s="61"/>
      <c r="S50" s="94">
        <f t="shared" si="9"/>
        <v>1</v>
      </c>
      <c r="T50" s="2" t="str">
        <f t="shared" si="10"/>
        <v>NorthBound</v>
      </c>
      <c r="U50" s="67">
        <f>COUNTIFS([2]Variables!$M$2:$M$19,IF(T50="NorthBound","&gt;=","&lt;=")&amp;Z50,[2]Variables!$M$2:$M$19,IF(T50="NorthBound","&lt;=","&gt;=")&amp;AA50)</f>
        <v>12</v>
      </c>
      <c r="W50" s="73" t="str">
        <f t="shared" si="15"/>
        <v>https://search-rtdc-monitor-bjffxe2xuh6vdkpspy63sjmuny.us-east-1.es.amazonaws.com/_plugin/kibana/#/discover/Steve-Slow-Train-Analysis-(2080s-and-2083s)?_g=(refreshInterval:(display:Off,section:0,value:0),time:(from:'2016-05-31 09:18:08-0600',mode:absolute,to:'2016-05-31 10:06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X50" s="73" t="str">
        <f t="shared" si="16"/>
        <v>N</v>
      </c>
      <c r="Y50" s="73">
        <f t="shared" ref="Y50:Y84" si="22">VALUE(LEFT(A50,3))-VALUE(LEFT(A49,3))</f>
        <v>1</v>
      </c>
      <c r="Z50" s="73">
        <f t="shared" si="17"/>
        <v>4.7699999999999999E-2</v>
      </c>
      <c r="AA50" s="73">
        <f t="shared" si="18"/>
        <v>23.335100000000001</v>
      </c>
      <c r="AB50" s="73">
        <f t="shared" si="19"/>
        <v>23.287400000000002</v>
      </c>
      <c r="AC50" s="74">
        <f>VLOOKUP(A50,Enforcements!$C$3:$J$52,8,0)</f>
        <v>116838</v>
      </c>
      <c r="AD50" s="74" t="str">
        <f>VLOOKUP(A50,Enforcements!$C$3:$J$52,3,0)</f>
        <v>PERMANENT SPEED RESTRICTION</v>
      </c>
    </row>
    <row r="51" spans="1:30" s="2" customFormat="1" x14ac:dyDescent="0.25">
      <c r="A51" s="60" t="s">
        <v>259</v>
      </c>
      <c r="B51" s="60">
        <v>4043</v>
      </c>
      <c r="C51" s="60" t="s">
        <v>62</v>
      </c>
      <c r="D51" s="60" t="s">
        <v>150</v>
      </c>
      <c r="E51" s="30">
        <v>42521.430266203701</v>
      </c>
      <c r="F51" s="30">
        <v>42521.43109953704</v>
      </c>
      <c r="G51" s="38">
        <v>1</v>
      </c>
      <c r="H51" s="30" t="s">
        <v>260</v>
      </c>
      <c r="I51" s="30">
        <v>42521.458958333336</v>
      </c>
      <c r="J51" s="60">
        <v>1</v>
      </c>
      <c r="K51" s="60" t="str">
        <f t="shared" si="13"/>
        <v>4043/4044</v>
      </c>
      <c r="L51" s="60" t="str">
        <f>VLOOKUP(A51,'Trips&amp;Operators'!$C$1:$E$9999,3,FALSE)</f>
        <v>ROCHA</v>
      </c>
      <c r="M51" s="12">
        <f t="shared" si="14"/>
        <v>2.7858796296641231E-2</v>
      </c>
      <c r="N51" s="13">
        <f>24*60*SUM($M51:$M51)</f>
        <v>40.116666667163372</v>
      </c>
      <c r="O51" s="13"/>
      <c r="P51" s="13"/>
      <c r="Q51" s="61"/>
      <c r="R51" s="61"/>
      <c r="S51" s="94">
        <f t="shared" si="9"/>
        <v>1</v>
      </c>
      <c r="T51" s="2" t="str">
        <f t="shared" si="10"/>
        <v>Southbound</v>
      </c>
      <c r="U51" s="67">
        <f>COUNTIFS([2]Variables!$M$2:$M$19,IF(T51="NorthBound","&gt;=","&lt;=")&amp;Z51,[2]Variables!$M$2:$M$19,IF(T51="NorthBound","&lt;=","&gt;=")&amp;AA51)</f>
        <v>12</v>
      </c>
      <c r="W51" s="73" t="str">
        <f t="shared" si="15"/>
        <v>https://search-rtdc-monitor-bjffxe2xuh6vdkpspy63sjmuny.us-east-1.es.amazonaws.com/_plugin/kibana/#/discover/Steve-Slow-Train-Analysis-(2080s-and-2083s)?_g=(refreshInterval:(display:Off,section:0,value:0),time:(from:'2016-05-31 10:18:35-0600',mode:absolute,to:'2016-05-31 11:01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X51" s="73" t="str">
        <f t="shared" si="16"/>
        <v>Y</v>
      </c>
      <c r="Y51" s="73">
        <f t="shared" si="22"/>
        <v>1</v>
      </c>
      <c r="Z51" s="73">
        <f t="shared" si="17"/>
        <v>23.303799999999999</v>
      </c>
      <c r="AA51" s="73">
        <v>0.34520000000000001</v>
      </c>
      <c r="AB51" s="73">
        <f t="shared" si="19"/>
        <v>22.958600000000001</v>
      </c>
      <c r="AC51" s="74">
        <f>VLOOKUP(A51,Enforcements!$C$3:$J$52,8,0)</f>
        <v>190834</v>
      </c>
      <c r="AD51" s="74" t="str">
        <f>VLOOKUP(A51,Enforcements!$C$3:$J$52,3,0)</f>
        <v>PERMANENT SPEED RESTRICTION</v>
      </c>
    </row>
    <row r="52" spans="1:30" s="2" customFormat="1" x14ac:dyDescent="0.25">
      <c r="A52" s="60" t="s">
        <v>261</v>
      </c>
      <c r="B52" s="60">
        <v>4029</v>
      </c>
      <c r="C52" s="60" t="s">
        <v>62</v>
      </c>
      <c r="D52" s="60" t="s">
        <v>262</v>
      </c>
      <c r="E52" s="30">
        <v>42521.404317129629</v>
      </c>
      <c r="F52" s="30">
        <v>42521.405393518522</v>
      </c>
      <c r="G52" s="38">
        <v>1</v>
      </c>
      <c r="H52" s="30" t="s">
        <v>263</v>
      </c>
      <c r="I52" s="30">
        <v>42521.431145833332</v>
      </c>
      <c r="J52" s="60">
        <v>0</v>
      </c>
      <c r="K52" s="60" t="str">
        <f t="shared" si="13"/>
        <v>4029/4030</v>
      </c>
      <c r="L52" s="60" t="str">
        <f>VLOOKUP(A52,'Trips&amp;Operators'!$C$1:$E$9999,3,FALSE)</f>
        <v>YANAI</v>
      </c>
      <c r="M52" s="12">
        <f t="shared" si="14"/>
        <v>2.5752314810233656E-2</v>
      </c>
      <c r="N52" s="13">
        <f t="shared" ref="N52:N65" si="23">24*60*SUM($M52:$M52)</f>
        <v>37.083333326736465</v>
      </c>
      <c r="O52" s="13"/>
      <c r="P52" s="13"/>
      <c r="Q52" s="61"/>
      <c r="R52" s="61"/>
      <c r="S52" s="94">
        <f t="shared" si="9"/>
        <v>1</v>
      </c>
      <c r="T52" s="2" t="str">
        <f t="shared" si="10"/>
        <v>NorthBound</v>
      </c>
      <c r="U52" s="67">
        <f>COUNTIFS([2]Variables!$M$2:$M$19,IF(T52="NorthBound","&gt;=","&lt;=")&amp;Z52,[2]Variables!$M$2:$M$19,IF(T52="NorthBound","&lt;=","&gt;=")&amp;AA52)</f>
        <v>12</v>
      </c>
      <c r="W52" s="73" t="str">
        <f t="shared" si="15"/>
        <v>https://search-rtdc-monitor-bjffxe2xuh6vdkpspy63sjmuny.us-east-1.es.amazonaws.com/_plugin/kibana/#/discover/Steve-Slow-Train-Analysis-(2080s-and-2083s)?_g=(refreshInterval:(display:Off,section:0,value:0),time:(from:'2016-05-31 09:41:13-0600',mode:absolute,to:'2016-05-31 10:21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X52" s="73" t="str">
        <f t="shared" si="16"/>
        <v>N</v>
      </c>
      <c r="Y52" s="73">
        <f t="shared" si="22"/>
        <v>1</v>
      </c>
      <c r="Z52" s="73">
        <f t="shared" si="17"/>
        <v>4.9799999999999997E-2</v>
      </c>
      <c r="AA52" s="73">
        <f t="shared" ref="AA52:AA67" si="24">RIGHT(H52,LEN(H52)-4)/10000</f>
        <v>23.3323</v>
      </c>
      <c r="AB52" s="73">
        <f t="shared" si="19"/>
        <v>23.282499999999999</v>
      </c>
      <c r="AC52" s="74" t="e">
        <f>VLOOKUP(A52,Enforcements!$C$3:$J$52,8,0)</f>
        <v>#N/A</v>
      </c>
      <c r="AD52" s="74" t="e">
        <f>VLOOKUP(A52,Enforcements!$C$3:$J$52,3,0)</f>
        <v>#N/A</v>
      </c>
    </row>
    <row r="53" spans="1:30" s="2" customFormat="1" x14ac:dyDescent="0.25">
      <c r="A53" s="60" t="s">
        <v>264</v>
      </c>
      <c r="B53" s="60">
        <v>4030</v>
      </c>
      <c r="C53" s="60" t="s">
        <v>62</v>
      </c>
      <c r="D53" s="60" t="s">
        <v>265</v>
      </c>
      <c r="E53" s="30">
        <v>42521.442523148151</v>
      </c>
      <c r="F53" s="30">
        <v>42521.443460648145</v>
      </c>
      <c r="G53" s="38">
        <v>1</v>
      </c>
      <c r="H53" s="30" t="s">
        <v>112</v>
      </c>
      <c r="I53" s="30">
        <v>42521.470358796294</v>
      </c>
      <c r="J53" s="60">
        <v>0</v>
      </c>
      <c r="K53" s="60" t="str">
        <f t="shared" si="13"/>
        <v>4029/4030</v>
      </c>
      <c r="L53" s="60" t="str">
        <f>VLOOKUP(A53,'Trips&amp;Operators'!$C$1:$E$9999,3,FALSE)</f>
        <v>YANAI</v>
      </c>
      <c r="M53" s="12">
        <f t="shared" si="14"/>
        <v>2.6898148149484769E-2</v>
      </c>
      <c r="N53" s="13">
        <f t="shared" si="23"/>
        <v>38.733333335258067</v>
      </c>
      <c r="O53" s="13"/>
      <c r="P53" s="13"/>
      <c r="Q53" s="61"/>
      <c r="R53" s="61"/>
      <c r="S53" s="94">
        <f t="shared" si="9"/>
        <v>1</v>
      </c>
      <c r="T53" s="2" t="str">
        <f t="shared" si="10"/>
        <v>Southbound</v>
      </c>
      <c r="U53" s="67">
        <f>COUNTIFS([2]Variables!$M$2:$M$19,IF(T53="NorthBound","&gt;=","&lt;=")&amp;Z53,[2]Variables!$M$2:$M$19,IF(T53="NorthBound","&lt;=","&gt;=")&amp;AA53)</f>
        <v>12</v>
      </c>
      <c r="W53" s="73" t="str">
        <f t="shared" si="15"/>
        <v>https://search-rtdc-monitor-bjffxe2xuh6vdkpspy63sjmuny.us-east-1.es.amazonaws.com/_plugin/kibana/#/discover/Steve-Slow-Train-Analysis-(2080s-and-2083s)?_g=(refreshInterval:(display:Off,section:0,value:0),time:(from:'2016-05-31 10:36:14-0600',mode:absolute,to:'2016-05-31 11:18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X53" s="73" t="str">
        <f t="shared" si="16"/>
        <v>N</v>
      </c>
      <c r="Y53" s="73">
        <f t="shared" si="22"/>
        <v>1</v>
      </c>
      <c r="Z53" s="73">
        <f t="shared" si="17"/>
        <v>23.300799999999999</v>
      </c>
      <c r="AA53" s="73">
        <f t="shared" si="24"/>
        <v>1.34E-2</v>
      </c>
      <c r="AB53" s="73">
        <f t="shared" si="19"/>
        <v>23.287399999999998</v>
      </c>
      <c r="AC53" s="74" t="e">
        <f>VLOOKUP(A53,Enforcements!$C$3:$J$52,8,0)</f>
        <v>#N/A</v>
      </c>
      <c r="AD53" s="74" t="e">
        <f>VLOOKUP(A53,Enforcements!$C$3:$J$52,3,0)</f>
        <v>#N/A</v>
      </c>
    </row>
    <row r="54" spans="1:30" s="2" customFormat="1" x14ac:dyDescent="0.25">
      <c r="A54" s="60" t="s">
        <v>266</v>
      </c>
      <c r="B54" s="60">
        <v>4031</v>
      </c>
      <c r="C54" s="60" t="s">
        <v>62</v>
      </c>
      <c r="D54" s="60" t="s">
        <v>89</v>
      </c>
      <c r="E54" s="30">
        <v>42521.411076388889</v>
      </c>
      <c r="F54" s="30">
        <v>42521.412129629629</v>
      </c>
      <c r="G54" s="38">
        <v>1</v>
      </c>
      <c r="H54" s="30" t="s">
        <v>101</v>
      </c>
      <c r="I54" s="30">
        <v>42521.44153935185</v>
      </c>
      <c r="J54" s="60">
        <v>0</v>
      </c>
      <c r="K54" s="60" t="str">
        <f t="shared" si="13"/>
        <v>4031/4032</v>
      </c>
      <c r="L54" s="60" t="str">
        <f>VLOOKUP(A54,'Trips&amp;Operators'!$C$1:$E$9999,3,FALSE)</f>
        <v>ACKERMAN</v>
      </c>
      <c r="M54" s="12">
        <f t="shared" si="14"/>
        <v>2.940972222131677E-2</v>
      </c>
      <c r="N54" s="13">
        <f t="shared" si="23"/>
        <v>42.349999998696148</v>
      </c>
      <c r="O54" s="13"/>
      <c r="P54" s="13"/>
      <c r="Q54" s="61"/>
      <c r="R54" s="61"/>
      <c r="S54" s="94">
        <f t="shared" si="9"/>
        <v>1</v>
      </c>
      <c r="T54" s="2" t="str">
        <f t="shared" si="10"/>
        <v>NorthBound</v>
      </c>
      <c r="U54" s="67">
        <f>COUNTIFS([2]Variables!$M$2:$M$19,IF(T54="NorthBound","&gt;=","&lt;=")&amp;Z54,[2]Variables!$M$2:$M$19,IF(T54="NorthBound","&lt;=","&gt;=")&amp;AA54)</f>
        <v>12</v>
      </c>
      <c r="W54" s="73" t="str">
        <f t="shared" si="15"/>
        <v>https://search-rtdc-monitor-bjffxe2xuh6vdkpspy63sjmuny.us-east-1.es.amazonaws.com/_plugin/kibana/#/discover/Steve-Slow-Train-Analysis-(2080s-and-2083s)?_g=(refreshInterval:(display:Off,section:0,value:0),time:(from:'2016-05-31 09:50:57-0600',mode:absolute,to:'2016-05-31 10:36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X54" s="73" t="str">
        <f t="shared" si="16"/>
        <v>N</v>
      </c>
      <c r="Y54" s="73">
        <f t="shared" si="22"/>
        <v>1</v>
      </c>
      <c r="Z54" s="73">
        <f t="shared" si="17"/>
        <v>4.5999999999999999E-2</v>
      </c>
      <c r="AA54" s="73">
        <f t="shared" si="24"/>
        <v>23.328900000000001</v>
      </c>
      <c r="AB54" s="73">
        <f t="shared" si="19"/>
        <v>23.282900000000001</v>
      </c>
      <c r="AC54" s="74" t="e">
        <f>VLOOKUP(A54,Enforcements!$C$3:$J$52,8,0)</f>
        <v>#N/A</v>
      </c>
      <c r="AD54" s="74" t="e">
        <f>VLOOKUP(A54,Enforcements!$C$3:$J$52,3,0)</f>
        <v>#N/A</v>
      </c>
    </row>
    <row r="55" spans="1:30" s="2" customFormat="1" x14ac:dyDescent="0.25">
      <c r="A55" s="60" t="s">
        <v>267</v>
      </c>
      <c r="B55" s="60">
        <v>4032</v>
      </c>
      <c r="C55" s="60" t="s">
        <v>62</v>
      </c>
      <c r="D55" s="60" t="s">
        <v>190</v>
      </c>
      <c r="E55" s="30">
        <v>42521.447395833333</v>
      </c>
      <c r="F55" s="30">
        <v>42521.448321759257</v>
      </c>
      <c r="G55" s="38">
        <v>1</v>
      </c>
      <c r="H55" s="30" t="s">
        <v>77</v>
      </c>
      <c r="I55" s="30">
        <v>42521.481724537036</v>
      </c>
      <c r="J55" s="60">
        <v>0</v>
      </c>
      <c r="K55" s="60" t="str">
        <f t="shared" si="13"/>
        <v>4031/4032</v>
      </c>
      <c r="L55" s="60" t="str">
        <f>VLOOKUP(A55,'Trips&amp;Operators'!$C$1:$E$9999,3,FALSE)</f>
        <v>ACKERMAN</v>
      </c>
      <c r="M55" s="12">
        <f t="shared" si="14"/>
        <v>3.3402777778974269E-2</v>
      </c>
      <c r="N55" s="13">
        <f t="shared" si="23"/>
        <v>48.100000001722947</v>
      </c>
      <c r="O55" s="13"/>
      <c r="P55" s="13"/>
      <c r="Q55" s="61"/>
      <c r="R55" s="61"/>
      <c r="S55" s="94">
        <f t="shared" si="9"/>
        <v>1</v>
      </c>
      <c r="T55" s="2" t="str">
        <f t="shared" si="10"/>
        <v>Southbound</v>
      </c>
      <c r="U55" s="67">
        <f>COUNTIFS([2]Variables!$M$2:$M$19,IF(T55="NorthBound","&gt;=","&lt;=")&amp;Z55,[2]Variables!$M$2:$M$19,IF(T55="NorthBound","&lt;=","&gt;=")&amp;AA55)</f>
        <v>12</v>
      </c>
      <c r="W55" s="73" t="str">
        <f t="shared" si="15"/>
        <v>https://search-rtdc-monitor-bjffxe2xuh6vdkpspy63sjmuny.us-east-1.es.amazonaws.com/_plugin/kibana/#/discover/Steve-Slow-Train-Analysis-(2080s-and-2083s)?_g=(refreshInterval:(display:Off,section:0,value:0),time:(from:'2016-05-31 10:43:15-0600',mode:absolute,to:'2016-05-31 11:34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X55" s="73" t="str">
        <f t="shared" si="16"/>
        <v>N</v>
      </c>
      <c r="Y55" s="73">
        <f t="shared" si="22"/>
        <v>1</v>
      </c>
      <c r="Z55" s="73">
        <f t="shared" si="17"/>
        <v>23.297799999999999</v>
      </c>
      <c r="AA55" s="73">
        <f t="shared" si="24"/>
        <v>1.4999999999999999E-2</v>
      </c>
      <c r="AB55" s="73">
        <f t="shared" si="19"/>
        <v>23.282799999999998</v>
      </c>
      <c r="AC55" s="74" t="e">
        <f>VLOOKUP(A55,Enforcements!$C$3:$J$52,8,0)</f>
        <v>#N/A</v>
      </c>
      <c r="AD55" s="74" t="e">
        <f>VLOOKUP(A55,Enforcements!$C$3:$J$52,3,0)</f>
        <v>#N/A</v>
      </c>
    </row>
    <row r="56" spans="1:30" s="2" customFormat="1" x14ac:dyDescent="0.25">
      <c r="A56" s="60" t="s">
        <v>268</v>
      </c>
      <c r="B56" s="60">
        <v>4009</v>
      </c>
      <c r="C56" s="60" t="s">
        <v>62</v>
      </c>
      <c r="D56" s="60" t="s">
        <v>146</v>
      </c>
      <c r="E56" s="30">
        <v>42521.423807870371</v>
      </c>
      <c r="F56" s="30">
        <v>42521.426238425927</v>
      </c>
      <c r="G56" s="38">
        <v>3</v>
      </c>
      <c r="H56" s="30" t="s">
        <v>67</v>
      </c>
      <c r="I56" s="30">
        <v>42521.453298611108</v>
      </c>
      <c r="J56" s="60">
        <v>0</v>
      </c>
      <c r="K56" s="60" t="str">
        <f t="shared" si="13"/>
        <v>4009/4010</v>
      </c>
      <c r="L56" s="60" t="str">
        <f>VLOOKUP(A56,'Trips&amp;Operators'!$C$1:$E$9999,3,FALSE)</f>
        <v>BRABO</v>
      </c>
      <c r="M56" s="12">
        <f t="shared" si="14"/>
        <v>2.7060185180744156E-2</v>
      </c>
      <c r="N56" s="13">
        <f t="shared" si="23"/>
        <v>38.966666660271585</v>
      </c>
      <c r="O56" s="13"/>
      <c r="P56" s="13"/>
      <c r="Q56" s="61"/>
      <c r="R56" s="61"/>
      <c r="S56" s="94">
        <f t="shared" si="9"/>
        <v>1</v>
      </c>
      <c r="T56" s="2" t="str">
        <f t="shared" si="10"/>
        <v>NorthBound</v>
      </c>
      <c r="U56" s="67">
        <f>COUNTIFS([2]Variables!$M$2:$M$19,IF(T56="NorthBound","&gt;=","&lt;=")&amp;Z56,[2]Variables!$M$2:$M$19,IF(T56="NorthBound","&lt;=","&gt;=")&amp;AA56)</f>
        <v>12</v>
      </c>
      <c r="W56" s="73" t="str">
        <f t="shared" si="15"/>
        <v>https://search-rtdc-monitor-bjffxe2xuh6vdkpspy63sjmuny.us-east-1.es.amazonaws.com/_plugin/kibana/#/discover/Steve-Slow-Train-Analysis-(2080s-and-2083s)?_g=(refreshInterval:(display:Off,section:0,value:0),time:(from:'2016-05-31 10:09:17-0600',mode:absolute,to:'2016-05-31 10:53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X56" s="73" t="str">
        <f t="shared" si="16"/>
        <v>N</v>
      </c>
      <c r="Y56" s="73">
        <f t="shared" si="22"/>
        <v>1</v>
      </c>
      <c r="Z56" s="73">
        <f t="shared" si="17"/>
        <v>4.53E-2</v>
      </c>
      <c r="AA56" s="73">
        <f t="shared" si="24"/>
        <v>23.3308</v>
      </c>
      <c r="AB56" s="73">
        <f t="shared" si="19"/>
        <v>23.285499999999999</v>
      </c>
      <c r="AC56" s="74" t="e">
        <f>VLOOKUP(A56,Enforcements!$C$3:$J$52,8,0)</f>
        <v>#N/A</v>
      </c>
      <c r="AD56" s="74" t="e">
        <f>VLOOKUP(A56,Enforcements!$C$3:$J$52,3,0)</f>
        <v>#N/A</v>
      </c>
    </row>
    <row r="57" spans="1:30" s="2" customFormat="1" x14ac:dyDescent="0.25">
      <c r="A57" s="60" t="s">
        <v>269</v>
      </c>
      <c r="B57" s="60">
        <v>4010</v>
      </c>
      <c r="C57" s="60" t="s">
        <v>62</v>
      </c>
      <c r="D57" s="60" t="s">
        <v>270</v>
      </c>
      <c r="E57" s="30">
        <v>42521.456747685188</v>
      </c>
      <c r="F57" s="30">
        <v>42521.458136574074</v>
      </c>
      <c r="G57" s="38">
        <v>1</v>
      </c>
      <c r="H57" s="30" t="s">
        <v>97</v>
      </c>
      <c r="I57" s="30">
        <v>42521.493356481478</v>
      </c>
      <c r="J57" s="60">
        <v>0</v>
      </c>
      <c r="K57" s="60" t="str">
        <f t="shared" si="13"/>
        <v>4009/4010</v>
      </c>
      <c r="L57" s="60" t="str">
        <f>VLOOKUP(A57,'Trips&amp;Operators'!$C$1:$E$9999,3,FALSE)</f>
        <v>BRABO</v>
      </c>
      <c r="M57" s="12">
        <f t="shared" si="14"/>
        <v>3.5219907404098194E-2</v>
      </c>
      <c r="N57" s="13">
        <f t="shared" si="23"/>
        <v>50.716666661901399</v>
      </c>
      <c r="O57" s="13"/>
      <c r="P57" s="13"/>
      <c r="Q57" s="61"/>
      <c r="R57" s="61"/>
      <c r="S57" s="94">
        <f t="shared" si="9"/>
        <v>1</v>
      </c>
      <c r="T57" s="2" t="str">
        <f t="shared" si="10"/>
        <v>Southbound</v>
      </c>
      <c r="U57" s="67">
        <f>COUNTIFS([2]Variables!$M$2:$M$19,IF(T57="NorthBound","&gt;=","&lt;=")&amp;Z57,[2]Variables!$M$2:$M$19,IF(T57="NorthBound","&lt;=","&gt;=")&amp;AA57)</f>
        <v>12</v>
      </c>
      <c r="W57" s="73" t="str">
        <f t="shared" si="15"/>
        <v>https://search-rtdc-monitor-bjffxe2xuh6vdkpspy63sjmuny.us-east-1.es.amazonaws.com/_plugin/kibana/#/discover/Steve-Slow-Train-Analysis-(2080s-and-2083s)?_g=(refreshInterval:(display:Off,section:0,value:0),time:(from:'2016-05-31 10:56:43-0600',mode:absolute,to:'2016-05-31 11:51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X57" s="73" t="str">
        <f t="shared" si="16"/>
        <v>N</v>
      </c>
      <c r="Y57" s="73">
        <f t="shared" si="22"/>
        <v>1</v>
      </c>
      <c r="Z57" s="73">
        <f t="shared" si="17"/>
        <v>23.297899999999998</v>
      </c>
      <c r="AA57" s="73">
        <f t="shared" si="24"/>
        <v>1.43E-2</v>
      </c>
      <c r="AB57" s="73">
        <f t="shared" si="19"/>
        <v>23.2836</v>
      </c>
      <c r="AC57" s="74" t="e">
        <f>VLOOKUP(A57,Enforcements!$C$3:$J$52,8,0)</f>
        <v>#N/A</v>
      </c>
      <c r="AD57" s="74" t="e">
        <f>VLOOKUP(A57,Enforcements!$C$3:$J$52,3,0)</f>
        <v>#N/A</v>
      </c>
    </row>
    <row r="58" spans="1:30" s="2" customFormat="1" x14ac:dyDescent="0.25">
      <c r="A58" s="60" t="s">
        <v>271</v>
      </c>
      <c r="B58" s="60">
        <v>4040</v>
      </c>
      <c r="C58" s="60" t="s">
        <v>62</v>
      </c>
      <c r="D58" s="60" t="s">
        <v>98</v>
      </c>
      <c r="E58" s="30">
        <v>42521.433379629627</v>
      </c>
      <c r="F58" s="30">
        <v>42521.434606481482</v>
      </c>
      <c r="G58" s="38">
        <v>1</v>
      </c>
      <c r="H58" s="30" t="s">
        <v>117</v>
      </c>
      <c r="I58" s="30">
        <v>42521.462048611109</v>
      </c>
      <c r="J58" s="60">
        <v>0</v>
      </c>
      <c r="K58" s="60" t="str">
        <f t="shared" si="13"/>
        <v>4039/4040</v>
      </c>
      <c r="L58" s="60" t="str">
        <f>VLOOKUP(A58,'Trips&amp;Operators'!$C$1:$E$9999,3,FALSE)</f>
        <v>STRICKLAND</v>
      </c>
      <c r="M58" s="12">
        <f t="shared" si="14"/>
        <v>2.7442129627161194E-2</v>
      </c>
      <c r="N58" s="13">
        <f t="shared" si="23"/>
        <v>39.516666663112119</v>
      </c>
      <c r="O58" s="13"/>
      <c r="P58" s="13"/>
      <c r="Q58" s="61"/>
      <c r="R58" s="61"/>
      <c r="S58" s="94">
        <f t="shared" si="9"/>
        <v>1</v>
      </c>
      <c r="T58" s="2" t="str">
        <f t="shared" si="10"/>
        <v>NorthBound</v>
      </c>
      <c r="U58" s="67">
        <f>COUNTIFS([2]Variables!$M$2:$M$19,IF(T58="NorthBound","&gt;=","&lt;=")&amp;Z58,[2]Variables!$M$2:$M$19,IF(T58="NorthBound","&lt;=","&gt;=")&amp;AA58)</f>
        <v>12</v>
      </c>
      <c r="W58" s="73" t="str">
        <f t="shared" si="15"/>
        <v>https://search-rtdc-monitor-bjffxe2xuh6vdkpspy63sjmuny.us-east-1.es.amazonaws.com/_plugin/kibana/#/discover/Steve-Slow-Train-Analysis-(2080s-and-2083s)?_g=(refreshInterval:(display:Off,section:0,value:0),time:(from:'2016-05-31 10:23:04-0600',mode:absolute,to:'2016-05-31 11:06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X58" s="73" t="str">
        <f t="shared" si="16"/>
        <v>N</v>
      </c>
      <c r="Y58" s="73">
        <f t="shared" si="22"/>
        <v>1</v>
      </c>
      <c r="Z58" s="73">
        <f t="shared" si="17"/>
        <v>4.3999999999999997E-2</v>
      </c>
      <c r="AA58" s="73">
        <f t="shared" si="24"/>
        <v>23.329699999999999</v>
      </c>
      <c r="AB58" s="73">
        <f t="shared" si="19"/>
        <v>23.285699999999999</v>
      </c>
      <c r="AC58" s="74" t="e">
        <f>VLOOKUP(A58,Enforcements!$C$3:$J$52,8,0)</f>
        <v>#N/A</v>
      </c>
      <c r="AD58" s="74" t="e">
        <f>VLOOKUP(A58,Enforcements!$C$3:$J$52,3,0)</f>
        <v>#N/A</v>
      </c>
    </row>
    <row r="59" spans="1:30" s="2" customFormat="1" x14ac:dyDescent="0.25">
      <c r="A59" s="60" t="s">
        <v>272</v>
      </c>
      <c r="B59" s="60">
        <v>4039</v>
      </c>
      <c r="C59" s="60" t="s">
        <v>62</v>
      </c>
      <c r="D59" s="60" t="s">
        <v>94</v>
      </c>
      <c r="E59" s="30">
        <v>42521.469039351854</v>
      </c>
      <c r="F59" s="30">
        <v>42521.471516203703</v>
      </c>
      <c r="G59" s="38">
        <v>3</v>
      </c>
      <c r="H59" s="30" t="s">
        <v>65</v>
      </c>
      <c r="I59" s="30">
        <v>42521.501516203702</v>
      </c>
      <c r="J59" s="60">
        <v>0</v>
      </c>
      <c r="K59" s="60" t="str">
        <f t="shared" si="13"/>
        <v>4039/4040</v>
      </c>
      <c r="L59" s="60" t="str">
        <f>VLOOKUP(A59,'Trips&amp;Operators'!$C$1:$E$9999,3,FALSE)</f>
        <v>STRICKLAND</v>
      </c>
      <c r="M59" s="12">
        <f t="shared" si="14"/>
        <v>2.9999999998835847E-2</v>
      </c>
      <c r="N59" s="13">
        <f t="shared" si="23"/>
        <v>43.199999998323619</v>
      </c>
      <c r="O59" s="13"/>
      <c r="P59" s="13"/>
      <c r="Q59" s="61"/>
      <c r="R59" s="61"/>
      <c r="S59" s="94">
        <f t="shared" si="9"/>
        <v>1</v>
      </c>
      <c r="T59" s="2" t="str">
        <f t="shared" si="10"/>
        <v>Southbound</v>
      </c>
      <c r="U59" s="67">
        <f>COUNTIFS([2]Variables!$M$2:$M$19,IF(T59="NorthBound","&gt;=","&lt;=")&amp;Z59,[2]Variables!$M$2:$M$19,IF(T59="NorthBound","&lt;=","&gt;=")&amp;AA59)</f>
        <v>12</v>
      </c>
      <c r="W59" s="73" t="str">
        <f t="shared" si="15"/>
        <v>https://search-rtdc-monitor-bjffxe2xuh6vdkpspy63sjmuny.us-east-1.es.amazonaws.com/_plugin/kibana/#/discover/Steve-Slow-Train-Analysis-(2080s-and-2083s)?_g=(refreshInterval:(display:Off,section:0,value:0),time:(from:'2016-05-31 11:14:25-0600',mode:absolute,to:'2016-05-31 12:03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X59" s="73" t="str">
        <f t="shared" si="16"/>
        <v>N</v>
      </c>
      <c r="Y59" s="73">
        <f t="shared" si="22"/>
        <v>1</v>
      </c>
      <c r="Z59" s="73">
        <f t="shared" si="17"/>
        <v>23.297699999999999</v>
      </c>
      <c r="AA59" s="73">
        <f t="shared" si="24"/>
        <v>1.4500000000000001E-2</v>
      </c>
      <c r="AB59" s="73">
        <f t="shared" si="19"/>
        <v>23.283199999999997</v>
      </c>
      <c r="AC59" s="74" t="e">
        <f>VLOOKUP(A59,Enforcements!$C$3:$J$52,8,0)</f>
        <v>#N/A</v>
      </c>
      <c r="AD59" s="74" t="e">
        <f>VLOOKUP(A59,Enforcements!$C$3:$J$52,3,0)</f>
        <v>#N/A</v>
      </c>
    </row>
    <row r="60" spans="1:30" s="2" customFormat="1" x14ac:dyDescent="0.25">
      <c r="A60" s="60" t="s">
        <v>273</v>
      </c>
      <c r="B60" s="60">
        <v>4011</v>
      </c>
      <c r="C60" s="60" t="s">
        <v>62</v>
      </c>
      <c r="D60" s="60" t="s">
        <v>149</v>
      </c>
      <c r="E60" s="30">
        <v>42521.442349537036</v>
      </c>
      <c r="F60" s="30">
        <v>42521.443495370368</v>
      </c>
      <c r="G60" s="38">
        <v>1</v>
      </c>
      <c r="H60" s="30" t="s">
        <v>118</v>
      </c>
      <c r="I60" s="30">
        <v>42521.473668981482</v>
      </c>
      <c r="J60" s="60">
        <v>0</v>
      </c>
      <c r="K60" s="60" t="str">
        <f t="shared" si="13"/>
        <v>4011/4012</v>
      </c>
      <c r="L60" s="60" t="str">
        <f>VLOOKUP(A60,'Trips&amp;Operators'!$C$1:$E$9999,3,FALSE)</f>
        <v>BONDS</v>
      </c>
      <c r="M60" s="12">
        <f t="shared" si="14"/>
        <v>3.0173611114150845E-2</v>
      </c>
      <c r="N60" s="13">
        <f t="shared" si="23"/>
        <v>43.450000004377216</v>
      </c>
      <c r="O60" s="13"/>
      <c r="P60" s="13"/>
      <c r="Q60" s="61"/>
      <c r="R60" s="61"/>
      <c r="S60" s="94">
        <f t="shared" si="9"/>
        <v>1</v>
      </c>
      <c r="T60" s="2" t="str">
        <f t="shared" si="10"/>
        <v>NorthBound</v>
      </c>
      <c r="U60" s="67">
        <f>COUNTIFS([2]Variables!$M$2:$M$19,IF(T60="NorthBound","&gt;=","&lt;=")&amp;Z60,[2]Variables!$M$2:$M$19,IF(T60="NorthBound","&lt;=","&gt;=")&amp;AA60)</f>
        <v>12</v>
      </c>
      <c r="W60" s="73" t="str">
        <f t="shared" si="15"/>
        <v>https://search-rtdc-monitor-bjffxe2xuh6vdkpspy63sjmuny.us-east-1.es.amazonaws.com/_plugin/kibana/#/discover/Steve-Slow-Train-Analysis-(2080s-and-2083s)?_g=(refreshInterval:(display:Off,section:0,value:0),time:(from:'2016-05-31 10:35:59-0600',mode:absolute,to:'2016-05-31 11:23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X60" s="73" t="str">
        <f t="shared" si="16"/>
        <v>N</v>
      </c>
      <c r="Y60" s="73">
        <f t="shared" si="22"/>
        <v>1</v>
      </c>
      <c r="Z60" s="73">
        <f t="shared" si="17"/>
        <v>4.3700000000000003E-2</v>
      </c>
      <c r="AA60" s="73">
        <f t="shared" si="24"/>
        <v>23.335899999999999</v>
      </c>
      <c r="AB60" s="73">
        <f t="shared" si="19"/>
        <v>23.292199999999998</v>
      </c>
      <c r="AC60" s="74" t="e">
        <f>VLOOKUP(A60,Enforcements!$C$3:$J$52,8,0)</f>
        <v>#N/A</v>
      </c>
      <c r="AD60" s="74" t="e">
        <f>VLOOKUP(A60,Enforcements!$C$3:$J$52,3,0)</f>
        <v>#N/A</v>
      </c>
    </row>
    <row r="61" spans="1:30" s="2" customFormat="1" x14ac:dyDescent="0.25">
      <c r="A61" s="60" t="s">
        <v>274</v>
      </c>
      <c r="B61" s="60">
        <v>4012</v>
      </c>
      <c r="C61" s="60" t="s">
        <v>62</v>
      </c>
      <c r="D61" s="60" t="s">
        <v>275</v>
      </c>
      <c r="E61" s="30">
        <v>42521.478854166664</v>
      </c>
      <c r="F61" s="30">
        <v>42521.480069444442</v>
      </c>
      <c r="G61" s="38">
        <v>1</v>
      </c>
      <c r="H61" s="30" t="s">
        <v>276</v>
      </c>
      <c r="I61" s="30">
        <v>42521.513449074075</v>
      </c>
      <c r="J61" s="60">
        <v>1</v>
      </c>
      <c r="K61" s="60" t="str">
        <f t="shared" si="13"/>
        <v>4011/4012</v>
      </c>
      <c r="L61" s="60" t="str">
        <f>VLOOKUP(A61,'Trips&amp;Operators'!$C$1:$E$9999,3,FALSE)</f>
        <v>BONDS</v>
      </c>
      <c r="M61" s="12">
        <f t="shared" si="14"/>
        <v>3.3379629632690921E-2</v>
      </c>
      <c r="N61" s="13">
        <f t="shared" si="23"/>
        <v>48.066666671074927</v>
      </c>
      <c r="O61" s="13"/>
      <c r="P61" s="13"/>
      <c r="Q61" s="61"/>
      <c r="R61" s="61"/>
      <c r="S61" s="94">
        <f t="shared" si="9"/>
        <v>1</v>
      </c>
      <c r="T61" s="2" t="str">
        <f t="shared" si="10"/>
        <v>Southbound</v>
      </c>
      <c r="U61" s="67">
        <f>COUNTIFS([2]Variables!$M$2:$M$19,IF(T61="NorthBound","&gt;=","&lt;=")&amp;Z61,[2]Variables!$M$2:$M$19,IF(T61="NorthBound","&lt;=","&gt;=")&amp;AA61)</f>
        <v>12</v>
      </c>
      <c r="W61" s="73" t="str">
        <f t="shared" si="15"/>
        <v>https://search-rtdc-monitor-bjffxe2xuh6vdkpspy63sjmuny.us-east-1.es.amazonaws.com/_plugin/kibana/#/discover/Steve-Slow-Train-Analysis-(2080s-and-2083s)?_g=(refreshInterval:(display:Off,section:0,value:0),time:(from:'2016-05-31 11:28:33-0600',mode:absolute,to:'2016-05-31 12:20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X61" s="73" t="str">
        <f t="shared" si="16"/>
        <v>N</v>
      </c>
      <c r="Y61" s="73">
        <f t="shared" si="22"/>
        <v>1</v>
      </c>
      <c r="Z61" s="73">
        <f t="shared" si="17"/>
        <v>23.303599999999999</v>
      </c>
      <c r="AA61" s="73">
        <f t="shared" si="24"/>
        <v>1.2500000000000001E-2</v>
      </c>
      <c r="AB61" s="73">
        <f t="shared" si="19"/>
        <v>23.2911</v>
      </c>
      <c r="AC61" s="74">
        <f>VLOOKUP(A61,Enforcements!$C$3:$J$52,8,0)</f>
        <v>1</v>
      </c>
      <c r="AD61" s="74" t="str">
        <f>VLOOKUP(A61,Enforcements!$C$3:$J$52,3,0)</f>
        <v>TRACK WARRANT AUTHORITY</v>
      </c>
    </row>
    <row r="62" spans="1:30" s="2" customFormat="1" x14ac:dyDescent="0.25">
      <c r="A62" s="60" t="s">
        <v>277</v>
      </c>
      <c r="B62" s="60">
        <v>4014</v>
      </c>
      <c r="C62" s="60" t="s">
        <v>62</v>
      </c>
      <c r="D62" s="60" t="s">
        <v>68</v>
      </c>
      <c r="E62" s="30">
        <v>42521.456979166665</v>
      </c>
      <c r="F62" s="30">
        <v>42521.457754629628</v>
      </c>
      <c r="G62" s="38">
        <v>1</v>
      </c>
      <c r="H62" s="30" t="s">
        <v>278</v>
      </c>
      <c r="I62" s="30">
        <v>42521.482812499999</v>
      </c>
      <c r="J62" s="60">
        <v>0</v>
      </c>
      <c r="K62" s="60" t="str">
        <f t="shared" si="13"/>
        <v>4013/4014</v>
      </c>
      <c r="L62" s="60" t="str">
        <f>VLOOKUP(A62,'Trips&amp;Operators'!$C$1:$E$9999,3,FALSE)</f>
        <v>SPECTOR</v>
      </c>
      <c r="M62" s="12">
        <f t="shared" si="14"/>
        <v>2.5057870370801538E-2</v>
      </c>
      <c r="N62" s="13">
        <f t="shared" si="23"/>
        <v>36.083333333954215</v>
      </c>
      <c r="O62" s="13"/>
      <c r="P62" s="13"/>
      <c r="Q62" s="61"/>
      <c r="R62" s="61"/>
      <c r="S62" s="94">
        <f t="shared" si="9"/>
        <v>1</v>
      </c>
      <c r="T62" s="2" t="str">
        <f t="shared" si="10"/>
        <v>NorthBound</v>
      </c>
      <c r="U62" s="67">
        <f>COUNTIFS([2]Variables!$M$2:$M$19,IF(T62="NorthBound","&gt;=","&lt;=")&amp;Z62,[2]Variables!$M$2:$M$19,IF(T62="NorthBound","&lt;=","&gt;=")&amp;AA62)</f>
        <v>12</v>
      </c>
      <c r="W62" s="73" t="str">
        <f t="shared" si="15"/>
        <v>https://search-rtdc-monitor-bjffxe2xuh6vdkpspy63sjmuny.us-east-1.es.amazonaws.com/_plugin/kibana/#/discover/Steve-Slow-Train-Analysis-(2080s-and-2083s)?_g=(refreshInterval:(display:Off,section:0,value:0),time:(from:'2016-05-31 10:57:03-0600',mode:absolute,to:'2016-05-31 11:36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X62" s="73" t="str">
        <f t="shared" si="16"/>
        <v>N</v>
      </c>
      <c r="Y62" s="73">
        <f t="shared" si="22"/>
        <v>1</v>
      </c>
      <c r="Z62" s="73">
        <f t="shared" si="17"/>
        <v>4.5499999999999999E-2</v>
      </c>
      <c r="AA62" s="73">
        <f t="shared" si="24"/>
        <v>23.331600000000002</v>
      </c>
      <c r="AB62" s="73">
        <f t="shared" si="19"/>
        <v>23.286100000000001</v>
      </c>
      <c r="AC62" s="74" t="e">
        <f>VLOOKUP(A62,Enforcements!$C$3:$J$52,8,0)</f>
        <v>#N/A</v>
      </c>
      <c r="AD62" s="74" t="e">
        <f>VLOOKUP(A62,Enforcements!$C$3:$J$52,3,0)</f>
        <v>#N/A</v>
      </c>
    </row>
    <row r="63" spans="1:30" s="2" customFormat="1" x14ac:dyDescent="0.25">
      <c r="A63" s="60" t="s">
        <v>279</v>
      </c>
      <c r="B63" s="60">
        <v>4013</v>
      </c>
      <c r="C63" s="60" t="s">
        <v>62</v>
      </c>
      <c r="D63" s="60" t="s">
        <v>280</v>
      </c>
      <c r="E63" s="30">
        <v>42521.491608796299</v>
      </c>
      <c r="F63" s="30">
        <v>42521.492696759262</v>
      </c>
      <c r="G63" s="38">
        <v>1</v>
      </c>
      <c r="H63" s="30" t="s">
        <v>64</v>
      </c>
      <c r="I63" s="30">
        <v>42521.528136574074</v>
      </c>
      <c r="J63" s="60">
        <v>1</v>
      </c>
      <c r="K63" s="60" t="str">
        <f t="shared" si="13"/>
        <v>4013/4014</v>
      </c>
      <c r="L63" s="60" t="str">
        <f>VLOOKUP(A63,'Trips&amp;Operators'!$C$1:$E$9999,3,FALSE)</f>
        <v>SPECTOR</v>
      </c>
      <c r="M63" s="12">
        <f t="shared" si="14"/>
        <v>3.5439814811979886E-2</v>
      </c>
      <c r="N63" s="13">
        <f t="shared" si="23"/>
        <v>51.033333329251036</v>
      </c>
      <c r="O63" s="13"/>
      <c r="P63" s="13"/>
      <c r="Q63" s="61"/>
      <c r="R63" s="61"/>
      <c r="S63" s="94">
        <f t="shared" si="9"/>
        <v>1</v>
      </c>
      <c r="T63" s="2" t="str">
        <f t="shared" si="10"/>
        <v>Southbound</v>
      </c>
      <c r="U63" s="67">
        <f>COUNTIFS([2]Variables!$M$2:$M$19,IF(T63="NorthBound","&gt;=","&lt;=")&amp;Z63,[2]Variables!$M$2:$M$19,IF(T63="NorthBound","&lt;=","&gt;=")&amp;AA63)</f>
        <v>12</v>
      </c>
      <c r="W63" s="73" t="str">
        <f t="shared" si="15"/>
        <v>https://search-rtdc-monitor-bjffxe2xuh6vdkpspy63sjmuny.us-east-1.es.amazonaws.com/_plugin/kibana/#/discover/Steve-Slow-Train-Analysis-(2080s-and-2083s)?_g=(refreshInterval:(display:Off,section:0,value:0),time:(from:'2016-05-31 11:46:55-0600',mode:absolute,to:'2016-05-31 12:41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X63" s="73" t="str">
        <f t="shared" si="16"/>
        <v>N</v>
      </c>
      <c r="Y63" s="73">
        <f t="shared" si="22"/>
        <v>1</v>
      </c>
      <c r="Z63" s="73">
        <f t="shared" si="17"/>
        <v>23.3005</v>
      </c>
      <c r="AA63" s="73">
        <f t="shared" si="24"/>
        <v>1.54E-2</v>
      </c>
      <c r="AB63" s="73">
        <f t="shared" si="19"/>
        <v>23.2851</v>
      </c>
      <c r="AC63" s="74">
        <f>VLOOKUP(A63,Enforcements!$C$3:$J$52,8,0)</f>
        <v>109135</v>
      </c>
      <c r="AD63" s="74" t="str">
        <f>VLOOKUP(A63,Enforcements!$C$3:$J$52,3,0)</f>
        <v>GRADE CROSSING</v>
      </c>
    </row>
    <row r="64" spans="1:30" s="2" customFormat="1" x14ac:dyDescent="0.25">
      <c r="A64" s="60" t="s">
        <v>281</v>
      </c>
      <c r="B64" s="60">
        <v>4007</v>
      </c>
      <c r="C64" s="60" t="s">
        <v>62</v>
      </c>
      <c r="D64" s="60" t="s">
        <v>146</v>
      </c>
      <c r="E64" s="30">
        <v>42521.46770833333</v>
      </c>
      <c r="F64" s="30">
        <v>42521.468935185185</v>
      </c>
      <c r="G64" s="38">
        <v>1</v>
      </c>
      <c r="H64" s="30" t="s">
        <v>282</v>
      </c>
      <c r="I64" s="30">
        <v>42521.494340277779</v>
      </c>
      <c r="J64" s="60">
        <v>0</v>
      </c>
      <c r="K64" s="60" t="str">
        <f t="shared" si="13"/>
        <v>4007/4008</v>
      </c>
      <c r="L64" s="60" t="str">
        <f>VLOOKUP(A64,'Trips&amp;Operators'!$C$1:$E$9999,3,FALSE)</f>
        <v>LOZA</v>
      </c>
      <c r="M64" s="12">
        <f t="shared" si="14"/>
        <v>2.5405092594155576E-2</v>
      </c>
      <c r="N64" s="13">
        <f t="shared" si="23"/>
        <v>36.58333333558403</v>
      </c>
      <c r="O64" s="13"/>
      <c r="P64" s="13"/>
      <c r="Q64" s="61"/>
      <c r="R64" s="61"/>
      <c r="S64" s="94">
        <f t="shared" si="9"/>
        <v>1</v>
      </c>
      <c r="T64" s="2" t="str">
        <f t="shared" si="10"/>
        <v>NorthBound</v>
      </c>
      <c r="U64" s="67">
        <f>COUNTIFS([2]Variables!$M$2:$M$19,IF(T64="NorthBound","&gt;=","&lt;=")&amp;Z64,[2]Variables!$M$2:$M$19,IF(T64="NorthBound","&lt;=","&gt;=")&amp;AA64)</f>
        <v>12</v>
      </c>
      <c r="W64" s="73" t="str">
        <f t="shared" si="15"/>
        <v>https://search-rtdc-monitor-bjffxe2xuh6vdkpspy63sjmuny.us-east-1.es.amazonaws.com/_plugin/kibana/#/discover/Steve-Slow-Train-Analysis-(2080s-and-2083s)?_g=(refreshInterval:(display:Off,section:0,value:0),time:(from:'2016-05-31 11:12:30-0600',mode:absolute,to:'2016-05-31 11:52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X64" s="73" t="str">
        <f t="shared" si="16"/>
        <v>N</v>
      </c>
      <c r="Y64" s="73">
        <f t="shared" si="22"/>
        <v>1</v>
      </c>
      <c r="Z64" s="73">
        <f t="shared" si="17"/>
        <v>4.53E-2</v>
      </c>
      <c r="AA64" s="73">
        <f t="shared" si="24"/>
        <v>23.3338</v>
      </c>
      <c r="AB64" s="73">
        <f t="shared" si="19"/>
        <v>23.288499999999999</v>
      </c>
      <c r="AC64" s="74" t="e">
        <f>VLOOKUP(A64,Enforcements!$C$3:$J$52,8,0)</f>
        <v>#N/A</v>
      </c>
      <c r="AD64" s="74" t="e">
        <f>VLOOKUP(A64,Enforcements!$C$3:$J$52,3,0)</f>
        <v>#N/A</v>
      </c>
    </row>
    <row r="65" spans="1:30" s="2" customFormat="1" x14ac:dyDescent="0.25">
      <c r="A65" s="60" t="s">
        <v>283</v>
      </c>
      <c r="B65" s="60">
        <v>4008</v>
      </c>
      <c r="C65" s="60" t="s">
        <v>62</v>
      </c>
      <c r="D65" s="60" t="s">
        <v>153</v>
      </c>
      <c r="E65" s="30">
        <v>42521.50476851852</v>
      </c>
      <c r="F65" s="30">
        <v>42521.506180555552</v>
      </c>
      <c r="G65" s="38">
        <v>2</v>
      </c>
      <c r="H65" s="30" t="s">
        <v>106</v>
      </c>
      <c r="I65" s="30">
        <v>42521.536064814813</v>
      </c>
      <c r="J65" s="60">
        <v>0</v>
      </c>
      <c r="K65" s="60" t="str">
        <f t="shared" ref="K65:K96" si="25">IF(ISEVEN(B65),(B65-1)&amp;"/"&amp;B65,B65&amp;"/"&amp;(B65+1))</f>
        <v>4007/4008</v>
      </c>
      <c r="L65" s="60" t="str">
        <f>VLOOKUP(A65,'Trips&amp;Operators'!$C$1:$E$9999,3,FALSE)</f>
        <v>LOZA</v>
      </c>
      <c r="M65" s="12">
        <f t="shared" ref="M65:M96" si="26">I65-F65</f>
        <v>2.9884259260143153E-2</v>
      </c>
      <c r="N65" s="13">
        <f t="shared" si="23"/>
        <v>43.033333334606141</v>
      </c>
      <c r="O65" s="13"/>
      <c r="P65" s="13"/>
      <c r="Q65" s="61"/>
      <c r="R65" s="61"/>
      <c r="S65" s="94">
        <f t="shared" si="9"/>
        <v>1</v>
      </c>
      <c r="T65" s="2" t="str">
        <f t="shared" si="10"/>
        <v>Southbound</v>
      </c>
      <c r="U65" s="67">
        <f>COUNTIFS([2]Variables!$M$2:$M$19,IF(T65="NorthBound","&gt;=","&lt;=")&amp;Z65,[2]Variables!$M$2:$M$19,IF(T65="NorthBound","&lt;=","&gt;=")&amp;AA65)</f>
        <v>12</v>
      </c>
      <c r="W65" s="73" t="str">
        <f t="shared" ref="W65:W96" si="27">"https://search-rtdc-monitor-bjffxe2xuh6vdkpspy63sjmuny.us-east-1.es.amazonaws.com/_plugin/kibana/#/discover/Steve-Slow-Train-Analysis-(2080s-and-2083s)?_g=(refreshInterval:(display:Off,section:0,value:0),time:(from:'"&amp;TEXT(E65-1/24/60,"yyyy-MM-DD hh:mm:ss")&amp;"-0600',mode:absolute,to:'"&amp;TEXT(I65+1/24/60,"yyyy-MM-DD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65&amp;"%22')),sort:!(Time,asc))"</f>
        <v>https://search-rtdc-monitor-bjffxe2xuh6vdkpspy63sjmuny.us-east-1.es.amazonaws.com/_plugin/kibana/#/discover/Steve-Slow-Train-Analysis-(2080s-and-2083s)?_g=(refreshInterval:(display:Off,section:0,value:0),time:(from:'2016-05-31 12:05:52-0600',mode:absolute,to:'2016-05-31 12:52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X65" s="73" t="str">
        <f t="shared" ref="X65:X96" si="28">IF(AB65&lt;23,"Y","N")</f>
        <v>N</v>
      </c>
      <c r="Y65" s="73">
        <f t="shared" si="22"/>
        <v>1</v>
      </c>
      <c r="Z65" s="73">
        <f t="shared" ref="Z65:Z96" si="29">RIGHT(D65,LEN(D65)-4)/10000</f>
        <v>23.303000000000001</v>
      </c>
      <c r="AA65" s="73">
        <f t="shared" si="24"/>
        <v>1.3899999999999999E-2</v>
      </c>
      <c r="AB65" s="73">
        <f t="shared" ref="AB65:AB96" si="30">ABS(AA65-Z65)</f>
        <v>23.289100000000001</v>
      </c>
      <c r="AC65" s="74" t="e">
        <f>VLOOKUP(A65,Enforcements!$C$3:$J$52,8,0)</f>
        <v>#N/A</v>
      </c>
      <c r="AD65" s="74" t="e">
        <f>VLOOKUP(A65,Enforcements!$C$3:$J$52,3,0)</f>
        <v>#N/A</v>
      </c>
    </row>
    <row r="66" spans="1:30" s="2" customFormat="1" x14ac:dyDescent="0.25">
      <c r="A66" s="60" t="s">
        <v>284</v>
      </c>
      <c r="B66" s="60">
        <v>4029</v>
      </c>
      <c r="C66" s="60" t="s">
        <v>62</v>
      </c>
      <c r="D66" s="60" t="s">
        <v>287</v>
      </c>
      <c r="E66" s="30">
        <v>42521.473483796297</v>
      </c>
      <c r="F66" s="30">
        <v>42521.474560185183</v>
      </c>
      <c r="G66" s="38">
        <v>1</v>
      </c>
      <c r="H66" s="30" t="s">
        <v>288</v>
      </c>
      <c r="I66" s="30">
        <v>42521.480266203704</v>
      </c>
      <c r="J66" s="60">
        <v>0</v>
      </c>
      <c r="K66" s="60" t="str">
        <f>IF(ISEVEN(B66),(B66-1)&amp;"/"&amp;B66,B66&amp;"/"&amp;(B66+1))</f>
        <v>4029/4030</v>
      </c>
      <c r="L66" s="60" t="str">
        <f>VLOOKUP(A66,'Trips&amp;Operators'!$C$1:$E$9999,3,FALSE)</f>
        <v>LOCKLEAR</v>
      </c>
      <c r="M66" s="12">
        <f>I66-F66</f>
        <v>5.7060185208683833E-3</v>
      </c>
      <c r="N66" s="13"/>
      <c r="O66" s="13"/>
      <c r="P66" s="13"/>
      <c r="Q66" s="61"/>
      <c r="R66" s="61"/>
      <c r="S66" s="94">
        <f t="shared" si="9"/>
        <v>0</v>
      </c>
      <c r="T66" s="2" t="str">
        <f t="shared" si="10"/>
        <v>NorthBound</v>
      </c>
      <c r="U66" s="67">
        <f>COUNTIFS([2]Variables!$M$2:$M$19,IF(T66="NorthBound","&gt;=","&lt;=")&amp;Z66,[2]Variables!$M$2:$M$19,IF(T66="NorthBound","&lt;=","&gt;=")&amp;AA66)</f>
        <v>0</v>
      </c>
      <c r="W66" s="73" t="str">
        <f>"https://search-rtdc-monitor-bjffxe2xuh6vdkpspy63sjmuny.us-east-1.es.amazonaws.com/_plugin/kibana/#/discover/Steve-Slow-Train-Analysis-(2080s-and-2083s)?_g=(refreshInterval:(display:Off,section:0,value:0),time:(from:'"&amp;TEXT(E66-1/24/60,"yyyy-MM-DD hh:mm:ss")&amp;"-0600',mode:absolute,to:'"&amp;TEXT(I66+1/24/60,"yyyy-MM-DD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66&amp;"%22')),sort:!(Time,asc))"</f>
        <v>https://search-rtdc-monitor-bjffxe2xuh6vdkpspy63sjmuny.us-east-1.es.amazonaws.com/_plugin/kibana/#/discover/Steve-Slow-Train-Analysis-(2080s-and-2083s)?_g=(refreshInterval:(display:Off,section:0,value:0),time:(from:'2016-05-31 11:20:49-0600',mode:absolute,to:'2016-05-31 11:32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X66" s="73" t="str">
        <f>IF(AB66&lt;23,"Y","N")</f>
        <v>Y</v>
      </c>
      <c r="Y66" s="73">
        <f>VALUE(LEFT(A66,3))-VALUE(LEFT(A67,3))</f>
        <v>0</v>
      </c>
      <c r="Z66" s="73">
        <f>RIGHT(D66,LEN(D66)-4)/10000</f>
        <v>4.3299999999999998E-2</v>
      </c>
      <c r="AA66" s="73">
        <f>RIGHT(H66,LEN(H66)-4)/10000</f>
        <v>0.1366</v>
      </c>
      <c r="AB66" s="73">
        <f>ABS(AA66-Z66)</f>
        <v>9.3299999999999994E-2</v>
      </c>
      <c r="AC66" s="74" t="e">
        <f>VLOOKUP(A66,Enforcements!$C$3:$J$52,8,0)</f>
        <v>#N/A</v>
      </c>
      <c r="AD66" s="74" t="e">
        <f>VLOOKUP(A66,Enforcements!$C$3:$J$52,3,0)</f>
        <v>#N/A</v>
      </c>
    </row>
    <row r="67" spans="1:30" s="2" customFormat="1" x14ac:dyDescent="0.25">
      <c r="A67" s="60" t="s">
        <v>284</v>
      </c>
      <c r="B67" s="60">
        <v>4029</v>
      </c>
      <c r="C67" s="60" t="s">
        <v>62</v>
      </c>
      <c r="D67" s="60" t="s">
        <v>285</v>
      </c>
      <c r="E67" s="30">
        <v>42521.483240740738</v>
      </c>
      <c r="F67" s="30">
        <v>42521.483912037038</v>
      </c>
      <c r="G67" s="38">
        <v>0</v>
      </c>
      <c r="H67" s="30" t="s">
        <v>286</v>
      </c>
      <c r="I67" s="30">
        <v>42521.504664351851</v>
      </c>
      <c r="J67" s="60">
        <v>0</v>
      </c>
      <c r="K67" s="60" t="str">
        <f t="shared" si="25"/>
        <v>4029/4030</v>
      </c>
      <c r="L67" s="60" t="str">
        <f>VLOOKUP(A67,'Trips&amp;Operators'!$C$1:$E$9999,3,FALSE)</f>
        <v>LOCKLEAR</v>
      </c>
      <c r="M67" s="12">
        <f t="shared" si="26"/>
        <v>2.0752314812853001E-2</v>
      </c>
      <c r="N67" s="13"/>
      <c r="O67" s="13"/>
      <c r="P67" s="13">
        <f>24*60*SUM($M66:$M67)</f>
        <v>38.100000000558794</v>
      </c>
      <c r="Q67" s="61"/>
      <c r="R67" s="61" t="s">
        <v>434</v>
      </c>
      <c r="S67" s="94">
        <f t="shared" si="9"/>
        <v>1</v>
      </c>
      <c r="T67" s="2" t="str">
        <f t="shared" si="10"/>
        <v>NorthBound</v>
      </c>
      <c r="U67" s="67">
        <f>COUNTIFS([2]Variables!$M$2:$M$19,IF(T67="NorthBound","&gt;=","&lt;=")&amp;Z67,[2]Variables!$M$2:$M$19,IF(T67="NorthBound","&lt;=","&gt;=")&amp;AA67)</f>
        <v>12</v>
      </c>
      <c r="W67" s="73" t="str">
        <f t="shared" si="27"/>
        <v>https://search-rtdc-monitor-bjffxe2xuh6vdkpspy63sjmuny.us-east-1.es.amazonaws.com/_plugin/kibana/#/discover/Steve-Slow-Train-Analysis-(2080s-and-2083s)?_g=(refreshInterval:(display:Off,section:0,value:0),time:(from:'2016-05-31 11:34:52-0600',mode:absolute,to:'2016-05-31 12:07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X67" s="73" t="str">
        <f t="shared" si="28"/>
        <v>Y</v>
      </c>
      <c r="Y67" s="73">
        <f>VALUE(LEFT(A67,3))-VALUE(LEFT(A65,3))</f>
        <v>1</v>
      </c>
      <c r="Z67" s="73">
        <f t="shared" si="29"/>
        <v>2.08</v>
      </c>
      <c r="AA67" s="73">
        <f t="shared" si="24"/>
        <v>23.340299999999999</v>
      </c>
      <c r="AB67" s="73">
        <f t="shared" si="30"/>
        <v>21.260300000000001</v>
      </c>
      <c r="AC67" s="74" t="e">
        <f>VLOOKUP(A67,Enforcements!$C$3:$J$52,8,0)</f>
        <v>#N/A</v>
      </c>
      <c r="AD67" s="74" t="e">
        <f>VLOOKUP(A67,Enforcements!$C$3:$J$52,3,0)</f>
        <v>#N/A</v>
      </c>
    </row>
    <row r="68" spans="1:30" s="2" customFormat="1" x14ac:dyDescent="0.25">
      <c r="A68" s="60" t="s">
        <v>289</v>
      </c>
      <c r="B68" s="60">
        <v>4030</v>
      </c>
      <c r="C68" s="60" t="s">
        <v>62</v>
      </c>
      <c r="D68" s="60" t="s">
        <v>290</v>
      </c>
      <c r="E68" s="30">
        <v>42521.514224537037</v>
      </c>
      <c r="F68" s="30">
        <v>42521.515474537038</v>
      </c>
      <c r="G68" s="38">
        <v>1</v>
      </c>
      <c r="H68" s="30" t="s">
        <v>125</v>
      </c>
      <c r="I68" s="30">
        <v>42521.549120370371</v>
      </c>
      <c r="J68" s="60">
        <v>1</v>
      </c>
      <c r="K68" s="60" t="str">
        <f t="shared" si="25"/>
        <v>4029/4030</v>
      </c>
      <c r="L68" s="60" t="str">
        <f>VLOOKUP(A68,'Trips&amp;Operators'!$C$1:$E$9999,3,FALSE)</f>
        <v>LOCKLEAR</v>
      </c>
      <c r="M68" s="12">
        <f t="shared" si="26"/>
        <v>3.3645833333139308E-2</v>
      </c>
      <c r="N68" s="13">
        <f>24*60*SUM($M68:$M68)</f>
        <v>48.449999999720603</v>
      </c>
      <c r="O68" s="13"/>
      <c r="P68" s="13"/>
      <c r="Q68" s="61"/>
      <c r="R68" s="61"/>
      <c r="S68" s="94">
        <f t="shared" ref="S68:S131" si="31">SUM(U68:U68)/12</f>
        <v>1</v>
      </c>
      <c r="T68" s="2" t="str">
        <f t="shared" ref="T68:T131" si="32">IF(ISEVEN(LEFT(A68,3)),"Southbound","NorthBound")</f>
        <v>Southbound</v>
      </c>
      <c r="U68" s="67">
        <f>COUNTIFS([2]Variables!$M$2:$M$19,IF(T68="NorthBound","&gt;=","&lt;=")&amp;Z68,[2]Variables!$M$2:$M$19,IF(T68="NorthBound","&lt;=","&gt;=")&amp;AA68)</f>
        <v>12</v>
      </c>
      <c r="W68" s="73" t="str">
        <f t="shared" si="27"/>
        <v>https://search-rtdc-monitor-bjffxe2xuh6vdkpspy63sjmuny.us-east-1.es.amazonaws.com/_plugin/kibana/#/discover/Steve-Slow-Train-Analysis-(2080s-and-2083s)?_g=(refreshInterval:(display:Off,section:0,value:0),time:(from:'2016-05-31 12:19:29-0600',mode:absolute,to:'2016-05-31 13:11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X68" s="73" t="str">
        <f t="shared" si="28"/>
        <v>N</v>
      </c>
      <c r="Y68" s="73">
        <f>VALUE(LEFT(A68,3))-VALUE(LEFT(A66,3))</f>
        <v>1</v>
      </c>
      <c r="Z68" s="73">
        <f t="shared" si="29"/>
        <v>23.3094</v>
      </c>
      <c r="AA68" s="73">
        <v>1.6299999999999999E-2</v>
      </c>
      <c r="AB68" s="73">
        <f t="shared" si="30"/>
        <v>23.293099999999999</v>
      </c>
      <c r="AC68" s="74">
        <f>VLOOKUP(A68,Enforcements!$C$3:$J$52,8,0)</f>
        <v>191108</v>
      </c>
      <c r="AD68" s="74" t="str">
        <f>VLOOKUP(A68,Enforcements!$C$3:$J$52,3,0)</f>
        <v>PERMANENT SPEED RESTRICTION</v>
      </c>
    </row>
    <row r="69" spans="1:30" s="2" customFormat="1" x14ac:dyDescent="0.25">
      <c r="A69" s="60" t="s">
        <v>291</v>
      </c>
      <c r="B69" s="60">
        <v>4031</v>
      </c>
      <c r="C69" s="60" t="s">
        <v>62</v>
      </c>
      <c r="D69" s="60" t="s">
        <v>144</v>
      </c>
      <c r="E69" s="30">
        <v>42521.484791666669</v>
      </c>
      <c r="F69" s="30">
        <v>42521.486087962963</v>
      </c>
      <c r="G69" s="38">
        <v>1</v>
      </c>
      <c r="H69" s="30" t="s">
        <v>151</v>
      </c>
      <c r="I69" s="30">
        <v>42521.515960648147</v>
      </c>
      <c r="J69" s="60">
        <v>0</v>
      </c>
      <c r="K69" s="60" t="str">
        <f t="shared" si="25"/>
        <v>4031/4032</v>
      </c>
      <c r="L69" s="60" t="str">
        <f>VLOOKUP(A69,'Trips&amp;Operators'!$C$1:$E$9999,3,FALSE)</f>
        <v>WEBSTER</v>
      </c>
      <c r="M69" s="12">
        <f t="shared" si="26"/>
        <v>2.9872685183363501E-2</v>
      </c>
      <c r="N69" s="13">
        <f t="shared" ref="N69:N90" si="33">24*60*SUM($M69:$M69)</f>
        <v>43.016666664043441</v>
      </c>
      <c r="O69" s="13"/>
      <c r="P69" s="13"/>
      <c r="Q69" s="61"/>
      <c r="R69" s="61"/>
      <c r="S69" s="94">
        <f t="shared" si="31"/>
        <v>1</v>
      </c>
      <c r="T69" s="2" t="str">
        <f t="shared" si="32"/>
        <v>NorthBound</v>
      </c>
      <c r="U69" s="67">
        <f>COUNTIFS([2]Variables!$M$2:$M$19,IF(T69="NorthBound","&gt;=","&lt;=")&amp;Z69,[2]Variables!$M$2:$M$19,IF(T69="NorthBound","&lt;=","&gt;=")&amp;AA69)</f>
        <v>12</v>
      </c>
      <c r="W69" s="73" t="str">
        <f t="shared" si="27"/>
        <v>https://search-rtdc-monitor-bjffxe2xuh6vdkpspy63sjmuny.us-east-1.es.amazonaws.com/_plugin/kibana/#/discover/Steve-Slow-Train-Analysis-(2080s-and-2083s)?_g=(refreshInterval:(display:Off,section:0,value:0),time:(from:'2016-05-31 11:37:06-0600',mode:absolute,to:'2016-05-31 12:23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X69" s="73" t="str">
        <f t="shared" si="28"/>
        <v>N</v>
      </c>
      <c r="Y69" s="73">
        <f t="shared" si="22"/>
        <v>1</v>
      </c>
      <c r="Z69" s="73">
        <f t="shared" si="29"/>
        <v>4.7300000000000002E-2</v>
      </c>
      <c r="AA69" s="73">
        <f>RIGHT(H69,LEN(H69)-4)/10000</f>
        <v>23.3278</v>
      </c>
      <c r="AB69" s="73">
        <f t="shared" si="30"/>
        <v>23.2805</v>
      </c>
      <c r="AC69" s="74" t="e">
        <f>VLOOKUP(A69,Enforcements!$C$3:$J$52,8,0)</f>
        <v>#N/A</v>
      </c>
      <c r="AD69" s="74" t="e">
        <f>VLOOKUP(A69,Enforcements!$C$3:$J$52,3,0)</f>
        <v>#N/A</v>
      </c>
    </row>
    <row r="70" spans="1:30" s="2" customFormat="1" x14ac:dyDescent="0.25">
      <c r="A70" s="60" t="s">
        <v>292</v>
      </c>
      <c r="B70" s="60">
        <v>4032</v>
      </c>
      <c r="C70" s="60" t="s">
        <v>62</v>
      </c>
      <c r="D70" s="60" t="s">
        <v>293</v>
      </c>
      <c r="E70" s="30">
        <v>42521.521793981483</v>
      </c>
      <c r="F70" s="30">
        <v>42521.522824074076</v>
      </c>
      <c r="G70" s="38">
        <v>1</v>
      </c>
      <c r="H70" s="30" t="s">
        <v>294</v>
      </c>
      <c r="I70" s="30">
        <v>42521.558310185188</v>
      </c>
      <c r="J70" s="60">
        <v>1</v>
      </c>
      <c r="K70" s="60" t="str">
        <f t="shared" si="25"/>
        <v>4031/4032</v>
      </c>
      <c r="L70" s="60" t="str">
        <f>VLOOKUP(A70,'Trips&amp;Operators'!$C$1:$E$9999,3,FALSE)</f>
        <v>WEBSTER</v>
      </c>
      <c r="M70" s="12">
        <f t="shared" si="26"/>
        <v>3.5486111111822538E-2</v>
      </c>
      <c r="N70" s="13">
        <f t="shared" si="33"/>
        <v>51.100000001024455</v>
      </c>
      <c r="O70" s="13"/>
      <c r="P70" s="13"/>
      <c r="Q70" s="61"/>
      <c r="R70" s="61"/>
      <c r="S70" s="94">
        <f t="shared" si="31"/>
        <v>1</v>
      </c>
      <c r="T70" s="2" t="str">
        <f t="shared" si="32"/>
        <v>Southbound</v>
      </c>
      <c r="U70" s="67">
        <f>COUNTIFS([2]Variables!$M$2:$M$19,IF(T70="NorthBound","&gt;=","&lt;=")&amp;Z70,[2]Variables!$M$2:$M$19,IF(T70="NorthBound","&lt;=","&gt;=")&amp;AA70)</f>
        <v>12</v>
      </c>
      <c r="W70" s="73" t="str">
        <f t="shared" si="27"/>
        <v>https://search-rtdc-monitor-bjffxe2xuh6vdkpspy63sjmuny.us-east-1.es.amazonaws.com/_plugin/kibana/#/discover/Steve-Slow-Train-Analysis-(2080s-and-2083s)?_g=(refreshInterval:(display:Off,section:0,value:0),time:(from:'2016-05-31 12:30:23-0600',mode:absolute,to:'2016-05-31 13:24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X70" s="73" t="str">
        <f t="shared" si="28"/>
        <v>N</v>
      </c>
      <c r="Y70" s="73">
        <f t="shared" si="22"/>
        <v>1</v>
      </c>
      <c r="Z70" s="73">
        <f t="shared" si="29"/>
        <v>23.3002</v>
      </c>
      <c r="AA70" s="73">
        <f>RIGHT(H70,LEN(H70)-4)/10000</f>
        <v>2.3400000000000001E-2</v>
      </c>
      <c r="AB70" s="73">
        <f t="shared" si="30"/>
        <v>23.276800000000001</v>
      </c>
      <c r="AC70" s="74">
        <f>VLOOKUP(A70,Enforcements!$C$3:$J$52,8,0)</f>
        <v>109135</v>
      </c>
      <c r="AD70" s="74" t="str">
        <f>VLOOKUP(A70,Enforcements!$C$3:$J$52,3,0)</f>
        <v>GRADE CROSSING</v>
      </c>
    </row>
    <row r="71" spans="1:30" s="2" customFormat="1" x14ac:dyDescent="0.25">
      <c r="A71" s="60" t="s">
        <v>295</v>
      </c>
      <c r="B71" s="60">
        <v>4009</v>
      </c>
      <c r="C71" s="60" t="s">
        <v>62</v>
      </c>
      <c r="D71" s="60" t="s">
        <v>146</v>
      </c>
      <c r="E71" s="30">
        <v>42521.5000462963</v>
      </c>
      <c r="F71" s="30">
        <v>42521.501111111109</v>
      </c>
      <c r="G71" s="38">
        <v>1</v>
      </c>
      <c r="H71" s="30" t="s">
        <v>278</v>
      </c>
      <c r="I71" s="30">
        <v>42521.529016203705</v>
      </c>
      <c r="J71" s="60">
        <v>0</v>
      </c>
      <c r="K71" s="60" t="str">
        <f t="shared" si="25"/>
        <v>4009/4010</v>
      </c>
      <c r="L71" s="60" t="str">
        <f>VLOOKUP(A71,'Trips&amp;Operators'!$C$1:$E$9999,3,FALSE)</f>
        <v>RIVERA</v>
      </c>
      <c r="M71" s="12">
        <f t="shared" si="26"/>
        <v>2.7905092596483883E-2</v>
      </c>
      <c r="N71" s="13">
        <f t="shared" si="33"/>
        <v>40.183333338936791</v>
      </c>
      <c r="O71" s="13"/>
      <c r="P71" s="13"/>
      <c r="Q71" s="61"/>
      <c r="R71" s="61"/>
      <c r="S71" s="94">
        <f t="shared" si="31"/>
        <v>1</v>
      </c>
      <c r="T71" s="2" t="str">
        <f t="shared" si="32"/>
        <v>NorthBound</v>
      </c>
      <c r="U71" s="67">
        <f>COUNTIFS([2]Variables!$M$2:$M$19,IF(T71="NorthBound","&gt;=","&lt;=")&amp;Z71,[2]Variables!$M$2:$M$19,IF(T71="NorthBound","&lt;=","&gt;=")&amp;AA71)</f>
        <v>12</v>
      </c>
      <c r="W71" s="73" t="str">
        <f t="shared" si="27"/>
        <v>https://search-rtdc-monitor-bjffxe2xuh6vdkpspy63sjmuny.us-east-1.es.amazonaws.com/_plugin/kibana/#/discover/Steve-Slow-Train-Analysis-(2080s-and-2083s)?_g=(refreshInterval:(display:Off,section:0,value:0),time:(from:'2016-05-31 11:59:04-0600',mode:absolute,to:'2016-05-31 12:42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X71" s="73" t="str">
        <f t="shared" si="28"/>
        <v>N</v>
      </c>
      <c r="Y71" s="73">
        <f t="shared" si="22"/>
        <v>1</v>
      </c>
      <c r="Z71" s="73">
        <f t="shared" si="29"/>
        <v>4.53E-2</v>
      </c>
      <c r="AA71" s="73">
        <v>23.329799999999999</v>
      </c>
      <c r="AB71" s="73">
        <f t="shared" si="30"/>
        <v>23.284499999999998</v>
      </c>
      <c r="AC71" s="74" t="e">
        <f>VLOOKUP(A71,Enforcements!$C$3:$J$52,8,0)</f>
        <v>#N/A</v>
      </c>
      <c r="AD71" s="74" t="e">
        <f>VLOOKUP(A71,Enforcements!$C$3:$J$52,3,0)</f>
        <v>#N/A</v>
      </c>
    </row>
    <row r="72" spans="1:30" s="2" customFormat="1" x14ac:dyDescent="0.25">
      <c r="A72" s="60" t="s">
        <v>296</v>
      </c>
      <c r="B72" s="60">
        <v>4010</v>
      </c>
      <c r="C72" s="60" t="s">
        <v>62</v>
      </c>
      <c r="D72" s="60" t="s">
        <v>148</v>
      </c>
      <c r="E72" s="30">
        <v>42521.533356481479</v>
      </c>
      <c r="F72" s="30">
        <v>42521.534328703703</v>
      </c>
      <c r="G72" s="38">
        <v>1</v>
      </c>
      <c r="H72" s="30" t="s">
        <v>65</v>
      </c>
      <c r="I72" s="30">
        <v>42521.570185185185</v>
      </c>
      <c r="J72" s="60">
        <v>0</v>
      </c>
      <c r="K72" s="60" t="str">
        <f t="shared" si="25"/>
        <v>4009/4010</v>
      </c>
      <c r="L72" s="60" t="str">
        <f>VLOOKUP(A72,'Trips&amp;Operators'!$C$1:$E$9999,3,FALSE)</f>
        <v>RIVERA</v>
      </c>
      <c r="M72" s="12">
        <f t="shared" si="26"/>
        <v>3.5856481481459923E-2</v>
      </c>
      <c r="N72" s="13">
        <f t="shared" si="33"/>
        <v>51.633333333302289</v>
      </c>
      <c r="O72" s="13"/>
      <c r="P72" s="13"/>
      <c r="Q72" s="61"/>
      <c r="R72" s="61"/>
      <c r="S72" s="94">
        <f t="shared" si="31"/>
        <v>1</v>
      </c>
      <c r="T72" s="2" t="str">
        <f t="shared" si="32"/>
        <v>Southbound</v>
      </c>
      <c r="U72" s="67">
        <f>COUNTIFS([2]Variables!$M$2:$M$19,IF(T72="NorthBound","&gt;=","&lt;=")&amp;Z72,[2]Variables!$M$2:$M$19,IF(T72="NorthBound","&lt;=","&gt;=")&amp;AA72)</f>
        <v>12</v>
      </c>
      <c r="W72" s="73" t="str">
        <f t="shared" si="27"/>
        <v>https://search-rtdc-monitor-bjffxe2xuh6vdkpspy63sjmuny.us-east-1.es.amazonaws.com/_plugin/kibana/#/discover/Steve-Slow-Train-Analysis-(2080s-and-2083s)?_g=(refreshInterval:(display:Off,section:0,value:0),time:(from:'2016-05-31 12:47:02-0600',mode:absolute,to:'2016-05-31 13:42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X72" s="73" t="str">
        <f t="shared" si="28"/>
        <v>N</v>
      </c>
      <c r="Y72" s="73">
        <f t="shared" si="22"/>
        <v>1</v>
      </c>
      <c r="Z72" s="73">
        <f t="shared" si="29"/>
        <v>23.299800000000001</v>
      </c>
      <c r="AA72" s="73">
        <f t="shared" ref="AA72:AA90" si="34">RIGHT(H72,LEN(H72)-4)/10000</f>
        <v>1.4500000000000001E-2</v>
      </c>
      <c r="AB72" s="73">
        <f t="shared" si="30"/>
        <v>23.285299999999999</v>
      </c>
      <c r="AC72" s="74" t="e">
        <f>VLOOKUP(A72,Enforcements!$C$3:$J$52,8,0)</f>
        <v>#N/A</v>
      </c>
      <c r="AD72" s="74" t="e">
        <f>VLOOKUP(A72,Enforcements!$C$3:$J$52,3,0)</f>
        <v>#N/A</v>
      </c>
    </row>
    <row r="73" spans="1:30" s="2" customFormat="1" x14ac:dyDescent="0.25">
      <c r="A73" s="60" t="s">
        <v>297</v>
      </c>
      <c r="B73" s="60">
        <v>4040</v>
      </c>
      <c r="C73" s="60" t="s">
        <v>62</v>
      </c>
      <c r="D73" s="60" t="s">
        <v>102</v>
      </c>
      <c r="E73" s="30">
        <v>42521.504849537036</v>
      </c>
      <c r="F73" s="30">
        <v>42521.505972222221</v>
      </c>
      <c r="G73" s="38">
        <v>1</v>
      </c>
      <c r="H73" s="30" t="s">
        <v>130</v>
      </c>
      <c r="I73" s="30">
        <v>42521.539143518516</v>
      </c>
      <c r="J73" s="60">
        <v>0</v>
      </c>
      <c r="K73" s="60" t="str">
        <f t="shared" si="25"/>
        <v>4039/4040</v>
      </c>
      <c r="L73" s="60" t="str">
        <f>VLOOKUP(A73,'Trips&amp;Operators'!$C$1:$E$9999,3,FALSE)</f>
        <v>HELVIE</v>
      </c>
      <c r="M73" s="12">
        <f t="shared" si="26"/>
        <v>3.3171296294312924E-2</v>
      </c>
      <c r="N73" s="13">
        <f t="shared" si="33"/>
        <v>47.766666663810611</v>
      </c>
      <c r="O73" s="13"/>
      <c r="P73" s="13"/>
      <c r="Q73" s="61"/>
      <c r="R73" s="61"/>
      <c r="S73" s="94">
        <f t="shared" si="31"/>
        <v>1</v>
      </c>
      <c r="T73" s="2" t="str">
        <f t="shared" si="32"/>
        <v>NorthBound</v>
      </c>
      <c r="U73" s="67">
        <f>COUNTIFS([2]Variables!$M$2:$M$19,IF(T73="NorthBound","&gt;=","&lt;=")&amp;Z73,[2]Variables!$M$2:$M$19,IF(T73="NorthBound","&lt;=","&gt;=")&amp;AA73)</f>
        <v>12</v>
      </c>
      <c r="W73" s="73" t="str">
        <f t="shared" si="27"/>
        <v>https://search-rtdc-monitor-bjffxe2xuh6vdkpspy63sjmuny.us-east-1.es.amazonaws.com/_plugin/kibana/#/discover/Steve-Slow-Train-Analysis-(2080s-and-2083s)?_g=(refreshInterval:(display:Off,section:0,value:0),time:(from:'2016-05-31 12:05:59-0600',mode:absolute,to:'2016-05-31 12:57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X73" s="73" t="str">
        <f t="shared" si="28"/>
        <v>N</v>
      </c>
      <c r="Y73" s="73">
        <f t="shared" si="22"/>
        <v>1</v>
      </c>
      <c r="Z73" s="73">
        <f t="shared" si="29"/>
        <v>4.5699999999999998E-2</v>
      </c>
      <c r="AA73" s="73">
        <f t="shared" si="34"/>
        <v>23.331</v>
      </c>
      <c r="AB73" s="73">
        <f t="shared" si="30"/>
        <v>23.285299999999999</v>
      </c>
      <c r="AC73" s="74" t="e">
        <f>VLOOKUP(A73,Enforcements!$C$3:$J$52,8,0)</f>
        <v>#N/A</v>
      </c>
      <c r="AD73" s="74" t="e">
        <f>VLOOKUP(A73,Enforcements!$C$3:$J$52,3,0)</f>
        <v>#N/A</v>
      </c>
    </row>
    <row r="74" spans="1:30" s="2" customFormat="1" x14ac:dyDescent="0.25">
      <c r="A74" s="60" t="s">
        <v>298</v>
      </c>
      <c r="B74" s="60">
        <v>4039</v>
      </c>
      <c r="C74" s="60" t="s">
        <v>62</v>
      </c>
      <c r="D74" s="60" t="s">
        <v>111</v>
      </c>
      <c r="E74" s="30">
        <v>42521.540451388886</v>
      </c>
      <c r="F74" s="30">
        <v>42521.54142361111</v>
      </c>
      <c r="G74" s="38">
        <v>1</v>
      </c>
      <c r="H74" s="30" t="s">
        <v>113</v>
      </c>
      <c r="I74" s="30">
        <v>42521.579699074071</v>
      </c>
      <c r="J74" s="60">
        <v>0</v>
      </c>
      <c r="K74" s="60" t="str">
        <f t="shared" si="25"/>
        <v>4039/4040</v>
      </c>
      <c r="L74" s="60" t="str">
        <f>VLOOKUP(A74,'Trips&amp;Operators'!$C$1:$E$9999,3,FALSE)</f>
        <v>HELVIE</v>
      </c>
      <c r="M74" s="12">
        <f t="shared" si="26"/>
        <v>3.8275462960882578E-2</v>
      </c>
      <c r="N74" s="13">
        <f t="shared" si="33"/>
        <v>55.116666663670912</v>
      </c>
      <c r="O74" s="13"/>
      <c r="P74" s="13"/>
      <c r="Q74" s="61"/>
      <c r="R74" s="61"/>
      <c r="S74" s="94">
        <f t="shared" si="31"/>
        <v>1</v>
      </c>
      <c r="T74" s="2" t="str">
        <f t="shared" si="32"/>
        <v>Southbound</v>
      </c>
      <c r="U74" s="67">
        <f>COUNTIFS([2]Variables!$M$2:$M$19,IF(T74="NorthBound","&gt;=","&lt;=")&amp;Z74,[2]Variables!$M$2:$M$19,IF(T74="NorthBound","&lt;=","&gt;=")&amp;AA74)</f>
        <v>12</v>
      </c>
      <c r="W74" s="73" t="str">
        <f t="shared" si="27"/>
        <v>https://search-rtdc-monitor-bjffxe2xuh6vdkpspy63sjmuny.us-east-1.es.amazonaws.com/_plugin/kibana/#/discover/Steve-Slow-Train-Analysis-(2080s-and-2083s)?_g=(refreshInterval:(display:Off,section:0,value:0),time:(from:'2016-05-31 12:57:15-0600',mode:absolute,to:'2016-05-31 13:55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X74" s="73" t="str">
        <f t="shared" si="28"/>
        <v>N</v>
      </c>
      <c r="Y74" s="73">
        <f t="shared" si="22"/>
        <v>1</v>
      </c>
      <c r="Z74" s="73">
        <f t="shared" si="29"/>
        <v>23.298500000000001</v>
      </c>
      <c r="AA74" s="73">
        <f t="shared" si="34"/>
        <v>1.5599999999999999E-2</v>
      </c>
      <c r="AB74" s="73">
        <f t="shared" si="30"/>
        <v>23.282900000000001</v>
      </c>
      <c r="AC74" s="74" t="e">
        <f>VLOOKUP(A74,Enforcements!$C$3:$J$52,8,0)</f>
        <v>#N/A</v>
      </c>
      <c r="AD74" s="74" t="e">
        <f>VLOOKUP(A74,Enforcements!$C$3:$J$52,3,0)</f>
        <v>#N/A</v>
      </c>
    </row>
    <row r="75" spans="1:30" s="2" customFormat="1" x14ac:dyDescent="0.25">
      <c r="A75" s="60" t="s">
        <v>299</v>
      </c>
      <c r="B75" s="60">
        <v>4011</v>
      </c>
      <c r="C75" s="60" t="s">
        <v>62</v>
      </c>
      <c r="D75" s="60" t="s">
        <v>127</v>
      </c>
      <c r="E75" s="30">
        <v>42521.516076388885</v>
      </c>
      <c r="F75" s="30">
        <v>42521.517129629632</v>
      </c>
      <c r="G75" s="38">
        <v>1</v>
      </c>
      <c r="H75" s="30" t="s">
        <v>154</v>
      </c>
      <c r="I75" s="30">
        <v>42521.548750000002</v>
      </c>
      <c r="J75" s="60">
        <v>1</v>
      </c>
      <c r="K75" s="60" t="str">
        <f t="shared" si="25"/>
        <v>4011/4012</v>
      </c>
      <c r="L75" s="60" t="str">
        <f>VLOOKUP(A75,'Trips&amp;Operators'!$C$1:$E$9999,3,FALSE)</f>
        <v>BONDS</v>
      </c>
      <c r="M75" s="12">
        <f t="shared" si="26"/>
        <v>3.1620370369637385E-2</v>
      </c>
      <c r="N75" s="13">
        <f t="shared" si="33"/>
        <v>45.533333332277834</v>
      </c>
      <c r="O75" s="13"/>
      <c r="P75" s="13"/>
      <c r="Q75" s="61"/>
      <c r="R75" s="61"/>
      <c r="S75" s="94">
        <f t="shared" si="31"/>
        <v>1</v>
      </c>
      <c r="T75" s="2" t="str">
        <f t="shared" si="32"/>
        <v>NorthBound</v>
      </c>
      <c r="U75" s="67">
        <f>COUNTIFS([2]Variables!$M$2:$M$19,IF(T75="NorthBound","&gt;=","&lt;=")&amp;Z75,[2]Variables!$M$2:$M$19,IF(T75="NorthBound","&lt;=","&gt;=")&amp;AA75)</f>
        <v>12</v>
      </c>
      <c r="W75" s="73" t="str">
        <f t="shared" si="27"/>
        <v>https://search-rtdc-monitor-bjffxe2xuh6vdkpspy63sjmuny.us-east-1.es.amazonaws.com/_plugin/kibana/#/discover/Steve-Slow-Train-Analysis-(2080s-and-2083s)?_g=(refreshInterval:(display:Off,section:0,value:0),time:(from:'2016-05-31 12:22:09-0600',mode:absolute,to:'2016-05-31 13:11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X75" s="73" t="str">
        <f t="shared" si="28"/>
        <v>N</v>
      </c>
      <c r="Y75" s="73">
        <f t="shared" si="22"/>
        <v>1</v>
      </c>
      <c r="Z75" s="73">
        <f t="shared" si="29"/>
        <v>4.4200000000000003E-2</v>
      </c>
      <c r="AA75" s="73">
        <f t="shared" si="34"/>
        <v>23.329899999999999</v>
      </c>
      <c r="AB75" s="73">
        <f t="shared" si="30"/>
        <v>23.285699999999999</v>
      </c>
      <c r="AC75" s="74">
        <f>VLOOKUP(A75,Enforcements!$C$3:$J$52,8,0)</f>
        <v>232080</v>
      </c>
      <c r="AD75" s="74" t="str">
        <f>VLOOKUP(A75,Enforcements!$C$3:$J$52,3,0)</f>
        <v>PERMANENT SPEED RESTRICTION</v>
      </c>
    </row>
    <row r="76" spans="1:30" s="2" customFormat="1" x14ac:dyDescent="0.25">
      <c r="A76" s="60" t="s">
        <v>300</v>
      </c>
      <c r="B76" s="60">
        <v>4012</v>
      </c>
      <c r="C76" s="60" t="s">
        <v>62</v>
      </c>
      <c r="D76" s="60" t="s">
        <v>94</v>
      </c>
      <c r="E76" s="30">
        <v>42521.552847222221</v>
      </c>
      <c r="F76" s="30">
        <v>42521.553981481484</v>
      </c>
      <c r="G76" s="38">
        <v>1</v>
      </c>
      <c r="H76" s="30" t="s">
        <v>97</v>
      </c>
      <c r="I76" s="30">
        <v>42521.590428240743</v>
      </c>
      <c r="J76" s="60">
        <v>2</v>
      </c>
      <c r="K76" s="60" t="str">
        <f t="shared" si="25"/>
        <v>4011/4012</v>
      </c>
      <c r="L76" s="60" t="str">
        <f>VLOOKUP(A76,'Trips&amp;Operators'!$C$1:$E$9999,3,FALSE)</f>
        <v>BONDS</v>
      </c>
      <c r="M76" s="12">
        <f t="shared" si="26"/>
        <v>3.6446759258979E-2</v>
      </c>
      <c r="N76" s="13">
        <f t="shared" si="33"/>
        <v>52.48333333292976</v>
      </c>
      <c r="O76" s="13"/>
      <c r="P76" s="13"/>
      <c r="Q76" s="61"/>
      <c r="R76" s="61"/>
      <c r="S76" s="94">
        <f t="shared" si="31"/>
        <v>1</v>
      </c>
      <c r="T76" s="2" t="str">
        <f t="shared" si="32"/>
        <v>Southbound</v>
      </c>
      <c r="U76" s="67">
        <f>COUNTIFS([2]Variables!$M$2:$M$19,IF(T76="NorthBound","&gt;=","&lt;=")&amp;Z76,[2]Variables!$M$2:$M$19,IF(T76="NorthBound","&lt;=","&gt;=")&amp;AA76)</f>
        <v>12</v>
      </c>
      <c r="W76" s="73" t="str">
        <f t="shared" si="27"/>
        <v>https://search-rtdc-monitor-bjffxe2xuh6vdkpspy63sjmuny.us-east-1.es.amazonaws.com/_plugin/kibana/#/discover/Steve-Slow-Train-Analysis-(2080s-and-2083s)?_g=(refreshInterval:(display:Off,section:0,value:0),time:(from:'2016-05-31 13:15:06-0600',mode:absolute,to:'2016-05-31 14:11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X76" s="73" t="str">
        <f t="shared" si="28"/>
        <v>N</v>
      </c>
      <c r="Y76" s="73">
        <f t="shared" si="22"/>
        <v>1</v>
      </c>
      <c r="Z76" s="73">
        <f t="shared" si="29"/>
        <v>23.297699999999999</v>
      </c>
      <c r="AA76" s="73">
        <f t="shared" si="34"/>
        <v>1.43E-2</v>
      </c>
      <c r="AB76" s="73">
        <f t="shared" si="30"/>
        <v>23.2834</v>
      </c>
      <c r="AC76" s="74">
        <f>VLOOKUP(A76,Enforcements!$C$3:$J$52,8,0)</f>
        <v>109135</v>
      </c>
      <c r="AD76" s="74" t="str">
        <f>VLOOKUP(A76,Enforcements!$C$3:$J$52,3,0)</f>
        <v>GRADE CROSSING</v>
      </c>
    </row>
    <row r="77" spans="1:30" s="2" customFormat="1" x14ac:dyDescent="0.25">
      <c r="A77" s="60" t="s">
        <v>301</v>
      </c>
      <c r="B77" s="60">
        <v>4014</v>
      </c>
      <c r="C77" s="60" t="s">
        <v>62</v>
      </c>
      <c r="D77" s="60" t="s">
        <v>96</v>
      </c>
      <c r="E77" s="30">
        <v>42521.530497685184</v>
      </c>
      <c r="F77" s="30">
        <v>42521.532523148147</v>
      </c>
      <c r="G77" s="38">
        <v>2</v>
      </c>
      <c r="H77" s="30" t="s">
        <v>302</v>
      </c>
      <c r="I77" s="30">
        <v>42521.558622685188</v>
      </c>
      <c r="J77" s="60">
        <v>0</v>
      </c>
      <c r="K77" s="60" t="str">
        <f t="shared" si="25"/>
        <v>4013/4014</v>
      </c>
      <c r="L77" s="60" t="str">
        <f>VLOOKUP(A77,'Trips&amp;Operators'!$C$1:$E$9999,3,FALSE)</f>
        <v>REBOLETTI</v>
      </c>
      <c r="M77" s="12">
        <f t="shared" si="26"/>
        <v>2.6099537040863652E-2</v>
      </c>
      <c r="N77" s="13">
        <f t="shared" si="33"/>
        <v>37.583333338843659</v>
      </c>
      <c r="O77" s="13"/>
      <c r="P77" s="13"/>
      <c r="Q77" s="61"/>
      <c r="R77" s="61"/>
      <c r="S77" s="94">
        <f t="shared" si="31"/>
        <v>1</v>
      </c>
      <c r="T77" s="2" t="str">
        <f t="shared" si="32"/>
        <v>NorthBound</v>
      </c>
      <c r="U77" s="67">
        <f>COUNTIFS([2]Variables!$M$2:$M$19,IF(T77="NorthBound","&gt;=","&lt;=")&amp;Z77,[2]Variables!$M$2:$M$19,IF(T77="NorthBound","&lt;=","&gt;=")&amp;AA77)</f>
        <v>12</v>
      </c>
      <c r="W77" s="73" t="str">
        <f t="shared" si="27"/>
        <v>https://search-rtdc-monitor-bjffxe2xuh6vdkpspy63sjmuny.us-east-1.es.amazonaws.com/_plugin/kibana/#/discover/Steve-Slow-Train-Analysis-(2080s-and-2083s)?_g=(refreshInterval:(display:Off,section:0,value:0),time:(from:'2016-05-31 12:42:55-0600',mode:absolute,to:'2016-05-31 13:25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X77" s="73" t="str">
        <f t="shared" si="28"/>
        <v>N</v>
      </c>
      <c r="Y77" s="73">
        <f t="shared" si="22"/>
        <v>1</v>
      </c>
      <c r="Z77" s="73">
        <f t="shared" si="29"/>
        <v>4.6600000000000003E-2</v>
      </c>
      <c r="AA77" s="73">
        <f t="shared" si="34"/>
        <v>23.327000000000002</v>
      </c>
      <c r="AB77" s="73">
        <f t="shared" si="30"/>
        <v>23.2804</v>
      </c>
      <c r="AC77" s="74" t="e">
        <f>VLOOKUP(A77,Enforcements!$C$3:$J$52,8,0)</f>
        <v>#N/A</v>
      </c>
      <c r="AD77" s="74" t="e">
        <f>VLOOKUP(A77,Enforcements!$C$3:$J$52,3,0)</f>
        <v>#N/A</v>
      </c>
    </row>
    <row r="78" spans="1:30" s="2" customFormat="1" x14ac:dyDescent="0.25">
      <c r="A78" s="60" t="s">
        <v>303</v>
      </c>
      <c r="B78" s="60">
        <v>4013</v>
      </c>
      <c r="C78" s="60" t="s">
        <v>62</v>
      </c>
      <c r="D78" s="60" t="s">
        <v>186</v>
      </c>
      <c r="E78" s="30">
        <v>42521.563101851854</v>
      </c>
      <c r="F78" s="30">
        <v>42521.56449074074</v>
      </c>
      <c r="G78" s="38">
        <v>1</v>
      </c>
      <c r="H78" s="30" t="s">
        <v>125</v>
      </c>
      <c r="I78" s="30">
        <v>42521.600949074076</v>
      </c>
      <c r="J78" s="60">
        <v>0</v>
      </c>
      <c r="K78" s="60" t="str">
        <f t="shared" si="25"/>
        <v>4013/4014</v>
      </c>
      <c r="L78" s="60" t="str">
        <f>VLOOKUP(A78,'Trips&amp;Operators'!$C$1:$E$9999,3,FALSE)</f>
        <v>REBOLETTI</v>
      </c>
      <c r="M78" s="12">
        <f t="shared" si="26"/>
        <v>3.6458333335758653E-2</v>
      </c>
      <c r="N78" s="13">
        <f t="shared" si="33"/>
        <v>52.50000000349246</v>
      </c>
      <c r="O78" s="13"/>
      <c r="P78" s="13"/>
      <c r="Q78" s="61"/>
      <c r="R78" s="61"/>
      <c r="S78" s="94">
        <f t="shared" si="31"/>
        <v>1</v>
      </c>
      <c r="T78" s="2" t="str">
        <f t="shared" si="32"/>
        <v>Southbound</v>
      </c>
      <c r="U78" s="67">
        <f>COUNTIFS([2]Variables!$M$2:$M$19,IF(T78="NorthBound","&gt;=","&lt;=")&amp;Z78,[2]Variables!$M$2:$M$19,IF(T78="NorthBound","&lt;=","&gt;=")&amp;AA78)</f>
        <v>12</v>
      </c>
      <c r="W78" s="73" t="str">
        <f t="shared" si="27"/>
        <v>https://search-rtdc-monitor-bjffxe2xuh6vdkpspy63sjmuny.us-east-1.es.amazonaws.com/_plugin/kibana/#/discover/Steve-Slow-Train-Analysis-(2080s-and-2083s)?_g=(refreshInterval:(display:Off,section:0,value:0),time:(from:'2016-05-31 13:29:52-0600',mode:absolute,to:'2016-05-31 14:26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X78" s="73" t="str">
        <f t="shared" si="28"/>
        <v>N</v>
      </c>
      <c r="Y78" s="73">
        <f t="shared" si="22"/>
        <v>1</v>
      </c>
      <c r="Z78" s="73">
        <f t="shared" si="29"/>
        <v>23.298100000000002</v>
      </c>
      <c r="AA78" s="73">
        <f t="shared" si="34"/>
        <v>1.6299999999999999E-2</v>
      </c>
      <c r="AB78" s="73">
        <f t="shared" si="30"/>
        <v>23.2818</v>
      </c>
      <c r="AC78" s="74" t="e">
        <f>VLOOKUP(A78,Enforcements!$C$3:$J$52,8,0)</f>
        <v>#N/A</v>
      </c>
      <c r="AD78" s="74" t="e">
        <f>VLOOKUP(A78,Enforcements!$C$3:$J$52,3,0)</f>
        <v>#N/A</v>
      </c>
    </row>
    <row r="79" spans="1:30" s="2" customFormat="1" x14ac:dyDescent="0.25">
      <c r="A79" s="60" t="s">
        <v>304</v>
      </c>
      <c r="B79" s="60">
        <v>4007</v>
      </c>
      <c r="C79" s="60" t="s">
        <v>62</v>
      </c>
      <c r="D79" s="60" t="s">
        <v>66</v>
      </c>
      <c r="E79" s="30">
        <v>42521.539664351854</v>
      </c>
      <c r="F79" s="30">
        <v>42521.541076388887</v>
      </c>
      <c r="G79" s="38">
        <v>2</v>
      </c>
      <c r="H79" s="30" t="s">
        <v>305</v>
      </c>
      <c r="I79" s="30">
        <v>42521.567442129628</v>
      </c>
      <c r="J79" s="60">
        <v>0</v>
      </c>
      <c r="K79" s="60" t="str">
        <f t="shared" si="25"/>
        <v>4007/4008</v>
      </c>
      <c r="L79" s="60" t="str">
        <f>VLOOKUP(A79,'Trips&amp;Operators'!$C$1:$E$9999,3,FALSE)</f>
        <v>LOZA</v>
      </c>
      <c r="M79" s="12">
        <f t="shared" si="26"/>
        <v>2.6365740741312038E-2</v>
      </c>
      <c r="N79" s="13">
        <f t="shared" si="33"/>
        <v>37.966666667489335</v>
      </c>
      <c r="O79" s="13"/>
      <c r="P79" s="13"/>
      <c r="Q79" s="61"/>
      <c r="R79" s="61"/>
      <c r="S79" s="94">
        <f t="shared" si="31"/>
        <v>1</v>
      </c>
      <c r="T79" s="2" t="str">
        <f t="shared" si="32"/>
        <v>NorthBound</v>
      </c>
      <c r="U79" s="67">
        <f>COUNTIFS([2]Variables!$M$2:$M$19,IF(T79="NorthBound","&gt;=","&lt;=")&amp;Z79,[2]Variables!$M$2:$M$19,IF(T79="NorthBound","&lt;=","&gt;=")&amp;AA79)</f>
        <v>12</v>
      </c>
      <c r="W79" s="73" t="str">
        <f t="shared" si="27"/>
        <v>https://search-rtdc-monitor-bjffxe2xuh6vdkpspy63sjmuny.us-east-1.es.amazonaws.com/_plugin/kibana/#/discover/Steve-Slow-Train-Analysis-(2080s-and-2083s)?_g=(refreshInterval:(display:Off,section:0,value:0),time:(from:'2016-05-31 12:56:07-0600',mode:absolute,to:'2016-05-31 13:38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X79" s="73" t="str">
        <f t="shared" si="28"/>
        <v>N</v>
      </c>
      <c r="Y79" s="73">
        <f t="shared" si="22"/>
        <v>1</v>
      </c>
      <c r="Z79" s="73">
        <f t="shared" si="29"/>
        <v>4.4699999999999997E-2</v>
      </c>
      <c r="AA79" s="73">
        <f t="shared" si="34"/>
        <v>23.3355</v>
      </c>
      <c r="AB79" s="73">
        <f t="shared" si="30"/>
        <v>23.290800000000001</v>
      </c>
      <c r="AC79" s="74" t="e">
        <f>VLOOKUP(A79,Enforcements!$C$3:$J$52,8,0)</f>
        <v>#N/A</v>
      </c>
      <c r="AD79" s="74" t="e">
        <f>VLOOKUP(A79,Enforcements!$C$3:$J$52,3,0)</f>
        <v>#N/A</v>
      </c>
    </row>
    <row r="80" spans="1:30" s="2" customFormat="1" x14ac:dyDescent="0.25">
      <c r="A80" s="60" t="s">
        <v>306</v>
      </c>
      <c r="B80" s="60">
        <v>4008</v>
      </c>
      <c r="C80" s="60" t="s">
        <v>62</v>
      </c>
      <c r="D80" s="60" t="s">
        <v>143</v>
      </c>
      <c r="E80" s="30">
        <v>42521.577002314814</v>
      </c>
      <c r="F80" s="30">
        <v>42521.577905092592</v>
      </c>
      <c r="G80" s="38">
        <v>1</v>
      </c>
      <c r="H80" s="30" t="s">
        <v>65</v>
      </c>
      <c r="I80" s="30">
        <v>42521.613391203704</v>
      </c>
      <c r="J80" s="60">
        <v>0</v>
      </c>
      <c r="K80" s="60" t="str">
        <f t="shared" si="25"/>
        <v>4007/4008</v>
      </c>
      <c r="L80" s="60" t="str">
        <f>VLOOKUP(A80,'Trips&amp;Operators'!$C$1:$E$9999,3,FALSE)</f>
        <v>LOZA</v>
      </c>
      <c r="M80" s="12">
        <f t="shared" si="26"/>
        <v>3.5486111111822538E-2</v>
      </c>
      <c r="N80" s="13">
        <f t="shared" si="33"/>
        <v>51.100000001024455</v>
      </c>
      <c r="O80" s="13"/>
      <c r="P80" s="13"/>
      <c r="Q80" s="61"/>
      <c r="R80" s="61"/>
      <c r="S80" s="94">
        <f t="shared" si="31"/>
        <v>1</v>
      </c>
      <c r="T80" s="2" t="str">
        <f t="shared" si="32"/>
        <v>Southbound</v>
      </c>
      <c r="U80" s="67">
        <f>COUNTIFS([2]Variables!$M$2:$M$19,IF(T80="NorthBound","&gt;=","&lt;=")&amp;Z80,[2]Variables!$M$2:$M$19,IF(T80="NorthBound","&lt;=","&gt;=")&amp;AA80)</f>
        <v>12</v>
      </c>
      <c r="W80" s="73" t="str">
        <f t="shared" si="27"/>
        <v>https://search-rtdc-monitor-bjffxe2xuh6vdkpspy63sjmuny.us-east-1.es.amazonaws.com/_plugin/kibana/#/discover/Steve-Slow-Train-Analysis-(2080s-and-2083s)?_g=(refreshInterval:(display:Off,section:0,value:0),time:(from:'2016-05-31 13:49:53-0600',mode:absolute,to:'2016-05-31 14:44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X80" s="73" t="str">
        <f t="shared" si="28"/>
        <v>N</v>
      </c>
      <c r="Y80" s="73">
        <f t="shared" si="22"/>
        <v>1</v>
      </c>
      <c r="Z80" s="73">
        <f t="shared" si="29"/>
        <v>23.305499999999999</v>
      </c>
      <c r="AA80" s="73">
        <f t="shared" si="34"/>
        <v>1.4500000000000001E-2</v>
      </c>
      <c r="AB80" s="73">
        <f t="shared" si="30"/>
        <v>23.290999999999997</v>
      </c>
      <c r="AC80" s="74" t="e">
        <f>VLOOKUP(A80,Enforcements!$C$3:$J$52,8,0)</f>
        <v>#N/A</v>
      </c>
      <c r="AD80" s="74" t="e">
        <f>VLOOKUP(A80,Enforcements!$C$3:$J$52,3,0)</f>
        <v>#N/A</v>
      </c>
    </row>
    <row r="81" spans="1:30" s="2" customFormat="1" x14ac:dyDescent="0.25">
      <c r="A81" s="60" t="s">
        <v>307</v>
      </c>
      <c r="B81" s="60">
        <v>4029</v>
      </c>
      <c r="C81" s="60" t="s">
        <v>62</v>
      </c>
      <c r="D81" s="60" t="s">
        <v>102</v>
      </c>
      <c r="E81" s="30">
        <v>42521.550324074073</v>
      </c>
      <c r="F81" s="30">
        <v>42521.551226851851</v>
      </c>
      <c r="G81" s="38">
        <v>1</v>
      </c>
      <c r="H81" s="30" t="s">
        <v>308</v>
      </c>
      <c r="I81" s="30">
        <v>42521.580034722225</v>
      </c>
      <c r="J81" s="60">
        <v>1</v>
      </c>
      <c r="K81" s="60" t="str">
        <f t="shared" si="25"/>
        <v>4029/4030</v>
      </c>
      <c r="L81" s="60" t="str">
        <f>VLOOKUP(A81,'Trips&amp;Operators'!$C$1:$E$9999,3,FALSE)</f>
        <v>LOCKLEAR</v>
      </c>
      <c r="M81" s="12">
        <f t="shared" si="26"/>
        <v>2.8807870374293998E-2</v>
      </c>
      <c r="N81" s="13">
        <f t="shared" si="33"/>
        <v>41.483333338983357</v>
      </c>
      <c r="O81" s="13"/>
      <c r="P81" s="13"/>
      <c r="Q81" s="61"/>
      <c r="R81" s="61"/>
      <c r="S81" s="94">
        <f t="shared" si="31"/>
        <v>1</v>
      </c>
      <c r="T81" s="2" t="str">
        <f t="shared" si="32"/>
        <v>NorthBound</v>
      </c>
      <c r="U81" s="67">
        <f>COUNTIFS([2]Variables!$M$2:$M$19,IF(T81="NorthBound","&gt;=","&lt;=")&amp;Z81,[2]Variables!$M$2:$M$19,IF(T81="NorthBound","&lt;=","&gt;=")&amp;AA81)</f>
        <v>12</v>
      </c>
      <c r="W81" s="73" t="str">
        <f t="shared" si="27"/>
        <v>https://search-rtdc-monitor-bjffxe2xuh6vdkpspy63sjmuny.us-east-1.es.amazonaws.com/_plugin/kibana/#/discover/Steve-Slow-Train-Analysis-(2080s-and-2083s)?_g=(refreshInterval:(display:Off,section:0,value:0),time:(from:'2016-05-31 13:11:28-0600',mode:absolute,to:'2016-05-31 13:56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X81" s="73" t="str">
        <f t="shared" si="28"/>
        <v>N</v>
      </c>
      <c r="Y81" s="73">
        <f t="shared" si="22"/>
        <v>1</v>
      </c>
      <c r="Z81" s="73">
        <f t="shared" si="29"/>
        <v>4.5699999999999998E-2</v>
      </c>
      <c r="AA81" s="73">
        <f t="shared" si="34"/>
        <v>23.3215</v>
      </c>
      <c r="AB81" s="73">
        <f t="shared" si="30"/>
        <v>23.2758</v>
      </c>
      <c r="AC81" s="74">
        <f>VLOOKUP(A81,Enforcements!$C$3:$J$52,8,0)</f>
        <v>233491</v>
      </c>
      <c r="AD81" s="74" t="str">
        <f>VLOOKUP(A81,Enforcements!$C$3:$J$52,3,0)</f>
        <v>TRACK WARRANT AUTHORITY</v>
      </c>
    </row>
    <row r="82" spans="1:30" s="2" customFormat="1" x14ac:dyDescent="0.25">
      <c r="A82" s="60" t="s">
        <v>309</v>
      </c>
      <c r="B82" s="60">
        <v>4030</v>
      </c>
      <c r="C82" s="60" t="s">
        <v>62</v>
      </c>
      <c r="D82" s="60" t="s">
        <v>310</v>
      </c>
      <c r="E82" s="30">
        <v>42521.589085648149</v>
      </c>
      <c r="F82" s="30">
        <v>42521.58997685185</v>
      </c>
      <c r="G82" s="38">
        <v>1</v>
      </c>
      <c r="H82" s="30" t="s">
        <v>64</v>
      </c>
      <c r="I82" s="30">
        <v>42521.623888888891</v>
      </c>
      <c r="J82" s="60">
        <v>0</v>
      </c>
      <c r="K82" s="60" t="str">
        <f t="shared" si="25"/>
        <v>4029/4030</v>
      </c>
      <c r="L82" s="60" t="str">
        <f>VLOOKUP(A82,'Trips&amp;Operators'!$C$1:$E$9999,3,FALSE)</f>
        <v>LOCKLEAR</v>
      </c>
      <c r="M82" s="12">
        <f t="shared" si="26"/>
        <v>3.3912037040863652E-2</v>
      </c>
      <c r="N82" s="13">
        <f t="shared" si="33"/>
        <v>48.833333338843659</v>
      </c>
      <c r="O82" s="13"/>
      <c r="P82" s="13"/>
      <c r="Q82" s="61"/>
      <c r="R82" s="61"/>
      <c r="S82" s="94">
        <f t="shared" si="31"/>
        <v>1</v>
      </c>
      <c r="T82" s="2" t="str">
        <f t="shared" si="32"/>
        <v>Southbound</v>
      </c>
      <c r="U82" s="67">
        <f>COUNTIFS([2]Variables!$M$2:$M$19,IF(T82="NorthBound","&gt;=","&lt;=")&amp;Z82,[2]Variables!$M$2:$M$19,IF(T82="NorthBound","&lt;=","&gt;=")&amp;AA82)</f>
        <v>12</v>
      </c>
      <c r="W82" s="73" t="str">
        <f t="shared" si="27"/>
        <v>https://search-rtdc-monitor-bjffxe2xuh6vdkpspy63sjmuny.us-east-1.es.amazonaws.com/_plugin/kibana/#/discover/Steve-Slow-Train-Analysis-(2080s-and-2083s)?_g=(refreshInterval:(display:Off,section:0,value:0),time:(from:'2016-05-31 14:07:17-0600',mode:absolute,to:'2016-05-31 14:59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X82" s="73" t="str">
        <f t="shared" si="28"/>
        <v>N</v>
      </c>
      <c r="Y82" s="73">
        <f t="shared" si="22"/>
        <v>1</v>
      </c>
      <c r="Z82" s="73">
        <f t="shared" si="29"/>
        <v>23.289400000000001</v>
      </c>
      <c r="AA82" s="73">
        <f t="shared" si="34"/>
        <v>1.54E-2</v>
      </c>
      <c r="AB82" s="73">
        <f t="shared" si="30"/>
        <v>23.274000000000001</v>
      </c>
      <c r="AC82" s="74" t="e">
        <f>VLOOKUP(A82,Enforcements!$C$3:$J$52,8,0)</f>
        <v>#N/A</v>
      </c>
      <c r="AD82" s="74" t="e">
        <f>VLOOKUP(A82,Enforcements!$C$3:$J$52,3,0)</f>
        <v>#N/A</v>
      </c>
    </row>
    <row r="83" spans="1:30" s="2" customFormat="1" x14ac:dyDescent="0.25">
      <c r="A83" s="60" t="s">
        <v>311</v>
      </c>
      <c r="B83" s="60">
        <v>4031</v>
      </c>
      <c r="C83" s="60" t="s">
        <v>62</v>
      </c>
      <c r="D83" s="60" t="s">
        <v>312</v>
      </c>
      <c r="E83" s="30">
        <v>42521.560300925928</v>
      </c>
      <c r="F83" s="30">
        <v>42521.561273148145</v>
      </c>
      <c r="G83" s="38">
        <v>1</v>
      </c>
      <c r="H83" s="30" t="s">
        <v>105</v>
      </c>
      <c r="I83" s="30">
        <v>42521.590648148151</v>
      </c>
      <c r="J83" s="60">
        <v>1</v>
      </c>
      <c r="K83" s="60" t="str">
        <f t="shared" si="25"/>
        <v>4031/4032</v>
      </c>
      <c r="L83" s="60" t="str">
        <f>VLOOKUP(A83,'Trips&amp;Operators'!$C$1:$E$9999,3,FALSE)</f>
        <v>WEBSTER</v>
      </c>
      <c r="M83" s="12">
        <f t="shared" si="26"/>
        <v>2.9375000005529728E-2</v>
      </c>
      <c r="N83" s="13">
        <f t="shared" si="33"/>
        <v>42.300000007962808</v>
      </c>
      <c r="O83" s="13"/>
      <c r="P83" s="13"/>
      <c r="Q83" s="61"/>
      <c r="R83" s="61"/>
      <c r="S83" s="94">
        <f t="shared" si="31"/>
        <v>1</v>
      </c>
      <c r="T83" s="2" t="str">
        <f t="shared" si="32"/>
        <v>NorthBound</v>
      </c>
      <c r="U83" s="67">
        <f>COUNTIFS([2]Variables!$M$2:$M$19,IF(T83="NorthBound","&gt;=","&lt;=")&amp;Z83,[2]Variables!$M$2:$M$19,IF(T83="NorthBound","&lt;=","&gt;=")&amp;AA83)</f>
        <v>12</v>
      </c>
      <c r="W83" s="73" t="str">
        <f t="shared" si="27"/>
        <v>https://search-rtdc-monitor-bjffxe2xuh6vdkpspy63sjmuny.us-east-1.es.amazonaws.com/_plugin/kibana/#/discover/Steve-Slow-Train-Analysis-(2080s-and-2083s)?_g=(refreshInterval:(display:Off,section:0,value:0),time:(from:'2016-05-31 13:25:50-0600',mode:absolute,to:'2016-05-31 14:11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X83" s="73" t="str">
        <f t="shared" si="28"/>
        <v>N</v>
      </c>
      <c r="Y83" s="73">
        <f t="shared" si="22"/>
        <v>1</v>
      </c>
      <c r="Z83" s="73">
        <f t="shared" si="29"/>
        <v>5.57E-2</v>
      </c>
      <c r="AA83" s="73">
        <f t="shared" si="34"/>
        <v>23.330500000000001</v>
      </c>
      <c r="AB83" s="73">
        <f t="shared" si="30"/>
        <v>23.274799999999999</v>
      </c>
      <c r="AC83" s="74">
        <f>VLOOKUP(A83,Enforcements!$C$3:$J$52,8,0)</f>
        <v>233491</v>
      </c>
      <c r="AD83" s="74" t="str">
        <f>VLOOKUP(A83,Enforcements!$C$3:$J$52,3,0)</f>
        <v>TRACK WARRANT AUTHORITY</v>
      </c>
    </row>
    <row r="84" spans="1:30" s="2" customFormat="1" x14ac:dyDescent="0.25">
      <c r="A84" s="60" t="s">
        <v>313</v>
      </c>
      <c r="B84" s="60">
        <v>4032</v>
      </c>
      <c r="C84" s="60" t="s">
        <v>62</v>
      </c>
      <c r="D84" s="60" t="s">
        <v>123</v>
      </c>
      <c r="E84" s="30">
        <v>42521.597916666666</v>
      </c>
      <c r="F84" s="30">
        <v>42521.598993055559</v>
      </c>
      <c r="G84" s="38">
        <v>1</v>
      </c>
      <c r="H84" s="30" t="s">
        <v>97</v>
      </c>
      <c r="I84" s="30">
        <v>42521.632708333331</v>
      </c>
      <c r="J84" s="60">
        <v>2</v>
      </c>
      <c r="K84" s="60" t="str">
        <f t="shared" si="25"/>
        <v>4031/4032</v>
      </c>
      <c r="L84" s="60" t="str">
        <f>VLOOKUP(A84,'Trips&amp;Operators'!$C$1:$E$9999,3,FALSE)</f>
        <v>WEBSTER</v>
      </c>
      <c r="M84" s="12">
        <f t="shared" si="26"/>
        <v>3.3715277771989349E-2</v>
      </c>
      <c r="N84" s="13">
        <f t="shared" si="33"/>
        <v>48.549999991664663</v>
      </c>
      <c r="O84" s="13"/>
      <c r="P84" s="13"/>
      <c r="Q84" s="61"/>
      <c r="R84" s="61"/>
      <c r="S84" s="94">
        <f t="shared" si="31"/>
        <v>1</v>
      </c>
      <c r="T84" s="2" t="str">
        <f t="shared" si="32"/>
        <v>Southbound</v>
      </c>
      <c r="U84" s="67">
        <f>COUNTIFS([2]Variables!$M$2:$M$19,IF(T84="NorthBound","&gt;=","&lt;=")&amp;Z84,[2]Variables!$M$2:$M$19,IF(T84="NorthBound","&lt;=","&gt;=")&amp;AA84)</f>
        <v>12</v>
      </c>
      <c r="W84" s="73" t="str">
        <f t="shared" si="27"/>
        <v>https://search-rtdc-monitor-bjffxe2xuh6vdkpspy63sjmuny.us-east-1.es.amazonaws.com/_plugin/kibana/#/discover/Steve-Slow-Train-Analysis-(2080s-and-2083s)?_g=(refreshInterval:(display:Off,section:0,value:0),time:(from:'2016-05-31 14:20:00-0600',mode:absolute,to:'2016-05-31 15:12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X84" s="73" t="str">
        <f t="shared" si="28"/>
        <v>N</v>
      </c>
      <c r="Y84" s="73">
        <f t="shared" si="22"/>
        <v>1</v>
      </c>
      <c r="Z84" s="73">
        <f t="shared" si="29"/>
        <v>23.2971</v>
      </c>
      <c r="AA84" s="73">
        <f t="shared" si="34"/>
        <v>1.43E-2</v>
      </c>
      <c r="AB84" s="73">
        <f t="shared" si="30"/>
        <v>23.282800000000002</v>
      </c>
      <c r="AC84" s="74">
        <f>VLOOKUP(A84,Enforcements!$C$3:$J$52,8,0)</f>
        <v>109135</v>
      </c>
      <c r="AD84" s="74" t="str">
        <f>VLOOKUP(A84,Enforcements!$C$3:$J$52,3,0)</f>
        <v>GRADE CROSSING</v>
      </c>
    </row>
    <row r="85" spans="1:30" s="2" customFormat="1" x14ac:dyDescent="0.25">
      <c r="A85" s="60" t="s">
        <v>314</v>
      </c>
      <c r="B85" s="60">
        <v>4010</v>
      </c>
      <c r="C85" s="60" t="s">
        <v>62</v>
      </c>
      <c r="D85" s="60" t="s">
        <v>131</v>
      </c>
      <c r="E85" s="30">
        <v>42521.609317129631</v>
      </c>
      <c r="F85" s="30">
        <v>42521.610300925924</v>
      </c>
      <c r="G85" s="38">
        <v>1</v>
      </c>
      <c r="H85" s="30" t="s">
        <v>79</v>
      </c>
      <c r="I85" s="30">
        <v>42521.647106481483</v>
      </c>
      <c r="J85" s="60">
        <v>1</v>
      </c>
      <c r="K85" s="60" t="str">
        <f t="shared" si="25"/>
        <v>4009/4010</v>
      </c>
      <c r="L85" s="60" t="str">
        <f>VLOOKUP(A85,'Trips&amp;Operators'!$C$1:$E$9999,3,FALSE)</f>
        <v>RIVERA</v>
      </c>
      <c r="M85" s="12">
        <f t="shared" si="26"/>
        <v>3.680555555911269E-2</v>
      </c>
      <c r="N85" s="13">
        <f t="shared" si="33"/>
        <v>53.000000005122274</v>
      </c>
      <c r="O85" s="13"/>
      <c r="P85" s="13"/>
      <c r="Q85" s="61"/>
      <c r="R85" s="61"/>
      <c r="S85" s="94">
        <f t="shared" si="31"/>
        <v>1</v>
      </c>
      <c r="T85" s="2" t="str">
        <f t="shared" si="32"/>
        <v>Southbound</v>
      </c>
      <c r="U85" s="67">
        <f>COUNTIFS([2]Variables!$M$2:$M$19,IF(T85="NorthBound","&gt;=","&lt;=")&amp;Z85,[2]Variables!$M$2:$M$19,IF(T85="NorthBound","&lt;=","&gt;=")&amp;AA85)</f>
        <v>12</v>
      </c>
      <c r="W85" s="73" t="str">
        <f t="shared" si="27"/>
        <v>https://search-rtdc-monitor-bjffxe2xuh6vdkpspy63sjmuny.us-east-1.es.amazonaws.com/_plugin/kibana/#/discover/Steve-Slow-Train-Analysis-(2080s-and-2083s)?_g=(refreshInterval:(display:Off,section:0,value:0),time:(from:'2016-05-31 14:36:25-0600',mode:absolute,to:'2016-05-31 15:32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X85" s="73" t="str">
        <f t="shared" si="28"/>
        <v>N</v>
      </c>
      <c r="Y85" s="73">
        <f t="shared" ref="Y85:Y105" si="35">VALUE(LEFT(A85,3))-VALUE(LEFT(A84,3))</f>
        <v>2</v>
      </c>
      <c r="Z85" s="73">
        <f t="shared" si="29"/>
        <v>23.298400000000001</v>
      </c>
      <c r="AA85" s="73">
        <f t="shared" si="34"/>
        <v>1.47E-2</v>
      </c>
      <c r="AB85" s="73">
        <f t="shared" si="30"/>
        <v>23.2837</v>
      </c>
      <c r="AC85" s="74">
        <f>VLOOKUP(A85,Enforcements!$C$3:$J$52,8,0)</f>
        <v>1</v>
      </c>
      <c r="AD85" s="74" t="str">
        <f>VLOOKUP(A85,Enforcements!$C$3:$J$52,3,0)</f>
        <v>TRACK WARRANT AUTHORITY</v>
      </c>
    </row>
    <row r="86" spans="1:30" s="2" customFormat="1" x14ac:dyDescent="0.25">
      <c r="A86" s="60" t="s">
        <v>315</v>
      </c>
      <c r="B86" s="60">
        <v>4040</v>
      </c>
      <c r="C86" s="60" t="s">
        <v>62</v>
      </c>
      <c r="D86" s="60" t="s">
        <v>122</v>
      </c>
      <c r="E86" s="30">
        <v>42521.580729166664</v>
      </c>
      <c r="F86" s="30">
        <v>42521.581979166665</v>
      </c>
      <c r="G86" s="38">
        <v>1</v>
      </c>
      <c r="H86" s="30" t="s">
        <v>95</v>
      </c>
      <c r="I86" s="30">
        <v>42521.611157407409</v>
      </c>
      <c r="J86" s="60">
        <v>0</v>
      </c>
      <c r="K86" s="60" t="str">
        <f t="shared" si="25"/>
        <v>4039/4040</v>
      </c>
      <c r="L86" s="60" t="str">
        <f>VLOOKUP(A86,'Trips&amp;Operators'!$C$1:$E$9999,3,FALSE)</f>
        <v>HELVIE</v>
      </c>
      <c r="M86" s="12">
        <f t="shared" si="26"/>
        <v>2.9178240743931383E-2</v>
      </c>
      <c r="N86" s="13">
        <f t="shared" si="33"/>
        <v>42.016666671261191</v>
      </c>
      <c r="O86" s="13"/>
      <c r="P86" s="13"/>
      <c r="Q86" s="61"/>
      <c r="R86" s="61"/>
      <c r="S86" s="94">
        <f t="shared" si="31"/>
        <v>1</v>
      </c>
      <c r="T86" s="2" t="str">
        <f t="shared" si="32"/>
        <v>NorthBound</v>
      </c>
      <c r="U86" s="67">
        <f>COUNTIFS([2]Variables!$M$2:$M$19,IF(T86="NorthBound","&gt;=","&lt;=")&amp;Z86,[2]Variables!$M$2:$M$19,IF(T86="NorthBound","&lt;=","&gt;=")&amp;AA86)</f>
        <v>12</v>
      </c>
      <c r="W86" s="73" t="str">
        <f t="shared" si="27"/>
        <v>https://search-rtdc-monitor-bjffxe2xuh6vdkpspy63sjmuny.us-east-1.es.amazonaws.com/_plugin/kibana/#/discover/Steve-Slow-Train-Analysis-(2080s-and-2083s)?_g=(refreshInterval:(display:Off,section:0,value:0),time:(from:'2016-05-31 13:55:15-0600',mode:absolute,to:'2016-05-31 14:41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X86" s="73" t="str">
        <f t="shared" si="28"/>
        <v>N</v>
      </c>
      <c r="Y86" s="73">
        <f t="shared" si="35"/>
        <v>1</v>
      </c>
      <c r="Z86" s="73">
        <f t="shared" si="29"/>
        <v>4.7800000000000002E-2</v>
      </c>
      <c r="AA86" s="73">
        <f t="shared" si="34"/>
        <v>23.330400000000001</v>
      </c>
      <c r="AB86" s="73">
        <f t="shared" si="30"/>
        <v>23.282600000000002</v>
      </c>
      <c r="AC86" s="74" t="e">
        <f>VLOOKUP(A86,Enforcements!$C$3:$J$52,8,0)</f>
        <v>#N/A</v>
      </c>
      <c r="AD86" s="74" t="e">
        <f>VLOOKUP(A86,Enforcements!$C$3:$J$52,3,0)</f>
        <v>#N/A</v>
      </c>
    </row>
    <row r="87" spans="1:30" s="2" customFormat="1" x14ac:dyDescent="0.25">
      <c r="A87" s="60" t="s">
        <v>316</v>
      </c>
      <c r="B87" s="60">
        <v>4039</v>
      </c>
      <c r="C87" s="60" t="s">
        <v>62</v>
      </c>
      <c r="D87" s="60" t="s">
        <v>103</v>
      </c>
      <c r="E87" s="30">
        <v>42521.614861111113</v>
      </c>
      <c r="F87" s="30">
        <v>42521.615868055553</v>
      </c>
      <c r="G87" s="38">
        <v>1</v>
      </c>
      <c r="H87" s="30" t="s">
        <v>65</v>
      </c>
      <c r="I87" s="30">
        <v>42521.654143518521</v>
      </c>
      <c r="J87" s="60">
        <v>0</v>
      </c>
      <c r="K87" s="60" t="str">
        <f t="shared" si="25"/>
        <v>4039/4040</v>
      </c>
      <c r="L87" s="60" t="str">
        <f>VLOOKUP(A87,'Trips&amp;Operators'!$C$1:$E$9999,3,FALSE)</f>
        <v>HELVIE</v>
      </c>
      <c r="M87" s="12">
        <f t="shared" si="26"/>
        <v>3.8275462968158536E-2</v>
      </c>
      <c r="N87" s="13">
        <f t="shared" si="33"/>
        <v>55.116666674148291</v>
      </c>
      <c r="O87" s="13"/>
      <c r="P87" s="13"/>
      <c r="Q87" s="61"/>
      <c r="R87" s="61"/>
      <c r="S87" s="94">
        <f t="shared" si="31"/>
        <v>1</v>
      </c>
      <c r="T87" s="2" t="str">
        <f t="shared" si="32"/>
        <v>Southbound</v>
      </c>
      <c r="U87" s="67">
        <f>COUNTIFS([2]Variables!$M$2:$M$19,IF(T87="NorthBound","&gt;=","&lt;=")&amp;Z87,[2]Variables!$M$2:$M$19,IF(T87="NorthBound","&lt;=","&gt;=")&amp;AA87)</f>
        <v>12</v>
      </c>
      <c r="W87" s="73" t="str">
        <f t="shared" si="27"/>
        <v>https://search-rtdc-monitor-bjffxe2xuh6vdkpspy63sjmuny.us-east-1.es.amazonaws.com/_plugin/kibana/#/discover/Steve-Slow-Train-Analysis-(2080s-and-2083s)?_g=(refreshInterval:(display:Off,section:0,value:0),time:(from:'2016-05-31 14:44:24-0600',mode:absolute,to:'2016-05-31 15:42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X87" s="73" t="str">
        <f t="shared" si="28"/>
        <v>N</v>
      </c>
      <c r="Y87" s="73">
        <f t="shared" si="35"/>
        <v>1</v>
      </c>
      <c r="Z87" s="73">
        <f t="shared" si="29"/>
        <v>23.299099999999999</v>
      </c>
      <c r="AA87" s="73">
        <f t="shared" si="34"/>
        <v>1.4500000000000001E-2</v>
      </c>
      <c r="AB87" s="73">
        <f t="shared" si="30"/>
        <v>23.284599999999998</v>
      </c>
      <c r="AC87" s="74" t="e">
        <f>VLOOKUP(A87,Enforcements!$C$3:$J$52,8,0)</f>
        <v>#N/A</v>
      </c>
      <c r="AD87" s="74" t="e">
        <f>VLOOKUP(A87,Enforcements!$C$3:$J$52,3,0)</f>
        <v>#N/A</v>
      </c>
    </row>
    <row r="88" spans="1:30" s="2" customFormat="1" x14ac:dyDescent="0.25">
      <c r="A88" s="60" t="s">
        <v>317</v>
      </c>
      <c r="B88" s="60">
        <v>4011</v>
      </c>
      <c r="C88" s="60" t="s">
        <v>62</v>
      </c>
      <c r="D88" s="60" t="s">
        <v>287</v>
      </c>
      <c r="E88" s="30">
        <v>42521.591516203705</v>
      </c>
      <c r="F88" s="30">
        <v>42521.592835648145</v>
      </c>
      <c r="G88" s="38">
        <v>1</v>
      </c>
      <c r="H88" s="30" t="s">
        <v>318</v>
      </c>
      <c r="I88" s="30">
        <v>42521.622499999998</v>
      </c>
      <c r="J88" s="60">
        <v>0</v>
      </c>
      <c r="K88" s="60" t="str">
        <f t="shared" si="25"/>
        <v>4011/4012</v>
      </c>
      <c r="L88" s="60" t="str">
        <f>VLOOKUP(A88,'Trips&amp;Operators'!$C$1:$E$9999,3,FALSE)</f>
        <v>BONDS</v>
      </c>
      <c r="M88" s="12">
        <f t="shared" si="26"/>
        <v>2.9664351852261461E-2</v>
      </c>
      <c r="N88" s="13">
        <f t="shared" si="33"/>
        <v>42.716666667256504</v>
      </c>
      <c r="O88" s="13"/>
      <c r="P88" s="13"/>
      <c r="Q88" s="61"/>
      <c r="R88" s="61"/>
      <c r="S88" s="94">
        <f t="shared" si="31"/>
        <v>1</v>
      </c>
      <c r="T88" s="2" t="str">
        <f t="shared" si="32"/>
        <v>NorthBound</v>
      </c>
      <c r="U88" s="67">
        <f>COUNTIFS([2]Variables!$M$2:$M$19,IF(T88="NorthBound","&gt;=","&lt;=")&amp;Z88,[2]Variables!$M$2:$M$19,IF(T88="NorthBound","&lt;=","&gt;=")&amp;AA88)</f>
        <v>12</v>
      </c>
      <c r="W88" s="73" t="str">
        <f t="shared" si="27"/>
        <v>https://search-rtdc-monitor-bjffxe2xuh6vdkpspy63sjmuny.us-east-1.es.amazonaws.com/_plugin/kibana/#/discover/Steve-Slow-Train-Analysis-(2080s-and-2083s)?_g=(refreshInterval:(display:Off,section:0,value:0),time:(from:'2016-05-31 14:10:47-0600',mode:absolute,to:'2016-05-31 14:57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X88" s="73" t="str">
        <f t="shared" si="28"/>
        <v>N</v>
      </c>
      <c r="Y88" s="73">
        <f t="shared" si="35"/>
        <v>1</v>
      </c>
      <c r="Z88" s="73">
        <f t="shared" si="29"/>
        <v>4.3299999999999998E-2</v>
      </c>
      <c r="AA88" s="73">
        <f t="shared" si="34"/>
        <v>23.331099999999999</v>
      </c>
      <c r="AB88" s="73">
        <f t="shared" si="30"/>
        <v>23.287800000000001</v>
      </c>
      <c r="AC88" s="74" t="e">
        <f>VLOOKUP(A88,Enforcements!$C$3:$J$52,8,0)</f>
        <v>#N/A</v>
      </c>
      <c r="AD88" s="74" t="e">
        <f>VLOOKUP(A88,Enforcements!$C$3:$J$52,3,0)</f>
        <v>#N/A</v>
      </c>
    </row>
    <row r="89" spans="1:30" s="2" customFormat="1" x14ac:dyDescent="0.25">
      <c r="A89" s="60" t="s">
        <v>319</v>
      </c>
      <c r="B89" s="60">
        <v>4012</v>
      </c>
      <c r="C89" s="60" t="s">
        <v>62</v>
      </c>
      <c r="D89" s="60" t="s">
        <v>320</v>
      </c>
      <c r="E89" s="30">
        <v>42521.626631944448</v>
      </c>
      <c r="F89" s="30">
        <v>42521.627523148149</v>
      </c>
      <c r="G89" s="38">
        <v>1</v>
      </c>
      <c r="H89" s="30" t="s">
        <v>80</v>
      </c>
      <c r="I89" s="30">
        <v>42521.66605324074</v>
      </c>
      <c r="J89" s="60">
        <v>1</v>
      </c>
      <c r="K89" s="60" t="str">
        <f t="shared" si="25"/>
        <v>4011/4012</v>
      </c>
      <c r="L89" s="60" t="str">
        <f>VLOOKUP(A89,'Trips&amp;Operators'!$C$1:$E$9999,3,FALSE)</f>
        <v>BONDS</v>
      </c>
      <c r="M89" s="12">
        <f t="shared" si="26"/>
        <v>3.853009259182727E-2</v>
      </c>
      <c r="N89" s="13">
        <f t="shared" si="33"/>
        <v>55.483333332231268</v>
      </c>
      <c r="O89" s="13"/>
      <c r="P89" s="13"/>
      <c r="Q89" s="61"/>
      <c r="R89" s="61"/>
      <c r="S89" s="94">
        <f t="shared" si="31"/>
        <v>1</v>
      </c>
      <c r="T89" s="2" t="str">
        <f t="shared" si="32"/>
        <v>Southbound</v>
      </c>
      <c r="U89" s="67">
        <f>COUNTIFS([2]Variables!$M$2:$M$19,IF(T89="NorthBound","&gt;=","&lt;=")&amp;Z89,[2]Variables!$M$2:$M$19,IF(T89="NorthBound","&lt;=","&gt;=")&amp;AA89)</f>
        <v>12</v>
      </c>
      <c r="W89" s="73" t="str">
        <f t="shared" si="27"/>
        <v>https://search-rtdc-monitor-bjffxe2xuh6vdkpspy63sjmuny.us-east-1.es.amazonaws.com/_plugin/kibana/#/discover/Steve-Slow-Train-Analysis-(2080s-and-2083s)?_g=(refreshInterval:(display:Off,section:0,value:0),time:(from:'2016-05-31 15:01:21-0600',mode:absolute,to:'2016-05-31 16:00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X89" s="73" t="str">
        <f t="shared" si="28"/>
        <v>N</v>
      </c>
      <c r="Y89" s="73">
        <f t="shared" si="35"/>
        <v>1</v>
      </c>
      <c r="Z89" s="73">
        <f t="shared" si="29"/>
        <v>23.300899999999999</v>
      </c>
      <c r="AA89" s="73">
        <f t="shared" si="34"/>
        <v>1.5800000000000002E-2</v>
      </c>
      <c r="AB89" s="73">
        <f t="shared" si="30"/>
        <v>23.2851</v>
      </c>
      <c r="AC89" s="74">
        <f>VLOOKUP(A89,Enforcements!$C$3:$J$52,8,0)</f>
        <v>53277</v>
      </c>
      <c r="AD89" s="74" t="str">
        <f>VLOOKUP(A89,Enforcements!$C$3:$J$52,3,0)</f>
        <v>GRADE CROSSING</v>
      </c>
    </row>
    <row r="90" spans="1:30" s="2" customFormat="1" x14ac:dyDescent="0.25">
      <c r="A90" s="60" t="s">
        <v>321</v>
      </c>
      <c r="B90" s="60">
        <v>4014</v>
      </c>
      <c r="C90" s="60" t="s">
        <v>62</v>
      </c>
      <c r="D90" s="60" t="s">
        <v>72</v>
      </c>
      <c r="E90" s="30">
        <v>42521.60261574074</v>
      </c>
      <c r="F90" s="30">
        <v>42521.60355324074</v>
      </c>
      <c r="G90" s="38">
        <v>1</v>
      </c>
      <c r="H90" s="30" t="s">
        <v>101</v>
      </c>
      <c r="I90" s="30">
        <v>42521.631145833337</v>
      </c>
      <c r="J90" s="60">
        <v>0</v>
      </c>
      <c r="K90" s="60" t="str">
        <f t="shared" si="25"/>
        <v>4013/4014</v>
      </c>
      <c r="L90" s="60" t="str">
        <f>VLOOKUP(A90,'Trips&amp;Operators'!$C$1:$E$9999,3,FALSE)</f>
        <v>REBOLETTI</v>
      </c>
      <c r="M90" s="12">
        <f t="shared" si="26"/>
        <v>2.7592592596192844E-2</v>
      </c>
      <c r="N90" s="13">
        <f t="shared" si="33"/>
        <v>39.733333338517696</v>
      </c>
      <c r="O90" s="13"/>
      <c r="P90" s="13"/>
      <c r="Q90" s="61"/>
      <c r="R90" s="61"/>
      <c r="S90" s="94">
        <f t="shared" si="31"/>
        <v>1</v>
      </c>
      <c r="T90" s="2" t="str">
        <f t="shared" si="32"/>
        <v>NorthBound</v>
      </c>
      <c r="U90" s="67">
        <f>COUNTIFS([2]Variables!$M$2:$M$19,IF(T90="NorthBound","&gt;=","&lt;=")&amp;Z90,[2]Variables!$M$2:$M$19,IF(T90="NorthBound","&lt;=","&gt;=")&amp;AA90)</f>
        <v>12</v>
      </c>
      <c r="W90" s="73" t="str">
        <f t="shared" si="27"/>
        <v>https://search-rtdc-monitor-bjffxe2xuh6vdkpspy63sjmuny.us-east-1.es.amazonaws.com/_plugin/kibana/#/discover/Steve-Slow-Train-Analysis-(2080s-and-2083s)?_g=(refreshInterval:(display:Off,section:0,value:0),time:(from:'2016-05-31 14:26:46-0600',mode:absolute,to:'2016-05-31 15:09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X90" s="73" t="str">
        <f t="shared" si="28"/>
        <v>N</v>
      </c>
      <c r="Y90" s="73">
        <f t="shared" si="35"/>
        <v>1</v>
      </c>
      <c r="Z90" s="73">
        <f t="shared" si="29"/>
        <v>4.6399999999999997E-2</v>
      </c>
      <c r="AA90" s="73">
        <f t="shared" si="34"/>
        <v>23.328900000000001</v>
      </c>
      <c r="AB90" s="73">
        <f t="shared" si="30"/>
        <v>23.282500000000002</v>
      </c>
      <c r="AC90" s="74" t="e">
        <f>VLOOKUP(A90,Enforcements!$C$3:$J$52,8,0)</f>
        <v>#N/A</v>
      </c>
      <c r="AD90" s="74" t="e">
        <f>VLOOKUP(A90,Enforcements!$C$3:$J$52,3,0)</f>
        <v>#N/A</v>
      </c>
    </row>
    <row r="91" spans="1:30" s="2" customFormat="1" x14ac:dyDescent="0.25">
      <c r="A91" s="60" t="s">
        <v>322</v>
      </c>
      <c r="B91" s="60">
        <v>4013</v>
      </c>
      <c r="C91" s="60" t="s">
        <v>62</v>
      </c>
      <c r="D91" s="60" t="s">
        <v>94</v>
      </c>
      <c r="E91" s="30">
        <v>42521.639085648145</v>
      </c>
      <c r="F91" s="30">
        <v>42521.640115740738</v>
      </c>
      <c r="G91" s="38">
        <v>1</v>
      </c>
      <c r="H91" s="30" t="s">
        <v>135</v>
      </c>
      <c r="I91" s="30">
        <v>42521.674513888887</v>
      </c>
      <c r="J91" s="60">
        <v>0</v>
      </c>
      <c r="K91" s="60" t="str">
        <f t="shared" si="25"/>
        <v>4013/4014</v>
      </c>
      <c r="L91" s="60" t="str">
        <f>VLOOKUP(A91,'Trips&amp;Operators'!$C$1:$E$9999,3,FALSE)</f>
        <v>REBOLETTI</v>
      </c>
      <c r="M91" s="12">
        <f t="shared" si="26"/>
        <v>3.439814814919373E-2</v>
      </c>
      <c r="N91" s="13">
        <f>24*60*SUM($M91:$M91)</f>
        <v>49.533333334838971</v>
      </c>
      <c r="O91" s="13"/>
      <c r="P91" s="13"/>
      <c r="Q91" s="61"/>
      <c r="R91" s="61"/>
      <c r="S91" s="94">
        <f t="shared" si="31"/>
        <v>1</v>
      </c>
      <c r="T91" s="2" t="str">
        <f t="shared" si="32"/>
        <v>Southbound</v>
      </c>
      <c r="U91" s="67">
        <f>COUNTIFS([2]Variables!$M$2:$M$19,IF(T91="NorthBound","&gt;=","&lt;=")&amp;Z91,[2]Variables!$M$2:$M$19,IF(T91="NorthBound","&lt;=","&gt;=")&amp;AA91)</f>
        <v>12</v>
      </c>
      <c r="W91" s="73" t="str">
        <f t="shared" si="27"/>
        <v>https://search-rtdc-monitor-bjffxe2xuh6vdkpspy63sjmuny.us-east-1.es.amazonaws.com/_plugin/kibana/#/discover/Steve-Slow-Train-Analysis-(2080s-and-2083s)?_g=(refreshInterval:(display:Off,section:0,value:0),time:(from:'2016-05-31 15:19:17-0600',mode:absolute,to:'2016-05-31 16:12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X91" s="73" t="str">
        <f t="shared" si="28"/>
        <v>N</v>
      </c>
      <c r="Y91" s="73">
        <f t="shared" si="35"/>
        <v>1</v>
      </c>
      <c r="Z91" s="73">
        <f t="shared" si="29"/>
        <v>23.297699999999999</v>
      </c>
      <c r="AA91" s="73">
        <v>1.6899999999999998E-2</v>
      </c>
      <c r="AB91" s="73">
        <f t="shared" si="30"/>
        <v>23.280799999999999</v>
      </c>
      <c r="AC91" s="74" t="e">
        <f>VLOOKUP(A91,Enforcements!$C$3:$J$52,8,0)</f>
        <v>#N/A</v>
      </c>
      <c r="AD91" s="74" t="e">
        <f>VLOOKUP(A91,Enforcements!$C$3:$J$52,3,0)</f>
        <v>#N/A</v>
      </c>
    </row>
    <row r="92" spans="1:30" s="2" customFormat="1" x14ac:dyDescent="0.25">
      <c r="A92" s="60" t="s">
        <v>323</v>
      </c>
      <c r="B92" s="60">
        <v>4007</v>
      </c>
      <c r="C92" s="60" t="s">
        <v>62</v>
      </c>
      <c r="D92" s="60" t="s">
        <v>324</v>
      </c>
      <c r="E92" s="30">
        <v>42521.614444444444</v>
      </c>
      <c r="F92" s="30">
        <v>42521.615173611113</v>
      </c>
      <c r="G92" s="38">
        <v>1</v>
      </c>
      <c r="H92" s="30" t="s">
        <v>325</v>
      </c>
      <c r="I92" s="30">
        <v>42521.643935185188</v>
      </c>
      <c r="J92" s="60">
        <v>0</v>
      </c>
      <c r="K92" s="60" t="str">
        <f t="shared" si="25"/>
        <v>4007/4008</v>
      </c>
      <c r="L92" s="60" t="str">
        <f>VLOOKUP(A92,'Trips&amp;Operators'!$C$1:$E$9999,3,FALSE)</f>
        <v>LOZA</v>
      </c>
      <c r="M92" s="12">
        <f t="shared" si="26"/>
        <v>2.8761574074451346E-2</v>
      </c>
      <c r="N92" s="13">
        <f t="shared" ref="N92:N105" si="36">24*60*SUM($M92:$M92)</f>
        <v>41.416666667209938</v>
      </c>
      <c r="O92" s="13"/>
      <c r="P92" s="13"/>
      <c r="Q92" s="61"/>
      <c r="R92" s="61"/>
      <c r="S92" s="94">
        <f t="shared" si="31"/>
        <v>1</v>
      </c>
      <c r="T92" s="2" t="str">
        <f t="shared" si="32"/>
        <v>NorthBound</v>
      </c>
      <c r="U92" s="67">
        <f>COUNTIFS([2]Variables!$M$2:$M$19,IF(T92="NorthBound","&gt;=","&lt;=")&amp;Z92,[2]Variables!$M$2:$M$19,IF(T92="NorthBound","&lt;=","&gt;=")&amp;AA92)</f>
        <v>12</v>
      </c>
      <c r="W92" s="73" t="str">
        <f t="shared" si="27"/>
        <v>https://search-rtdc-monitor-bjffxe2xuh6vdkpspy63sjmuny.us-east-1.es.amazonaws.com/_plugin/kibana/#/discover/Steve-Slow-Train-Analysis-(2080s-and-2083s)?_g=(refreshInterval:(display:Off,section:0,value:0),time:(from:'2016-05-31 14:43:48-0600',mode:absolute,to:'2016-05-31 15:28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X92" s="73" t="str">
        <f t="shared" si="28"/>
        <v>N</v>
      </c>
      <c r="Y92" s="73">
        <f t="shared" si="35"/>
        <v>1</v>
      </c>
      <c r="Z92" s="73">
        <f t="shared" si="29"/>
        <v>4.4900000000000002E-2</v>
      </c>
      <c r="AA92" s="73">
        <f t="shared" ref="AA92:AA124" si="37">RIGHT(H92,LEN(H92)-4)/10000</f>
        <v>23.3309</v>
      </c>
      <c r="AB92" s="73">
        <f t="shared" si="30"/>
        <v>23.286000000000001</v>
      </c>
      <c r="AC92" s="74" t="e">
        <f>VLOOKUP(A92,Enforcements!$C$3:$J$52,8,0)</f>
        <v>#N/A</v>
      </c>
      <c r="AD92" s="74" t="e">
        <f>VLOOKUP(A92,Enforcements!$C$3:$J$52,3,0)</f>
        <v>#N/A</v>
      </c>
    </row>
    <row r="93" spans="1:30" s="2" customFormat="1" x14ac:dyDescent="0.25">
      <c r="A93" s="60" t="s">
        <v>326</v>
      </c>
      <c r="B93" s="60">
        <v>4008</v>
      </c>
      <c r="C93" s="60" t="s">
        <v>62</v>
      </c>
      <c r="D93" s="60" t="s">
        <v>327</v>
      </c>
      <c r="E93" s="30">
        <v>42521.650833333333</v>
      </c>
      <c r="F93" s="30">
        <v>42521.651643518519</v>
      </c>
      <c r="G93" s="38">
        <v>1</v>
      </c>
      <c r="H93" s="30" t="s">
        <v>132</v>
      </c>
      <c r="I93" s="30">
        <v>42521.68582175926</v>
      </c>
      <c r="J93" s="60">
        <v>0</v>
      </c>
      <c r="K93" s="60" t="str">
        <f t="shared" si="25"/>
        <v>4007/4008</v>
      </c>
      <c r="L93" s="60" t="str">
        <f>VLOOKUP(A93,'Trips&amp;Operators'!$C$1:$E$9999,3,FALSE)</f>
        <v>LOZA</v>
      </c>
      <c r="M93" s="12">
        <f t="shared" si="26"/>
        <v>3.4178240741312038E-2</v>
      </c>
      <c r="N93" s="13">
        <f t="shared" si="36"/>
        <v>49.216666667489335</v>
      </c>
      <c r="O93" s="13"/>
      <c r="P93" s="13"/>
      <c r="Q93" s="61"/>
      <c r="R93" s="61"/>
      <c r="S93" s="94">
        <f t="shared" si="31"/>
        <v>1</v>
      </c>
      <c r="T93" s="2" t="str">
        <f t="shared" si="32"/>
        <v>Southbound</v>
      </c>
      <c r="U93" s="67">
        <f>COUNTIFS([2]Variables!$M$2:$M$19,IF(T93="NorthBound","&gt;=","&lt;=")&amp;Z93,[2]Variables!$M$2:$M$19,IF(T93="NorthBound","&lt;=","&gt;=")&amp;AA93)</f>
        <v>12</v>
      </c>
      <c r="W93" s="73" t="str">
        <f t="shared" si="27"/>
        <v>https://search-rtdc-monitor-bjffxe2xuh6vdkpspy63sjmuny.us-east-1.es.amazonaws.com/_plugin/kibana/#/discover/Steve-Slow-Train-Analysis-(2080s-and-2083s)?_g=(refreshInterval:(display:Off,section:0,value:0),time:(from:'2016-05-31 15:36:12-0600',mode:absolute,to:'2016-05-31 16:28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X93" s="73" t="str">
        <f t="shared" si="28"/>
        <v>N</v>
      </c>
      <c r="Y93" s="73">
        <f t="shared" si="35"/>
        <v>1</v>
      </c>
      <c r="Z93" s="73">
        <f t="shared" si="29"/>
        <v>23.3048</v>
      </c>
      <c r="AA93" s="73">
        <f t="shared" si="37"/>
        <v>1.38E-2</v>
      </c>
      <c r="AB93" s="73">
        <f t="shared" si="30"/>
        <v>23.291</v>
      </c>
      <c r="AC93" s="74" t="e">
        <f>VLOOKUP(A93,Enforcements!$C$3:$J$52,8,0)</f>
        <v>#N/A</v>
      </c>
      <c r="AD93" s="74" t="e">
        <f>VLOOKUP(A93,Enforcements!$C$3:$J$52,3,0)</f>
        <v>#N/A</v>
      </c>
    </row>
    <row r="94" spans="1:30" s="2" customFormat="1" x14ac:dyDescent="0.25">
      <c r="A94" s="60" t="s">
        <v>328</v>
      </c>
      <c r="B94" s="60">
        <v>4029</v>
      </c>
      <c r="C94" s="60" t="s">
        <v>62</v>
      </c>
      <c r="D94" s="60" t="s">
        <v>122</v>
      </c>
      <c r="E94" s="30">
        <v>42521.624791666669</v>
      </c>
      <c r="F94" s="30">
        <v>42521.625706018516</v>
      </c>
      <c r="G94" s="38">
        <v>1</v>
      </c>
      <c r="H94" s="30" t="s">
        <v>329</v>
      </c>
      <c r="I94" s="30">
        <v>42521.658159722225</v>
      </c>
      <c r="J94" s="60">
        <v>2</v>
      </c>
      <c r="K94" s="60" t="str">
        <f t="shared" si="25"/>
        <v>4029/4030</v>
      </c>
      <c r="L94" s="60" t="str">
        <f>VLOOKUP(A94,'Trips&amp;Operators'!$C$1:$E$9999,3,FALSE)</f>
        <v>LOCKLEAR</v>
      </c>
      <c r="M94" s="12">
        <f t="shared" si="26"/>
        <v>3.2453703708597459E-2</v>
      </c>
      <c r="N94" s="13">
        <f t="shared" si="36"/>
        <v>46.733333340380341</v>
      </c>
      <c r="O94" s="13"/>
      <c r="P94" s="13"/>
      <c r="Q94" s="61"/>
      <c r="R94" s="61"/>
      <c r="S94" s="94">
        <f t="shared" si="31"/>
        <v>1</v>
      </c>
      <c r="T94" s="2" t="str">
        <f t="shared" si="32"/>
        <v>NorthBound</v>
      </c>
      <c r="U94" s="67">
        <f>COUNTIFS([2]Variables!$M$2:$M$19,IF(T94="NorthBound","&gt;=","&lt;=")&amp;Z94,[2]Variables!$M$2:$M$19,IF(T94="NorthBound","&lt;=","&gt;=")&amp;AA94)</f>
        <v>12</v>
      </c>
      <c r="W94" s="73" t="str">
        <f t="shared" si="27"/>
        <v>https://search-rtdc-monitor-bjffxe2xuh6vdkpspy63sjmuny.us-east-1.es.amazonaws.com/_plugin/kibana/#/discover/Steve-Slow-Train-Analysis-(2080s-and-2083s)?_g=(refreshInterval:(display:Off,section:0,value:0),time:(from:'2016-05-31 14:58:42-0600',mode:absolute,to:'2016-05-31 15:48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X94" s="73" t="str">
        <f t="shared" si="28"/>
        <v>N</v>
      </c>
      <c r="Y94" s="73">
        <f t="shared" si="35"/>
        <v>1</v>
      </c>
      <c r="Z94" s="73">
        <f t="shared" si="29"/>
        <v>4.7800000000000002E-2</v>
      </c>
      <c r="AA94" s="73">
        <f t="shared" si="37"/>
        <v>23.325500000000002</v>
      </c>
      <c r="AB94" s="73">
        <f t="shared" si="30"/>
        <v>23.277700000000003</v>
      </c>
      <c r="AC94" s="74">
        <f>VLOOKUP(A94,Enforcements!$C$3:$J$52,8,0)</f>
        <v>153800</v>
      </c>
      <c r="AD94" s="74" t="str">
        <f>VLOOKUP(A94,Enforcements!$C$3:$J$52,3,0)</f>
        <v>GRADE CROSSING</v>
      </c>
    </row>
    <row r="95" spans="1:30" s="2" customFormat="1" x14ac:dyDescent="0.25">
      <c r="A95" s="60" t="s">
        <v>330</v>
      </c>
      <c r="B95" s="60">
        <v>4031</v>
      </c>
      <c r="C95" s="60" t="s">
        <v>62</v>
      </c>
      <c r="D95" s="60" t="s">
        <v>156</v>
      </c>
      <c r="E95" s="30">
        <v>42521.634189814817</v>
      </c>
      <c r="F95" s="30">
        <v>42521.635150462964</v>
      </c>
      <c r="G95" s="38">
        <v>1</v>
      </c>
      <c r="H95" s="30" t="s">
        <v>117</v>
      </c>
      <c r="I95" s="30">
        <v>42521.664189814815</v>
      </c>
      <c r="J95" s="60">
        <v>1</v>
      </c>
      <c r="K95" s="60" t="str">
        <f t="shared" si="25"/>
        <v>4031/4032</v>
      </c>
      <c r="L95" s="60" t="str">
        <f>VLOOKUP(A95,'Trips&amp;Operators'!$C$1:$E$9999,3,FALSE)</f>
        <v>WEBSTER</v>
      </c>
      <c r="M95" s="12">
        <f t="shared" si="26"/>
        <v>2.9039351851679385E-2</v>
      </c>
      <c r="N95" s="13">
        <f t="shared" si="36"/>
        <v>41.816666666418314</v>
      </c>
      <c r="O95" s="13"/>
      <c r="P95" s="13"/>
      <c r="Q95" s="61"/>
      <c r="R95" s="61"/>
      <c r="S95" s="94">
        <f t="shared" si="31"/>
        <v>1</v>
      </c>
      <c r="T95" s="2" t="str">
        <f t="shared" si="32"/>
        <v>NorthBound</v>
      </c>
      <c r="U95" s="67">
        <f>COUNTIFS([2]Variables!$M$2:$M$19,IF(T95="NorthBound","&gt;=","&lt;=")&amp;Z95,[2]Variables!$M$2:$M$19,IF(T95="NorthBound","&lt;=","&gt;=")&amp;AA95)</f>
        <v>12</v>
      </c>
      <c r="W95" s="73" t="str">
        <f t="shared" si="27"/>
        <v>https://search-rtdc-monitor-bjffxe2xuh6vdkpspy63sjmuny.us-east-1.es.amazonaws.com/_plugin/kibana/#/discover/Steve-Slow-Train-Analysis-(2080s-and-2083s)?_g=(refreshInterval:(display:Off,section:0,value:0),time:(from:'2016-05-31 15:12:14-0600',mode:absolute,to:'2016-05-31 15:57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X95" s="73" t="str">
        <f t="shared" si="28"/>
        <v>N</v>
      </c>
      <c r="Y95" s="73">
        <f t="shared" si="35"/>
        <v>2</v>
      </c>
      <c r="Z95" s="73">
        <f t="shared" si="29"/>
        <v>4.4600000000000001E-2</v>
      </c>
      <c r="AA95" s="73">
        <f t="shared" si="37"/>
        <v>23.329699999999999</v>
      </c>
      <c r="AB95" s="73">
        <f t="shared" si="30"/>
        <v>23.2851</v>
      </c>
      <c r="AC95" s="74">
        <f>VLOOKUP(A95,Enforcements!$C$3:$J$52,8,0)</f>
        <v>233491</v>
      </c>
      <c r="AD95" s="74" t="str">
        <f>VLOOKUP(A95,Enforcements!$C$3:$J$52,3,0)</f>
        <v>TRACK WARRANT AUTHORITY</v>
      </c>
    </row>
    <row r="96" spans="1:30" s="2" customFormat="1" x14ac:dyDescent="0.25">
      <c r="A96" s="60" t="s">
        <v>331</v>
      </c>
      <c r="B96" s="60">
        <v>4032</v>
      </c>
      <c r="C96" s="60" t="s">
        <v>62</v>
      </c>
      <c r="D96" s="60" t="s">
        <v>116</v>
      </c>
      <c r="E96" s="30">
        <v>42521.671932870369</v>
      </c>
      <c r="F96" s="30">
        <v>42521.67287037037</v>
      </c>
      <c r="G96" s="38">
        <v>1</v>
      </c>
      <c r="H96" s="30" t="s">
        <v>77</v>
      </c>
      <c r="I96" s="30">
        <v>42521.701805555553</v>
      </c>
      <c r="J96" s="60">
        <v>0</v>
      </c>
      <c r="K96" s="60" t="str">
        <f t="shared" si="25"/>
        <v>4031/4032</v>
      </c>
      <c r="L96" s="60" t="str">
        <f>VLOOKUP(A96,'Trips&amp;Operators'!$C$1:$E$9999,3,FALSE)</f>
        <v>WEBSTER</v>
      </c>
      <c r="M96" s="12">
        <f t="shared" si="26"/>
        <v>2.8935185182490386E-2</v>
      </c>
      <c r="N96" s="13">
        <f t="shared" si="36"/>
        <v>41.666666662786156</v>
      </c>
      <c r="O96" s="13"/>
      <c r="P96" s="13"/>
      <c r="Q96" s="61"/>
      <c r="R96" s="61"/>
      <c r="S96" s="94">
        <f t="shared" si="31"/>
        <v>1</v>
      </c>
      <c r="T96" s="2" t="str">
        <f t="shared" si="32"/>
        <v>Southbound</v>
      </c>
      <c r="U96" s="67">
        <f>COUNTIFS([2]Variables!$M$2:$M$19,IF(T96="NorthBound","&gt;=","&lt;=")&amp;Z96,[2]Variables!$M$2:$M$19,IF(T96="NorthBound","&lt;=","&gt;=")&amp;AA96)</f>
        <v>12</v>
      </c>
      <c r="W96" s="73" t="str">
        <f t="shared" si="27"/>
        <v>https://search-rtdc-monitor-bjffxe2xuh6vdkpspy63sjmuny.us-east-1.es.amazonaws.com/_plugin/kibana/#/discover/Steve-Slow-Train-Analysis-(2080s-and-2083s)?_g=(refreshInterval:(display:Off,section:0,value:0),time:(from:'2016-05-31 16:06:35-0600',mode:absolute,to:'2016-05-31 16:51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X96" s="73" t="str">
        <f t="shared" si="28"/>
        <v>N</v>
      </c>
      <c r="Y96" s="73">
        <f t="shared" si="35"/>
        <v>1</v>
      </c>
      <c r="Z96" s="73">
        <f t="shared" si="29"/>
        <v>23.298300000000001</v>
      </c>
      <c r="AA96" s="73">
        <f t="shared" si="37"/>
        <v>1.4999999999999999E-2</v>
      </c>
      <c r="AB96" s="73">
        <f t="shared" si="30"/>
        <v>23.283300000000001</v>
      </c>
      <c r="AC96" s="74" t="e">
        <f>VLOOKUP(A96,Enforcements!$C$3:$J$52,8,0)</f>
        <v>#N/A</v>
      </c>
      <c r="AD96" s="74" t="e">
        <f>VLOOKUP(A96,Enforcements!$C$3:$J$52,3,0)</f>
        <v>#N/A</v>
      </c>
    </row>
    <row r="97" spans="1:30" s="2" customFormat="1" x14ac:dyDescent="0.25">
      <c r="A97" s="60" t="s">
        <v>332</v>
      </c>
      <c r="B97" s="60">
        <v>4009</v>
      </c>
      <c r="C97" s="60" t="s">
        <v>62</v>
      </c>
      <c r="D97" s="60" t="s">
        <v>324</v>
      </c>
      <c r="E97" s="30">
        <v>42521.650682870371</v>
      </c>
      <c r="F97" s="30">
        <v>42521.651550925926</v>
      </c>
      <c r="G97" s="38">
        <v>1</v>
      </c>
      <c r="H97" s="30" t="s">
        <v>133</v>
      </c>
      <c r="I97" s="30">
        <v>42521.678495370368</v>
      </c>
      <c r="J97" s="60">
        <v>0</v>
      </c>
      <c r="K97" s="60" t="str">
        <f t="shared" ref="K97:K129" si="38">IF(ISEVEN(B97),(B97-1)&amp;"/"&amp;B97,B97&amp;"/"&amp;(B97+1))</f>
        <v>4009/4010</v>
      </c>
      <c r="L97" s="60" t="str">
        <f>VLOOKUP(A97,'Trips&amp;Operators'!$C$1:$E$9999,3,FALSE)</f>
        <v>RIVERA</v>
      </c>
      <c r="M97" s="12">
        <f t="shared" ref="M97:M129" si="39">I97-F97</f>
        <v>2.6944444442051463E-2</v>
      </c>
      <c r="N97" s="13">
        <f t="shared" si="36"/>
        <v>38.799999996554106</v>
      </c>
      <c r="O97" s="13"/>
      <c r="P97" s="13"/>
      <c r="Q97" s="61"/>
      <c r="R97" s="61"/>
      <c r="S97" s="94">
        <f t="shared" si="31"/>
        <v>1</v>
      </c>
      <c r="T97" s="2" t="str">
        <f t="shared" si="32"/>
        <v>NorthBound</v>
      </c>
      <c r="U97" s="67">
        <f>COUNTIFS([2]Variables!$M$2:$M$19,IF(T97="NorthBound","&gt;=","&lt;=")&amp;Z97,[2]Variables!$M$2:$M$19,IF(T97="NorthBound","&lt;=","&gt;=")&amp;AA97)</f>
        <v>12</v>
      </c>
      <c r="W97" s="73" t="str">
        <f t="shared" ref="W97:W129" si="40">"https://search-rtdc-monitor-bjffxe2xuh6vdkpspy63sjmuny.us-east-1.es.amazonaws.com/_plugin/kibana/#/discover/Steve-Slow-Train-Analysis-(2080s-and-2083s)?_g=(refreshInterval:(display:Off,section:0,value:0),time:(from:'"&amp;TEXT(E97-1/24/60,"yyyy-MM-DD hh:mm:ss")&amp;"-0600',mode:absolute,to:'"&amp;TEXT(I97+1/24/60,"yyyy-MM-DD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97&amp;"%22')),sort:!(Time,asc))"</f>
        <v>https://search-rtdc-monitor-bjffxe2xuh6vdkpspy63sjmuny.us-east-1.es.amazonaws.com/_plugin/kibana/#/discover/Steve-Slow-Train-Analysis-(2080s-and-2083s)?_g=(refreshInterval:(display:Off,section:0,value:0),time:(from:'2016-05-31 15:35:59-0600',mode:absolute,to:'2016-05-31 16:18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X97" s="73" t="str">
        <f t="shared" ref="X97:X129" si="41">IF(AB97&lt;23,"Y","N")</f>
        <v>N</v>
      </c>
      <c r="Y97" s="73">
        <f t="shared" si="35"/>
        <v>1</v>
      </c>
      <c r="Z97" s="73">
        <f t="shared" ref="Z97:Z129" si="42">RIGHT(D97,LEN(D97)-4)/10000</f>
        <v>4.4900000000000002E-2</v>
      </c>
      <c r="AA97" s="73">
        <f t="shared" si="37"/>
        <v>23.330100000000002</v>
      </c>
      <c r="AB97" s="73">
        <f t="shared" ref="AB97:AB129" si="43">ABS(AA97-Z97)</f>
        <v>23.285200000000003</v>
      </c>
      <c r="AC97" s="74" t="e">
        <f>VLOOKUP(A97,Enforcements!$C$3:$J$52,8,0)</f>
        <v>#N/A</v>
      </c>
      <c r="AD97" s="74" t="e">
        <f>VLOOKUP(A97,Enforcements!$C$3:$J$52,3,0)</f>
        <v>#N/A</v>
      </c>
    </row>
    <row r="98" spans="1:30" s="2" customFormat="1" x14ac:dyDescent="0.25">
      <c r="A98" s="60" t="s">
        <v>333</v>
      </c>
      <c r="B98" s="60">
        <v>4010</v>
      </c>
      <c r="C98" s="60" t="s">
        <v>62</v>
      </c>
      <c r="D98" s="60" t="s">
        <v>334</v>
      </c>
      <c r="E98" s="30">
        <v>42521.680254629631</v>
      </c>
      <c r="F98" s="30">
        <v>42521.681747685187</v>
      </c>
      <c r="G98" s="38">
        <v>2</v>
      </c>
      <c r="H98" s="30" t="s">
        <v>335</v>
      </c>
      <c r="I98" s="30">
        <v>42521.711215277777</v>
      </c>
      <c r="J98" s="60">
        <v>0</v>
      </c>
      <c r="K98" s="60" t="str">
        <f t="shared" si="38"/>
        <v>4009/4010</v>
      </c>
      <c r="L98" s="60" t="str">
        <f>VLOOKUP(A98,'Trips&amp;Operators'!$C$1:$E$9999,3,FALSE)</f>
        <v>RIVERA</v>
      </c>
      <c r="M98" s="12">
        <f t="shared" si="39"/>
        <v>2.9467592590663116E-2</v>
      </c>
      <c r="N98" s="13">
        <f t="shared" si="36"/>
        <v>42.433333330554888</v>
      </c>
      <c r="O98" s="13"/>
      <c r="P98" s="13"/>
      <c r="Q98" s="61"/>
      <c r="R98" s="61"/>
      <c r="S98" s="94">
        <f t="shared" si="31"/>
        <v>1</v>
      </c>
      <c r="T98" s="2" t="str">
        <f t="shared" si="32"/>
        <v>Southbound</v>
      </c>
      <c r="U98" s="67">
        <f>COUNTIFS([2]Variables!$M$2:$M$19,IF(T98="NorthBound","&gt;=","&lt;=")&amp;Z98,[2]Variables!$M$2:$M$19,IF(T98="NorthBound","&lt;=","&gt;=")&amp;AA98)</f>
        <v>12</v>
      </c>
      <c r="W98" s="73" t="str">
        <f t="shared" si="40"/>
        <v>https://search-rtdc-monitor-bjffxe2xuh6vdkpspy63sjmuny.us-east-1.es.amazonaws.com/_plugin/kibana/#/discover/Steve-Slow-Train-Analysis-(2080s-and-2083s)?_g=(refreshInterval:(display:Off,section:0,value:0),time:(from:'2016-05-31 16:18:34-0600',mode:absolute,to:'2016-05-31 17:05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X98" s="73" t="str">
        <f t="shared" si="41"/>
        <v>N</v>
      </c>
      <c r="Y98" s="73">
        <f t="shared" si="35"/>
        <v>1</v>
      </c>
      <c r="Z98" s="73">
        <f t="shared" si="42"/>
        <v>23.2986</v>
      </c>
      <c r="AA98" s="73">
        <f t="shared" si="37"/>
        <v>1.23E-2</v>
      </c>
      <c r="AB98" s="73">
        <f t="shared" si="43"/>
        <v>23.286300000000001</v>
      </c>
      <c r="AC98" s="74" t="e">
        <f>VLOOKUP(A98,Enforcements!$C$3:$J$52,8,0)</f>
        <v>#N/A</v>
      </c>
      <c r="AD98" s="74" t="e">
        <f>VLOOKUP(A98,Enforcements!$C$3:$J$52,3,0)</f>
        <v>#N/A</v>
      </c>
    </row>
    <row r="99" spans="1:30" s="2" customFormat="1" x14ac:dyDescent="0.25">
      <c r="A99" s="60" t="s">
        <v>405</v>
      </c>
      <c r="B99" s="60">
        <v>4039</v>
      </c>
      <c r="C99" s="60"/>
      <c r="D99" s="60"/>
      <c r="E99" s="30"/>
      <c r="F99" s="30">
        <v>42521.692384259259</v>
      </c>
      <c r="G99" s="38"/>
      <c r="H99" s="30"/>
      <c r="I99" s="30">
        <v>42521.722592592596</v>
      </c>
      <c r="J99" s="60">
        <v>1</v>
      </c>
      <c r="K99" s="60" t="str">
        <f t="shared" ref="K99" si="44">IF(ISEVEN(B99),(B99-1)&amp;"/"&amp;B99,B99&amp;"/"&amp;(B99+1))</f>
        <v>4039/4040</v>
      </c>
      <c r="L99" s="60" t="str">
        <f>VLOOKUP(A99,'Trips&amp;Operators'!$C$1:$E$9999,3,FALSE)</f>
        <v>HELVIE</v>
      </c>
      <c r="M99" s="12">
        <f t="shared" ref="M99" si="45">I99-F99</f>
        <v>3.0208333337213844E-2</v>
      </c>
      <c r="N99" s="13">
        <f t="shared" si="36"/>
        <v>43.500000005587935</v>
      </c>
      <c r="O99" s="13"/>
      <c r="P99" s="13"/>
      <c r="Q99" s="61"/>
      <c r="R99" s="61"/>
      <c r="S99" s="94">
        <f t="shared" si="31"/>
        <v>1</v>
      </c>
      <c r="T99" s="2" t="str">
        <f t="shared" si="32"/>
        <v>Southbound</v>
      </c>
      <c r="U99" s="67">
        <f>COUNTIFS([2]Variables!$M$2:$M$19,IF(T99="NorthBound","&gt;=","&lt;=")&amp;Z99,[2]Variables!$M$2:$M$19,IF(T99="NorthBound","&lt;=","&gt;=")&amp;AA99)</f>
        <v>12</v>
      </c>
      <c r="W99" s="73" t="e">
        <f t="shared" si="40"/>
        <v>#VALUE!</v>
      </c>
      <c r="X99" s="73" t="str">
        <f t="shared" ref="X99" si="46">IF(AB99&lt;23,"Y","N")</f>
        <v>N</v>
      </c>
      <c r="Y99" s="73">
        <f t="shared" ref="Y99" si="47">VALUE(LEFT(A99,3))-VALUE(LEFT(A98,3))</f>
        <v>2</v>
      </c>
      <c r="Z99" s="73">
        <v>23.298300000000001</v>
      </c>
      <c r="AA99" s="73">
        <v>1.4500000000000001E-2</v>
      </c>
      <c r="AB99" s="73">
        <f t="shared" ref="AB99" si="48">ABS(AA99-Z99)</f>
        <v>23.283799999999999</v>
      </c>
      <c r="AC99" s="74">
        <f>VLOOKUP(A99,Enforcements!$C$3:$J$52,8,0)</f>
        <v>127587</v>
      </c>
      <c r="AD99" s="74" t="str">
        <f>VLOOKUP(A99,Enforcements!$C$3:$J$52,3,0)</f>
        <v>SIGNAL</v>
      </c>
    </row>
    <row r="100" spans="1:30" s="2" customFormat="1" x14ac:dyDescent="0.25">
      <c r="A100" s="60" t="s">
        <v>336</v>
      </c>
      <c r="B100" s="60">
        <v>4012</v>
      </c>
      <c r="C100" s="60" t="s">
        <v>62</v>
      </c>
      <c r="D100" s="60" t="s">
        <v>275</v>
      </c>
      <c r="E100" s="30">
        <v>42521.702870370369</v>
      </c>
      <c r="F100" s="30">
        <v>42521.703831018516</v>
      </c>
      <c r="G100" s="38">
        <v>1</v>
      </c>
      <c r="H100" s="30" t="s">
        <v>80</v>
      </c>
      <c r="I100" s="30">
        <v>42521.732662037037</v>
      </c>
      <c r="J100" s="60">
        <v>1</v>
      </c>
      <c r="K100" s="60" t="str">
        <f t="shared" si="38"/>
        <v>4011/4012</v>
      </c>
      <c r="L100" s="60" t="str">
        <f>VLOOKUP(A100,'Trips&amp;Operators'!$C$1:$E$9999,3,FALSE)</f>
        <v>BONDS</v>
      </c>
      <c r="M100" s="12">
        <f t="shared" si="39"/>
        <v>2.8831018520577345E-2</v>
      </c>
      <c r="N100" s="13">
        <f t="shared" si="36"/>
        <v>41.516666669631377</v>
      </c>
      <c r="O100" s="13"/>
      <c r="P100" s="13"/>
      <c r="Q100" s="61"/>
      <c r="R100" s="61"/>
      <c r="S100" s="94">
        <f t="shared" si="31"/>
        <v>1</v>
      </c>
      <c r="T100" s="2" t="str">
        <f t="shared" si="32"/>
        <v>Southbound</v>
      </c>
      <c r="U100" s="67">
        <f>COUNTIFS([2]Variables!$M$2:$M$19,IF(T100="NorthBound","&gt;=","&lt;=")&amp;Z100,[2]Variables!$M$2:$M$19,IF(T100="NorthBound","&lt;=","&gt;=")&amp;AA100)</f>
        <v>12</v>
      </c>
      <c r="W100" s="73" t="str">
        <f t="shared" si="40"/>
        <v>https://search-rtdc-monitor-bjffxe2xuh6vdkpspy63sjmuny.us-east-1.es.amazonaws.com/_plugin/kibana/#/discover/Steve-Slow-Train-Analysis-(2080s-and-2083s)?_g=(refreshInterval:(display:Off,section:0,value:0),time:(from:'2016-05-31 16:51:08-0600',mode:absolute,to:'2016-05-31 17:36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X100" s="73" t="str">
        <f t="shared" si="41"/>
        <v>N</v>
      </c>
      <c r="Y100" s="73">
        <f>VALUE(LEFT(A100,3))-VALUE(LEFT(A98,3))</f>
        <v>4</v>
      </c>
      <c r="Z100" s="73">
        <f t="shared" si="42"/>
        <v>23.303599999999999</v>
      </c>
      <c r="AA100" s="73">
        <f t="shared" si="37"/>
        <v>1.5800000000000002E-2</v>
      </c>
      <c r="AB100" s="73">
        <f t="shared" si="43"/>
        <v>23.287800000000001</v>
      </c>
      <c r="AC100" s="74">
        <f>VLOOKUP(A100,Enforcements!$C$3:$J$52,8,0)</f>
        <v>1</v>
      </c>
      <c r="AD100" s="74" t="str">
        <f>VLOOKUP(A100,Enforcements!$C$3:$J$52,3,0)</f>
        <v>TRACK WARRANT AUTHORITY</v>
      </c>
    </row>
    <row r="101" spans="1:30" s="2" customFormat="1" x14ac:dyDescent="0.25">
      <c r="A101" s="60" t="s">
        <v>337</v>
      </c>
      <c r="B101" s="60">
        <v>4014</v>
      </c>
      <c r="C101" s="60" t="s">
        <v>62</v>
      </c>
      <c r="D101" s="60" t="s">
        <v>89</v>
      </c>
      <c r="E101" s="30">
        <v>42521.675925925927</v>
      </c>
      <c r="F101" s="30">
        <v>42521.677430555559</v>
      </c>
      <c r="G101" s="38">
        <v>2</v>
      </c>
      <c r="H101" s="30" t="s">
        <v>86</v>
      </c>
      <c r="I101" s="30">
        <v>42521.702800925923</v>
      </c>
      <c r="J101" s="60">
        <v>0</v>
      </c>
      <c r="K101" s="60" t="str">
        <f t="shared" si="38"/>
        <v>4013/4014</v>
      </c>
      <c r="L101" s="60" t="str">
        <f>VLOOKUP(A101,'Trips&amp;Operators'!$C$1:$E$9999,3,FALSE)</f>
        <v>REBOLETTI</v>
      </c>
      <c r="M101" s="12">
        <f t="shared" si="39"/>
        <v>2.5370370363816619E-2</v>
      </c>
      <c r="N101" s="13">
        <f t="shared" si="36"/>
        <v>36.533333323895931</v>
      </c>
      <c r="O101" s="13"/>
      <c r="P101" s="13"/>
      <c r="Q101" s="61"/>
      <c r="R101" s="61"/>
      <c r="S101" s="94">
        <f t="shared" si="31"/>
        <v>1</v>
      </c>
      <c r="T101" s="2" t="str">
        <f t="shared" si="32"/>
        <v>NorthBound</v>
      </c>
      <c r="U101" s="67">
        <f>COUNTIFS([2]Variables!$M$2:$M$19,IF(T101="NorthBound","&gt;=","&lt;=")&amp;Z101,[2]Variables!$M$2:$M$19,IF(T101="NorthBound","&lt;=","&gt;=")&amp;AA101)</f>
        <v>12</v>
      </c>
      <c r="W101" s="73" t="str">
        <f t="shared" si="40"/>
        <v>https://search-rtdc-monitor-bjffxe2xuh6vdkpspy63sjmuny.us-east-1.es.amazonaws.com/_plugin/kibana/#/discover/Steve-Slow-Train-Analysis-(2080s-and-2083s)?_g=(refreshInterval:(display:Off,section:0,value:0),time:(from:'2016-05-31 16:12:20-0600',mode:absolute,to:'2016-05-31 16:53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X101" s="73" t="str">
        <f t="shared" si="41"/>
        <v>N</v>
      </c>
      <c r="Y101" s="73">
        <f t="shared" si="35"/>
        <v>1</v>
      </c>
      <c r="Z101" s="73">
        <f t="shared" si="42"/>
        <v>4.5999999999999999E-2</v>
      </c>
      <c r="AA101" s="73">
        <f t="shared" si="37"/>
        <v>23.330200000000001</v>
      </c>
      <c r="AB101" s="73">
        <f t="shared" si="43"/>
        <v>23.284200000000002</v>
      </c>
      <c r="AC101" s="74" t="e">
        <f>VLOOKUP(A101,Enforcements!$C$3:$J$52,8,0)</f>
        <v>#N/A</v>
      </c>
      <c r="AD101" s="74" t="e">
        <f>VLOOKUP(A101,Enforcements!$C$3:$J$52,3,0)</f>
        <v>#N/A</v>
      </c>
    </row>
    <row r="102" spans="1:30" s="2" customFormat="1" x14ac:dyDescent="0.25">
      <c r="A102" s="60" t="s">
        <v>338</v>
      </c>
      <c r="B102" s="60">
        <v>4013</v>
      </c>
      <c r="C102" s="60" t="s">
        <v>62</v>
      </c>
      <c r="D102" s="60" t="s">
        <v>339</v>
      </c>
      <c r="E102" s="30">
        <v>42521.707141203704</v>
      </c>
      <c r="F102" s="30">
        <v>42521.708148148151</v>
      </c>
      <c r="G102" s="38">
        <v>1</v>
      </c>
      <c r="H102" s="30" t="s">
        <v>64</v>
      </c>
      <c r="I102" s="30">
        <v>42521.742048611108</v>
      </c>
      <c r="J102" s="60">
        <v>0</v>
      </c>
      <c r="K102" s="60" t="str">
        <f t="shared" si="38"/>
        <v>4013/4014</v>
      </c>
      <c r="L102" s="60" t="str">
        <f>VLOOKUP(A102,'Trips&amp;Operators'!$C$1:$E$9999,3,FALSE)</f>
        <v>REBOLETTI</v>
      </c>
      <c r="M102" s="12">
        <f t="shared" si="39"/>
        <v>3.3900462956808042E-2</v>
      </c>
      <c r="N102" s="13">
        <f t="shared" si="36"/>
        <v>48.81666665780358</v>
      </c>
      <c r="O102" s="13"/>
      <c r="P102" s="13"/>
      <c r="Q102" s="61"/>
      <c r="R102" s="61"/>
      <c r="S102" s="94">
        <f t="shared" si="31"/>
        <v>1</v>
      </c>
      <c r="T102" s="2" t="str">
        <f t="shared" si="32"/>
        <v>Southbound</v>
      </c>
      <c r="U102" s="67">
        <f>COUNTIFS([2]Variables!$M$2:$M$19,IF(T102="NorthBound","&gt;=","&lt;=")&amp;Z102,[2]Variables!$M$2:$M$19,IF(T102="NorthBound","&lt;=","&gt;=")&amp;AA102)</f>
        <v>12</v>
      </c>
      <c r="W102" s="73" t="str">
        <f t="shared" si="40"/>
        <v>https://search-rtdc-monitor-bjffxe2xuh6vdkpspy63sjmuny.us-east-1.es.amazonaws.com/_plugin/kibana/#/discover/Steve-Slow-Train-Analysis-(2080s-and-2083s)?_g=(refreshInterval:(display:Off,section:0,value:0),time:(from:'2016-05-31 16:57:17-0600',mode:absolute,to:'2016-05-31 17:49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X102" s="73" t="str">
        <f t="shared" si="41"/>
        <v>N</v>
      </c>
      <c r="Y102" s="73">
        <f t="shared" si="35"/>
        <v>1</v>
      </c>
      <c r="Z102" s="73">
        <f t="shared" si="42"/>
        <v>23.296800000000001</v>
      </c>
      <c r="AA102" s="73">
        <f t="shared" si="37"/>
        <v>1.54E-2</v>
      </c>
      <c r="AB102" s="73">
        <f t="shared" si="43"/>
        <v>23.281400000000001</v>
      </c>
      <c r="AC102" s="74" t="e">
        <f>VLOOKUP(A102,Enforcements!$C$3:$J$52,8,0)</f>
        <v>#N/A</v>
      </c>
      <c r="AD102" s="74" t="e">
        <f>VLOOKUP(A102,Enforcements!$C$3:$J$52,3,0)</f>
        <v>#N/A</v>
      </c>
    </row>
    <row r="103" spans="1:30" s="2" customFormat="1" x14ac:dyDescent="0.25">
      <c r="A103" s="60" t="s">
        <v>340</v>
      </c>
      <c r="B103" s="60">
        <v>4007</v>
      </c>
      <c r="C103" s="60" t="s">
        <v>62</v>
      </c>
      <c r="D103" s="60" t="s">
        <v>341</v>
      </c>
      <c r="E103" s="30">
        <v>42521.687361111108</v>
      </c>
      <c r="F103" s="30">
        <v>42521.688379629632</v>
      </c>
      <c r="G103" s="38">
        <v>1</v>
      </c>
      <c r="H103" s="30" t="s">
        <v>342</v>
      </c>
      <c r="I103" s="30">
        <v>42521.71371527778</v>
      </c>
      <c r="J103" s="60">
        <v>1</v>
      </c>
      <c r="K103" s="60" t="str">
        <f t="shared" si="38"/>
        <v>4007/4008</v>
      </c>
      <c r="L103" s="60" t="str">
        <f>VLOOKUP(A103,'Trips&amp;Operators'!$C$1:$E$9999,3,FALSE)</f>
        <v>LOZA</v>
      </c>
      <c r="M103" s="12">
        <f t="shared" si="39"/>
        <v>2.5335648148029577E-2</v>
      </c>
      <c r="N103" s="13">
        <f t="shared" si="36"/>
        <v>36.483333333162591</v>
      </c>
      <c r="O103" s="13"/>
      <c r="P103" s="13"/>
      <c r="Q103" s="61"/>
      <c r="R103" s="61"/>
      <c r="S103" s="94">
        <f t="shared" si="31"/>
        <v>1</v>
      </c>
      <c r="T103" s="2" t="str">
        <f t="shared" si="32"/>
        <v>NorthBound</v>
      </c>
      <c r="U103" s="67">
        <f>COUNTIFS([2]Variables!$M$2:$M$19,IF(T103="NorthBound","&gt;=","&lt;=")&amp;Z103,[2]Variables!$M$2:$M$19,IF(T103="NorthBound","&lt;=","&gt;=")&amp;AA103)</f>
        <v>12</v>
      </c>
      <c r="W103" s="73" t="str">
        <f t="shared" si="40"/>
        <v>https://search-rtdc-monitor-bjffxe2xuh6vdkpspy63sjmuny.us-east-1.es.amazonaws.com/_plugin/kibana/#/discover/Steve-Slow-Train-Analysis-(2080s-and-2083s)?_g=(refreshInterval:(display:Off,section:0,value:0),time:(from:'2016-05-31 16:28:48-0600',mode:absolute,to:'2016-05-31 17:08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X103" s="73" t="str">
        <f t="shared" si="41"/>
        <v>N</v>
      </c>
      <c r="Y103" s="73">
        <f t="shared" si="35"/>
        <v>1</v>
      </c>
      <c r="Z103" s="73">
        <f t="shared" si="42"/>
        <v>4.3099999999999999E-2</v>
      </c>
      <c r="AA103" s="73">
        <f t="shared" si="37"/>
        <v>23.334299999999999</v>
      </c>
      <c r="AB103" s="73">
        <f t="shared" si="43"/>
        <v>23.2912</v>
      </c>
      <c r="AC103" s="74">
        <f>VLOOKUP(A103,Enforcements!$C$3:$J$52,8,0)</f>
        <v>233491</v>
      </c>
      <c r="AD103" s="74" t="str">
        <f>VLOOKUP(A103,Enforcements!$C$3:$J$52,3,0)</f>
        <v>TRACK WARRANT AUTHORITY</v>
      </c>
    </row>
    <row r="104" spans="1:30" s="2" customFormat="1" x14ac:dyDescent="0.25">
      <c r="A104" s="60" t="s">
        <v>343</v>
      </c>
      <c r="B104" s="60">
        <v>4008</v>
      </c>
      <c r="C104" s="60" t="s">
        <v>62</v>
      </c>
      <c r="D104" s="60" t="s">
        <v>320</v>
      </c>
      <c r="E104" s="30">
        <v>42521.725613425922</v>
      </c>
      <c r="F104" s="30">
        <v>42521.726770833331</v>
      </c>
      <c r="G104" s="38">
        <v>1</v>
      </c>
      <c r="H104" s="30" t="s">
        <v>344</v>
      </c>
      <c r="I104" s="30">
        <v>42521.75167824074</v>
      </c>
      <c r="J104" s="60">
        <v>0</v>
      </c>
      <c r="K104" s="60" t="str">
        <f t="shared" si="38"/>
        <v>4007/4008</v>
      </c>
      <c r="L104" s="60" t="str">
        <f>VLOOKUP(A104,'Trips&amp;Operators'!$C$1:$E$9999,3,FALSE)</f>
        <v>LOZA</v>
      </c>
      <c r="M104" s="12">
        <f t="shared" si="39"/>
        <v>2.4907407409045845E-2</v>
      </c>
      <c r="N104" s="13">
        <f t="shared" si="36"/>
        <v>35.866666669026017</v>
      </c>
      <c r="O104" s="13"/>
      <c r="P104" s="13"/>
      <c r="Q104" s="61"/>
      <c r="R104" s="61"/>
      <c r="S104" s="94">
        <f t="shared" si="31"/>
        <v>1</v>
      </c>
      <c r="T104" s="2" t="str">
        <f t="shared" si="32"/>
        <v>Southbound</v>
      </c>
      <c r="U104" s="67">
        <f>COUNTIFS([2]Variables!$M$2:$M$19,IF(T104="NorthBound","&gt;=","&lt;=")&amp;Z104,[2]Variables!$M$2:$M$19,IF(T104="NorthBound","&lt;=","&gt;=")&amp;AA104)</f>
        <v>12</v>
      </c>
      <c r="W104" s="73" t="str">
        <f t="shared" si="40"/>
        <v>https://search-rtdc-monitor-bjffxe2xuh6vdkpspy63sjmuny.us-east-1.es.amazonaws.com/_plugin/kibana/#/discover/Steve-Slow-Train-Analysis-(2080s-and-2083s)?_g=(refreshInterval:(display:Off,section:0,value:0),time:(from:'2016-05-31 17:23:53-0600',mode:absolute,to:'2016-05-31 18:03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X104" s="73" t="str">
        <f t="shared" si="41"/>
        <v>N</v>
      </c>
      <c r="Y104" s="73">
        <f t="shared" si="35"/>
        <v>1</v>
      </c>
      <c r="Z104" s="73">
        <f t="shared" si="42"/>
        <v>23.300899999999999</v>
      </c>
      <c r="AA104" s="73">
        <f t="shared" si="37"/>
        <v>1.2999999999999999E-2</v>
      </c>
      <c r="AB104" s="73">
        <f t="shared" si="43"/>
        <v>23.287899999999997</v>
      </c>
      <c r="AC104" s="74" t="e">
        <f>VLOOKUP(A104,Enforcements!$C$3:$J$52,8,0)</f>
        <v>#N/A</v>
      </c>
      <c r="AD104" s="74" t="e">
        <f>VLOOKUP(A104,Enforcements!$C$3:$J$52,3,0)</f>
        <v>#N/A</v>
      </c>
    </row>
    <row r="105" spans="1:30" s="2" customFormat="1" x14ac:dyDescent="0.25">
      <c r="A105" s="60" t="s">
        <v>345</v>
      </c>
      <c r="B105" s="60">
        <v>4030</v>
      </c>
      <c r="C105" s="60" t="s">
        <v>62</v>
      </c>
      <c r="D105" s="60" t="s">
        <v>346</v>
      </c>
      <c r="E105" s="30">
        <v>42521.735185185185</v>
      </c>
      <c r="F105" s="30">
        <v>42521.73605324074</v>
      </c>
      <c r="G105" s="38">
        <v>1</v>
      </c>
      <c r="H105" s="30" t="s">
        <v>347</v>
      </c>
      <c r="I105" s="30">
        <v>42521.762337962966</v>
      </c>
      <c r="J105" s="60">
        <v>0</v>
      </c>
      <c r="K105" s="60" t="str">
        <f t="shared" si="38"/>
        <v>4029/4030</v>
      </c>
      <c r="L105" s="60" t="str">
        <f>VLOOKUP(A105,'Trips&amp;Operators'!$C$1:$E$9999,3,FALSE)</f>
        <v>LOCKLEAR</v>
      </c>
      <c r="M105" s="12">
        <f t="shared" si="39"/>
        <v>2.6284722225682344E-2</v>
      </c>
      <c r="N105" s="13">
        <f t="shared" si="36"/>
        <v>37.850000004982576</v>
      </c>
      <c r="O105" s="13"/>
      <c r="P105" s="13"/>
      <c r="Q105" s="61"/>
      <c r="R105" s="61"/>
      <c r="S105" s="94">
        <f t="shared" si="31"/>
        <v>1</v>
      </c>
      <c r="T105" s="2" t="str">
        <f t="shared" si="32"/>
        <v>Southbound</v>
      </c>
      <c r="U105" s="67">
        <f>COUNTIFS([2]Variables!$M$2:$M$19,IF(T105="NorthBound","&gt;=","&lt;=")&amp;Z105,[2]Variables!$M$2:$M$19,IF(T105="NorthBound","&lt;=","&gt;=")&amp;AA105)</f>
        <v>12</v>
      </c>
      <c r="W105" s="73" t="str">
        <f t="shared" si="40"/>
        <v>https://search-rtdc-monitor-bjffxe2xuh6vdkpspy63sjmuny.us-east-1.es.amazonaws.com/_plugin/kibana/#/discover/Steve-Slow-Train-Analysis-(2080s-and-2083s)?_g=(refreshInterval:(display:Off,section:0,value:0),time:(from:'2016-05-31 17:37:40-0600',mode:absolute,to:'2016-05-31 18:18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X105" s="73" t="str">
        <f t="shared" si="41"/>
        <v>N</v>
      </c>
      <c r="Y105" s="73">
        <f t="shared" si="35"/>
        <v>2</v>
      </c>
      <c r="Z105" s="73">
        <f t="shared" si="42"/>
        <v>23.314900000000002</v>
      </c>
      <c r="AA105" s="73">
        <f t="shared" si="37"/>
        <v>2.01E-2</v>
      </c>
      <c r="AB105" s="73">
        <f t="shared" si="43"/>
        <v>23.294800000000002</v>
      </c>
      <c r="AC105" s="74">
        <f>VLOOKUP(A105,Enforcements!$C$3:$J$52,8,0)</f>
        <v>1</v>
      </c>
      <c r="AD105" s="74" t="str">
        <f>VLOOKUP(A105,Enforcements!$C$3:$J$52,3,0)</f>
        <v>TRACK WARRANT AUTHORITY</v>
      </c>
    </row>
    <row r="106" spans="1:30" s="2" customFormat="1" x14ac:dyDescent="0.25">
      <c r="A106" s="60" t="s">
        <v>348</v>
      </c>
      <c r="B106" s="60">
        <v>4031</v>
      </c>
      <c r="C106" s="60" t="s">
        <v>62</v>
      </c>
      <c r="D106" s="60" t="s">
        <v>149</v>
      </c>
      <c r="E106" s="30">
        <v>42521.703576388885</v>
      </c>
      <c r="F106" s="30">
        <v>42521.705543981479</v>
      </c>
      <c r="G106" s="38">
        <v>2</v>
      </c>
      <c r="H106" s="30" t="s">
        <v>66</v>
      </c>
      <c r="I106" s="30">
        <v>42521.710810185185</v>
      </c>
      <c r="J106" s="60">
        <v>0</v>
      </c>
      <c r="K106" s="60" t="str">
        <f t="shared" si="38"/>
        <v>4031/4032</v>
      </c>
      <c r="L106" s="60" t="str">
        <f>VLOOKUP(A106,'Trips&amp;Operators'!$C$1:$E$9999,3,FALSE)</f>
        <v>WEBSTER</v>
      </c>
      <c r="M106" s="12">
        <f t="shared" si="39"/>
        <v>5.2662037051049992E-3</v>
      </c>
      <c r="N106" s="13"/>
      <c r="O106" s="13"/>
      <c r="P106" s="13"/>
      <c r="Q106" s="61"/>
      <c r="R106" s="61"/>
      <c r="S106" s="94">
        <f t="shared" si="31"/>
        <v>0</v>
      </c>
      <c r="T106" s="2" t="str">
        <f t="shared" si="32"/>
        <v>NorthBound</v>
      </c>
      <c r="U106" s="67">
        <f>COUNTIFS([2]Variables!$M$2:$M$19,IF(T106="NorthBound","&gt;=","&lt;=")&amp;Z106,[2]Variables!$M$2:$M$19,IF(T106="NorthBound","&lt;=","&gt;=")&amp;AA106)</f>
        <v>0</v>
      </c>
      <c r="W106" s="73" t="str">
        <f t="shared" si="40"/>
        <v>https://search-rtdc-monitor-bjffxe2xuh6vdkpspy63sjmuny.us-east-1.es.amazonaws.com/_plugin/kibana/#/discover/Steve-Slow-Train-Analysis-(2080s-and-2083s)?_g=(refreshInterval:(display:Off,section:0,value:0),time:(from:'2016-05-31 16:52:09-0600',mode:absolute,to:'2016-05-31 17:04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X106" s="73" t="str">
        <f t="shared" si="41"/>
        <v>Y</v>
      </c>
      <c r="Y106" s="73">
        <f t="shared" ref="Y106:Y142" si="49">VALUE(LEFT(A106,3))-VALUE(LEFT(A105,3))</f>
        <v>1</v>
      </c>
      <c r="Z106" s="73">
        <f t="shared" si="42"/>
        <v>4.3700000000000003E-2</v>
      </c>
      <c r="AA106" s="73">
        <f t="shared" si="37"/>
        <v>4.4699999999999997E-2</v>
      </c>
      <c r="AB106" s="73">
        <f t="shared" si="43"/>
        <v>9.9999999999999395E-4</v>
      </c>
      <c r="AC106" s="74" t="e">
        <f>VLOOKUP(A106,Enforcements!$C$3:$J$52,8,0)</f>
        <v>#N/A</v>
      </c>
      <c r="AD106" s="74" t="e">
        <f>VLOOKUP(A106,Enforcements!$C$3:$J$52,3,0)</f>
        <v>#N/A</v>
      </c>
    </row>
    <row r="107" spans="1:30" s="2" customFormat="1" x14ac:dyDescent="0.25">
      <c r="A107" s="60" t="s">
        <v>348</v>
      </c>
      <c r="B107" s="60">
        <v>4031</v>
      </c>
      <c r="C107" s="60" t="s">
        <v>62</v>
      </c>
      <c r="D107" s="60" t="s">
        <v>66</v>
      </c>
      <c r="E107" s="30">
        <v>42521.703576388885</v>
      </c>
      <c r="F107" s="30">
        <v>42521.710810185185</v>
      </c>
      <c r="G107" s="38">
        <v>10</v>
      </c>
      <c r="H107" s="30" t="s">
        <v>66</v>
      </c>
      <c r="I107" s="30">
        <v>42521.710810185185</v>
      </c>
      <c r="J107" s="60">
        <v>0</v>
      </c>
      <c r="K107" s="60" t="str">
        <f t="shared" si="38"/>
        <v>4031/4032</v>
      </c>
      <c r="L107" s="60" t="str">
        <f>VLOOKUP(A107,'Trips&amp;Operators'!$C$1:$E$9999,3,FALSE)</f>
        <v>WEBSTER</v>
      </c>
      <c r="M107" s="12">
        <f t="shared" si="39"/>
        <v>0</v>
      </c>
      <c r="N107" s="13"/>
      <c r="O107" s="13"/>
      <c r="P107" s="13">
        <f>24*60*SUM($M106:$M107)</f>
        <v>7.5833333353511989</v>
      </c>
      <c r="Q107" s="61"/>
      <c r="R107" s="61" t="s">
        <v>431</v>
      </c>
      <c r="S107" s="94">
        <f t="shared" si="31"/>
        <v>0</v>
      </c>
      <c r="T107" s="2" t="str">
        <f t="shared" si="32"/>
        <v>NorthBound</v>
      </c>
      <c r="U107" s="67">
        <f>COUNTIFS([2]Variables!$M$2:$M$19,IF(T107="NorthBound","&gt;=","&lt;=")&amp;Z107,[2]Variables!$M$2:$M$19,IF(T107="NorthBound","&lt;=","&gt;=")&amp;AA107)</f>
        <v>0</v>
      </c>
      <c r="W107" s="73" t="str">
        <f t="shared" si="40"/>
        <v>https://search-rtdc-monitor-bjffxe2xuh6vdkpspy63sjmuny.us-east-1.es.amazonaws.com/_plugin/kibana/#/discover/Steve-Slow-Train-Analysis-(2080s-and-2083s)?_g=(refreshInterval:(display:Off,section:0,value:0),time:(from:'2016-05-31 16:52:09-0600',mode:absolute,to:'2016-05-31 17:04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X107" s="73" t="str">
        <f t="shared" si="41"/>
        <v>Y</v>
      </c>
      <c r="Y107" s="73">
        <f t="shared" si="49"/>
        <v>0</v>
      </c>
      <c r="Z107" s="73">
        <f t="shared" si="42"/>
        <v>4.4699999999999997E-2</v>
      </c>
      <c r="AA107" s="73">
        <f t="shared" si="37"/>
        <v>4.4699999999999997E-2</v>
      </c>
      <c r="AB107" s="73">
        <f t="shared" si="43"/>
        <v>0</v>
      </c>
      <c r="AC107" s="74" t="e">
        <f>VLOOKUP(A107,Enforcements!$C$3:$J$52,8,0)</f>
        <v>#N/A</v>
      </c>
      <c r="AD107" s="74" t="e">
        <f>VLOOKUP(A107,Enforcements!$C$3:$J$52,3,0)</f>
        <v>#N/A</v>
      </c>
    </row>
    <row r="108" spans="1:30" s="2" customFormat="1" x14ac:dyDescent="0.25">
      <c r="A108" s="60" t="s">
        <v>349</v>
      </c>
      <c r="B108" s="60">
        <v>4032</v>
      </c>
      <c r="C108" s="60" t="s">
        <v>62</v>
      </c>
      <c r="D108" s="60" t="s">
        <v>124</v>
      </c>
      <c r="E108" s="30">
        <v>42521.744826388887</v>
      </c>
      <c r="F108" s="30">
        <v>42521.74554398148</v>
      </c>
      <c r="G108" s="38">
        <v>1</v>
      </c>
      <c r="H108" s="30" t="s">
        <v>77</v>
      </c>
      <c r="I108" s="30">
        <v>42521.774664351855</v>
      </c>
      <c r="J108" s="60">
        <v>0</v>
      </c>
      <c r="K108" s="60" t="str">
        <f t="shared" si="38"/>
        <v>4031/4032</v>
      </c>
      <c r="L108" s="60" t="str">
        <f>VLOOKUP(A108,'Trips&amp;Operators'!$C$1:$E$9999,3,FALSE)</f>
        <v>WEBSTER</v>
      </c>
      <c r="M108" s="12">
        <f t="shared" si="39"/>
        <v>2.9120370374585036E-2</v>
      </c>
      <c r="N108" s="13">
        <f t="shared" ref="N108:N127" si="50">24*60*SUM($M108:$M108)</f>
        <v>41.933333339402452</v>
      </c>
      <c r="O108" s="13"/>
      <c r="P108" s="13"/>
      <c r="Q108" s="61"/>
      <c r="R108" s="61"/>
      <c r="S108" s="94">
        <f t="shared" si="31"/>
        <v>1</v>
      </c>
      <c r="T108" s="2" t="str">
        <f t="shared" si="32"/>
        <v>Southbound</v>
      </c>
      <c r="U108" s="67">
        <f>COUNTIFS([2]Variables!$M$2:$M$19,IF(T108="NorthBound","&gt;=","&lt;=")&amp;Z108,[2]Variables!$M$2:$M$19,IF(T108="NorthBound","&lt;=","&gt;=")&amp;AA108)</f>
        <v>12</v>
      </c>
      <c r="W108" s="73" t="str">
        <f t="shared" si="40"/>
        <v>https://search-rtdc-monitor-bjffxe2xuh6vdkpspy63sjmuny.us-east-1.es.amazonaws.com/_plugin/kibana/#/discover/Steve-Slow-Train-Analysis-(2080s-and-2083s)?_g=(refreshInterval:(display:Off,section:0,value:0),time:(from:'2016-05-31 17:51:33-0600',mode:absolute,to:'2016-05-31 18:36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X108" s="73" t="str">
        <f t="shared" si="41"/>
        <v>N</v>
      </c>
      <c r="Y108" s="73">
        <f t="shared" si="49"/>
        <v>1</v>
      </c>
      <c r="Z108" s="73">
        <f t="shared" si="42"/>
        <v>23.296900000000001</v>
      </c>
      <c r="AA108" s="73">
        <f t="shared" si="37"/>
        <v>1.4999999999999999E-2</v>
      </c>
      <c r="AB108" s="73">
        <f t="shared" si="43"/>
        <v>23.2819</v>
      </c>
      <c r="AC108" s="74" t="e">
        <f>VLOOKUP(A108,Enforcements!$C$3:$J$52,8,0)</f>
        <v>#N/A</v>
      </c>
      <c r="AD108" s="74" t="e">
        <f>VLOOKUP(A108,Enforcements!$C$3:$J$52,3,0)</f>
        <v>#N/A</v>
      </c>
    </row>
    <row r="109" spans="1:30" s="2" customFormat="1" x14ac:dyDescent="0.25">
      <c r="A109" s="60" t="s">
        <v>350</v>
      </c>
      <c r="B109" s="60">
        <v>4009</v>
      </c>
      <c r="C109" s="60" t="s">
        <v>62</v>
      </c>
      <c r="D109" s="60" t="s">
        <v>149</v>
      </c>
      <c r="E109" s="30">
        <v>42521.713576388887</v>
      </c>
      <c r="F109" s="30">
        <v>42521.714675925927</v>
      </c>
      <c r="G109" s="38">
        <v>1</v>
      </c>
      <c r="H109" s="30" t="s">
        <v>86</v>
      </c>
      <c r="I109" s="30">
        <v>42521.744247685187</v>
      </c>
      <c r="J109" s="60">
        <v>0</v>
      </c>
      <c r="K109" s="60" t="str">
        <f t="shared" si="38"/>
        <v>4009/4010</v>
      </c>
      <c r="L109" s="60" t="str">
        <f>VLOOKUP(A109,'Trips&amp;Operators'!$C$1:$E$9999,3,FALSE)</f>
        <v>LEVERE</v>
      </c>
      <c r="M109" s="12">
        <f t="shared" si="39"/>
        <v>2.9571759259852115E-2</v>
      </c>
      <c r="N109" s="13">
        <f t="shared" si="50"/>
        <v>42.583333334187046</v>
      </c>
      <c r="O109" s="13"/>
      <c r="P109" s="13"/>
      <c r="Q109" s="61"/>
      <c r="R109" s="61"/>
      <c r="S109" s="94">
        <f t="shared" si="31"/>
        <v>1</v>
      </c>
      <c r="T109" s="2" t="str">
        <f t="shared" si="32"/>
        <v>NorthBound</v>
      </c>
      <c r="U109" s="67">
        <f>COUNTIFS([2]Variables!$M$2:$M$19,IF(T109="NorthBound","&gt;=","&lt;=")&amp;Z109,[2]Variables!$M$2:$M$19,IF(T109="NorthBound","&lt;=","&gt;=")&amp;AA109)</f>
        <v>12</v>
      </c>
      <c r="W109" s="73" t="str">
        <f t="shared" si="40"/>
        <v>https://search-rtdc-monitor-bjffxe2xuh6vdkpspy63sjmuny.us-east-1.es.amazonaws.com/_plugin/kibana/#/discover/Steve-Slow-Train-Analysis-(2080s-and-2083s)?_g=(refreshInterval:(display:Off,section:0,value:0),time:(from:'2016-05-31 17:06:33-0600',mode:absolute,to:'2016-05-31 17:52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X109" s="73" t="str">
        <f t="shared" si="41"/>
        <v>N</v>
      </c>
      <c r="Y109" s="73">
        <f t="shared" si="49"/>
        <v>1</v>
      </c>
      <c r="Z109" s="73">
        <f t="shared" si="42"/>
        <v>4.3700000000000003E-2</v>
      </c>
      <c r="AA109" s="73">
        <f t="shared" si="37"/>
        <v>23.330200000000001</v>
      </c>
      <c r="AB109" s="73">
        <f t="shared" si="43"/>
        <v>23.2865</v>
      </c>
      <c r="AC109" s="74" t="e">
        <f>VLOOKUP(A109,Enforcements!$C$3:$J$52,8,0)</f>
        <v>#N/A</v>
      </c>
      <c r="AD109" s="74" t="e">
        <f>VLOOKUP(A109,Enforcements!$C$3:$J$52,3,0)</f>
        <v>#N/A</v>
      </c>
    </row>
    <row r="110" spans="1:30" s="2" customFormat="1" x14ac:dyDescent="0.25">
      <c r="A110" s="60" t="s">
        <v>351</v>
      </c>
      <c r="B110" s="60">
        <v>4010</v>
      </c>
      <c r="C110" s="60" t="s">
        <v>62</v>
      </c>
      <c r="D110" s="60" t="s">
        <v>111</v>
      </c>
      <c r="E110" s="30">
        <v>42521.748969907407</v>
      </c>
      <c r="F110" s="30">
        <v>42521.750081018516</v>
      </c>
      <c r="G110" s="38">
        <v>1</v>
      </c>
      <c r="H110" s="30" t="s">
        <v>352</v>
      </c>
      <c r="I110" s="30">
        <v>42521.783136574071</v>
      </c>
      <c r="J110" s="60">
        <v>0</v>
      </c>
      <c r="K110" s="60" t="str">
        <f t="shared" si="38"/>
        <v>4009/4010</v>
      </c>
      <c r="L110" s="60" t="str">
        <f>VLOOKUP(A110,'Trips&amp;Operators'!$C$1:$E$9999,3,FALSE)</f>
        <v>LEVERE</v>
      </c>
      <c r="M110" s="12">
        <f t="shared" si="39"/>
        <v>3.3055555555620231E-2</v>
      </c>
      <c r="N110" s="13">
        <f t="shared" si="50"/>
        <v>47.600000000093132</v>
      </c>
      <c r="O110" s="13"/>
      <c r="P110" s="13"/>
      <c r="Q110" s="61"/>
      <c r="R110" s="61"/>
      <c r="S110" s="94">
        <f t="shared" si="31"/>
        <v>1</v>
      </c>
      <c r="T110" s="2" t="str">
        <f t="shared" si="32"/>
        <v>Southbound</v>
      </c>
      <c r="U110" s="67">
        <f>COUNTIFS([2]Variables!$M$2:$M$19,IF(T110="NorthBound","&gt;=","&lt;=")&amp;Z110,[2]Variables!$M$2:$M$19,IF(T110="NorthBound","&lt;=","&gt;=")&amp;AA110)</f>
        <v>12</v>
      </c>
      <c r="W110" s="73" t="str">
        <f t="shared" si="40"/>
        <v>https://search-rtdc-monitor-bjffxe2xuh6vdkpspy63sjmuny.us-east-1.es.amazonaws.com/_plugin/kibana/#/discover/Steve-Slow-Train-Analysis-(2080s-and-2083s)?_g=(refreshInterval:(display:Off,section:0,value:0),time:(from:'2016-05-31 17:57:31-0600',mode:absolute,to:'2016-05-31 18:48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X110" s="73" t="str">
        <f t="shared" si="41"/>
        <v>N</v>
      </c>
      <c r="Y110" s="73">
        <f t="shared" si="49"/>
        <v>1</v>
      </c>
      <c r="Z110" s="73">
        <f t="shared" si="42"/>
        <v>23.298500000000001</v>
      </c>
      <c r="AA110" s="73">
        <f t="shared" si="37"/>
        <v>0.13789999999999999</v>
      </c>
      <c r="AB110" s="73">
        <f t="shared" si="43"/>
        <v>23.160600000000002</v>
      </c>
      <c r="AC110" s="74" t="e">
        <f>VLOOKUP(A110,Enforcements!$C$3:$J$52,8,0)</f>
        <v>#N/A</v>
      </c>
      <c r="AD110" s="74" t="e">
        <f>VLOOKUP(A110,Enforcements!$C$3:$J$52,3,0)</f>
        <v>#N/A</v>
      </c>
    </row>
    <row r="111" spans="1:30" s="2" customFormat="1" x14ac:dyDescent="0.25">
      <c r="A111" s="60" t="s">
        <v>353</v>
      </c>
      <c r="B111" s="60">
        <v>4040</v>
      </c>
      <c r="C111" s="60" t="s">
        <v>62</v>
      </c>
      <c r="D111" s="60" t="s">
        <v>99</v>
      </c>
      <c r="E111" s="30">
        <v>42521.724490740744</v>
      </c>
      <c r="F111" s="30">
        <v>42521.725671296299</v>
      </c>
      <c r="G111" s="38">
        <v>1</v>
      </c>
      <c r="H111" s="30" t="s">
        <v>354</v>
      </c>
      <c r="I111" s="30">
        <v>42521.754664351851</v>
      </c>
      <c r="J111" s="60">
        <v>0</v>
      </c>
      <c r="K111" s="60" t="str">
        <f t="shared" si="38"/>
        <v>4039/4040</v>
      </c>
      <c r="L111" s="60" t="str">
        <f>VLOOKUP(A111,'Trips&amp;Operators'!$C$1:$E$9999,3,FALSE)</f>
        <v>HELVIE</v>
      </c>
      <c r="M111" s="12">
        <f t="shared" si="39"/>
        <v>2.8993055551836733E-2</v>
      </c>
      <c r="N111" s="13">
        <f t="shared" si="50"/>
        <v>41.749999994644895</v>
      </c>
      <c r="O111" s="13"/>
      <c r="P111" s="13"/>
      <c r="Q111" s="61"/>
      <c r="R111" s="61"/>
      <c r="S111" s="94">
        <f t="shared" si="31"/>
        <v>1</v>
      </c>
      <c r="T111" s="2" t="str">
        <f t="shared" si="32"/>
        <v>NorthBound</v>
      </c>
      <c r="U111" s="67">
        <f>COUNTIFS([2]Variables!$M$2:$M$19,IF(T111="NorthBound","&gt;=","&lt;=")&amp;Z111,[2]Variables!$M$2:$M$19,IF(T111="NorthBound","&lt;=","&gt;=")&amp;AA111)</f>
        <v>12</v>
      </c>
      <c r="W111" s="73" t="str">
        <f t="shared" si="40"/>
        <v>https://search-rtdc-monitor-bjffxe2xuh6vdkpspy63sjmuny.us-east-1.es.amazonaws.com/_plugin/kibana/#/discover/Steve-Slow-Train-Analysis-(2080s-and-2083s)?_g=(refreshInterval:(display:Off,section:0,value:0),time:(from:'2016-05-31 17:22:16-0600',mode:absolute,to:'2016-05-31 18:07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X111" s="73" t="str">
        <f t="shared" si="41"/>
        <v>N</v>
      </c>
      <c r="Y111" s="73">
        <f t="shared" si="49"/>
        <v>1</v>
      </c>
      <c r="Z111" s="73">
        <f t="shared" si="42"/>
        <v>4.6199999999999998E-2</v>
      </c>
      <c r="AA111" s="73">
        <f t="shared" si="37"/>
        <v>23.331800000000001</v>
      </c>
      <c r="AB111" s="73">
        <f t="shared" si="43"/>
        <v>23.285600000000002</v>
      </c>
      <c r="AC111" s="74" t="e">
        <f>VLOOKUP(A111,Enforcements!$C$3:$J$52,8,0)</f>
        <v>#N/A</v>
      </c>
      <c r="AD111" s="74" t="e">
        <f>VLOOKUP(A111,Enforcements!$C$3:$J$52,3,0)</f>
        <v>#N/A</v>
      </c>
    </row>
    <row r="112" spans="1:30" s="2" customFormat="1" x14ac:dyDescent="0.25">
      <c r="A112" s="60" t="s">
        <v>355</v>
      </c>
      <c r="B112" s="60">
        <v>4039</v>
      </c>
      <c r="C112" s="60" t="s">
        <v>62</v>
      </c>
      <c r="D112" s="60" t="s">
        <v>94</v>
      </c>
      <c r="E112" s="30">
        <v>42521.761759259258</v>
      </c>
      <c r="F112" s="30">
        <v>42521.762743055559</v>
      </c>
      <c r="G112" s="38">
        <v>1</v>
      </c>
      <c r="H112" s="30" t="s">
        <v>152</v>
      </c>
      <c r="I112" s="30">
        <v>42521.794120370374</v>
      </c>
      <c r="J112" s="60">
        <v>1</v>
      </c>
      <c r="K112" s="60" t="str">
        <f t="shared" si="38"/>
        <v>4039/4040</v>
      </c>
      <c r="L112" s="60" t="str">
        <f>VLOOKUP(A112,'Trips&amp;Operators'!$C$1:$E$9999,3,FALSE)</f>
        <v>HELVIE</v>
      </c>
      <c r="M112" s="12">
        <f t="shared" si="39"/>
        <v>3.1377314815472346E-2</v>
      </c>
      <c r="N112" s="13">
        <f t="shared" si="50"/>
        <v>45.183333334280178</v>
      </c>
      <c r="O112" s="13"/>
      <c r="P112" s="13"/>
      <c r="Q112" s="61"/>
      <c r="R112" s="61"/>
      <c r="S112" s="94">
        <f t="shared" si="31"/>
        <v>1</v>
      </c>
      <c r="T112" s="2" t="str">
        <f t="shared" si="32"/>
        <v>Southbound</v>
      </c>
      <c r="U112" s="67">
        <f>COUNTIFS([2]Variables!$M$2:$M$19,IF(T112="NorthBound","&gt;=","&lt;=")&amp;Z112,[2]Variables!$M$2:$M$19,IF(T112="NorthBound","&lt;=","&gt;=")&amp;AA112)</f>
        <v>12</v>
      </c>
      <c r="W112" s="73" t="str">
        <f t="shared" si="40"/>
        <v>https://search-rtdc-monitor-bjffxe2xuh6vdkpspy63sjmuny.us-east-1.es.amazonaws.com/_plugin/kibana/#/discover/Steve-Slow-Train-Analysis-(2080s-and-2083s)?_g=(refreshInterval:(display:Off,section:0,value:0),time:(from:'2016-05-31 18:15:56-0600',mode:absolute,to:'2016-05-31 19:04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X112" s="73" t="str">
        <f t="shared" si="41"/>
        <v>N</v>
      </c>
      <c r="Y112" s="73">
        <f t="shared" si="49"/>
        <v>1</v>
      </c>
      <c r="Z112" s="73">
        <f t="shared" si="42"/>
        <v>23.297699999999999</v>
      </c>
      <c r="AA112" s="73">
        <f t="shared" si="37"/>
        <v>1.61E-2</v>
      </c>
      <c r="AB112" s="73">
        <f t="shared" si="43"/>
        <v>23.281599999999997</v>
      </c>
      <c r="AC112" s="74">
        <f>VLOOKUP(A112,Enforcements!$C$3:$J$52,8,0)</f>
        <v>1</v>
      </c>
      <c r="AD112" s="74" t="str">
        <f>VLOOKUP(A112,Enforcements!$C$3:$J$52,3,0)</f>
        <v>TRACK WARRANT AUTHORITY</v>
      </c>
    </row>
    <row r="113" spans="1:30" s="2" customFormat="1" x14ac:dyDescent="0.25">
      <c r="A113" s="60" t="s">
        <v>356</v>
      </c>
      <c r="B113" s="60">
        <v>4011</v>
      </c>
      <c r="C113" s="60" t="s">
        <v>62</v>
      </c>
      <c r="D113" s="60" t="s">
        <v>69</v>
      </c>
      <c r="E113" s="30">
        <v>42521.735069444447</v>
      </c>
      <c r="F113" s="30">
        <v>42521.736331018517</v>
      </c>
      <c r="G113" s="38">
        <v>1</v>
      </c>
      <c r="H113" s="30" t="s">
        <v>115</v>
      </c>
      <c r="I113" s="30">
        <v>42521.764293981483</v>
      </c>
      <c r="J113" s="60">
        <v>0</v>
      </c>
      <c r="K113" s="60" t="str">
        <f t="shared" si="38"/>
        <v>4011/4012</v>
      </c>
      <c r="L113" s="60" t="str">
        <f>VLOOKUP(A113,'Trips&amp;Operators'!$C$1:$E$9999,3,FALSE)</f>
        <v>GRASTON</v>
      </c>
      <c r="M113" s="12">
        <f t="shared" si="39"/>
        <v>2.7962962965830229E-2</v>
      </c>
      <c r="N113" s="13">
        <f t="shared" si="50"/>
        <v>40.26666667079553</v>
      </c>
      <c r="O113" s="13"/>
      <c r="P113" s="13"/>
      <c r="Q113" s="61"/>
      <c r="R113" s="61"/>
      <c r="S113" s="94">
        <f t="shared" si="31"/>
        <v>1</v>
      </c>
      <c r="T113" s="2" t="str">
        <f t="shared" si="32"/>
        <v>NorthBound</v>
      </c>
      <c r="U113" s="67">
        <f>COUNTIFS([2]Variables!$M$2:$M$19,IF(T113="NorthBound","&gt;=","&lt;=")&amp;Z113,[2]Variables!$M$2:$M$19,IF(T113="NorthBound","&lt;=","&gt;=")&amp;AA113)</f>
        <v>12</v>
      </c>
      <c r="W113" s="73" t="str">
        <f t="shared" si="40"/>
        <v>https://search-rtdc-monitor-bjffxe2xuh6vdkpspy63sjmuny.us-east-1.es.amazonaws.com/_plugin/kibana/#/discover/Steve-Slow-Train-Analysis-(2080s-and-2083s)?_g=(refreshInterval:(display:Off,section:0,value:0),time:(from:'2016-05-31 17:37:30-0600',mode:absolute,to:'2016-05-31 18:21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X113" s="73" t="str">
        <f t="shared" si="41"/>
        <v>N</v>
      </c>
      <c r="Y113" s="73">
        <f t="shared" si="49"/>
        <v>1</v>
      </c>
      <c r="Z113" s="73">
        <f t="shared" si="42"/>
        <v>4.5100000000000001E-2</v>
      </c>
      <c r="AA113" s="73">
        <f t="shared" si="37"/>
        <v>23.329799999999999</v>
      </c>
      <c r="AB113" s="73">
        <f t="shared" si="43"/>
        <v>23.284699999999997</v>
      </c>
      <c r="AC113" s="74" t="e">
        <f>VLOOKUP(A113,Enforcements!$C$3:$J$52,8,0)</f>
        <v>#N/A</v>
      </c>
      <c r="AD113" s="74" t="e">
        <f>VLOOKUP(A113,Enforcements!$C$3:$J$52,3,0)</f>
        <v>#N/A</v>
      </c>
    </row>
    <row r="114" spans="1:30" s="2" customFormat="1" x14ac:dyDescent="0.25">
      <c r="A114" s="60" t="s">
        <v>357</v>
      </c>
      <c r="B114" s="60">
        <v>4012</v>
      </c>
      <c r="C114" s="60" t="s">
        <v>62</v>
      </c>
      <c r="D114" s="60" t="s">
        <v>94</v>
      </c>
      <c r="E114" s="30">
        <v>42521.775879629633</v>
      </c>
      <c r="F114" s="30">
        <v>42521.776863425926</v>
      </c>
      <c r="G114" s="38">
        <v>1</v>
      </c>
      <c r="H114" s="30" t="s">
        <v>152</v>
      </c>
      <c r="I114" s="30">
        <v>42521.805011574077</v>
      </c>
      <c r="J114" s="60">
        <v>0</v>
      </c>
      <c r="K114" s="60" t="str">
        <f t="shared" si="38"/>
        <v>4011/4012</v>
      </c>
      <c r="L114" s="60" t="str">
        <f>VLOOKUP(A114,'Trips&amp;Operators'!$C$1:$E$9999,3,FALSE)</f>
        <v>GRASTON</v>
      </c>
      <c r="M114" s="12">
        <f t="shared" si="39"/>
        <v>2.8148148150648922E-2</v>
      </c>
      <c r="N114" s="13">
        <f t="shared" si="50"/>
        <v>40.533333336934447</v>
      </c>
      <c r="O114" s="13"/>
      <c r="P114" s="13"/>
      <c r="Q114" s="61"/>
      <c r="R114" s="61"/>
      <c r="S114" s="94">
        <f t="shared" si="31"/>
        <v>1</v>
      </c>
      <c r="T114" s="2" t="str">
        <f t="shared" si="32"/>
        <v>Southbound</v>
      </c>
      <c r="U114" s="67">
        <f>COUNTIFS([2]Variables!$M$2:$M$19,IF(T114="NorthBound","&gt;=","&lt;=")&amp;Z114,[2]Variables!$M$2:$M$19,IF(T114="NorthBound","&lt;=","&gt;=")&amp;AA114)</f>
        <v>12</v>
      </c>
      <c r="W114" s="73" t="str">
        <f t="shared" si="40"/>
        <v>https://search-rtdc-monitor-bjffxe2xuh6vdkpspy63sjmuny.us-east-1.es.amazonaws.com/_plugin/kibana/#/discover/Steve-Slow-Train-Analysis-(2080s-and-2083s)?_g=(refreshInterval:(display:Off,section:0,value:0),time:(from:'2016-05-31 18:36:16-0600',mode:absolute,to:'2016-05-31 19:20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X114" s="73" t="str">
        <f t="shared" si="41"/>
        <v>N</v>
      </c>
      <c r="Y114" s="73">
        <f t="shared" si="49"/>
        <v>1</v>
      </c>
      <c r="Z114" s="73">
        <f t="shared" si="42"/>
        <v>23.297699999999999</v>
      </c>
      <c r="AA114" s="73">
        <f t="shared" si="37"/>
        <v>1.61E-2</v>
      </c>
      <c r="AB114" s="73">
        <f t="shared" si="43"/>
        <v>23.281599999999997</v>
      </c>
      <c r="AC114" s="74" t="e">
        <f>VLOOKUP(A114,Enforcements!$C$3:$J$52,8,0)</f>
        <v>#N/A</v>
      </c>
      <c r="AD114" s="74" t="e">
        <f>VLOOKUP(A114,Enforcements!$C$3:$J$52,3,0)</f>
        <v>#N/A</v>
      </c>
    </row>
    <row r="115" spans="1:30" s="2" customFormat="1" x14ac:dyDescent="0.25">
      <c r="A115" s="60" t="s">
        <v>358</v>
      </c>
      <c r="B115" s="60">
        <v>4014</v>
      </c>
      <c r="C115" s="60" t="s">
        <v>62</v>
      </c>
      <c r="D115" s="60" t="s">
        <v>81</v>
      </c>
      <c r="E115" s="30">
        <v>42521.744814814818</v>
      </c>
      <c r="F115" s="30">
        <v>42521.745833333334</v>
      </c>
      <c r="G115" s="38">
        <v>1</v>
      </c>
      <c r="H115" s="30" t="s">
        <v>107</v>
      </c>
      <c r="I115" s="30">
        <v>42521.774537037039</v>
      </c>
      <c r="J115" s="60">
        <v>0</v>
      </c>
      <c r="K115" s="60" t="str">
        <f t="shared" si="38"/>
        <v>4013/4014</v>
      </c>
      <c r="L115" s="60" t="str">
        <f>VLOOKUP(A115,'Trips&amp;Operators'!$C$1:$E$9999,3,FALSE)</f>
        <v>REBOLETTI</v>
      </c>
      <c r="M115" s="12">
        <f t="shared" si="39"/>
        <v>2.8703703705104999E-2</v>
      </c>
      <c r="N115" s="13">
        <f t="shared" si="50"/>
        <v>41.333333335351199</v>
      </c>
      <c r="O115" s="13"/>
      <c r="P115" s="13"/>
      <c r="Q115" s="61"/>
      <c r="R115" s="61"/>
      <c r="S115" s="94">
        <f t="shared" si="31"/>
        <v>1</v>
      </c>
      <c r="T115" s="2" t="str">
        <f t="shared" si="32"/>
        <v>NorthBound</v>
      </c>
      <c r="U115" s="67">
        <f>COUNTIFS([2]Variables!$M$2:$M$19,IF(T115="NorthBound","&gt;=","&lt;=")&amp;Z115,[2]Variables!$M$2:$M$19,IF(T115="NorthBound","&lt;=","&gt;=")&amp;AA115)</f>
        <v>12</v>
      </c>
      <c r="W115" s="73" t="str">
        <f t="shared" si="40"/>
        <v>https://search-rtdc-monitor-bjffxe2xuh6vdkpspy63sjmuny.us-east-1.es.amazonaws.com/_plugin/kibana/#/discover/Steve-Slow-Train-Analysis-(2080s-and-2083s)?_g=(refreshInterval:(display:Off,section:0,value:0),time:(from:'2016-05-31 17:51:32-0600',mode:absolute,to:'2016-05-31 18:36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X115" s="73" t="str">
        <f t="shared" si="41"/>
        <v>N</v>
      </c>
      <c r="Y115" s="73">
        <f t="shared" si="49"/>
        <v>1</v>
      </c>
      <c r="Z115" s="73">
        <f t="shared" si="42"/>
        <v>4.58E-2</v>
      </c>
      <c r="AA115" s="73">
        <f t="shared" si="37"/>
        <v>23.327999999999999</v>
      </c>
      <c r="AB115" s="73">
        <f t="shared" si="43"/>
        <v>23.2822</v>
      </c>
      <c r="AC115" s="74" t="e">
        <f>VLOOKUP(A115,Enforcements!$C$3:$J$52,8,0)</f>
        <v>#N/A</v>
      </c>
      <c r="AD115" s="74" t="e">
        <f>VLOOKUP(A115,Enforcements!$C$3:$J$52,3,0)</f>
        <v>#N/A</v>
      </c>
    </row>
    <row r="116" spans="1:30" s="2" customFormat="1" x14ac:dyDescent="0.25">
      <c r="A116" s="60" t="s">
        <v>359</v>
      </c>
      <c r="B116" s="60">
        <v>4013</v>
      </c>
      <c r="C116" s="60" t="s">
        <v>62</v>
      </c>
      <c r="D116" s="60" t="s">
        <v>124</v>
      </c>
      <c r="E116" s="30">
        <v>42521.782592592594</v>
      </c>
      <c r="F116" s="30">
        <v>42521.783622685187</v>
      </c>
      <c r="G116" s="38">
        <v>1</v>
      </c>
      <c r="H116" s="30" t="s">
        <v>360</v>
      </c>
      <c r="I116" s="30">
        <v>42521.815416666665</v>
      </c>
      <c r="J116" s="60">
        <v>1</v>
      </c>
      <c r="K116" s="60" t="str">
        <f t="shared" si="38"/>
        <v>4013/4014</v>
      </c>
      <c r="L116" s="60" t="str">
        <f>VLOOKUP(A116,'Trips&amp;Operators'!$C$1:$E$9999,3,FALSE)</f>
        <v>REBOLETTI</v>
      </c>
      <c r="M116" s="12">
        <f t="shared" si="39"/>
        <v>3.1793981477676425E-2</v>
      </c>
      <c r="N116" s="13">
        <f t="shared" si="50"/>
        <v>45.783333327854052</v>
      </c>
      <c r="O116" s="13"/>
      <c r="P116" s="13"/>
      <c r="Q116" s="61"/>
      <c r="R116" s="61"/>
      <c r="S116" s="94">
        <f t="shared" si="31"/>
        <v>1</v>
      </c>
      <c r="T116" s="2" t="str">
        <f t="shared" si="32"/>
        <v>Southbound</v>
      </c>
      <c r="U116" s="67">
        <f>COUNTIFS([2]Variables!$M$2:$M$19,IF(T116="NorthBound","&gt;=","&lt;=")&amp;Z116,[2]Variables!$M$2:$M$19,IF(T116="NorthBound","&lt;=","&gt;=")&amp;AA116)</f>
        <v>12</v>
      </c>
      <c r="W116" s="73" t="str">
        <f t="shared" si="40"/>
        <v>https://search-rtdc-monitor-bjffxe2xuh6vdkpspy63sjmuny.us-east-1.es.amazonaws.com/_plugin/kibana/#/discover/Steve-Slow-Train-Analysis-(2080s-and-2083s)?_g=(refreshInterval:(display:Off,section:0,value:0),time:(from:'2016-05-31 18:45:56-0600',mode:absolute,to:'2016-05-31 19:35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X116" s="73" t="str">
        <f t="shared" si="41"/>
        <v>N</v>
      </c>
      <c r="Y116" s="73">
        <f t="shared" si="49"/>
        <v>1</v>
      </c>
      <c r="Z116" s="73">
        <f t="shared" si="42"/>
        <v>23.296900000000001</v>
      </c>
      <c r="AA116" s="73">
        <f t="shared" si="37"/>
        <v>1.9400000000000001E-2</v>
      </c>
      <c r="AB116" s="73">
        <f t="shared" si="43"/>
        <v>23.2775</v>
      </c>
      <c r="AC116" s="74">
        <f>VLOOKUP(A116,Enforcements!$C$3:$J$52,8,0)</f>
        <v>1</v>
      </c>
      <c r="AD116" s="74" t="str">
        <f>VLOOKUP(A116,Enforcements!$C$3:$J$52,3,0)</f>
        <v>TRACK WARRANT AUTHORITY</v>
      </c>
    </row>
    <row r="117" spans="1:30" s="2" customFormat="1" x14ac:dyDescent="0.25">
      <c r="A117" s="60" t="s">
        <v>361</v>
      </c>
      <c r="B117" s="60">
        <v>4007</v>
      </c>
      <c r="C117" s="60" t="s">
        <v>62</v>
      </c>
      <c r="D117" s="60" t="s">
        <v>89</v>
      </c>
      <c r="E117" s="30">
        <v>42521.755115740743</v>
      </c>
      <c r="F117" s="30">
        <v>42521.756307870368</v>
      </c>
      <c r="G117" s="38">
        <v>1</v>
      </c>
      <c r="H117" s="30" t="s">
        <v>86</v>
      </c>
      <c r="I117" s="30">
        <v>42521.785462962966</v>
      </c>
      <c r="J117" s="60">
        <v>0</v>
      </c>
      <c r="K117" s="60" t="str">
        <f t="shared" si="38"/>
        <v>4007/4008</v>
      </c>
      <c r="L117" s="60" t="str">
        <f>VLOOKUP(A117,'Trips&amp;Operators'!$C$1:$E$9999,3,FALSE)</f>
        <v>ADANE</v>
      </c>
      <c r="M117" s="12">
        <f t="shared" si="39"/>
        <v>2.9155092597648036E-2</v>
      </c>
      <c r="N117" s="13">
        <f t="shared" si="50"/>
        <v>41.983333340613171</v>
      </c>
      <c r="O117" s="13"/>
      <c r="P117" s="13"/>
      <c r="Q117" s="61"/>
      <c r="R117" s="61"/>
      <c r="S117" s="94">
        <f t="shared" si="31"/>
        <v>1</v>
      </c>
      <c r="T117" s="2" t="str">
        <f t="shared" si="32"/>
        <v>NorthBound</v>
      </c>
      <c r="U117" s="67">
        <f>COUNTIFS([2]Variables!$M$2:$M$19,IF(T117="NorthBound","&gt;=","&lt;=")&amp;Z117,[2]Variables!$M$2:$M$19,IF(T117="NorthBound","&lt;=","&gt;=")&amp;AA117)</f>
        <v>12</v>
      </c>
      <c r="W117" s="73" t="str">
        <f t="shared" si="40"/>
        <v>https://search-rtdc-monitor-bjffxe2xuh6vdkpspy63sjmuny.us-east-1.es.amazonaws.com/_plugin/kibana/#/discover/Steve-Slow-Train-Analysis-(2080s-and-2083s)?_g=(refreshInterval:(display:Off,section:0,value:0),time:(from:'2016-05-31 18:06:22-0600',mode:absolute,to:'2016-05-31 18:52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X117" s="73" t="str">
        <f t="shared" si="41"/>
        <v>N</v>
      </c>
      <c r="Y117" s="73">
        <f t="shared" si="49"/>
        <v>1</v>
      </c>
      <c r="Z117" s="73">
        <f t="shared" si="42"/>
        <v>4.5999999999999999E-2</v>
      </c>
      <c r="AA117" s="73">
        <f t="shared" si="37"/>
        <v>23.330200000000001</v>
      </c>
      <c r="AB117" s="73">
        <f t="shared" si="43"/>
        <v>23.284200000000002</v>
      </c>
      <c r="AC117" s="74" t="e">
        <f>VLOOKUP(A117,Enforcements!$C$3:$J$52,8,0)</f>
        <v>#N/A</v>
      </c>
      <c r="AD117" s="74" t="e">
        <f>VLOOKUP(A117,Enforcements!$C$3:$J$52,3,0)</f>
        <v>#N/A</v>
      </c>
    </row>
    <row r="118" spans="1:30" s="2" customFormat="1" x14ac:dyDescent="0.25">
      <c r="A118" s="60" t="s">
        <v>362</v>
      </c>
      <c r="B118" s="60">
        <v>4008</v>
      </c>
      <c r="C118" s="60" t="s">
        <v>62</v>
      </c>
      <c r="D118" s="60" t="s">
        <v>116</v>
      </c>
      <c r="E118" s="30">
        <v>42521.796249999999</v>
      </c>
      <c r="F118" s="30">
        <v>42521.797638888886</v>
      </c>
      <c r="G118" s="38">
        <v>2</v>
      </c>
      <c r="H118" s="30" t="s">
        <v>114</v>
      </c>
      <c r="I118" s="30">
        <v>42521.825370370374</v>
      </c>
      <c r="J118" s="60">
        <v>1</v>
      </c>
      <c r="K118" s="60" t="str">
        <f t="shared" si="38"/>
        <v>4007/4008</v>
      </c>
      <c r="L118" s="60" t="str">
        <f>VLOOKUP(A118,'Trips&amp;Operators'!$C$1:$E$9999,3,FALSE)</f>
        <v>ADANE</v>
      </c>
      <c r="M118" s="12">
        <f t="shared" si="39"/>
        <v>2.7731481488444842E-2</v>
      </c>
      <c r="N118" s="13">
        <f t="shared" si="50"/>
        <v>39.933333343360573</v>
      </c>
      <c r="O118" s="13"/>
      <c r="P118" s="13"/>
      <c r="Q118" s="61"/>
      <c r="R118" s="61"/>
      <c r="S118" s="94">
        <f t="shared" si="31"/>
        <v>1</v>
      </c>
      <c r="T118" s="2" t="str">
        <f t="shared" si="32"/>
        <v>Southbound</v>
      </c>
      <c r="U118" s="67">
        <f>COUNTIFS([2]Variables!$M$2:$M$19,IF(T118="NorthBound","&gt;=","&lt;=")&amp;Z118,[2]Variables!$M$2:$M$19,IF(T118="NorthBound","&lt;=","&gt;=")&amp;AA118)</f>
        <v>12</v>
      </c>
      <c r="W118" s="73" t="str">
        <f t="shared" si="40"/>
        <v>https://search-rtdc-monitor-bjffxe2xuh6vdkpspy63sjmuny.us-east-1.es.amazonaws.com/_plugin/kibana/#/discover/Steve-Slow-Train-Analysis-(2080s-and-2083s)?_g=(refreshInterval:(display:Off,section:0,value:0),time:(from:'2016-05-31 19:05:36-0600',mode:absolute,to:'2016-05-31 19:49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X118" s="73" t="str">
        <f t="shared" si="41"/>
        <v>N</v>
      </c>
      <c r="Y118" s="73">
        <f t="shared" si="49"/>
        <v>1</v>
      </c>
      <c r="Z118" s="73">
        <f t="shared" si="42"/>
        <v>23.298300000000001</v>
      </c>
      <c r="AA118" s="73">
        <f t="shared" si="37"/>
        <v>1.49E-2</v>
      </c>
      <c r="AB118" s="73">
        <f t="shared" si="43"/>
        <v>23.2834</v>
      </c>
      <c r="AC118" s="74">
        <f>VLOOKUP(A118,Enforcements!$C$3:$J$52,8,0)</f>
        <v>30562</v>
      </c>
      <c r="AD118" s="74" t="str">
        <f>VLOOKUP(A118,Enforcements!$C$3:$J$52,3,0)</f>
        <v>PERMANENT SPEED RESTRICTION</v>
      </c>
    </row>
    <row r="119" spans="1:30" s="2" customFormat="1" ht="15.75" customHeight="1" x14ac:dyDescent="0.25">
      <c r="A119" s="60" t="s">
        <v>363</v>
      </c>
      <c r="B119" s="60">
        <v>4029</v>
      </c>
      <c r="C119" s="60" t="s">
        <v>62</v>
      </c>
      <c r="D119" s="60" t="s">
        <v>364</v>
      </c>
      <c r="E119" s="30">
        <v>42521.7653125</v>
      </c>
      <c r="F119" s="30">
        <v>42521.766585648147</v>
      </c>
      <c r="G119" s="38">
        <v>1</v>
      </c>
      <c r="H119" s="30" t="s">
        <v>365</v>
      </c>
      <c r="I119" s="30">
        <v>42521.796574074076</v>
      </c>
      <c r="J119" s="60">
        <v>0</v>
      </c>
      <c r="K119" s="60" t="str">
        <f t="shared" si="38"/>
        <v>4029/4030</v>
      </c>
      <c r="L119" s="60" t="str">
        <f>VLOOKUP(A119,'Trips&amp;Operators'!$C$1:$E$9999,3,FALSE)</f>
        <v>BARTLETT</v>
      </c>
      <c r="M119" s="12">
        <f t="shared" si="39"/>
        <v>2.9988425929332152E-2</v>
      </c>
      <c r="N119" s="13">
        <f t="shared" si="50"/>
        <v>43.183333338238299</v>
      </c>
      <c r="O119" s="13"/>
      <c r="P119" s="13"/>
      <c r="Q119" s="61"/>
      <c r="R119" s="61"/>
      <c r="S119" s="94">
        <f t="shared" si="31"/>
        <v>1</v>
      </c>
      <c r="T119" s="2" t="str">
        <f t="shared" si="32"/>
        <v>NorthBound</v>
      </c>
      <c r="U119" s="67">
        <f>COUNTIFS([2]Variables!$M$2:$M$19,IF(T119="NorthBound","&gt;=","&lt;=")&amp;Z119,[2]Variables!$M$2:$M$19,IF(T119="NorthBound","&lt;=","&gt;=")&amp;AA119)</f>
        <v>12</v>
      </c>
      <c r="W119" s="73" t="str">
        <f t="shared" si="40"/>
        <v>https://search-rtdc-monitor-bjffxe2xuh6vdkpspy63sjmuny.us-east-1.es.amazonaws.com/_plugin/kibana/#/discover/Steve-Slow-Train-Analysis-(2080s-and-2083s)?_g=(refreshInterval:(display:Off,section:0,value:0),time:(from:'2016-05-31 18:21:03-0600',mode:absolute,to:'2016-05-31 19:08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X119" s="73" t="str">
        <f t="shared" si="41"/>
        <v>N</v>
      </c>
      <c r="Y119" s="73">
        <f t="shared" si="49"/>
        <v>1</v>
      </c>
      <c r="Z119" s="73">
        <f t="shared" si="42"/>
        <v>5.0799999999999998E-2</v>
      </c>
      <c r="AA119" s="73">
        <f t="shared" si="37"/>
        <v>23.3291</v>
      </c>
      <c r="AB119" s="73">
        <f t="shared" si="43"/>
        <v>23.278300000000002</v>
      </c>
      <c r="AC119" s="74" t="e">
        <f>VLOOKUP(A119,Enforcements!$C$3:$J$52,8,0)</f>
        <v>#N/A</v>
      </c>
      <c r="AD119" s="74" t="e">
        <f>VLOOKUP(A119,Enforcements!$C$3:$J$52,3,0)</f>
        <v>#N/A</v>
      </c>
    </row>
    <row r="120" spans="1:30" s="2" customFormat="1" x14ac:dyDescent="0.25">
      <c r="A120" s="60" t="s">
        <v>366</v>
      </c>
      <c r="B120" s="60">
        <v>4030</v>
      </c>
      <c r="C120" s="60" t="s">
        <v>62</v>
      </c>
      <c r="D120" s="60" t="s">
        <v>155</v>
      </c>
      <c r="E120" s="30">
        <v>42521.800046296295</v>
      </c>
      <c r="F120" s="30">
        <v>42521.801192129627</v>
      </c>
      <c r="G120" s="38">
        <v>1</v>
      </c>
      <c r="H120" s="30" t="s">
        <v>88</v>
      </c>
      <c r="I120" s="30">
        <v>42521.836388888885</v>
      </c>
      <c r="J120" s="60">
        <v>0</v>
      </c>
      <c r="K120" s="60" t="str">
        <f t="shared" si="38"/>
        <v>4029/4030</v>
      </c>
      <c r="L120" s="60" t="str">
        <f>VLOOKUP(A120,'Trips&amp;Operators'!$C$1:$E$9999,3,FALSE)</f>
        <v>BARTLETT</v>
      </c>
      <c r="M120" s="12">
        <f t="shared" si="39"/>
        <v>3.5196759257814847E-2</v>
      </c>
      <c r="N120" s="13">
        <f t="shared" si="50"/>
        <v>50.68333333125338</v>
      </c>
      <c r="O120" s="13"/>
      <c r="P120" s="13"/>
      <c r="Q120" s="61"/>
      <c r="R120" s="61"/>
      <c r="S120" s="94">
        <f t="shared" si="31"/>
        <v>1</v>
      </c>
      <c r="T120" s="2" t="str">
        <f t="shared" si="32"/>
        <v>Southbound</v>
      </c>
      <c r="U120" s="67">
        <f>COUNTIFS([2]Variables!$M$2:$M$19,IF(T120="NorthBound","&gt;=","&lt;=")&amp;Z120,[2]Variables!$M$2:$M$19,IF(T120="NorthBound","&lt;=","&gt;=")&amp;AA120)</f>
        <v>12</v>
      </c>
      <c r="W120" s="73" t="str">
        <f t="shared" si="40"/>
        <v>https://search-rtdc-monitor-bjffxe2xuh6vdkpspy63sjmuny.us-east-1.es.amazonaws.com/_plugin/kibana/#/discover/Steve-Slow-Train-Analysis-(2080s-and-2083s)?_g=(refreshInterval:(display:Off,section:0,value:0),time:(from:'2016-05-31 19:11:04-0600',mode:absolute,to:'2016-05-31 20:05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X120" s="73" t="str">
        <f t="shared" si="41"/>
        <v>N</v>
      </c>
      <c r="Y120" s="73">
        <f t="shared" si="49"/>
        <v>1</v>
      </c>
      <c r="Z120" s="73">
        <f t="shared" si="42"/>
        <v>23.297999999999998</v>
      </c>
      <c r="AA120" s="73">
        <f t="shared" si="37"/>
        <v>1.6E-2</v>
      </c>
      <c r="AB120" s="73">
        <f t="shared" si="43"/>
        <v>23.282</v>
      </c>
      <c r="AC120" s="74" t="e">
        <f>VLOOKUP(A120,Enforcements!$C$3:$J$52,8,0)</f>
        <v>#N/A</v>
      </c>
      <c r="AD120" s="74" t="e">
        <f>VLOOKUP(A120,Enforcements!$C$3:$J$52,3,0)</f>
        <v>#N/A</v>
      </c>
    </row>
    <row r="121" spans="1:30" s="2" customFormat="1" x14ac:dyDescent="0.25">
      <c r="A121" s="60" t="s">
        <v>367</v>
      </c>
      <c r="B121" s="60">
        <v>4009</v>
      </c>
      <c r="C121" s="60" t="s">
        <v>62</v>
      </c>
      <c r="D121" s="60" t="s">
        <v>257</v>
      </c>
      <c r="E121" s="30">
        <v>42521.786516203705</v>
      </c>
      <c r="F121" s="30">
        <v>42521.78733796296</v>
      </c>
      <c r="G121" s="38">
        <v>1</v>
      </c>
      <c r="H121" s="30" t="s">
        <v>92</v>
      </c>
      <c r="I121" s="30">
        <v>42521.817094907405</v>
      </c>
      <c r="J121" s="60">
        <v>0</v>
      </c>
      <c r="K121" s="60" t="str">
        <f t="shared" si="38"/>
        <v>4009/4010</v>
      </c>
      <c r="L121" s="60" t="str">
        <f>VLOOKUP(A121,'Trips&amp;Operators'!$C$1:$E$9999,3,FALSE)</f>
        <v>LEVERE</v>
      </c>
      <c r="M121" s="12">
        <f t="shared" si="39"/>
        <v>2.9756944444670808E-2</v>
      </c>
      <c r="N121" s="13">
        <f t="shared" si="50"/>
        <v>42.850000000325963</v>
      </c>
      <c r="O121" s="13"/>
      <c r="P121" s="13"/>
      <c r="Q121" s="61"/>
      <c r="R121" s="61"/>
      <c r="S121" s="94">
        <f t="shared" si="31"/>
        <v>1</v>
      </c>
      <c r="T121" s="2" t="str">
        <f t="shared" si="32"/>
        <v>NorthBound</v>
      </c>
      <c r="U121" s="67">
        <f>COUNTIFS([2]Variables!$M$2:$M$19,IF(T121="NorthBound","&gt;=","&lt;=")&amp;Z121,[2]Variables!$M$2:$M$19,IF(T121="NorthBound","&lt;=","&gt;=")&amp;AA121)</f>
        <v>12</v>
      </c>
      <c r="W121" s="73" t="str">
        <f t="shared" si="40"/>
        <v>https://search-rtdc-monitor-bjffxe2xuh6vdkpspy63sjmuny.us-east-1.es.amazonaws.com/_plugin/kibana/#/discover/Steve-Slow-Train-Analysis-(2080s-and-2083s)?_g=(refreshInterval:(display:Off,section:0,value:0),time:(from:'2016-05-31 18:51:35-0600',mode:absolute,to:'2016-05-31 19:37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X121" s="73" t="str">
        <f t="shared" si="41"/>
        <v>N</v>
      </c>
      <c r="Y121" s="73">
        <f t="shared" si="49"/>
        <v>1</v>
      </c>
      <c r="Z121" s="73">
        <f t="shared" si="42"/>
        <v>4.7699999999999999E-2</v>
      </c>
      <c r="AA121" s="73">
        <f t="shared" si="37"/>
        <v>23.3293</v>
      </c>
      <c r="AB121" s="73">
        <f t="shared" si="43"/>
        <v>23.281600000000001</v>
      </c>
      <c r="AC121" s="74" t="e">
        <f>VLOOKUP(A121,Enforcements!$C$3:$J$52,8,0)</f>
        <v>#N/A</v>
      </c>
      <c r="AD121" s="74" t="e">
        <f>VLOOKUP(A121,Enforcements!$C$3:$J$52,3,0)</f>
        <v>#N/A</v>
      </c>
    </row>
    <row r="122" spans="1:30" s="2" customFormat="1" x14ac:dyDescent="0.25">
      <c r="A122" s="60" t="s">
        <v>368</v>
      </c>
      <c r="B122" s="60">
        <v>4010</v>
      </c>
      <c r="C122" s="60" t="s">
        <v>62</v>
      </c>
      <c r="D122" s="60" t="s">
        <v>186</v>
      </c>
      <c r="E122" s="30">
        <v>42521.821701388886</v>
      </c>
      <c r="F122" s="30">
        <v>42521.82267361111</v>
      </c>
      <c r="G122" s="38">
        <v>1</v>
      </c>
      <c r="H122" s="30" t="s">
        <v>152</v>
      </c>
      <c r="I122" s="30">
        <v>42521.856921296298</v>
      </c>
      <c r="J122" s="60">
        <v>0</v>
      </c>
      <c r="K122" s="60" t="str">
        <f t="shared" si="38"/>
        <v>4009/4010</v>
      </c>
      <c r="L122" s="60" t="str">
        <f>VLOOKUP(A122,'Trips&amp;Operators'!$C$1:$E$9999,3,FALSE)</f>
        <v>LEVERE</v>
      </c>
      <c r="M122" s="12">
        <f t="shared" si="39"/>
        <v>3.4247685187438037E-2</v>
      </c>
      <c r="N122" s="13">
        <f t="shared" si="50"/>
        <v>49.316666669910774</v>
      </c>
      <c r="O122" s="13"/>
      <c r="P122" s="13"/>
      <c r="Q122" s="61"/>
      <c r="R122" s="61"/>
      <c r="S122" s="94">
        <f t="shared" si="31"/>
        <v>1</v>
      </c>
      <c r="T122" s="2" t="str">
        <f t="shared" si="32"/>
        <v>Southbound</v>
      </c>
      <c r="U122" s="67">
        <f>COUNTIFS([2]Variables!$M$2:$M$19,IF(T122="NorthBound","&gt;=","&lt;=")&amp;Z122,[2]Variables!$M$2:$M$19,IF(T122="NorthBound","&lt;=","&gt;=")&amp;AA122)</f>
        <v>12</v>
      </c>
      <c r="W122" s="73" t="str">
        <f t="shared" si="40"/>
        <v>https://search-rtdc-monitor-bjffxe2xuh6vdkpspy63sjmuny.us-east-1.es.amazonaws.com/_plugin/kibana/#/discover/Steve-Slow-Train-Analysis-(2080s-and-2083s)?_g=(refreshInterval:(display:Off,section:0,value:0),time:(from:'2016-05-31 19:42:15-0600',mode:absolute,to:'2016-05-31 20:34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X122" s="73" t="str">
        <f t="shared" si="41"/>
        <v>N</v>
      </c>
      <c r="Y122" s="73">
        <f t="shared" si="49"/>
        <v>1</v>
      </c>
      <c r="Z122" s="73">
        <f t="shared" si="42"/>
        <v>23.298100000000002</v>
      </c>
      <c r="AA122" s="73">
        <f t="shared" si="37"/>
        <v>1.61E-2</v>
      </c>
      <c r="AB122" s="73">
        <f t="shared" si="43"/>
        <v>23.282</v>
      </c>
      <c r="AC122" s="74" t="e">
        <f>VLOOKUP(A122,Enforcements!$C$3:$J$52,8,0)</f>
        <v>#N/A</v>
      </c>
      <c r="AD122" s="74" t="e">
        <f>VLOOKUP(A122,Enforcements!$C$3:$J$52,3,0)</f>
        <v>#N/A</v>
      </c>
    </row>
    <row r="123" spans="1:30" s="2" customFormat="1" x14ac:dyDescent="0.25">
      <c r="A123" s="60" t="s">
        <v>369</v>
      </c>
      <c r="B123" s="60">
        <v>4011</v>
      </c>
      <c r="C123" s="60" t="s">
        <v>62</v>
      </c>
      <c r="D123" s="60" t="s">
        <v>81</v>
      </c>
      <c r="E123" s="30">
        <v>42521.807106481479</v>
      </c>
      <c r="F123" s="30">
        <v>42521.808206018519</v>
      </c>
      <c r="G123" s="38">
        <v>1</v>
      </c>
      <c r="H123" s="30" t="s">
        <v>86</v>
      </c>
      <c r="I123" s="30">
        <v>42521.837418981479</v>
      </c>
      <c r="J123" s="60">
        <v>1</v>
      </c>
      <c r="K123" s="60" t="str">
        <f t="shared" si="38"/>
        <v>4011/4012</v>
      </c>
      <c r="L123" s="60" t="str">
        <f>VLOOKUP(A123,'Trips&amp;Operators'!$C$1:$E$9999,3,FALSE)</f>
        <v>GRASTON</v>
      </c>
      <c r="M123" s="12">
        <f t="shared" si="39"/>
        <v>2.9212962959718425E-2</v>
      </c>
      <c r="N123" s="13">
        <f t="shared" si="50"/>
        <v>42.066666661994532</v>
      </c>
      <c r="O123" s="13"/>
      <c r="P123" s="13"/>
      <c r="Q123" s="61"/>
      <c r="R123" s="61"/>
      <c r="S123" s="94">
        <f t="shared" si="31"/>
        <v>1</v>
      </c>
      <c r="T123" s="2" t="str">
        <f t="shared" si="32"/>
        <v>NorthBound</v>
      </c>
      <c r="U123" s="67">
        <f>COUNTIFS([2]Variables!$M$2:$M$19,IF(T123="NorthBound","&gt;=","&lt;=")&amp;Z123,[2]Variables!$M$2:$M$19,IF(T123="NorthBound","&lt;=","&gt;=")&amp;AA123)</f>
        <v>12</v>
      </c>
      <c r="W123" s="73" t="str">
        <f t="shared" si="40"/>
        <v>https://search-rtdc-monitor-bjffxe2xuh6vdkpspy63sjmuny.us-east-1.es.amazonaws.com/_plugin/kibana/#/discover/Steve-Slow-Train-Analysis-(2080s-and-2083s)?_g=(refreshInterval:(display:Off,section:0,value:0),time:(from:'2016-05-31 19:21:14-0600',mode:absolute,to:'2016-05-31 20:06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X123" s="73" t="str">
        <f t="shared" si="41"/>
        <v>N</v>
      </c>
      <c r="Y123" s="73">
        <f t="shared" si="49"/>
        <v>1</v>
      </c>
      <c r="Z123" s="73">
        <f t="shared" si="42"/>
        <v>4.58E-2</v>
      </c>
      <c r="AA123" s="73">
        <f t="shared" si="37"/>
        <v>23.330200000000001</v>
      </c>
      <c r="AB123" s="73">
        <f t="shared" si="43"/>
        <v>23.284400000000002</v>
      </c>
      <c r="AC123" s="74">
        <f>VLOOKUP(A123,Enforcements!$C$3:$J$52,8,0)</f>
        <v>233491</v>
      </c>
      <c r="AD123" s="74" t="str">
        <f>VLOOKUP(A123,Enforcements!$C$3:$J$52,3,0)</f>
        <v>TRACK WARRANT AUTHORITY</v>
      </c>
    </row>
    <row r="124" spans="1:30" s="2" customFormat="1" x14ac:dyDescent="0.25">
      <c r="A124" s="60" t="s">
        <v>370</v>
      </c>
      <c r="B124" s="60">
        <v>4012</v>
      </c>
      <c r="C124" s="60" t="s">
        <v>62</v>
      </c>
      <c r="D124" s="60" t="s">
        <v>94</v>
      </c>
      <c r="E124" s="30">
        <v>42521.846238425926</v>
      </c>
      <c r="F124" s="30">
        <v>42521.847141203703</v>
      </c>
      <c r="G124" s="38">
        <v>1</v>
      </c>
      <c r="H124" s="30" t="s">
        <v>80</v>
      </c>
      <c r="I124" s="30">
        <v>42521.878067129626</v>
      </c>
      <c r="J124" s="60">
        <v>0</v>
      </c>
      <c r="K124" s="60" t="str">
        <f t="shared" si="38"/>
        <v>4011/4012</v>
      </c>
      <c r="L124" s="60" t="str">
        <f>VLOOKUP(A124,'Trips&amp;Operators'!$C$1:$E$9999,3,FALSE)</f>
        <v>GRASTON</v>
      </c>
      <c r="M124" s="12">
        <f t="shared" si="39"/>
        <v>3.0925925922929309E-2</v>
      </c>
      <c r="N124" s="13">
        <f t="shared" si="50"/>
        <v>44.533333329018205</v>
      </c>
      <c r="O124" s="13"/>
      <c r="P124" s="13"/>
      <c r="Q124" s="61"/>
      <c r="R124" s="61"/>
      <c r="S124" s="94">
        <f t="shared" si="31"/>
        <v>1</v>
      </c>
      <c r="T124" s="2" t="str">
        <f t="shared" si="32"/>
        <v>Southbound</v>
      </c>
      <c r="U124" s="67">
        <f>COUNTIFS([2]Variables!$M$2:$M$19,IF(T124="NorthBound","&gt;=","&lt;=")&amp;Z124,[2]Variables!$M$2:$M$19,IF(T124="NorthBound","&lt;=","&gt;=")&amp;AA124)</f>
        <v>12</v>
      </c>
      <c r="W124" s="73" t="str">
        <f t="shared" si="40"/>
        <v>https://search-rtdc-monitor-bjffxe2xuh6vdkpspy63sjmuny.us-east-1.es.amazonaws.com/_plugin/kibana/#/discover/Steve-Slow-Train-Analysis-(2080s-and-2083s)?_g=(refreshInterval:(display:Off,section:0,value:0),time:(from:'2016-05-31 20:17:35-0600',mode:absolute,to:'2016-05-31 21:05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X124" s="73" t="str">
        <f t="shared" si="41"/>
        <v>N</v>
      </c>
      <c r="Y124" s="73">
        <f t="shared" si="49"/>
        <v>1</v>
      </c>
      <c r="Z124" s="73">
        <f t="shared" si="42"/>
        <v>23.297699999999999</v>
      </c>
      <c r="AA124" s="73">
        <f t="shared" si="37"/>
        <v>1.5800000000000002E-2</v>
      </c>
      <c r="AB124" s="73">
        <f t="shared" si="43"/>
        <v>23.2819</v>
      </c>
      <c r="AC124" s="74" t="e">
        <f>VLOOKUP(A124,Enforcements!$C$3:$J$52,8,0)</f>
        <v>#N/A</v>
      </c>
      <c r="AD124" s="74" t="e">
        <f>VLOOKUP(A124,Enforcements!$C$3:$J$52,3,0)</f>
        <v>#N/A</v>
      </c>
    </row>
    <row r="125" spans="1:30" s="2" customFormat="1" x14ac:dyDescent="0.25">
      <c r="A125" s="60" t="s">
        <v>371</v>
      </c>
      <c r="B125" s="60">
        <v>4007</v>
      </c>
      <c r="C125" s="60" t="s">
        <v>62</v>
      </c>
      <c r="D125" s="60" t="s">
        <v>372</v>
      </c>
      <c r="E125" s="30">
        <v>42521.831747685188</v>
      </c>
      <c r="F125" s="30">
        <v>42521.832939814813</v>
      </c>
      <c r="G125" s="38">
        <v>1</v>
      </c>
      <c r="H125" s="30" t="s">
        <v>373</v>
      </c>
      <c r="I125" s="30">
        <v>42521.862905092596</v>
      </c>
      <c r="J125" s="60">
        <v>0</v>
      </c>
      <c r="K125" s="60" t="str">
        <f t="shared" si="38"/>
        <v>4007/4008</v>
      </c>
      <c r="L125" s="60" t="str">
        <f>VLOOKUP(A125,'Trips&amp;Operators'!$C$1:$E$9999,3,FALSE)</f>
        <v>ADANE</v>
      </c>
      <c r="M125" s="12">
        <f t="shared" si="39"/>
        <v>2.9965277783048805E-2</v>
      </c>
      <c r="N125" s="13">
        <f t="shared" si="50"/>
        <v>43.150000007590279</v>
      </c>
      <c r="O125" s="13"/>
      <c r="P125" s="13"/>
      <c r="Q125" s="61"/>
      <c r="R125" s="61"/>
      <c r="S125" s="94">
        <f t="shared" si="31"/>
        <v>1</v>
      </c>
      <c r="T125" s="2" t="str">
        <f t="shared" si="32"/>
        <v>NorthBound</v>
      </c>
      <c r="U125" s="67">
        <f>COUNTIFS([2]Variables!$M$2:$M$19,IF(T125="NorthBound","&gt;=","&lt;=")&amp;Z125,[2]Variables!$M$2:$M$19,IF(T125="NorthBound","&lt;=","&gt;=")&amp;AA125)</f>
        <v>12</v>
      </c>
      <c r="W125" s="73" t="str">
        <f t="shared" si="40"/>
        <v>https://search-rtdc-monitor-bjffxe2xuh6vdkpspy63sjmuny.us-east-1.es.amazonaws.com/_plugin/kibana/#/discover/Steve-Slow-Train-Analysis-(2080s-and-2083s)?_g=(refreshInterval:(display:Off,section:0,value:0),time:(from:'2016-05-31 19:56:43-0600',mode:absolute,to:'2016-05-31 20:43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X125" s="73" t="str">
        <f t="shared" si="41"/>
        <v>N</v>
      </c>
      <c r="Y125" s="73">
        <f t="shared" si="49"/>
        <v>1</v>
      </c>
      <c r="Z125" s="73">
        <f t="shared" si="42"/>
        <v>4.6699999999999998E-2</v>
      </c>
      <c r="AA125" s="73">
        <f t="shared" ref="AA125:AA142" si="51">RIGHT(H125,LEN(H125)-4)/10000</f>
        <v>23.331499999999998</v>
      </c>
      <c r="AB125" s="73">
        <f t="shared" si="43"/>
        <v>23.284799999999997</v>
      </c>
      <c r="AC125" s="74" t="e">
        <f>VLOOKUP(A125,Enforcements!$C$3:$J$52,8,0)</f>
        <v>#N/A</v>
      </c>
      <c r="AD125" s="74" t="e">
        <f>VLOOKUP(A125,Enforcements!$C$3:$J$52,3,0)</f>
        <v>#N/A</v>
      </c>
    </row>
    <row r="126" spans="1:30" s="2" customFormat="1" x14ac:dyDescent="0.25">
      <c r="A126" s="60" t="s">
        <v>374</v>
      </c>
      <c r="B126" s="60">
        <v>4008</v>
      </c>
      <c r="C126" s="60" t="s">
        <v>62</v>
      </c>
      <c r="D126" s="60" t="s">
        <v>103</v>
      </c>
      <c r="E126" s="30">
        <v>42521.868993055556</v>
      </c>
      <c r="F126" s="30">
        <v>42521.86991898148</v>
      </c>
      <c r="G126" s="38">
        <v>1</v>
      </c>
      <c r="H126" s="30" t="s">
        <v>79</v>
      </c>
      <c r="I126" s="30">
        <v>42521.901585648149</v>
      </c>
      <c r="J126" s="60">
        <v>0</v>
      </c>
      <c r="K126" s="60" t="str">
        <f t="shared" si="38"/>
        <v>4007/4008</v>
      </c>
      <c r="L126" s="60" t="str">
        <f>VLOOKUP(A126,'Trips&amp;Operators'!$C$1:$E$9999,3,FALSE)</f>
        <v>ADANE</v>
      </c>
      <c r="M126" s="12">
        <f t="shared" si="39"/>
        <v>3.1666666669480037E-2</v>
      </c>
      <c r="N126" s="13">
        <f t="shared" si="50"/>
        <v>45.600000004051253</v>
      </c>
      <c r="O126" s="13"/>
      <c r="P126" s="13"/>
      <c r="Q126" s="61"/>
      <c r="R126" s="61"/>
      <c r="S126" s="94">
        <f t="shared" si="31"/>
        <v>1</v>
      </c>
      <c r="T126" s="2" t="str">
        <f t="shared" si="32"/>
        <v>Southbound</v>
      </c>
      <c r="U126" s="67">
        <f>COUNTIFS([2]Variables!$M$2:$M$19,IF(T126="NorthBound","&gt;=","&lt;=")&amp;Z126,[2]Variables!$M$2:$M$19,IF(T126="NorthBound","&lt;=","&gt;=")&amp;AA126)</f>
        <v>12</v>
      </c>
      <c r="W126" s="73" t="str">
        <f t="shared" si="40"/>
        <v>https://search-rtdc-monitor-bjffxe2xuh6vdkpspy63sjmuny.us-east-1.es.amazonaws.com/_plugin/kibana/#/discover/Steve-Slow-Train-Analysis-(2080s-and-2083s)?_g=(refreshInterval:(display:Off,section:0,value:0),time:(from:'2016-05-31 20:50:21-0600',mode:absolute,to:'2016-05-31 21:39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X126" s="73" t="str">
        <f t="shared" si="41"/>
        <v>N</v>
      </c>
      <c r="Y126" s="73">
        <f t="shared" si="49"/>
        <v>1</v>
      </c>
      <c r="Z126" s="73">
        <f t="shared" si="42"/>
        <v>23.299099999999999</v>
      </c>
      <c r="AA126" s="73">
        <f t="shared" si="51"/>
        <v>1.47E-2</v>
      </c>
      <c r="AB126" s="73">
        <f t="shared" si="43"/>
        <v>23.284399999999998</v>
      </c>
      <c r="AC126" s="74" t="e">
        <f>VLOOKUP(A126,Enforcements!$C$3:$J$52,8,0)</f>
        <v>#N/A</v>
      </c>
      <c r="AD126" s="74" t="e">
        <f>VLOOKUP(A126,Enforcements!$C$3:$J$52,3,0)</f>
        <v>#N/A</v>
      </c>
    </row>
    <row r="127" spans="1:30" s="2" customFormat="1" x14ac:dyDescent="0.25">
      <c r="A127" s="60" t="s">
        <v>375</v>
      </c>
      <c r="B127" s="60">
        <v>4029</v>
      </c>
      <c r="C127" s="60" t="s">
        <v>62</v>
      </c>
      <c r="D127" s="60" t="s">
        <v>99</v>
      </c>
      <c r="E127" s="30">
        <v>42521.845810185187</v>
      </c>
      <c r="F127" s="30">
        <v>42521.85019675926</v>
      </c>
      <c r="G127" s="38">
        <v>6</v>
      </c>
      <c r="H127" s="30" t="s">
        <v>247</v>
      </c>
      <c r="I127" s="30">
        <v>42521.88082175926</v>
      </c>
      <c r="J127" s="60">
        <v>0</v>
      </c>
      <c r="K127" s="60" t="str">
        <f t="shared" si="38"/>
        <v>4029/4030</v>
      </c>
      <c r="L127" s="60" t="str">
        <f>VLOOKUP(A127,'Trips&amp;Operators'!$C$1:$E$9999,3,FALSE)</f>
        <v>BARTLETT</v>
      </c>
      <c r="M127" s="12">
        <f t="shared" si="39"/>
        <v>3.0624999999417923E-2</v>
      </c>
      <c r="N127" s="13">
        <f t="shared" si="50"/>
        <v>44.09999999916181</v>
      </c>
      <c r="O127" s="13"/>
      <c r="P127" s="13"/>
      <c r="Q127" s="61"/>
      <c r="R127" s="61"/>
      <c r="S127" s="94">
        <f t="shared" si="31"/>
        <v>1</v>
      </c>
      <c r="T127" s="2" t="str">
        <f t="shared" si="32"/>
        <v>NorthBound</v>
      </c>
      <c r="U127" s="67">
        <f>COUNTIFS([2]Variables!$M$2:$M$19,IF(T127="NorthBound","&gt;=","&lt;=")&amp;Z127,[2]Variables!$M$2:$M$19,IF(T127="NorthBound","&lt;=","&gt;=")&amp;AA127)</f>
        <v>12</v>
      </c>
      <c r="W127" s="73" t="str">
        <f t="shared" si="40"/>
        <v>https://search-rtdc-monitor-bjffxe2xuh6vdkpspy63sjmuny.us-east-1.es.amazonaws.com/_plugin/kibana/#/discover/Steve-Slow-Train-Analysis-(2080s-and-2083s)?_g=(refreshInterval:(display:Off,section:0,value:0),time:(from:'2016-05-31 20:16:58-0600',mode:absolute,to:'2016-05-31 21:09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X127" s="73" t="str">
        <f t="shared" si="41"/>
        <v>N</v>
      </c>
      <c r="Y127" s="73">
        <f t="shared" si="49"/>
        <v>1</v>
      </c>
      <c r="Z127" s="73">
        <f t="shared" si="42"/>
        <v>4.6199999999999998E-2</v>
      </c>
      <c r="AA127" s="73">
        <f t="shared" si="51"/>
        <v>23.328700000000001</v>
      </c>
      <c r="AB127" s="73">
        <f t="shared" si="43"/>
        <v>23.282500000000002</v>
      </c>
      <c r="AC127" s="74" t="e">
        <f>VLOOKUP(A127,Enforcements!$C$3:$J$52,8,0)</f>
        <v>#N/A</v>
      </c>
      <c r="AD127" s="74" t="e">
        <f>VLOOKUP(A127,Enforcements!$C$3:$J$52,3,0)</f>
        <v>#N/A</v>
      </c>
    </row>
    <row r="128" spans="1:30" s="2" customFormat="1" x14ac:dyDescent="0.25">
      <c r="A128" s="60" t="s">
        <v>376</v>
      </c>
      <c r="B128" s="60">
        <v>4030</v>
      </c>
      <c r="C128" s="60" t="s">
        <v>62</v>
      </c>
      <c r="D128" s="60" t="s">
        <v>116</v>
      </c>
      <c r="E128" s="30">
        <v>42521.888240740744</v>
      </c>
      <c r="F128" s="30">
        <v>42521.88894675926</v>
      </c>
      <c r="G128" s="38">
        <v>1</v>
      </c>
      <c r="H128" s="30" t="s">
        <v>377</v>
      </c>
      <c r="I128" s="30">
        <v>42521.894259259258</v>
      </c>
      <c r="J128" s="60">
        <v>0</v>
      </c>
      <c r="K128" s="60" t="str">
        <f t="shared" si="38"/>
        <v>4029/4030</v>
      </c>
      <c r="L128" s="60" t="str">
        <f>VLOOKUP(A128,'Trips&amp;Operators'!$C$1:$E$9999,3,FALSE)</f>
        <v>BARTLETT</v>
      </c>
      <c r="M128" s="12">
        <f t="shared" si="39"/>
        <v>5.3124999976716936E-3</v>
      </c>
      <c r="N128" s="13"/>
      <c r="O128" s="13"/>
      <c r="P128" s="13">
        <f>24*60*SUM($M128:$M128)</f>
        <v>7.6499999966472387</v>
      </c>
      <c r="Q128" s="61"/>
      <c r="R128" s="61" t="s">
        <v>431</v>
      </c>
      <c r="S128" s="94">
        <f t="shared" si="31"/>
        <v>0</v>
      </c>
      <c r="T128" s="2" t="str">
        <f t="shared" si="32"/>
        <v>Southbound</v>
      </c>
      <c r="U128" s="67">
        <f>COUNTIFS([2]Variables!$M$2:$M$19,IF(T128="NorthBound","&gt;=","&lt;=")&amp;Z128,[2]Variables!$M$2:$M$19,IF(T128="NorthBound","&lt;=","&gt;=")&amp;AA128)</f>
        <v>0</v>
      </c>
      <c r="W128" s="73" t="str">
        <f t="shared" si="40"/>
        <v>https://search-rtdc-monitor-bjffxe2xuh6vdkpspy63sjmuny.us-east-1.es.amazonaws.com/_plugin/kibana/#/discover/Steve-Slow-Train-Analysis-(2080s-and-2083s)?_g=(refreshInterval:(display:Off,section:0,value:0),time:(from:'2016-05-31 21:18:04-0600',mode:absolute,to:'2016-05-31 21:28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X128" s="73" t="str">
        <f t="shared" si="41"/>
        <v>Y</v>
      </c>
      <c r="Y128" s="73">
        <f t="shared" si="49"/>
        <v>1</v>
      </c>
      <c r="Z128" s="73">
        <f t="shared" si="42"/>
        <v>23.298300000000001</v>
      </c>
      <c r="AA128" s="73">
        <f t="shared" si="51"/>
        <v>22.825900000000001</v>
      </c>
      <c r="AB128" s="73">
        <f t="shared" si="43"/>
        <v>0.47240000000000038</v>
      </c>
      <c r="AC128" s="74">
        <f>VLOOKUP(A128,Enforcements!$C$3:$J$52,8,0)</f>
        <v>156300</v>
      </c>
      <c r="AD128" s="74" t="str">
        <f>VLOOKUP(A128,Enforcements!$C$3:$J$52,3,0)</f>
        <v>EQUIPMENT RESTRICTION</v>
      </c>
    </row>
    <row r="129" spans="1:30" s="2" customFormat="1" x14ac:dyDescent="0.25">
      <c r="A129" s="60" t="s">
        <v>378</v>
      </c>
      <c r="B129" s="60">
        <v>4009</v>
      </c>
      <c r="C129" s="60" t="s">
        <v>62</v>
      </c>
      <c r="D129" s="60" t="s">
        <v>121</v>
      </c>
      <c r="E129" s="30">
        <v>42521.866238425922</v>
      </c>
      <c r="F129" s="30">
        <v>42521.867048611108</v>
      </c>
      <c r="G129" s="38">
        <v>1</v>
      </c>
      <c r="H129" s="30" t="s">
        <v>142</v>
      </c>
      <c r="I129" s="30">
        <v>42521.900821759256</v>
      </c>
      <c r="J129" s="60">
        <v>0</v>
      </c>
      <c r="K129" s="60" t="str">
        <f t="shared" si="38"/>
        <v>4009/4010</v>
      </c>
      <c r="L129" s="60" t="str">
        <f>VLOOKUP(A129,'Trips&amp;Operators'!$C$1:$E$9999,3,FALSE)</f>
        <v>LEVERE</v>
      </c>
      <c r="M129" s="12">
        <f t="shared" si="39"/>
        <v>3.3773148148611654E-2</v>
      </c>
      <c r="N129" s="13">
        <f t="shared" ref="N129:N142" si="52">24*60*SUM($M129:$M129)</f>
        <v>48.633333334000781</v>
      </c>
      <c r="O129" s="13"/>
      <c r="P129" s="13"/>
      <c r="Q129" s="61"/>
      <c r="R129" s="61"/>
      <c r="S129" s="94">
        <f t="shared" si="31"/>
        <v>1</v>
      </c>
      <c r="T129" s="2" t="str">
        <f t="shared" si="32"/>
        <v>NorthBound</v>
      </c>
      <c r="U129" s="67">
        <f>COUNTIFS([2]Variables!$M$2:$M$19,IF(T129="NorthBound","&gt;=","&lt;=")&amp;Z129,[2]Variables!$M$2:$M$19,IF(T129="NorthBound","&lt;=","&gt;=")&amp;AA129)</f>
        <v>12</v>
      </c>
      <c r="W129" s="73" t="str">
        <f t="shared" si="40"/>
        <v>https://search-rtdc-monitor-bjffxe2xuh6vdkpspy63sjmuny.us-east-1.es.amazonaws.com/_plugin/kibana/#/discover/Steve-Slow-Train-Analysis-(2080s-and-2083s)?_g=(refreshInterval:(display:Off,section:0,value:0),time:(from:'2016-05-31 20:46:23-0600',mode:absolute,to:'2016-05-31 21:38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X129" s="73" t="str">
        <f t="shared" si="41"/>
        <v>N</v>
      </c>
      <c r="Y129" s="73">
        <f t="shared" si="49"/>
        <v>1</v>
      </c>
      <c r="Z129" s="73">
        <f t="shared" si="42"/>
        <v>4.7100000000000003E-2</v>
      </c>
      <c r="AA129" s="73">
        <f t="shared" si="51"/>
        <v>23.328299999999999</v>
      </c>
      <c r="AB129" s="73">
        <f t="shared" si="43"/>
        <v>23.281199999999998</v>
      </c>
      <c r="AC129" s="74" t="e">
        <f>VLOOKUP(A129,Enforcements!$C$3:$J$52,8,0)</f>
        <v>#N/A</v>
      </c>
      <c r="AD129" s="74" t="e">
        <f>VLOOKUP(A129,Enforcements!$C$3:$J$52,3,0)</f>
        <v>#N/A</v>
      </c>
    </row>
    <row r="130" spans="1:30" s="2" customFormat="1" x14ac:dyDescent="0.25">
      <c r="A130" s="60" t="s">
        <v>379</v>
      </c>
      <c r="B130" s="60">
        <v>4010</v>
      </c>
      <c r="C130" s="60" t="s">
        <v>62</v>
      </c>
      <c r="D130" s="60" t="s">
        <v>380</v>
      </c>
      <c r="E130" s="30">
        <v>42521.907395833332</v>
      </c>
      <c r="F130" s="30">
        <v>42521.911493055559</v>
      </c>
      <c r="G130" s="38">
        <v>5</v>
      </c>
      <c r="H130" s="30" t="s">
        <v>152</v>
      </c>
      <c r="I130" s="30">
        <v>42521.941284722219</v>
      </c>
      <c r="J130" s="60">
        <v>0</v>
      </c>
      <c r="K130" s="60" t="str">
        <f t="shared" ref="K130:K142" si="53">IF(ISEVEN(B130),(B130-1)&amp;"/"&amp;B130,B130&amp;"/"&amp;(B130+1))</f>
        <v>4009/4010</v>
      </c>
      <c r="L130" s="60" t="str">
        <f>VLOOKUP(A130,'Trips&amp;Operators'!$C$1:$E$9999,3,FALSE)</f>
        <v>LEVERE</v>
      </c>
      <c r="M130" s="12">
        <f t="shared" ref="M130:M142" si="54">I130-F130</f>
        <v>2.979166666045785E-2</v>
      </c>
      <c r="N130" s="13">
        <f t="shared" si="52"/>
        <v>42.899999991059303</v>
      </c>
      <c r="O130" s="13"/>
      <c r="P130" s="13"/>
      <c r="Q130" s="61"/>
      <c r="R130" s="61"/>
      <c r="S130" s="94">
        <f t="shared" si="31"/>
        <v>1</v>
      </c>
      <c r="T130" s="2" t="str">
        <f t="shared" si="32"/>
        <v>Southbound</v>
      </c>
      <c r="U130" s="67">
        <f>COUNTIFS([2]Variables!$M$2:$M$19,IF(T130="NorthBound","&gt;=","&lt;=")&amp;Z130,[2]Variables!$M$2:$M$19,IF(T130="NorthBound","&lt;=","&gt;=")&amp;AA130)</f>
        <v>12</v>
      </c>
      <c r="W130" s="73" t="str">
        <f t="shared" ref="W130:W142" si="55">"https://search-rtdc-monitor-bjffxe2xuh6vdkpspy63sjmuny.us-east-1.es.amazonaws.com/_plugin/kibana/#/discover/Steve-Slow-Train-Analysis-(2080s-and-2083s)?_g=(refreshInterval:(display:Off,section:0,value:0),time:(from:'"&amp;TEXT(E130-1/24/60,"yyyy-MM-DD hh:mm:ss")&amp;"-0600',mode:absolute,to:'"&amp;TEXT(I130+1/24/60,"yyyy-MM-DD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130&amp;"%22')),sort:!(Time,asc))"</f>
        <v>https://search-rtdc-monitor-bjffxe2xuh6vdkpspy63sjmuny.us-east-1.es.amazonaws.com/_plugin/kibana/#/discover/Steve-Slow-Train-Analysis-(2080s-and-2083s)?_g=(refreshInterval:(display:Off,section:0,value:0),time:(from:'2016-05-31 21:45:39-0600',mode:absolute,to:'2016-05-31 22:36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X130" s="73" t="str">
        <f t="shared" ref="X130:X142" si="56">IF(AB130&lt;23,"Y","N")</f>
        <v>N</v>
      </c>
      <c r="Y130" s="73">
        <f t="shared" si="49"/>
        <v>1</v>
      </c>
      <c r="Z130" s="73">
        <f t="shared" ref="Z130:Z142" si="57">RIGHT(D130,LEN(D130)-4)/10000</f>
        <v>23.2972</v>
      </c>
      <c r="AA130" s="73">
        <f t="shared" si="51"/>
        <v>1.61E-2</v>
      </c>
      <c r="AB130" s="73">
        <f t="shared" ref="AB130:AB142" si="58">ABS(AA130-Z130)</f>
        <v>23.281099999999999</v>
      </c>
      <c r="AC130" s="74" t="e">
        <f>VLOOKUP(A130,Enforcements!$C$3:$J$52,8,0)</f>
        <v>#N/A</v>
      </c>
      <c r="AD130" s="74" t="e">
        <f>VLOOKUP(A130,Enforcements!$C$3:$J$52,3,0)</f>
        <v>#N/A</v>
      </c>
    </row>
    <row r="131" spans="1:30" s="2" customFormat="1" x14ac:dyDescent="0.25">
      <c r="A131" s="60" t="s">
        <v>381</v>
      </c>
      <c r="B131" s="60">
        <v>4011</v>
      </c>
      <c r="C131" s="60" t="s">
        <v>62</v>
      </c>
      <c r="D131" s="60" t="s">
        <v>382</v>
      </c>
      <c r="E131" s="30">
        <v>42521.890636574077</v>
      </c>
      <c r="F131" s="30">
        <v>42521.891759259262</v>
      </c>
      <c r="G131" s="38">
        <v>1</v>
      </c>
      <c r="H131" s="30" t="s">
        <v>383</v>
      </c>
      <c r="I131" s="30">
        <v>42521.921747685185</v>
      </c>
      <c r="J131" s="60">
        <v>0</v>
      </c>
      <c r="K131" s="60" t="str">
        <f t="shared" si="53"/>
        <v>4011/4012</v>
      </c>
      <c r="L131" s="60" t="str">
        <f>VLOOKUP(A131,'Trips&amp;Operators'!$C$1:$E$9999,3,FALSE)</f>
        <v>GRASTON</v>
      </c>
      <c r="M131" s="12">
        <f t="shared" si="54"/>
        <v>2.9988425922056194E-2</v>
      </c>
      <c r="N131" s="13">
        <f t="shared" si="52"/>
        <v>43.18333332776092</v>
      </c>
      <c r="O131" s="13"/>
      <c r="P131" s="13"/>
      <c r="Q131" s="61"/>
      <c r="R131" s="61"/>
      <c r="S131" s="94">
        <f t="shared" si="31"/>
        <v>1</v>
      </c>
      <c r="T131" s="2" t="str">
        <f t="shared" si="32"/>
        <v>NorthBound</v>
      </c>
      <c r="U131" s="67">
        <f>COUNTIFS([2]Variables!$M$2:$M$19,IF(T131="NorthBound","&gt;=","&lt;=")&amp;Z131,[2]Variables!$M$2:$M$19,IF(T131="NorthBound","&lt;=","&gt;=")&amp;AA131)</f>
        <v>12</v>
      </c>
      <c r="W131" s="73" t="str">
        <f t="shared" si="55"/>
        <v>https://search-rtdc-monitor-bjffxe2xuh6vdkpspy63sjmuny.us-east-1.es.amazonaws.com/_plugin/kibana/#/discover/Steve-Slow-Train-Analysis-(2080s-and-2083s)?_g=(refreshInterval:(display:Off,section:0,value:0),time:(from:'2016-05-31 21:21:31-0600',mode:absolute,to:'2016-05-31 22:08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X131" s="73" t="str">
        <f t="shared" si="56"/>
        <v>N</v>
      </c>
      <c r="Y131" s="73">
        <f t="shared" si="49"/>
        <v>1</v>
      </c>
      <c r="Z131" s="73">
        <f t="shared" si="57"/>
        <v>4.2599999999999999E-2</v>
      </c>
      <c r="AA131" s="73">
        <f t="shared" si="51"/>
        <v>23.33</v>
      </c>
      <c r="AB131" s="73">
        <f t="shared" si="58"/>
        <v>23.287399999999998</v>
      </c>
      <c r="AC131" s="74" t="e">
        <f>VLOOKUP(A131,Enforcements!$C$3:$J$52,8,0)</f>
        <v>#N/A</v>
      </c>
      <c r="AD131" s="74" t="e">
        <f>VLOOKUP(A131,Enforcements!$C$3:$J$52,3,0)</f>
        <v>#N/A</v>
      </c>
    </row>
    <row r="132" spans="1:30" s="2" customFormat="1" x14ac:dyDescent="0.25">
      <c r="A132" s="60" t="s">
        <v>384</v>
      </c>
      <c r="B132" s="60">
        <v>4012</v>
      </c>
      <c r="C132" s="60" t="s">
        <v>62</v>
      </c>
      <c r="D132" s="60" t="s">
        <v>94</v>
      </c>
      <c r="E132" s="30">
        <v>42521.928703703707</v>
      </c>
      <c r="F132" s="30">
        <v>42521.9299537037</v>
      </c>
      <c r="G132" s="38">
        <v>1</v>
      </c>
      <c r="H132" s="30" t="s">
        <v>125</v>
      </c>
      <c r="I132" s="30">
        <v>42521.986990740741</v>
      </c>
      <c r="J132" s="60">
        <v>0</v>
      </c>
      <c r="K132" s="60" t="str">
        <f t="shared" si="53"/>
        <v>4011/4012</v>
      </c>
      <c r="L132" s="60" t="str">
        <f>VLOOKUP(A132,'Trips&amp;Operators'!$C$1:$E$9999,3,FALSE)</f>
        <v>GRASTON</v>
      </c>
      <c r="M132" s="12">
        <f t="shared" si="54"/>
        <v>5.7037037040572613E-2</v>
      </c>
      <c r="N132" s="13">
        <f t="shared" si="52"/>
        <v>82.133333338424563</v>
      </c>
      <c r="O132" s="13"/>
      <c r="P132" s="13"/>
      <c r="Q132" s="61"/>
      <c r="R132" s="61"/>
      <c r="S132" s="94">
        <f t="shared" ref="S132:S149" si="59">SUM(U132:U132)/12</f>
        <v>1</v>
      </c>
      <c r="T132" s="2" t="str">
        <f t="shared" ref="T132:T149" si="60">IF(ISEVEN(LEFT(A132,3)),"Southbound","NorthBound")</f>
        <v>Southbound</v>
      </c>
      <c r="U132" s="67">
        <f>COUNTIFS([2]Variables!$M$2:$M$19,IF(T132="NorthBound","&gt;=","&lt;=")&amp;Z132,[2]Variables!$M$2:$M$19,IF(T132="NorthBound","&lt;=","&gt;=")&amp;AA132)</f>
        <v>12</v>
      </c>
      <c r="W132" s="73" t="str">
        <f t="shared" si="55"/>
        <v>https://search-rtdc-monitor-bjffxe2xuh6vdkpspy63sjmuny.us-east-1.es.amazonaws.com/_plugin/kibana/#/discover/Steve-Slow-Train-Analysis-(2080s-and-2083s)?_g=(refreshInterval:(display:Off,section:0,value:0),time:(from:'2016-05-31 22:16:20-0600',mode:absolute,to:'2016-05-31 23:42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X132" s="73" t="str">
        <f t="shared" si="56"/>
        <v>N</v>
      </c>
      <c r="Y132" s="73">
        <f t="shared" si="49"/>
        <v>1</v>
      </c>
      <c r="Z132" s="73">
        <f t="shared" si="57"/>
        <v>23.297699999999999</v>
      </c>
      <c r="AA132" s="73">
        <f t="shared" si="51"/>
        <v>1.6299999999999999E-2</v>
      </c>
      <c r="AB132" s="73">
        <f t="shared" si="58"/>
        <v>23.281399999999998</v>
      </c>
      <c r="AC132" s="74" t="e">
        <f>VLOOKUP(A132,Enforcements!$C$3:$J$52,8,0)</f>
        <v>#N/A</v>
      </c>
      <c r="AD132" s="74" t="e">
        <f>VLOOKUP(A132,Enforcements!$C$3:$J$52,3,0)</f>
        <v>#N/A</v>
      </c>
    </row>
    <row r="133" spans="1:30" s="2" customFormat="1" x14ac:dyDescent="0.25">
      <c r="A133" s="60" t="s">
        <v>385</v>
      </c>
      <c r="B133" s="60">
        <v>4007</v>
      </c>
      <c r="C133" s="60" t="s">
        <v>62</v>
      </c>
      <c r="D133" s="60" t="s">
        <v>81</v>
      </c>
      <c r="E133" s="30">
        <v>42521.913807870369</v>
      </c>
      <c r="F133" s="30">
        <v>42521.914826388886</v>
      </c>
      <c r="G133" s="38">
        <v>1</v>
      </c>
      <c r="H133" s="30" t="s">
        <v>84</v>
      </c>
      <c r="I133" s="30">
        <v>42521.942407407405</v>
      </c>
      <c r="J133" s="60">
        <v>0</v>
      </c>
      <c r="K133" s="60" t="str">
        <f t="shared" si="53"/>
        <v>4007/4008</v>
      </c>
      <c r="L133" s="60" t="str">
        <f>VLOOKUP(A133,'Trips&amp;Operators'!$C$1:$E$9999,3,FALSE)</f>
        <v>ADANE</v>
      </c>
      <c r="M133" s="12">
        <f t="shared" si="54"/>
        <v>2.7581018519413192E-2</v>
      </c>
      <c r="N133" s="13">
        <f t="shared" si="52"/>
        <v>39.716666667954996</v>
      </c>
      <c r="O133" s="13"/>
      <c r="P133" s="13"/>
      <c r="Q133" s="61"/>
      <c r="R133" s="61"/>
      <c r="S133" s="94">
        <f t="shared" si="59"/>
        <v>1</v>
      </c>
      <c r="T133" s="2" t="str">
        <f t="shared" si="60"/>
        <v>NorthBound</v>
      </c>
      <c r="U133" s="67">
        <f>COUNTIFS([2]Variables!$M$2:$M$19,IF(T133="NorthBound","&gt;=","&lt;=")&amp;Z133,[2]Variables!$M$2:$M$19,IF(T133="NorthBound","&lt;=","&gt;=")&amp;AA133)</f>
        <v>12</v>
      </c>
      <c r="W133" s="73" t="str">
        <f t="shared" si="55"/>
        <v>https://search-rtdc-monitor-bjffxe2xuh6vdkpspy63sjmuny.us-east-1.es.amazonaws.com/_plugin/kibana/#/discover/Steve-Slow-Train-Analysis-(2080s-and-2083s)?_g=(refreshInterval:(display:Off,section:0,value:0),time:(from:'2016-05-31 21:54:53-0600',mode:absolute,to:'2016-05-31 22:38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X133" s="73" t="str">
        <f t="shared" si="56"/>
        <v>N</v>
      </c>
      <c r="Y133" s="73">
        <f t="shared" si="49"/>
        <v>1</v>
      </c>
      <c r="Z133" s="73">
        <f t="shared" si="57"/>
        <v>4.58E-2</v>
      </c>
      <c r="AA133" s="73">
        <f t="shared" si="51"/>
        <v>23.3306</v>
      </c>
      <c r="AB133" s="73">
        <f t="shared" si="58"/>
        <v>23.284800000000001</v>
      </c>
      <c r="AC133" s="74" t="e">
        <f>VLOOKUP(A133,Enforcements!$C$3:$J$52,8,0)</f>
        <v>#N/A</v>
      </c>
      <c r="AD133" s="74" t="e">
        <f>VLOOKUP(A133,Enforcements!$C$3:$J$52,3,0)</f>
        <v>#N/A</v>
      </c>
    </row>
    <row r="134" spans="1:30" s="2" customFormat="1" x14ac:dyDescent="0.25">
      <c r="A134" s="60" t="s">
        <v>386</v>
      </c>
      <c r="B134" s="60">
        <v>4029</v>
      </c>
      <c r="C134" s="60" t="s">
        <v>62</v>
      </c>
      <c r="D134" s="60" t="s">
        <v>104</v>
      </c>
      <c r="E134" s="30">
        <v>42521.932511574072</v>
      </c>
      <c r="F134" s="30">
        <v>42521.933611111112</v>
      </c>
      <c r="G134" s="38">
        <v>1</v>
      </c>
      <c r="H134" s="30" t="s">
        <v>387</v>
      </c>
      <c r="I134" s="30">
        <v>42521.993217592593</v>
      </c>
      <c r="J134" s="60">
        <v>0</v>
      </c>
      <c r="K134" s="60" t="str">
        <f t="shared" si="53"/>
        <v>4029/4030</v>
      </c>
      <c r="L134" s="60" t="str">
        <f>VLOOKUP(A134,'Trips&amp;Operators'!$C$1:$E$9999,3,FALSE)</f>
        <v>BARTLETT</v>
      </c>
      <c r="M134" s="12">
        <f t="shared" si="54"/>
        <v>5.9606481481750961E-2</v>
      </c>
      <c r="N134" s="13">
        <f t="shared" si="52"/>
        <v>85.833333333721384</v>
      </c>
      <c r="O134" s="13"/>
      <c r="P134" s="13"/>
      <c r="Q134" s="61"/>
      <c r="R134" s="61"/>
      <c r="S134" s="94">
        <f t="shared" si="59"/>
        <v>1</v>
      </c>
      <c r="T134" s="2" t="str">
        <f t="shared" si="60"/>
        <v>NorthBound</v>
      </c>
      <c r="U134" s="67">
        <f>COUNTIFS([2]Variables!$M$2:$M$19,IF(T134="NorthBound","&gt;=","&lt;=")&amp;Z134,[2]Variables!$M$2:$M$19,IF(T134="NorthBound","&lt;=","&gt;=")&amp;AA134)</f>
        <v>12</v>
      </c>
      <c r="W134" s="73" t="str">
        <f t="shared" si="55"/>
        <v>https://search-rtdc-monitor-bjffxe2xuh6vdkpspy63sjmuny.us-east-1.es.amazonaws.com/_plugin/kibana/#/discover/Steve-Slow-Train-Analysis-(2080s-and-2083s)?_g=(refreshInterval:(display:Off,section:0,value:0),time:(from:'2016-05-31 22:21:49-0600',mode:absolute,to:'2016-05-31 23:51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X134" s="73" t="str">
        <f t="shared" si="56"/>
        <v>N</v>
      </c>
      <c r="Y134" s="73">
        <f t="shared" si="49"/>
        <v>2</v>
      </c>
      <c r="Z134" s="73">
        <f t="shared" si="57"/>
        <v>4.3799999999999999E-2</v>
      </c>
      <c r="AA134" s="73">
        <f t="shared" si="51"/>
        <v>23.328499999999998</v>
      </c>
      <c r="AB134" s="73">
        <f t="shared" si="58"/>
        <v>23.284699999999997</v>
      </c>
      <c r="AC134" s="74" t="e">
        <f>VLOOKUP(A134,Enforcements!$C$3:$J$52,8,0)</f>
        <v>#N/A</v>
      </c>
      <c r="AD134" s="74" t="e">
        <f>VLOOKUP(A134,Enforcements!$C$3:$J$52,3,0)</f>
        <v>#N/A</v>
      </c>
    </row>
    <row r="135" spans="1:30" s="2" customFormat="1" x14ac:dyDescent="0.25">
      <c r="A135" s="60" t="s">
        <v>388</v>
      </c>
      <c r="B135" s="60">
        <v>4008</v>
      </c>
      <c r="C135" s="60" t="s">
        <v>62</v>
      </c>
      <c r="D135" s="60" t="s">
        <v>87</v>
      </c>
      <c r="E135" s="30">
        <v>42521.972951388889</v>
      </c>
      <c r="F135" s="30">
        <v>42521.975601851853</v>
      </c>
      <c r="G135" s="38">
        <v>3</v>
      </c>
      <c r="H135" s="30" t="s">
        <v>114</v>
      </c>
      <c r="I135" s="30">
        <v>42522.005486111113</v>
      </c>
      <c r="J135" s="60">
        <v>0</v>
      </c>
      <c r="K135" s="60" t="str">
        <f t="shared" si="53"/>
        <v>4007/4008</v>
      </c>
      <c r="L135" s="60" t="str">
        <f>VLOOKUP(A135,'Trips&amp;Operators'!$C$1:$E$9999,3,FALSE)</f>
        <v>ADANE</v>
      </c>
      <c r="M135" s="12">
        <f t="shared" si="54"/>
        <v>2.9884259260143153E-2</v>
      </c>
      <c r="N135" s="13">
        <f t="shared" si="52"/>
        <v>43.033333334606141</v>
      </c>
      <c r="O135" s="13"/>
      <c r="P135" s="13"/>
      <c r="Q135" s="61"/>
      <c r="R135" s="61"/>
      <c r="S135" s="94">
        <f t="shared" si="59"/>
        <v>1</v>
      </c>
      <c r="T135" s="2" t="str">
        <f t="shared" si="60"/>
        <v>Southbound</v>
      </c>
      <c r="U135" s="67">
        <f>COUNTIFS([2]Variables!$M$2:$M$19,IF(T135="NorthBound","&gt;=","&lt;=")&amp;Z135,[2]Variables!$M$2:$M$19,IF(T135="NorthBound","&lt;=","&gt;=")&amp;AA135)</f>
        <v>12</v>
      </c>
      <c r="W135" s="73" t="str">
        <f t="shared" si="55"/>
        <v>https://search-rtdc-monitor-bjffxe2xuh6vdkpspy63sjmuny.us-east-1.es.amazonaws.com/_plugin/kibana/#/discover/Steve-Slow-Train-Analysis-(2080s-and-2083s)?_g=(refreshInterval:(display:Off,section:0,value:0),time:(from:'2016-05-31 23:20:03-0600',mode:absolute,to:'2016-06-01 00:08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X135" s="73" t="str">
        <f t="shared" si="56"/>
        <v>N</v>
      </c>
      <c r="Y135" s="73">
        <f t="shared" si="49"/>
        <v>1</v>
      </c>
      <c r="Z135" s="73">
        <f t="shared" si="57"/>
        <v>23.299600000000002</v>
      </c>
      <c r="AA135" s="73">
        <f t="shared" si="51"/>
        <v>1.49E-2</v>
      </c>
      <c r="AB135" s="73">
        <f t="shared" si="58"/>
        <v>23.284700000000001</v>
      </c>
      <c r="AC135" s="74" t="e">
        <f>VLOOKUP(A135,Enforcements!$C$3:$J$52,8,0)</f>
        <v>#N/A</v>
      </c>
      <c r="AD135" s="74" t="e">
        <f>VLOOKUP(A135,Enforcements!$C$3:$J$52,3,0)</f>
        <v>#N/A</v>
      </c>
    </row>
    <row r="136" spans="1:30" s="2" customFormat="1" x14ac:dyDescent="0.25">
      <c r="A136" s="60" t="s">
        <v>389</v>
      </c>
      <c r="B136" s="60">
        <v>4030</v>
      </c>
      <c r="C136" s="60" t="s">
        <v>62</v>
      </c>
      <c r="D136" s="60" t="s">
        <v>390</v>
      </c>
      <c r="E136" s="30">
        <v>42521.994444444441</v>
      </c>
      <c r="F136" s="30">
        <v>42521.995659722219</v>
      </c>
      <c r="G136" s="38">
        <v>1</v>
      </c>
      <c r="H136" s="30" t="s">
        <v>152</v>
      </c>
      <c r="I136" s="30">
        <v>42522.023888888885</v>
      </c>
      <c r="J136" s="60">
        <v>0</v>
      </c>
      <c r="K136" s="60" t="str">
        <f t="shared" si="53"/>
        <v>4029/4030</v>
      </c>
      <c r="L136" s="60" t="str">
        <f>VLOOKUP(A136,'Trips&amp;Operators'!$C$1:$E$9999,3,FALSE)</f>
        <v>BARTLETT</v>
      </c>
      <c r="M136" s="12">
        <f t="shared" si="54"/>
        <v>2.8229166666278616E-2</v>
      </c>
      <c r="N136" s="13">
        <f t="shared" si="52"/>
        <v>40.649999999441206</v>
      </c>
      <c r="O136" s="13"/>
      <c r="P136" s="13"/>
      <c r="Q136" s="61"/>
      <c r="R136" s="61"/>
      <c r="S136" s="94">
        <f t="shared" si="59"/>
        <v>1</v>
      </c>
      <c r="T136" s="2" t="str">
        <f t="shared" si="60"/>
        <v>Southbound</v>
      </c>
      <c r="U136" s="67">
        <f>COUNTIFS([2]Variables!$M$2:$M$19,IF(T136="NorthBound","&gt;=","&lt;=")&amp;Z136,[2]Variables!$M$2:$M$19,IF(T136="NorthBound","&lt;=","&gt;=")&amp;AA136)</f>
        <v>12</v>
      </c>
      <c r="W136" s="73" t="str">
        <f t="shared" si="55"/>
        <v>https://search-rtdc-monitor-bjffxe2xuh6vdkpspy63sjmuny.us-east-1.es.amazonaws.com/_plugin/kibana/#/discover/Steve-Slow-Train-Analysis-(2080s-and-2083s)?_g=(refreshInterval:(display:Off,section:0,value:0),time:(from:'2016-05-31 23:51:00-0600',mode:absolute,to:'2016-06-01 00:35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X136" s="73" t="str">
        <f t="shared" si="56"/>
        <v>N</v>
      </c>
      <c r="Y136" s="73">
        <f t="shared" si="49"/>
        <v>2</v>
      </c>
      <c r="Z136" s="73">
        <f t="shared" si="57"/>
        <v>23.297599999999999</v>
      </c>
      <c r="AA136" s="73">
        <f t="shared" si="51"/>
        <v>1.61E-2</v>
      </c>
      <c r="AB136" s="73">
        <f t="shared" si="58"/>
        <v>23.281499999999998</v>
      </c>
      <c r="AC136" s="74" t="e">
        <f>VLOOKUP(A136,Enforcements!$C$3:$J$52,8,0)</f>
        <v>#N/A</v>
      </c>
      <c r="AD136" s="74" t="e">
        <f>VLOOKUP(A136,Enforcements!$C$3:$J$52,3,0)</f>
        <v>#N/A</v>
      </c>
    </row>
    <row r="137" spans="1:30" s="2" customFormat="1" x14ac:dyDescent="0.25">
      <c r="A137" s="60" t="s">
        <v>391</v>
      </c>
      <c r="B137" s="60">
        <v>4009</v>
      </c>
      <c r="C137" s="60" t="s">
        <v>62</v>
      </c>
      <c r="D137" s="60" t="s">
        <v>72</v>
      </c>
      <c r="E137" s="30">
        <v>42521.973009259258</v>
      </c>
      <c r="F137" s="30">
        <v>42521.973854166667</v>
      </c>
      <c r="G137" s="38">
        <v>1</v>
      </c>
      <c r="H137" s="30" t="s">
        <v>151</v>
      </c>
      <c r="I137" s="30">
        <v>42522.012511574074</v>
      </c>
      <c r="J137" s="60">
        <v>0</v>
      </c>
      <c r="K137" s="60" t="str">
        <f t="shared" si="53"/>
        <v>4009/4010</v>
      </c>
      <c r="L137" s="60" t="str">
        <f>VLOOKUP(A137,'Trips&amp;Operators'!$C$1:$E$9999,3,FALSE)</f>
        <v>LEVERE</v>
      </c>
      <c r="M137" s="12">
        <f t="shared" si="54"/>
        <v>3.8657407407299615E-2</v>
      </c>
      <c r="N137" s="13">
        <f t="shared" si="52"/>
        <v>55.666666666511446</v>
      </c>
      <c r="O137" s="13"/>
      <c r="P137" s="13"/>
      <c r="Q137" s="61"/>
      <c r="R137" s="61"/>
      <c r="S137" s="94">
        <f t="shared" si="59"/>
        <v>1</v>
      </c>
      <c r="T137" s="2" t="str">
        <f t="shared" si="60"/>
        <v>NorthBound</v>
      </c>
      <c r="U137" s="67">
        <f>COUNTIFS([2]Variables!$M$2:$M$19,IF(T137="NorthBound","&gt;=","&lt;=")&amp;Z137,[2]Variables!$M$2:$M$19,IF(T137="NorthBound","&lt;=","&gt;=")&amp;AA137)</f>
        <v>12</v>
      </c>
      <c r="W137" s="73" t="str">
        <f t="shared" si="55"/>
        <v>https://search-rtdc-monitor-bjffxe2xuh6vdkpspy63sjmuny.us-east-1.es.amazonaws.com/_plugin/kibana/#/discover/Steve-Slow-Train-Analysis-(2080s-and-2083s)?_g=(refreshInterval:(display:Off,section:0,value:0),time:(from:'2016-05-31 23:20:08-0600',mode:absolute,to:'2016-06-01 00:19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X137" s="73" t="str">
        <f t="shared" si="56"/>
        <v>N</v>
      </c>
      <c r="Y137" s="73">
        <f t="shared" si="49"/>
        <v>1</v>
      </c>
      <c r="Z137" s="73">
        <f t="shared" si="57"/>
        <v>4.6399999999999997E-2</v>
      </c>
      <c r="AA137" s="73">
        <f t="shared" si="51"/>
        <v>23.3278</v>
      </c>
      <c r="AB137" s="73">
        <f t="shared" si="58"/>
        <v>23.281400000000001</v>
      </c>
      <c r="AC137" s="74" t="e">
        <f>VLOOKUP(A137,Enforcements!$C$3:$J$52,8,0)</f>
        <v>#N/A</v>
      </c>
      <c r="AD137" s="74" t="e">
        <f>VLOOKUP(A137,Enforcements!$C$3:$J$52,3,0)</f>
        <v>#N/A</v>
      </c>
    </row>
    <row r="138" spans="1:30" s="2" customFormat="1" x14ac:dyDescent="0.25">
      <c r="A138" s="60" t="s">
        <v>392</v>
      </c>
      <c r="B138" s="60">
        <v>4010</v>
      </c>
      <c r="C138" s="60" t="s">
        <v>62</v>
      </c>
      <c r="D138" s="60" t="s">
        <v>393</v>
      </c>
      <c r="E138" s="30">
        <v>42522.015902777777</v>
      </c>
      <c r="F138" s="30">
        <v>42522.016909722224</v>
      </c>
      <c r="G138" s="38">
        <v>1</v>
      </c>
      <c r="H138" s="30" t="s">
        <v>394</v>
      </c>
      <c r="I138" s="30">
        <v>42522.044525462959</v>
      </c>
      <c r="J138" s="60">
        <v>0</v>
      </c>
      <c r="K138" s="60" t="str">
        <f t="shared" si="53"/>
        <v>4009/4010</v>
      </c>
      <c r="L138" s="60" t="str">
        <f>VLOOKUP(A138,'Trips&amp;Operators'!$C$1:$E$9999,3,FALSE)</f>
        <v>LEVERE</v>
      </c>
      <c r="M138" s="12">
        <f t="shared" si="54"/>
        <v>2.7615740735200234E-2</v>
      </c>
      <c r="N138" s="13">
        <f t="shared" si="52"/>
        <v>39.766666658688337</v>
      </c>
      <c r="O138" s="13"/>
      <c r="P138" s="13"/>
      <c r="Q138" s="61"/>
      <c r="R138" s="61"/>
      <c r="S138" s="94">
        <f t="shared" si="59"/>
        <v>1</v>
      </c>
      <c r="T138" s="2" t="str">
        <f t="shared" si="60"/>
        <v>Southbound</v>
      </c>
      <c r="U138" s="67">
        <f>COUNTIFS([2]Variables!$M$2:$M$19,IF(T138="NorthBound","&gt;=","&lt;=")&amp;Z138,[2]Variables!$M$2:$M$19,IF(T138="NorthBound","&lt;=","&gt;=")&amp;AA138)</f>
        <v>12</v>
      </c>
      <c r="W138" s="73" t="str">
        <f t="shared" si="55"/>
        <v>https://search-rtdc-monitor-bjffxe2xuh6vdkpspy63sjmuny.us-east-1.es.amazonaws.com/_plugin/kibana/#/discover/Steve-Slow-Train-Analysis-(2080s-and-2083s)?_g=(refreshInterval:(display:Off,section:0,value:0),time:(from:'2016-06-01 00:21:54-0600',mode:absolute,to:'2016-06-01 01:05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X138" s="73" t="str">
        <f t="shared" si="56"/>
        <v>N</v>
      </c>
      <c r="Y138" s="73">
        <f t="shared" si="49"/>
        <v>1</v>
      </c>
      <c r="Z138" s="73">
        <f t="shared" si="57"/>
        <v>23.296199999999999</v>
      </c>
      <c r="AA138" s="73">
        <f t="shared" si="51"/>
        <v>1.89E-2</v>
      </c>
      <c r="AB138" s="73">
        <f t="shared" si="58"/>
        <v>23.2773</v>
      </c>
      <c r="AC138" s="74" t="e">
        <f>VLOOKUP(A138,Enforcements!$C$3:$J$52,8,0)</f>
        <v>#N/A</v>
      </c>
      <c r="AD138" s="74" t="e">
        <f>VLOOKUP(A138,Enforcements!$C$3:$J$52,3,0)</f>
        <v>#N/A</v>
      </c>
    </row>
    <row r="139" spans="1:30" s="2" customFormat="1" x14ac:dyDescent="0.25">
      <c r="A139" s="60" t="s">
        <v>395</v>
      </c>
      <c r="B139" s="60">
        <v>4011</v>
      </c>
      <c r="C139" s="60" t="s">
        <v>62</v>
      </c>
      <c r="D139" s="60" t="s">
        <v>96</v>
      </c>
      <c r="E139" s="30">
        <v>42521.996261574073</v>
      </c>
      <c r="F139" s="30">
        <v>42521.998078703706</v>
      </c>
      <c r="G139" s="38">
        <v>2</v>
      </c>
      <c r="H139" s="30" t="s">
        <v>130</v>
      </c>
      <c r="I139" s="30">
        <v>42522.025405092594</v>
      </c>
      <c r="J139" s="60">
        <v>0</v>
      </c>
      <c r="K139" s="60" t="str">
        <f t="shared" si="53"/>
        <v>4011/4012</v>
      </c>
      <c r="L139" s="60" t="str">
        <f>VLOOKUP(A139,'Trips&amp;Operators'!$C$1:$E$9999,3,FALSE)</f>
        <v>GRASTON</v>
      </c>
      <c r="M139" s="12">
        <f t="shared" si="54"/>
        <v>2.73263888884685E-2</v>
      </c>
      <c r="N139" s="13">
        <f t="shared" si="52"/>
        <v>39.34999999939464</v>
      </c>
      <c r="O139" s="13"/>
      <c r="P139" s="13"/>
      <c r="Q139" s="61"/>
      <c r="R139" s="61"/>
      <c r="S139" s="94">
        <f t="shared" si="59"/>
        <v>1</v>
      </c>
      <c r="T139" s="2" t="str">
        <f t="shared" si="60"/>
        <v>NorthBound</v>
      </c>
      <c r="U139" s="67">
        <f>COUNTIFS([2]Variables!$M$2:$M$19,IF(T139="NorthBound","&gt;=","&lt;=")&amp;Z139,[2]Variables!$M$2:$M$19,IF(T139="NorthBound","&lt;=","&gt;=")&amp;AA139)</f>
        <v>12</v>
      </c>
      <c r="W139" s="73" t="str">
        <f t="shared" si="55"/>
        <v>https://search-rtdc-monitor-bjffxe2xuh6vdkpspy63sjmuny.us-east-1.es.amazonaws.com/_plugin/kibana/#/discover/Steve-Slow-Train-Analysis-(2080s-and-2083s)?_g=(refreshInterval:(display:Off,section:0,value:0),time:(from:'2016-05-31 23:53:37-0600',mode:absolute,to:'2016-06-01 00:37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X139" s="73" t="str">
        <f t="shared" si="56"/>
        <v>N</v>
      </c>
      <c r="Y139" s="73">
        <f t="shared" si="49"/>
        <v>1</v>
      </c>
      <c r="Z139" s="73">
        <f t="shared" si="57"/>
        <v>4.6600000000000003E-2</v>
      </c>
      <c r="AA139" s="73">
        <f t="shared" si="51"/>
        <v>23.331</v>
      </c>
      <c r="AB139" s="73">
        <f t="shared" si="58"/>
        <v>23.284399999999998</v>
      </c>
      <c r="AC139" s="74" t="e">
        <f>VLOOKUP(A139,Enforcements!$C$3:$J$52,8,0)</f>
        <v>#N/A</v>
      </c>
      <c r="AD139" s="74" t="e">
        <f>VLOOKUP(A139,Enforcements!$C$3:$J$52,3,0)</f>
        <v>#N/A</v>
      </c>
    </row>
    <row r="140" spans="1:30" s="2" customFormat="1" x14ac:dyDescent="0.25">
      <c r="A140" s="60" t="s">
        <v>396</v>
      </c>
      <c r="B140" s="60">
        <v>4012</v>
      </c>
      <c r="C140" s="60" t="s">
        <v>62</v>
      </c>
      <c r="D140" s="60" t="s">
        <v>397</v>
      </c>
      <c r="E140" s="30">
        <v>42522.035011574073</v>
      </c>
      <c r="F140" s="30">
        <v>42522.035729166666</v>
      </c>
      <c r="G140" s="38">
        <v>1</v>
      </c>
      <c r="H140" s="30" t="s">
        <v>398</v>
      </c>
      <c r="I140" s="30">
        <v>42522.064583333333</v>
      </c>
      <c r="J140" s="60">
        <v>1</v>
      </c>
      <c r="K140" s="60" t="str">
        <f t="shared" si="53"/>
        <v>4011/4012</v>
      </c>
      <c r="L140" s="60" t="str">
        <f>VLOOKUP(A140,'Trips&amp;Operators'!$C$1:$E$9999,3,FALSE)</f>
        <v>GRASTON</v>
      </c>
      <c r="M140" s="12">
        <f t="shared" si="54"/>
        <v>2.8854166666860692E-2</v>
      </c>
      <c r="N140" s="13">
        <f t="shared" si="52"/>
        <v>41.550000000279397</v>
      </c>
      <c r="O140" s="13"/>
      <c r="P140" s="13"/>
      <c r="Q140" s="61"/>
      <c r="R140" s="61"/>
      <c r="S140" s="94">
        <f t="shared" si="59"/>
        <v>1</v>
      </c>
      <c r="T140" s="2" t="str">
        <f t="shared" si="60"/>
        <v>Southbound</v>
      </c>
      <c r="U140" s="67">
        <f>COUNTIFS([2]Variables!$M$2:$M$19,IF(T140="NorthBound","&gt;=","&lt;=")&amp;Z140,[2]Variables!$M$2:$M$19,IF(T140="NorthBound","&lt;=","&gt;=")&amp;AA140)</f>
        <v>12</v>
      </c>
      <c r="W140" s="73" t="str">
        <f t="shared" si="55"/>
        <v>https://search-rtdc-monitor-bjffxe2xuh6vdkpspy63sjmuny.us-east-1.es.amazonaws.com/_plugin/kibana/#/discover/Steve-Slow-Train-Analysis-(2080s-and-2083s)?_g=(refreshInterval:(display:Off,section:0,value:0),time:(from:'2016-06-01 00:49:25-0600',mode:absolute,to:'2016-06-01 01:34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X140" s="73" t="str">
        <f t="shared" si="56"/>
        <v>N</v>
      </c>
      <c r="Y140" s="73">
        <f t="shared" si="49"/>
        <v>1</v>
      </c>
      <c r="Z140" s="73">
        <f t="shared" si="57"/>
        <v>23.2987</v>
      </c>
      <c r="AA140" s="73">
        <f t="shared" si="51"/>
        <v>2.4199999999999999E-2</v>
      </c>
      <c r="AB140" s="73">
        <f t="shared" si="58"/>
        <v>23.2745</v>
      </c>
      <c r="AC140" s="74" t="e">
        <f>VLOOKUP(A140,Enforcements!$C$3:$J$52,8,0)</f>
        <v>#N/A</v>
      </c>
      <c r="AD140" s="74" t="e">
        <f>VLOOKUP(A140,Enforcements!$C$3:$J$52,3,0)</f>
        <v>#N/A</v>
      </c>
    </row>
    <row r="141" spans="1:30" s="2" customFormat="1" x14ac:dyDescent="0.25">
      <c r="A141" s="60" t="s">
        <v>399</v>
      </c>
      <c r="B141" s="60">
        <v>4007</v>
      </c>
      <c r="C141" s="60" t="s">
        <v>62</v>
      </c>
      <c r="D141" s="60" t="s">
        <v>400</v>
      </c>
      <c r="E141" s="30">
        <v>42522.015034722222</v>
      </c>
      <c r="F141" s="30">
        <v>42522.016111111108</v>
      </c>
      <c r="G141" s="38">
        <v>1</v>
      </c>
      <c r="H141" s="30" t="s">
        <v>147</v>
      </c>
      <c r="I141" s="30">
        <v>42522.045810185184</v>
      </c>
      <c r="J141" s="60">
        <v>0</v>
      </c>
      <c r="K141" s="60" t="str">
        <f t="shared" si="53"/>
        <v>4007/4008</v>
      </c>
      <c r="L141" s="60" t="str">
        <f>VLOOKUP(A141,'Trips&amp;Operators'!$C$1:$E$9999,3,FALSE)</f>
        <v>ADANE</v>
      </c>
      <c r="M141" s="12">
        <f t="shared" si="54"/>
        <v>2.9699074075324461E-2</v>
      </c>
      <c r="N141" s="13">
        <f t="shared" si="52"/>
        <v>42.766666668467224</v>
      </c>
      <c r="O141" s="13"/>
      <c r="P141" s="13"/>
      <c r="Q141" s="61"/>
      <c r="R141" s="61"/>
      <c r="S141" s="94">
        <f t="shared" si="59"/>
        <v>1</v>
      </c>
      <c r="T141" s="2" t="str">
        <f t="shared" si="60"/>
        <v>NorthBound</v>
      </c>
      <c r="U141" s="67">
        <f>COUNTIFS([2]Variables!$M$2:$M$19,IF(T141="NorthBound","&gt;=","&lt;=")&amp;Z141,[2]Variables!$M$2:$M$19,IF(T141="NorthBound","&lt;=","&gt;=")&amp;AA141)</f>
        <v>12</v>
      </c>
      <c r="W141" s="73" t="str">
        <f t="shared" si="55"/>
        <v>https://search-rtdc-monitor-bjffxe2xuh6vdkpspy63sjmuny.us-east-1.es.amazonaws.com/_plugin/kibana/#/discover/Steve-Slow-Train-Analysis-(2080s-and-2083s)?_g=(refreshInterval:(display:Off,section:0,value:0),time:(from:'2016-06-01 00:20:39-0600',mode:absolute,to:'2016-06-01 01:06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X141" s="73" t="str">
        <f t="shared" si="56"/>
        <v>N</v>
      </c>
      <c r="Y141" s="73">
        <f t="shared" si="49"/>
        <v>1</v>
      </c>
      <c r="Z141" s="73">
        <f t="shared" si="57"/>
        <v>5.0200000000000002E-2</v>
      </c>
      <c r="AA141" s="73">
        <f t="shared" si="51"/>
        <v>23.332100000000001</v>
      </c>
      <c r="AB141" s="73">
        <f t="shared" si="58"/>
        <v>23.2819</v>
      </c>
      <c r="AC141" s="74" t="e">
        <f>VLOOKUP(A141,Enforcements!$C$3:$J$52,8,0)</f>
        <v>#N/A</v>
      </c>
      <c r="AD141" s="74" t="e">
        <f>VLOOKUP(A141,Enforcements!$C$3:$J$52,3,0)</f>
        <v>#N/A</v>
      </c>
    </row>
    <row r="142" spans="1:30" s="2" customFormat="1" x14ac:dyDescent="0.25">
      <c r="A142" s="60" t="s">
        <v>401</v>
      </c>
      <c r="B142" s="60">
        <v>4008</v>
      </c>
      <c r="C142" s="60" t="s">
        <v>62</v>
      </c>
      <c r="D142" s="60" t="s">
        <v>116</v>
      </c>
      <c r="E142" s="30">
        <v>42522.055949074071</v>
      </c>
      <c r="F142" s="30">
        <v>42522.057060185187</v>
      </c>
      <c r="G142" s="38">
        <v>1</v>
      </c>
      <c r="H142" s="30" t="s">
        <v>97</v>
      </c>
      <c r="I142" s="30">
        <v>42522.08798611111</v>
      </c>
      <c r="J142" s="60">
        <v>1</v>
      </c>
      <c r="K142" s="60" t="str">
        <f t="shared" si="53"/>
        <v>4007/4008</v>
      </c>
      <c r="L142" s="60" t="str">
        <f>VLOOKUP(A142,'Trips&amp;Operators'!$C$1:$E$9999,3,FALSE)</f>
        <v>ADANE</v>
      </c>
      <c r="M142" s="12">
        <f t="shared" si="54"/>
        <v>3.0925925922929309E-2</v>
      </c>
      <c r="N142" s="13">
        <f t="shared" si="52"/>
        <v>44.533333329018205</v>
      </c>
      <c r="O142" s="13"/>
      <c r="P142" s="13"/>
      <c r="Q142" s="61"/>
      <c r="R142" s="61"/>
      <c r="S142" s="94">
        <f t="shared" si="59"/>
        <v>1</v>
      </c>
      <c r="T142" s="2" t="str">
        <f t="shared" si="60"/>
        <v>Southbound</v>
      </c>
      <c r="U142" s="67">
        <f>COUNTIFS([2]Variables!$M$2:$M$19,IF(T142="NorthBound","&gt;=","&lt;=")&amp;Z142,[2]Variables!$M$2:$M$19,IF(T142="NorthBound","&lt;=","&gt;=")&amp;AA142)</f>
        <v>12</v>
      </c>
      <c r="W142" s="73" t="str">
        <f t="shared" si="55"/>
        <v>https://search-rtdc-monitor-bjffxe2xuh6vdkpspy63sjmuny.us-east-1.es.amazonaws.com/_plugin/kibana/#/discover/Steve-Slow-Train-Analysis-(2080s-and-2083s)?_g=(refreshInterval:(display:Off,section:0,value:0),time:(from:'2016-06-01 01:19:34-0600',mode:absolute,to:'2016-06-01 02:07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X142" s="73" t="str">
        <f t="shared" si="56"/>
        <v>N</v>
      </c>
      <c r="Y142" s="73">
        <f t="shared" si="49"/>
        <v>1</v>
      </c>
      <c r="Z142" s="73">
        <f t="shared" si="57"/>
        <v>23.298300000000001</v>
      </c>
      <c r="AA142" s="73">
        <f t="shared" si="51"/>
        <v>1.43E-2</v>
      </c>
      <c r="AB142" s="73">
        <f t="shared" si="58"/>
        <v>23.284000000000002</v>
      </c>
      <c r="AC142" s="74" t="e">
        <f>VLOOKUP(A142,Enforcements!$C$3:$J$52,8,0)</f>
        <v>#N/A</v>
      </c>
      <c r="AD142" s="74" t="e">
        <f>VLOOKUP(A142,Enforcements!$C$3:$J$52,3,0)</f>
        <v>#N/A</v>
      </c>
    </row>
    <row r="143" spans="1:30" s="2" customFormat="1" ht="15.75" thickBot="1" x14ac:dyDescent="0.3">
      <c r="A143" s="62"/>
      <c r="B143" s="62"/>
      <c r="C143" s="62"/>
      <c r="D143" s="62"/>
      <c r="E143" s="63"/>
      <c r="F143" s="63"/>
      <c r="G143" s="64"/>
      <c r="H143" s="63"/>
      <c r="I143" s="63"/>
      <c r="J143" s="62"/>
      <c r="K143" s="62"/>
      <c r="L143" s="62"/>
      <c r="M143" s="65"/>
      <c r="N143" s="66"/>
      <c r="O143" s="66"/>
      <c r="P143" s="66"/>
      <c r="Q143" s="67"/>
      <c r="R143" s="67"/>
      <c r="S143" s="94"/>
      <c r="U143" s="67"/>
      <c r="W143" s="68"/>
      <c r="X143" s="68"/>
      <c r="Y143" s="68"/>
      <c r="Z143" s="68"/>
      <c r="AA143" s="68"/>
      <c r="AB143" s="68"/>
      <c r="AC143" s="69"/>
      <c r="AD143" s="69"/>
    </row>
    <row r="144" spans="1:30" s="2" customFormat="1" ht="15.75" thickBot="1" x14ac:dyDescent="0.3">
      <c r="E144" s="31"/>
      <c r="F144" s="31"/>
      <c r="G144" s="39"/>
      <c r="H144" s="31"/>
      <c r="I144" s="85">
        <f>Variables!A2</f>
        <v>42521</v>
      </c>
      <c r="J144" s="86"/>
      <c r="K144" s="75"/>
      <c r="L144" s="75"/>
      <c r="M144" s="87" t="s">
        <v>8</v>
      </c>
      <c r="N144" s="88"/>
      <c r="O144" s="89"/>
      <c r="P144" s="5"/>
      <c r="S144" s="94"/>
      <c r="U144" s="67"/>
      <c r="W144" s="56"/>
      <c r="X144" s="56"/>
      <c r="Y144" s="56"/>
      <c r="Z144" s="56"/>
      <c r="AA144" s="56"/>
      <c r="AB144" s="56"/>
      <c r="AC144" s="57"/>
      <c r="AD144" s="57"/>
    </row>
    <row r="145" spans="2:30" s="2" customFormat="1" ht="15.75" thickBot="1" x14ac:dyDescent="0.3">
      <c r="E145" s="31"/>
      <c r="F145" s="31"/>
      <c r="G145" s="39"/>
      <c r="H145" s="31"/>
      <c r="I145" s="90" t="s">
        <v>10</v>
      </c>
      <c r="J145" s="91"/>
      <c r="K145" s="35"/>
      <c r="L145" s="58"/>
      <c r="M145" s="9" t="s">
        <v>11</v>
      </c>
      <c r="N145" s="6" t="s">
        <v>12</v>
      </c>
      <c r="O145" s="7" t="s">
        <v>13</v>
      </c>
      <c r="P145" s="5"/>
      <c r="S145" s="94"/>
      <c r="U145" s="67"/>
      <c r="W145" s="56"/>
      <c r="X145" s="56"/>
      <c r="Y145" s="56"/>
      <c r="Z145" s="56"/>
      <c r="AA145" s="56"/>
      <c r="AB145" s="56"/>
      <c r="AC145" s="57"/>
      <c r="AD145" s="57"/>
    </row>
    <row r="146" spans="2:30" s="2" customFormat="1" ht="15.75" thickBot="1" x14ac:dyDescent="0.3">
      <c r="E146" s="31"/>
      <c r="F146" s="31"/>
      <c r="G146" s="39"/>
      <c r="H146" s="31"/>
      <c r="I146" s="32" t="s">
        <v>14</v>
      </c>
      <c r="J146" s="3">
        <f>COUNT(N3:P142)</f>
        <v>137</v>
      </c>
      <c r="K146" s="3"/>
      <c r="L146" s="3"/>
      <c r="M146" s="70" t="s">
        <v>15</v>
      </c>
      <c r="N146" s="6" t="s">
        <v>15</v>
      </c>
      <c r="O146" s="7" t="s">
        <v>15</v>
      </c>
      <c r="P146" s="5"/>
      <c r="S146" s="94"/>
      <c r="U146" s="67"/>
      <c r="W146" s="56"/>
      <c r="X146" s="56"/>
      <c r="Y146" s="56"/>
      <c r="Z146" s="56"/>
      <c r="AA146" s="56"/>
      <c r="AB146" s="56"/>
      <c r="AC146" s="57"/>
      <c r="AD146" s="57"/>
    </row>
    <row r="147" spans="2:30" s="2" customFormat="1" ht="15.75" thickBot="1" x14ac:dyDescent="0.3">
      <c r="E147" s="31"/>
      <c r="F147" s="31"/>
      <c r="G147" s="39"/>
      <c r="H147" s="31"/>
      <c r="I147" s="32" t="s">
        <v>17</v>
      </c>
      <c r="J147" s="3">
        <f>COUNT(N3:N142)</f>
        <v>129</v>
      </c>
      <c r="K147" s="3"/>
      <c r="L147" s="3"/>
      <c r="M147" s="70">
        <f>AVERAGE(N3:N142)</f>
        <v>44.44082687376067</v>
      </c>
      <c r="N147" s="6">
        <f>MIN(N3:N142)</f>
        <v>35.66666666418314</v>
      </c>
      <c r="O147" s="7">
        <f>MAX(N3:N142)</f>
        <v>85.833333333721384</v>
      </c>
      <c r="P147" s="5"/>
      <c r="S147" s="94"/>
      <c r="U147" s="67"/>
      <c r="W147" s="56"/>
      <c r="X147" s="56"/>
      <c r="Y147" s="56"/>
      <c r="Z147" s="56"/>
      <c r="AA147" s="56"/>
      <c r="AB147" s="56"/>
      <c r="AC147" s="57"/>
      <c r="AD147" s="57"/>
    </row>
    <row r="148" spans="2:30" s="2" customFormat="1" ht="15.75" thickBot="1" x14ac:dyDescent="0.3">
      <c r="B148" s="59"/>
      <c r="C148" s="59"/>
      <c r="D148" s="59"/>
      <c r="E148" s="14"/>
      <c r="F148" s="14"/>
      <c r="G148" s="40"/>
      <c r="H148" s="14"/>
      <c r="I148" s="33" t="s">
        <v>45</v>
      </c>
      <c r="J148" s="3">
        <f>COUNT(O3:O142)</f>
        <v>0</v>
      </c>
      <c r="K148" s="3"/>
      <c r="L148" s="3"/>
      <c r="M148" s="70">
        <f>IFERROR(AVERAGE(O3:O142),0)</f>
        <v>0</v>
      </c>
      <c r="N148" s="6">
        <f>MIN(O3:O142)</f>
        <v>0</v>
      </c>
      <c r="O148" s="7">
        <f>MAX(O3:O142)</f>
        <v>0</v>
      </c>
      <c r="P148" s="4"/>
      <c r="Q148"/>
      <c r="R148"/>
      <c r="S148" s="94"/>
      <c r="U148" s="67"/>
      <c r="V148"/>
      <c r="W148" s="54"/>
      <c r="X148" s="54"/>
      <c r="Y148" s="54"/>
      <c r="Z148" s="54"/>
      <c r="AA148" s="54"/>
      <c r="AB148" s="54"/>
      <c r="AC148" s="55"/>
      <c r="AD148" s="55"/>
    </row>
    <row r="149" spans="2:30" s="2" customFormat="1" ht="15.75" thickBot="1" x14ac:dyDescent="0.3">
      <c r="B149" s="59"/>
      <c r="C149" s="59"/>
      <c r="D149" s="59"/>
      <c r="E149" s="14"/>
      <c r="F149" s="14"/>
      <c r="G149" s="40"/>
      <c r="H149" s="14"/>
      <c r="I149" s="34" t="s">
        <v>9</v>
      </c>
      <c r="J149" s="3">
        <f>COUNT(P3:P142)</f>
        <v>8</v>
      </c>
      <c r="K149" s="3"/>
      <c r="L149" s="3"/>
      <c r="M149" s="70" t="s">
        <v>15</v>
      </c>
      <c r="N149" s="6" t="s">
        <v>15</v>
      </c>
      <c r="O149" s="7" t="s">
        <v>15</v>
      </c>
      <c r="P149" s="4"/>
      <c r="Q149"/>
      <c r="R149"/>
      <c r="S149" s="94"/>
      <c r="U149" s="67"/>
      <c r="V149"/>
      <c r="W149" s="54"/>
      <c r="X149" s="54"/>
      <c r="Y149" s="54"/>
      <c r="Z149" s="54"/>
      <c r="AA149" s="54"/>
      <c r="AB149" s="54"/>
      <c r="AC149" s="55"/>
      <c r="AD149" s="55"/>
    </row>
    <row r="150" spans="2:30" s="2" customFormat="1" ht="30.75" thickBot="1" x14ac:dyDescent="0.3">
      <c r="E150" s="31"/>
      <c r="F150" s="31"/>
      <c r="G150" s="39"/>
      <c r="H150" s="31"/>
      <c r="I150" s="32" t="s">
        <v>16</v>
      </c>
      <c r="J150" s="3">
        <f>COUNT(N3:O142)</f>
        <v>129</v>
      </c>
      <c r="K150" s="3"/>
      <c r="L150" s="3"/>
      <c r="M150" s="70">
        <f>AVERAGE(N3:P142)</f>
        <v>43.631995134166083</v>
      </c>
      <c r="N150" s="6">
        <f>MIN(N3:O142)</f>
        <v>35.66666666418314</v>
      </c>
      <c r="O150" s="7">
        <f>MAX(N3:O142)</f>
        <v>85.833333333721384</v>
      </c>
      <c r="P150" s="5"/>
      <c r="S150" s="94"/>
      <c r="U150" s="67"/>
      <c r="W150" s="56"/>
      <c r="X150" s="56"/>
      <c r="Y150" s="56"/>
      <c r="Z150" s="56"/>
      <c r="AA150" s="56"/>
      <c r="AB150" s="56"/>
      <c r="AC150" s="57"/>
      <c r="AD150" s="57"/>
    </row>
    <row r="151" spans="2:30" s="2" customFormat="1" ht="30.75" thickBot="1" x14ac:dyDescent="0.3">
      <c r="B151" s="59"/>
      <c r="C151" s="59"/>
      <c r="D151" s="59"/>
      <c r="E151" s="14"/>
      <c r="F151" s="14"/>
      <c r="G151" s="40"/>
      <c r="H151" s="14"/>
      <c r="I151" s="32" t="s">
        <v>19</v>
      </c>
      <c r="J151" s="8">
        <f>J150/J146</f>
        <v>0.94160583941605835</v>
      </c>
      <c r="K151" s="8"/>
      <c r="L151" s="8"/>
      <c r="M151" s="1"/>
      <c r="N151" s="4"/>
      <c r="O151" s="4"/>
      <c r="P151" s="4"/>
      <c r="Q151"/>
      <c r="R151"/>
      <c r="S151" s="94"/>
      <c r="T151" s="59"/>
      <c r="U151" s="67"/>
      <c r="V151"/>
      <c r="W151" s="54"/>
      <c r="X151" s="54"/>
      <c r="Y151" s="54"/>
      <c r="Z151" s="54"/>
      <c r="AA151" s="54"/>
      <c r="AB151" s="54"/>
      <c r="AC151" s="55"/>
      <c r="AD151" s="55"/>
    </row>
    <row r="152" spans="2:30" s="2" customFormat="1" x14ac:dyDescent="0.25">
      <c r="B152" s="59"/>
      <c r="C152" s="59"/>
      <c r="D152" s="59"/>
      <c r="E152" s="14"/>
      <c r="F152" s="14"/>
      <c r="G152" s="40"/>
      <c r="H152" s="14"/>
      <c r="I152" s="14"/>
      <c r="J152" s="59"/>
      <c r="K152"/>
      <c r="L152" s="59"/>
      <c r="M152" s="1"/>
      <c r="N152" s="4"/>
      <c r="O152" s="4"/>
      <c r="P152" s="4"/>
      <c r="Q152"/>
      <c r="R152"/>
      <c r="S152" s="94"/>
      <c r="T152" s="59"/>
      <c r="U152" s="67"/>
      <c r="V152"/>
      <c r="W152" s="54"/>
      <c r="X152" s="54"/>
      <c r="Y152" s="54"/>
      <c r="Z152" s="54"/>
      <c r="AA152" s="54"/>
      <c r="AB152" s="54"/>
      <c r="AC152" s="55"/>
      <c r="AD152" s="55"/>
    </row>
    <row r="153" spans="2:30" s="2" customFormat="1" ht="45" x14ac:dyDescent="0.25">
      <c r="B153" s="59"/>
      <c r="C153" s="59"/>
      <c r="D153" s="59"/>
      <c r="E153" s="14"/>
      <c r="F153" s="14"/>
      <c r="G153" s="40"/>
      <c r="H153" s="14"/>
      <c r="I153" s="95" t="s">
        <v>444</v>
      </c>
      <c r="J153" s="96" t="s">
        <v>445</v>
      </c>
      <c r="K153" s="96" t="s">
        <v>446</v>
      </c>
      <c r="L153" s="97" t="s">
        <v>447</v>
      </c>
      <c r="M153" s="1"/>
      <c r="N153" s="4"/>
      <c r="O153" s="4"/>
      <c r="P153" s="4"/>
      <c r="Q153"/>
      <c r="R153"/>
      <c r="S153" s="94"/>
      <c r="U153" s="67"/>
      <c r="V153"/>
      <c r="W153" s="54"/>
      <c r="X153" s="54"/>
      <c r="Y153" s="54"/>
      <c r="Z153" s="54"/>
      <c r="AA153" s="54"/>
      <c r="AB153" s="54"/>
      <c r="AC153" s="55"/>
      <c r="AD153" s="55"/>
    </row>
    <row r="154" spans="2:30" s="2" customFormat="1" x14ac:dyDescent="0.25">
      <c r="B154" s="59"/>
      <c r="C154" s="59"/>
      <c r="D154" s="59"/>
      <c r="E154" s="14"/>
      <c r="F154" s="14"/>
      <c r="G154" s="40"/>
      <c r="H154" s="14"/>
      <c r="I154" s="40">
        <f>J150</f>
        <v>129</v>
      </c>
      <c r="J154" s="59">
        <f>J149</f>
        <v>8</v>
      </c>
      <c r="K154" s="98">
        <f>J151</f>
        <v>0.94160583941605835</v>
      </c>
      <c r="L154" s="99">
        <f>AVERAGE(S:S)</f>
        <v>0.9642857142857143</v>
      </c>
      <c r="M154" s="1"/>
      <c r="N154" s="4"/>
      <c r="O154" s="4"/>
      <c r="P154" s="4"/>
      <c r="Q154"/>
      <c r="R154"/>
      <c r="S154" s="94"/>
      <c r="T154" s="59"/>
      <c r="U154" s="67"/>
      <c r="V154"/>
      <c r="W154" s="54"/>
      <c r="X154" s="54"/>
      <c r="Y154" s="54"/>
      <c r="Z154" s="54"/>
      <c r="AA154" s="54"/>
      <c r="AB154" s="54"/>
      <c r="AC154" s="55"/>
      <c r="AD154" s="55"/>
    </row>
    <row r="155" spans="2:30" s="2" customFormat="1" x14ac:dyDescent="0.25">
      <c r="B155" s="59"/>
      <c r="C155" s="59"/>
      <c r="D155" s="59"/>
      <c r="E155" s="14"/>
      <c r="F155" s="14"/>
      <c r="G155" s="40"/>
      <c r="H155" s="14"/>
      <c r="I155" s="14"/>
      <c r="J155" s="59"/>
      <c r="K155"/>
      <c r="L155" s="59"/>
      <c r="M155" s="1"/>
      <c r="N155" s="4"/>
      <c r="O155" s="4"/>
      <c r="P155" s="4"/>
      <c r="Q155"/>
      <c r="R155"/>
      <c r="S155" s="59"/>
      <c r="T155" s="59"/>
      <c r="U155" s="59"/>
      <c r="V155"/>
      <c r="W155" s="54"/>
      <c r="X155" s="54"/>
      <c r="Y155" s="54"/>
      <c r="Z155" s="54"/>
      <c r="AA155" s="54"/>
      <c r="AB155" s="54"/>
      <c r="AC155" s="55"/>
      <c r="AD155" s="55"/>
    </row>
    <row r="156" spans="2:30" s="2" customFormat="1" x14ac:dyDescent="0.25">
      <c r="B156" s="59"/>
      <c r="C156" s="59"/>
      <c r="D156" s="59"/>
      <c r="E156" s="14"/>
      <c r="F156" s="14"/>
      <c r="G156" s="40"/>
      <c r="H156" s="14"/>
      <c r="I156" s="14"/>
      <c r="J156" s="59"/>
      <c r="K156"/>
      <c r="L156" s="59"/>
      <c r="M156" s="1"/>
      <c r="N156" s="4"/>
      <c r="O156" s="4"/>
      <c r="P156" s="4"/>
      <c r="Q156"/>
      <c r="R156"/>
      <c r="S156" s="59"/>
      <c r="T156" s="59"/>
      <c r="U156" s="59"/>
      <c r="V156"/>
      <c r="W156" s="54"/>
      <c r="X156" s="54"/>
      <c r="Y156" s="54"/>
      <c r="Z156" s="54"/>
      <c r="AA156" s="54"/>
      <c r="AB156" s="54"/>
      <c r="AC156" s="55"/>
      <c r="AD156" s="55"/>
    </row>
    <row r="159" spans="2:30" s="2" customFormat="1" x14ac:dyDescent="0.25">
      <c r="B159" s="59"/>
      <c r="C159" s="59"/>
      <c r="D159" s="59"/>
      <c r="E159" s="14"/>
      <c r="F159" s="14"/>
      <c r="G159" s="40"/>
      <c r="H159" s="14"/>
      <c r="I159" s="14"/>
      <c r="J159" s="59"/>
      <c r="K159"/>
      <c r="L159" s="59"/>
      <c r="M159" s="1"/>
      <c r="N159" s="4"/>
      <c r="O159" s="4"/>
      <c r="P159" s="4"/>
      <c r="Q159"/>
      <c r="R159"/>
      <c r="V159"/>
      <c r="W159" s="54"/>
      <c r="X159" s="54"/>
      <c r="Y159" s="54"/>
      <c r="Z159" s="54"/>
      <c r="AA159" s="54"/>
      <c r="AB159" s="54"/>
      <c r="AC159" s="55"/>
      <c r="AD159" s="55"/>
    </row>
    <row r="160" spans="2:30" x14ac:dyDescent="0.25">
      <c r="S160" s="2"/>
      <c r="T160" s="2"/>
      <c r="U160" s="2"/>
    </row>
  </sheetData>
  <autoFilter ref="A2:AD142">
    <sortState ref="A3:AA169">
      <sortCondition ref="A2:A169"/>
    </sortState>
  </autoFilter>
  <sortState ref="A3:Y144">
    <sortCondition ref="A3:A144"/>
  </sortState>
  <mergeCells count="4">
    <mergeCell ref="I144:J144"/>
    <mergeCell ref="M144:O144"/>
    <mergeCell ref="I145:J145"/>
    <mergeCell ref="A1:P1"/>
  </mergeCells>
  <conditionalFormatting sqref="X1:X2 X3:Y1048576">
    <cfRule type="cellIs" dxfId="20" priority="33" operator="equal">
      <formula>"Y"</formula>
    </cfRule>
  </conditionalFormatting>
  <conditionalFormatting sqref="Y3:Y1048576">
    <cfRule type="cellIs" dxfId="19" priority="16" operator="greaterThan">
      <formula>1</formula>
    </cfRule>
  </conditionalFormatting>
  <conditionalFormatting sqref="Y2:Y1048576">
    <cfRule type="cellIs" dxfId="18" priority="13" operator="equal">
      <formula>0</formula>
    </cfRule>
  </conditionalFormatting>
  <conditionalFormatting sqref="A3:R142">
    <cfRule type="expression" dxfId="17" priority="8">
      <formula>$P3&gt;0</formula>
    </cfRule>
    <cfRule type="expression" dxfId="16" priority="9">
      <formula>$O3&gt;0</formula>
    </cfRule>
  </conditionalFormatting>
  <conditionalFormatting sqref="S3:S154">
    <cfRule type="expression" dxfId="11" priority="3">
      <formula>$O3&gt;0</formula>
    </cfRule>
  </conditionalFormatting>
  <conditionalFormatting sqref="S3:S154">
    <cfRule type="expression" dxfId="9" priority="2">
      <formula>$P3&gt;0</formula>
    </cfRule>
  </conditionalFormatting>
  <conditionalFormatting sqref="U3:U154">
    <cfRule type="expression" dxfId="5" priority="4">
      <formula>$M3&gt;$AE$2</formula>
    </cfRule>
    <cfRule type="expression" dxfId="4" priority="5">
      <formula>$O3&gt;0</formula>
    </cfRule>
    <cfRule type="expression" dxfId="3" priority="6">
      <formula>$N3&gt;0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7" id="{07B64F47-9FD1-48B1-84DC-90BBCF0B8697}">
            <xm:f>$N3&gt;Variables!$C$2</xm:f>
            <x14:dxf>
              <fill>
                <patternFill>
                  <bgColor theme="5" tint="0.79998168889431442"/>
                </patternFill>
              </fill>
            </x14:dxf>
          </x14:cfRule>
          <xm:sqref>A3:R142</xm:sqref>
        </x14:conditionalFormatting>
        <x14:conditionalFormatting xmlns:xm="http://schemas.microsoft.com/office/excel/2006/main">
          <x14:cfRule type="expression" priority="1" id="{BE65F057-F4E7-4739-BF39-4CB9DBDF76CF}">
            <xm:f>$N3&gt;'[Train Runs and Enforcements 2016-06-27.xlsx]Variables'!#REF!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S3:S154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5"/>
  <sheetViews>
    <sheetView showGridLines="0" topLeftCell="A4" zoomScale="85" zoomScaleNormal="85" workbookViewId="0">
      <selection activeCell="N29" sqref="N29"/>
    </sheetView>
  </sheetViews>
  <sheetFormatPr defaultRowHeight="15" x14ac:dyDescent="0.25"/>
  <cols>
    <col min="1" max="1" width="18.42578125" style="14" customWidth="1"/>
    <col min="2" max="2" width="17.5703125" customWidth="1"/>
    <col min="3" max="3" width="9.140625" customWidth="1"/>
    <col min="4" max="4" width="26.5703125" customWidth="1"/>
    <col min="5" max="5" width="30.5703125" bestFit="1" customWidth="1"/>
    <col min="6" max="6" width="7.5703125" customWidth="1"/>
    <col min="7" max="7" width="7.140625" customWidth="1"/>
    <col min="8" max="8" width="9" customWidth="1"/>
    <col min="9" max="9" width="23.85546875" bestFit="1" customWidth="1"/>
    <col min="10" max="10" width="10.85546875" customWidth="1"/>
    <col min="11" max="11" width="24" customWidth="1"/>
    <col min="12" max="12" width="13.5703125" bestFit="1" customWidth="1"/>
    <col min="13" max="13" width="6.7109375" customWidth="1"/>
    <col min="14" max="14" width="67.7109375" bestFit="1" customWidth="1"/>
    <col min="16" max="16" width="9.140625" style="81"/>
  </cols>
  <sheetData>
    <row r="1" spans="1:17" s="26" customFormat="1" ht="15" customHeight="1" x14ac:dyDescent="0.25">
      <c r="A1" s="93" t="str">
        <f>"Eagle P3 Braking Events - "&amp;TEXT(Variables!$A$2,"YYYY-mm-dd")</f>
        <v>Eagle P3 Braking Events - 2016-05-31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27"/>
      <c r="P1" s="79"/>
    </row>
    <row r="2" spans="1:17" s="2" customFormat="1" ht="75" x14ac:dyDescent="0.25">
      <c r="A2" s="25" t="s">
        <v>40</v>
      </c>
      <c r="B2" s="24" t="s">
        <v>39</v>
      </c>
      <c r="C2" s="24" t="s">
        <v>38</v>
      </c>
      <c r="D2" s="24" t="s">
        <v>37</v>
      </c>
      <c r="E2" s="24" t="s">
        <v>36</v>
      </c>
      <c r="F2" s="24" t="s">
        <v>35</v>
      </c>
      <c r="G2" s="24" t="s">
        <v>34</v>
      </c>
      <c r="H2" s="24" t="s">
        <v>33</v>
      </c>
      <c r="I2" s="24" t="s">
        <v>32</v>
      </c>
      <c r="J2" s="24" t="s">
        <v>31</v>
      </c>
      <c r="K2" s="24" t="s">
        <v>30</v>
      </c>
      <c r="L2" s="24" t="s">
        <v>50</v>
      </c>
      <c r="M2" s="24" t="s">
        <v>29</v>
      </c>
      <c r="N2" s="24" t="s">
        <v>24</v>
      </c>
      <c r="P2" s="82" t="s">
        <v>100</v>
      </c>
    </row>
    <row r="3" spans="1:17" s="19" customFormat="1" x14ac:dyDescent="0.25">
      <c r="A3" s="23">
        <v>42521.895104166666</v>
      </c>
      <c r="B3" s="22" t="s">
        <v>137</v>
      </c>
      <c r="C3" s="22" t="s">
        <v>376</v>
      </c>
      <c r="D3" s="22" t="s">
        <v>52</v>
      </c>
      <c r="E3" s="22" t="s">
        <v>427</v>
      </c>
      <c r="F3" s="22">
        <v>790</v>
      </c>
      <c r="G3" s="22">
        <v>27</v>
      </c>
      <c r="H3" s="22">
        <v>109501</v>
      </c>
      <c r="I3" s="22" t="s">
        <v>61</v>
      </c>
      <c r="J3" s="22">
        <v>156300</v>
      </c>
      <c r="K3" s="21" t="s">
        <v>56</v>
      </c>
      <c r="L3" s="21" t="str">
        <f>VLOOKUP(C3,'Trips&amp;Operators'!$C$1:$E$9999,3,FALSE)</f>
        <v>BARTLETT</v>
      </c>
      <c r="M3" s="20" t="s">
        <v>91</v>
      </c>
      <c r="N3" s="21" t="s">
        <v>435</v>
      </c>
      <c r="P3" s="80" t="str">
        <f>VLOOKUP(C3,'Train Runs'!$A$3:$W$251,20,0)</f>
        <v>Southbound</v>
      </c>
      <c r="Q3" s="19" t="str">
        <f>MID(B3,13,4)</f>
        <v>4030</v>
      </c>
    </row>
    <row r="4" spans="1:17" s="19" customFormat="1" x14ac:dyDescent="0.25">
      <c r="A4" s="23">
        <v>42521.257939814815</v>
      </c>
      <c r="B4" s="22" t="s">
        <v>414</v>
      </c>
      <c r="C4" s="22" t="s">
        <v>199</v>
      </c>
      <c r="D4" s="22" t="s">
        <v>52</v>
      </c>
      <c r="E4" s="22" t="s">
        <v>119</v>
      </c>
      <c r="F4" s="22">
        <v>300</v>
      </c>
      <c r="G4" s="22">
        <v>457</v>
      </c>
      <c r="H4" s="22">
        <v>127009</v>
      </c>
      <c r="I4" s="22" t="s">
        <v>120</v>
      </c>
      <c r="J4" s="22">
        <v>127562</v>
      </c>
      <c r="K4" s="21" t="s">
        <v>55</v>
      </c>
      <c r="L4" s="21" t="str">
        <f>VLOOKUP(C4,'Trips&amp;Operators'!$C$1:$E$9999,3,FALSE)</f>
        <v>STARKS</v>
      </c>
      <c r="M4" s="20" t="s">
        <v>73</v>
      </c>
      <c r="N4" s="21"/>
      <c r="P4" s="80" t="str">
        <f>VLOOKUP(C4,'Train Runs'!$A$3:$W$251,20,0)</f>
        <v>NorthBound</v>
      </c>
      <c r="Q4" s="19" t="str">
        <f t="shared" ref="Q4:Q52" si="0">MID(B4,13,4)</f>
        <v>4014</v>
      </c>
    </row>
    <row r="5" spans="1:17" s="19" customFormat="1" x14ac:dyDescent="0.25">
      <c r="A5" s="23">
        <v>42521.297222222223</v>
      </c>
      <c r="B5" s="22" t="s">
        <v>410</v>
      </c>
      <c r="C5" s="22" t="s">
        <v>189</v>
      </c>
      <c r="D5" s="22" t="s">
        <v>52</v>
      </c>
      <c r="E5" s="22" t="s">
        <v>119</v>
      </c>
      <c r="F5" s="22">
        <v>590</v>
      </c>
      <c r="G5" s="22">
        <v>753</v>
      </c>
      <c r="H5" s="22">
        <v>105917</v>
      </c>
      <c r="I5" s="22" t="s">
        <v>120</v>
      </c>
      <c r="J5" s="22">
        <v>108954</v>
      </c>
      <c r="K5" s="21" t="s">
        <v>55</v>
      </c>
      <c r="L5" s="21" t="str">
        <f>VLOOKUP(C5,'Trips&amp;Operators'!$C$1:$E$9999,3,FALSE)</f>
        <v>STRICKLAND</v>
      </c>
      <c r="M5" s="20" t="s">
        <v>73</v>
      </c>
      <c r="N5" s="21"/>
      <c r="P5" s="80" t="str">
        <f>VLOOKUP(C5,'Train Runs'!$A$3:$W$251,20,0)</f>
        <v>Southbound</v>
      </c>
      <c r="Q5" s="19" t="str">
        <f t="shared" si="0"/>
        <v>4010</v>
      </c>
    </row>
    <row r="6" spans="1:17" s="19" customFormat="1" x14ac:dyDescent="0.25">
      <c r="A6" s="23">
        <v>42521.323449074072</v>
      </c>
      <c r="B6" s="22" t="s">
        <v>414</v>
      </c>
      <c r="C6" s="22" t="s">
        <v>228</v>
      </c>
      <c r="D6" s="22" t="s">
        <v>52</v>
      </c>
      <c r="E6" s="22" t="s">
        <v>119</v>
      </c>
      <c r="F6" s="22">
        <v>450</v>
      </c>
      <c r="G6" s="22">
        <v>591</v>
      </c>
      <c r="H6" s="22">
        <v>57353</v>
      </c>
      <c r="I6" s="22" t="s">
        <v>120</v>
      </c>
      <c r="J6" s="22">
        <v>58783</v>
      </c>
      <c r="K6" s="21" t="s">
        <v>55</v>
      </c>
      <c r="L6" s="21" t="str">
        <f>VLOOKUP(C6,'Trips&amp;Operators'!$C$1:$E$9999,3,FALSE)</f>
        <v>STARKS</v>
      </c>
      <c r="M6" s="20" t="s">
        <v>73</v>
      </c>
      <c r="N6" s="21"/>
      <c r="P6" s="80" t="str">
        <f>VLOOKUP(C6,'Train Runs'!$A$3:$W$251,20,0)</f>
        <v>NorthBound</v>
      </c>
      <c r="Q6" s="19" t="str">
        <f t="shared" si="0"/>
        <v>4014</v>
      </c>
    </row>
    <row r="7" spans="1:17" s="19" customFormat="1" x14ac:dyDescent="0.25">
      <c r="A7" s="23">
        <v>42521.512418981481</v>
      </c>
      <c r="B7" s="22" t="s">
        <v>416</v>
      </c>
      <c r="C7" s="22" t="s">
        <v>279</v>
      </c>
      <c r="D7" s="22" t="s">
        <v>52</v>
      </c>
      <c r="E7" s="22" t="s">
        <v>119</v>
      </c>
      <c r="F7" s="22">
        <v>0</v>
      </c>
      <c r="G7" s="22">
        <v>210</v>
      </c>
      <c r="H7" s="22">
        <v>110391</v>
      </c>
      <c r="I7" s="22" t="s">
        <v>120</v>
      </c>
      <c r="J7" s="22">
        <v>109135</v>
      </c>
      <c r="K7" s="21" t="s">
        <v>56</v>
      </c>
      <c r="L7" s="21" t="str">
        <f>VLOOKUP(C7,'Trips&amp;Operators'!$C$1:$E$9999,3,FALSE)</f>
        <v>SPECTOR</v>
      </c>
      <c r="M7" s="20" t="s">
        <v>73</v>
      </c>
      <c r="N7" s="21" t="s">
        <v>436</v>
      </c>
      <c r="P7" s="80" t="str">
        <f>VLOOKUP(C7,'Train Runs'!$A$3:$W$251,20,0)</f>
        <v>Southbound</v>
      </c>
      <c r="Q7" s="19" t="str">
        <f t="shared" si="0"/>
        <v>4013</v>
      </c>
    </row>
    <row r="8" spans="1:17" s="19" customFormat="1" x14ac:dyDescent="0.25">
      <c r="A8" s="23">
        <v>42521.543240740742</v>
      </c>
      <c r="B8" s="22" t="s">
        <v>90</v>
      </c>
      <c r="C8" s="22" t="s">
        <v>292</v>
      </c>
      <c r="D8" s="22" t="s">
        <v>52</v>
      </c>
      <c r="E8" s="22" t="s">
        <v>119</v>
      </c>
      <c r="F8" s="22">
        <v>0</v>
      </c>
      <c r="G8" s="22">
        <v>163</v>
      </c>
      <c r="H8" s="22">
        <v>109535</v>
      </c>
      <c r="I8" s="22" t="s">
        <v>120</v>
      </c>
      <c r="J8" s="22">
        <v>109135</v>
      </c>
      <c r="K8" s="21" t="s">
        <v>56</v>
      </c>
      <c r="L8" s="21" t="str">
        <f>VLOOKUP(C8,'Trips&amp;Operators'!$C$1:$E$9999,3,FALSE)</f>
        <v>WEBSTER</v>
      </c>
      <c r="M8" s="20" t="s">
        <v>73</v>
      </c>
      <c r="N8" s="21" t="s">
        <v>436</v>
      </c>
      <c r="P8" s="80" t="str">
        <f>VLOOKUP(C8,'Train Runs'!$A$3:$W$251,20,0)</f>
        <v>Southbound</v>
      </c>
      <c r="Q8" s="19" t="str">
        <f t="shared" si="0"/>
        <v>4032</v>
      </c>
    </row>
    <row r="9" spans="1:17" s="19" customFormat="1" x14ac:dyDescent="0.25">
      <c r="A9" s="23">
        <v>42521.574259259258</v>
      </c>
      <c r="B9" s="22" t="s">
        <v>420</v>
      </c>
      <c r="C9" s="22" t="s">
        <v>300</v>
      </c>
      <c r="D9" s="22" t="s">
        <v>52</v>
      </c>
      <c r="E9" s="22" t="s">
        <v>119</v>
      </c>
      <c r="F9" s="22">
        <v>0</v>
      </c>
      <c r="G9" s="22">
        <v>74</v>
      </c>
      <c r="H9" s="22">
        <v>109371</v>
      </c>
      <c r="I9" s="22" t="s">
        <v>120</v>
      </c>
      <c r="J9" s="22">
        <v>109135</v>
      </c>
      <c r="K9" s="21" t="s">
        <v>56</v>
      </c>
      <c r="L9" s="21" t="str">
        <f>VLOOKUP(C9,'Trips&amp;Operators'!$C$1:$E$9999,3,FALSE)</f>
        <v>BONDS</v>
      </c>
      <c r="M9" s="20" t="s">
        <v>73</v>
      </c>
      <c r="N9" s="21" t="s">
        <v>436</v>
      </c>
      <c r="P9" s="80" t="str">
        <f>VLOOKUP(C9,'Train Runs'!$A$3:$W$251,20,0)</f>
        <v>Southbound</v>
      </c>
      <c r="Q9" s="19" t="str">
        <f t="shared" si="0"/>
        <v>4012</v>
      </c>
    </row>
    <row r="10" spans="1:17" s="19" customFormat="1" x14ac:dyDescent="0.25">
      <c r="A10" s="23">
        <v>42521.581134259257</v>
      </c>
      <c r="B10" s="22" t="s">
        <v>420</v>
      </c>
      <c r="C10" s="22" t="s">
        <v>300</v>
      </c>
      <c r="D10" s="22" t="s">
        <v>52</v>
      </c>
      <c r="E10" s="22" t="s">
        <v>119</v>
      </c>
      <c r="F10" s="22">
        <v>0</v>
      </c>
      <c r="G10" s="22">
        <v>83</v>
      </c>
      <c r="H10" s="22">
        <v>53647</v>
      </c>
      <c r="I10" s="22" t="s">
        <v>120</v>
      </c>
      <c r="J10" s="22">
        <v>53277</v>
      </c>
      <c r="K10" s="21" t="s">
        <v>56</v>
      </c>
      <c r="L10" s="21" t="str">
        <f>VLOOKUP(C10,'Trips&amp;Operators'!$C$1:$E$9999,3,FALSE)</f>
        <v>BONDS</v>
      </c>
      <c r="M10" s="20" t="s">
        <v>73</v>
      </c>
      <c r="N10" s="20" t="s">
        <v>437</v>
      </c>
      <c r="P10" s="80" t="str">
        <f>VLOOKUP(C10,'Train Runs'!$A$3:$W$251,20,0)</f>
        <v>Southbound</v>
      </c>
      <c r="Q10" s="19" t="str">
        <f t="shared" si="0"/>
        <v>4012</v>
      </c>
    </row>
    <row r="11" spans="1:17" s="19" customFormat="1" x14ac:dyDescent="0.25">
      <c r="A11" s="23">
        <v>42521.616423611114</v>
      </c>
      <c r="B11" s="22" t="s">
        <v>90</v>
      </c>
      <c r="C11" s="22" t="s">
        <v>313</v>
      </c>
      <c r="D11" s="22" t="s">
        <v>52</v>
      </c>
      <c r="E11" s="22" t="s">
        <v>119</v>
      </c>
      <c r="F11" s="22">
        <v>0</v>
      </c>
      <c r="G11" s="22">
        <v>199</v>
      </c>
      <c r="H11" s="22">
        <v>110054</v>
      </c>
      <c r="I11" s="22" t="s">
        <v>120</v>
      </c>
      <c r="J11" s="22">
        <v>109135</v>
      </c>
      <c r="K11" s="21" t="s">
        <v>56</v>
      </c>
      <c r="L11" s="21" t="str">
        <f>VLOOKUP(C11,'Trips&amp;Operators'!$C$1:$E$9999,3,FALSE)</f>
        <v>WEBSTER</v>
      </c>
      <c r="M11" s="20" t="s">
        <v>73</v>
      </c>
      <c r="N11" s="20" t="s">
        <v>437</v>
      </c>
      <c r="P11" s="80" t="str">
        <f>VLOOKUP(C11,'Train Runs'!$A$3:$W$251,20,0)</f>
        <v>Southbound</v>
      </c>
      <c r="Q11" s="19" t="str">
        <f t="shared" si="0"/>
        <v>4032</v>
      </c>
    </row>
    <row r="12" spans="1:17" s="19" customFormat="1" x14ac:dyDescent="0.25">
      <c r="A12" s="23">
        <v>42521.646620370368</v>
      </c>
      <c r="B12" s="22" t="s">
        <v>136</v>
      </c>
      <c r="C12" s="22" t="s">
        <v>328</v>
      </c>
      <c r="D12" s="22" t="s">
        <v>52</v>
      </c>
      <c r="E12" s="22" t="s">
        <v>119</v>
      </c>
      <c r="F12" s="22">
        <v>0</v>
      </c>
      <c r="G12" s="22">
        <v>449</v>
      </c>
      <c r="H12" s="22">
        <v>152714</v>
      </c>
      <c r="I12" s="22" t="s">
        <v>120</v>
      </c>
      <c r="J12" s="22">
        <v>153800</v>
      </c>
      <c r="K12" s="21" t="s">
        <v>55</v>
      </c>
      <c r="L12" s="21" t="str">
        <f>VLOOKUP(C12,'Trips&amp;Operators'!$C$1:$E$9999,3,FALSE)</f>
        <v>LOCKLEAR</v>
      </c>
      <c r="M12" s="20" t="s">
        <v>91</v>
      </c>
      <c r="N12" s="21" t="s">
        <v>438</v>
      </c>
      <c r="P12" s="80" t="str">
        <f>VLOOKUP(C12,'Train Runs'!$A$3:$W$251,20,0)</f>
        <v>NorthBound</v>
      </c>
      <c r="Q12" s="19" t="str">
        <f t="shared" si="0"/>
        <v>4029</v>
      </c>
    </row>
    <row r="13" spans="1:17" s="19" customFormat="1" x14ac:dyDescent="0.25">
      <c r="A13" s="23">
        <v>42521.656192129631</v>
      </c>
      <c r="B13" s="22" t="s">
        <v>420</v>
      </c>
      <c r="C13" s="22" t="s">
        <v>319</v>
      </c>
      <c r="D13" s="22" t="s">
        <v>52</v>
      </c>
      <c r="E13" s="22" t="s">
        <v>119</v>
      </c>
      <c r="F13" s="22">
        <v>0</v>
      </c>
      <c r="G13" s="22">
        <v>59</v>
      </c>
      <c r="H13" s="22">
        <v>53498</v>
      </c>
      <c r="I13" s="22" t="s">
        <v>120</v>
      </c>
      <c r="J13" s="22">
        <v>53277</v>
      </c>
      <c r="K13" s="21" t="s">
        <v>56</v>
      </c>
      <c r="L13" s="21" t="str">
        <f>VLOOKUP(C13,'Trips&amp;Operators'!$C$1:$E$9999,3,FALSE)</f>
        <v>BONDS</v>
      </c>
      <c r="M13" s="20" t="s">
        <v>73</v>
      </c>
      <c r="N13" s="20" t="s">
        <v>437</v>
      </c>
      <c r="P13" s="80" t="str">
        <f>VLOOKUP(C13,'Train Runs'!$A$3:$W$251,20,0)</f>
        <v>Southbound</v>
      </c>
      <c r="Q13" s="19" t="str">
        <f t="shared" si="0"/>
        <v>4012</v>
      </c>
    </row>
    <row r="14" spans="1:17" s="19" customFormat="1" x14ac:dyDescent="0.25">
      <c r="A14" s="23">
        <v>42521.248692129629</v>
      </c>
      <c r="B14" s="22" t="s">
        <v>410</v>
      </c>
      <c r="C14" s="22" t="s">
        <v>189</v>
      </c>
      <c r="D14" s="22" t="s">
        <v>52</v>
      </c>
      <c r="E14" s="22" t="s">
        <v>60</v>
      </c>
      <c r="F14" s="22">
        <v>150</v>
      </c>
      <c r="G14" s="22">
        <v>207</v>
      </c>
      <c r="H14" s="22">
        <v>229374</v>
      </c>
      <c r="I14" s="22" t="s">
        <v>61</v>
      </c>
      <c r="J14" s="22">
        <v>229055</v>
      </c>
      <c r="K14" s="21" t="s">
        <v>56</v>
      </c>
      <c r="L14" s="21" t="str">
        <f>VLOOKUP(C14,'Trips&amp;Operators'!$C$1:$E$9999,3,FALSE)</f>
        <v>STRICKLAND</v>
      </c>
      <c r="M14" s="20" t="s">
        <v>73</v>
      </c>
      <c r="N14" s="21"/>
      <c r="P14" s="80" t="str">
        <f>VLOOKUP(C14,'Train Runs'!$A$3:$W$251,20,0)</f>
        <v>Southbound</v>
      </c>
      <c r="Q14" s="19" t="str">
        <f t="shared" si="0"/>
        <v>4010</v>
      </c>
    </row>
    <row r="15" spans="1:17" s="19" customFormat="1" x14ac:dyDescent="0.25">
      <c r="A15" s="23">
        <v>42521.267581018517</v>
      </c>
      <c r="B15" s="22" t="s">
        <v>414</v>
      </c>
      <c r="C15" s="22" t="s">
        <v>199</v>
      </c>
      <c r="D15" s="22" t="s">
        <v>52</v>
      </c>
      <c r="E15" s="22" t="s">
        <v>60</v>
      </c>
      <c r="F15" s="22">
        <v>150</v>
      </c>
      <c r="G15" s="22">
        <v>293</v>
      </c>
      <c r="H15" s="22">
        <v>229018</v>
      </c>
      <c r="I15" s="22" t="s">
        <v>61</v>
      </c>
      <c r="J15" s="22">
        <v>230436</v>
      </c>
      <c r="K15" s="21" t="s">
        <v>55</v>
      </c>
      <c r="L15" s="21" t="str">
        <f>VLOOKUP(C15,'Trips&amp;Operators'!$C$1:$E$9999,3,FALSE)</f>
        <v>STARKS</v>
      </c>
      <c r="M15" s="20" t="s">
        <v>73</v>
      </c>
      <c r="N15" s="21"/>
      <c r="P15" s="80" t="str">
        <f>VLOOKUP(C15,'Train Runs'!$A$3:$W$251,20,0)</f>
        <v>NorthBound</v>
      </c>
      <c r="Q15" s="19" t="str">
        <f t="shared" si="0"/>
        <v>4014</v>
      </c>
    </row>
    <row r="16" spans="1:17" s="19" customFormat="1" x14ac:dyDescent="0.25">
      <c r="A16" s="23">
        <v>42521.299224537041</v>
      </c>
      <c r="B16" s="22" t="s">
        <v>416</v>
      </c>
      <c r="C16" s="22" t="s">
        <v>203</v>
      </c>
      <c r="D16" s="22" t="s">
        <v>52</v>
      </c>
      <c r="E16" s="22" t="s">
        <v>60</v>
      </c>
      <c r="F16" s="22">
        <v>200</v>
      </c>
      <c r="G16" s="22">
        <v>201</v>
      </c>
      <c r="H16" s="22">
        <v>30702</v>
      </c>
      <c r="I16" s="22" t="s">
        <v>61</v>
      </c>
      <c r="J16" s="22">
        <v>30562</v>
      </c>
      <c r="K16" s="21" t="s">
        <v>56</v>
      </c>
      <c r="L16" s="21" t="str">
        <f>VLOOKUP(C16,'Trips&amp;Operators'!$C$1:$E$9999,3,FALSE)</f>
        <v>STARKS</v>
      </c>
      <c r="M16" s="20" t="s">
        <v>73</v>
      </c>
      <c r="N16" s="21"/>
      <c r="P16" s="80" t="str">
        <f>VLOOKUP(C16,'Train Runs'!$A$3:$W$251,20,0)</f>
        <v>Southbound</v>
      </c>
      <c r="Q16" s="19" t="str">
        <f t="shared" si="0"/>
        <v>4013</v>
      </c>
    </row>
    <row r="17" spans="1:18" s="19" customFormat="1" x14ac:dyDescent="0.25">
      <c r="A17" s="23">
        <v>42521.30804398148</v>
      </c>
      <c r="B17" s="22" t="s">
        <v>161</v>
      </c>
      <c r="C17" s="22" t="s">
        <v>209</v>
      </c>
      <c r="D17" s="22" t="s">
        <v>52</v>
      </c>
      <c r="E17" s="22" t="s">
        <v>60</v>
      </c>
      <c r="F17" s="22">
        <v>650</v>
      </c>
      <c r="G17" s="22">
        <v>784</v>
      </c>
      <c r="H17" s="22">
        <v>45812</v>
      </c>
      <c r="I17" s="22" t="s">
        <v>61</v>
      </c>
      <c r="J17" s="22">
        <v>42793</v>
      </c>
      <c r="K17" s="21" t="s">
        <v>56</v>
      </c>
      <c r="L17" s="21" t="str">
        <f>VLOOKUP(C17,'Trips&amp;Operators'!$C$1:$E$9999,3,FALSE)</f>
        <v>ROCHA</v>
      </c>
      <c r="M17" s="20" t="s">
        <v>73</v>
      </c>
      <c r="N17" s="21"/>
      <c r="P17" s="80" t="str">
        <f>VLOOKUP(C17,'Train Runs'!$A$3:$W$251,20,0)</f>
        <v>Southbound</v>
      </c>
      <c r="Q17" s="19" t="str">
        <f t="shared" si="0"/>
        <v>4043</v>
      </c>
    </row>
    <row r="18" spans="1:18" s="19" customFormat="1" x14ac:dyDescent="0.25">
      <c r="A18" s="23">
        <v>42521.359340277777</v>
      </c>
      <c r="B18" s="22" t="s">
        <v>419</v>
      </c>
      <c r="C18" s="22" t="s">
        <v>244</v>
      </c>
      <c r="D18" s="22" t="s">
        <v>52</v>
      </c>
      <c r="E18" s="22" t="s">
        <v>60</v>
      </c>
      <c r="F18" s="22">
        <v>300</v>
      </c>
      <c r="G18" s="22">
        <v>281</v>
      </c>
      <c r="H18" s="22">
        <v>20121</v>
      </c>
      <c r="I18" s="22" t="s">
        <v>61</v>
      </c>
      <c r="J18" s="22">
        <v>20338</v>
      </c>
      <c r="K18" s="21" t="s">
        <v>55</v>
      </c>
      <c r="L18" s="21" t="str">
        <f>VLOOKUP(C18,'Trips&amp;Operators'!$C$1:$E$9999,3,FALSE)</f>
        <v>STRICKLAND</v>
      </c>
      <c r="M18" s="20" t="s">
        <v>73</v>
      </c>
      <c r="N18" s="21"/>
      <c r="P18" s="80" t="str">
        <f>VLOOKUP(C18,'Train Runs'!$A$3:$W$251,20,0)</f>
        <v>NorthBound</v>
      </c>
      <c r="Q18" s="19" t="str">
        <f t="shared" si="0"/>
        <v>4009</v>
      </c>
    </row>
    <row r="19" spans="1:18" s="19" customFormat="1" x14ac:dyDescent="0.25">
      <c r="A19" s="23">
        <v>42521.409722222219</v>
      </c>
      <c r="B19" s="22" t="s">
        <v>160</v>
      </c>
      <c r="C19" s="22" t="s">
        <v>256</v>
      </c>
      <c r="D19" s="22" t="s">
        <v>52</v>
      </c>
      <c r="E19" s="22" t="s">
        <v>60</v>
      </c>
      <c r="F19" s="22">
        <v>400</v>
      </c>
      <c r="G19" s="22">
        <v>489</v>
      </c>
      <c r="H19" s="22">
        <v>115826</v>
      </c>
      <c r="I19" s="22" t="s">
        <v>61</v>
      </c>
      <c r="J19" s="22">
        <v>116838</v>
      </c>
      <c r="K19" s="21" t="s">
        <v>55</v>
      </c>
      <c r="L19" s="21" t="str">
        <f>VLOOKUP(C19,'Trips&amp;Operators'!$C$1:$E$9999,3,FALSE)</f>
        <v>ROCHA</v>
      </c>
      <c r="M19" s="20" t="s">
        <v>73</v>
      </c>
      <c r="N19" s="21"/>
      <c r="P19" s="80" t="str">
        <f>VLOOKUP(C19,'Train Runs'!$A$3:$W$251,20,0)</f>
        <v>NorthBound</v>
      </c>
      <c r="Q19" s="19" t="str">
        <f t="shared" si="0"/>
        <v>4044</v>
      </c>
    </row>
    <row r="20" spans="1:18" s="19" customFormat="1" x14ac:dyDescent="0.25">
      <c r="A20" s="23">
        <v>42521.439895833333</v>
      </c>
      <c r="B20" s="22" t="s">
        <v>161</v>
      </c>
      <c r="C20" s="22" t="s">
        <v>259</v>
      </c>
      <c r="D20" s="22" t="s">
        <v>57</v>
      </c>
      <c r="E20" s="22" t="s">
        <v>60</v>
      </c>
      <c r="F20" s="22">
        <v>600</v>
      </c>
      <c r="G20" s="22">
        <v>651</v>
      </c>
      <c r="H20" s="22">
        <v>184643</v>
      </c>
      <c r="I20" s="22" t="s">
        <v>61</v>
      </c>
      <c r="J20" s="22">
        <v>190834</v>
      </c>
      <c r="K20" s="21" t="s">
        <v>56</v>
      </c>
      <c r="L20" s="21" t="str">
        <f>VLOOKUP(C20,'Trips&amp;Operators'!$C$1:$E$9999,3,FALSE)</f>
        <v>ROCHA</v>
      </c>
      <c r="M20" s="20" t="s">
        <v>73</v>
      </c>
      <c r="N20" s="21"/>
      <c r="P20" s="80" t="str">
        <f>VLOOKUP(C20,'Train Runs'!$A$3:$W$251,20,0)</f>
        <v>Southbound</v>
      </c>
      <c r="Q20" s="19" t="str">
        <f t="shared" si="0"/>
        <v>4043</v>
      </c>
    </row>
    <row r="21" spans="1:18" s="19" customFormat="1" x14ac:dyDescent="0.25">
      <c r="A21" s="23">
        <v>42521.52611111111</v>
      </c>
      <c r="B21" s="22" t="s">
        <v>137</v>
      </c>
      <c r="C21" s="22" t="s">
        <v>289</v>
      </c>
      <c r="D21" s="22" t="s">
        <v>52</v>
      </c>
      <c r="E21" s="22" t="s">
        <v>60</v>
      </c>
      <c r="F21" s="22">
        <v>450</v>
      </c>
      <c r="G21" s="22">
        <v>461</v>
      </c>
      <c r="H21" s="22">
        <v>191394</v>
      </c>
      <c r="I21" s="22" t="s">
        <v>61</v>
      </c>
      <c r="J21" s="22">
        <v>191108</v>
      </c>
      <c r="K21" s="21" t="s">
        <v>56</v>
      </c>
      <c r="L21" s="21" t="str">
        <f>VLOOKUP(C21,'Trips&amp;Operators'!$C$1:$E$9999,3,FALSE)</f>
        <v>LOCKLEAR</v>
      </c>
      <c r="M21" s="20" t="s">
        <v>73</v>
      </c>
      <c r="N21" s="21"/>
      <c r="P21" s="80" t="str">
        <f>VLOOKUP(C21,'Train Runs'!$A$3:$W$251,20,0)</f>
        <v>Southbound</v>
      </c>
      <c r="Q21" s="19" t="str">
        <f t="shared" si="0"/>
        <v>4030</v>
      </c>
    </row>
    <row r="22" spans="1:18" s="19" customFormat="1" x14ac:dyDescent="0.25">
      <c r="A22" s="23">
        <v>42521.547500000001</v>
      </c>
      <c r="B22" s="22" t="s">
        <v>424</v>
      </c>
      <c r="C22" s="22" t="s">
        <v>299</v>
      </c>
      <c r="D22" s="22" t="s">
        <v>52</v>
      </c>
      <c r="E22" s="22" t="s">
        <v>60</v>
      </c>
      <c r="F22" s="22">
        <v>150</v>
      </c>
      <c r="G22" s="22">
        <v>138</v>
      </c>
      <c r="H22" s="22">
        <v>231621</v>
      </c>
      <c r="I22" s="22" t="s">
        <v>61</v>
      </c>
      <c r="J22" s="22">
        <v>232080</v>
      </c>
      <c r="K22" s="21" t="s">
        <v>55</v>
      </c>
      <c r="L22" s="21" t="str">
        <f>VLOOKUP(C22,'Trips&amp;Operators'!$C$1:$E$9999,3,FALSE)</f>
        <v>BONDS</v>
      </c>
      <c r="M22" s="20" t="s">
        <v>73</v>
      </c>
      <c r="N22" s="21"/>
      <c r="P22" s="80" t="str">
        <f>VLOOKUP(C22,'Train Runs'!$A$3:$W$251,20,0)</f>
        <v>NorthBound</v>
      </c>
      <c r="Q22" s="19" t="str">
        <f t="shared" si="0"/>
        <v>4011</v>
      </c>
    </row>
    <row r="23" spans="1:18" s="19" customFormat="1" x14ac:dyDescent="0.25">
      <c r="A23" s="23">
        <v>42521.819664351853</v>
      </c>
      <c r="B23" s="22" t="s">
        <v>417</v>
      </c>
      <c r="C23" s="22" t="s">
        <v>362</v>
      </c>
      <c r="D23" s="22" t="s">
        <v>52</v>
      </c>
      <c r="E23" s="22" t="s">
        <v>60</v>
      </c>
      <c r="F23" s="22">
        <v>200</v>
      </c>
      <c r="G23" s="22">
        <v>232</v>
      </c>
      <c r="H23" s="22">
        <v>30946</v>
      </c>
      <c r="I23" s="22" t="s">
        <v>61</v>
      </c>
      <c r="J23" s="22">
        <v>30562</v>
      </c>
      <c r="K23" s="21" t="s">
        <v>56</v>
      </c>
      <c r="L23" s="21" t="str">
        <f>VLOOKUP(C23,'Trips&amp;Operators'!$C$1:$E$9999,3,FALSE)</f>
        <v>ADANE</v>
      </c>
      <c r="M23" s="20" t="s">
        <v>73</v>
      </c>
      <c r="N23" s="21"/>
      <c r="P23" s="80" t="str">
        <f>VLOOKUP(C23,'Train Runs'!$A$3:$W$251,20,0)</f>
        <v>Southbound</v>
      </c>
      <c r="Q23" s="19" t="str">
        <f t="shared" si="0"/>
        <v>4008</v>
      </c>
    </row>
    <row r="24" spans="1:18" s="19" customFormat="1" x14ac:dyDescent="0.25">
      <c r="A24" s="23">
        <v>42521.187789351854</v>
      </c>
      <c r="B24" s="22" t="s">
        <v>160</v>
      </c>
      <c r="C24" s="22" t="s">
        <v>176</v>
      </c>
      <c r="D24" s="22" t="s">
        <v>52</v>
      </c>
      <c r="E24" s="22" t="s">
        <v>58</v>
      </c>
      <c r="F24" s="22">
        <v>0</v>
      </c>
      <c r="G24" s="22">
        <v>789</v>
      </c>
      <c r="H24" s="22">
        <v>78033</v>
      </c>
      <c r="I24" s="22" t="s">
        <v>59</v>
      </c>
      <c r="J24" s="22">
        <v>81738</v>
      </c>
      <c r="K24" s="21" t="s">
        <v>55</v>
      </c>
      <c r="L24" s="21" t="str">
        <f>VLOOKUP(C24,'Trips&amp;Operators'!$C$1:$E$9999,3,FALSE)</f>
        <v>ROCHA</v>
      </c>
      <c r="M24" s="20" t="s">
        <v>91</v>
      </c>
      <c r="N24" s="21" t="s">
        <v>439</v>
      </c>
      <c r="P24" s="80" t="str">
        <f>VLOOKUP(C24,'Train Runs'!$A$3:$W$251,20,0)</f>
        <v>NorthBound</v>
      </c>
      <c r="Q24" s="19" t="str">
        <f t="shared" si="0"/>
        <v>4044</v>
      </c>
    </row>
    <row r="25" spans="1:18" s="19" customFormat="1" x14ac:dyDescent="0.25">
      <c r="A25" s="23">
        <v>42521.241400462961</v>
      </c>
      <c r="B25" s="22" t="s">
        <v>82</v>
      </c>
      <c r="C25" s="22" t="s">
        <v>192</v>
      </c>
      <c r="D25" s="22" t="s">
        <v>52</v>
      </c>
      <c r="E25" s="22" t="s">
        <v>58</v>
      </c>
      <c r="F25" s="22">
        <v>0</v>
      </c>
      <c r="G25" s="22">
        <v>746</v>
      </c>
      <c r="H25" s="22">
        <v>215088</v>
      </c>
      <c r="I25" s="22" t="s">
        <v>59</v>
      </c>
      <c r="J25" s="22">
        <v>217106</v>
      </c>
      <c r="K25" s="21" t="s">
        <v>55</v>
      </c>
      <c r="L25" s="21" t="str">
        <f>VLOOKUP(C25,'Trips&amp;Operators'!$C$1:$E$9999,3,FALSE)</f>
        <v>BEAM</v>
      </c>
      <c r="M25" s="20" t="s">
        <v>73</v>
      </c>
      <c r="N25" s="21" t="s">
        <v>429</v>
      </c>
      <c r="P25" s="80" t="str">
        <f>VLOOKUP(C25,'Train Runs'!$A$3:$W$251,20,0)</f>
        <v>NorthBound</v>
      </c>
      <c r="Q25" s="19" t="str">
        <f t="shared" si="0"/>
        <v>4040</v>
      </c>
    </row>
    <row r="26" spans="1:18" s="19" customFormat="1" x14ac:dyDescent="0.25">
      <c r="A26" s="23">
        <v>42521.605995370373</v>
      </c>
      <c r="B26" s="22" t="s">
        <v>90</v>
      </c>
      <c r="C26" s="22" t="s">
        <v>313</v>
      </c>
      <c r="D26" s="22" t="s">
        <v>52</v>
      </c>
      <c r="E26" s="22" t="s">
        <v>58</v>
      </c>
      <c r="F26" s="22">
        <v>0</v>
      </c>
      <c r="G26" s="22">
        <v>418</v>
      </c>
      <c r="H26" s="22">
        <v>193945</v>
      </c>
      <c r="I26" s="22" t="s">
        <v>59</v>
      </c>
      <c r="J26" s="22">
        <v>191723</v>
      </c>
      <c r="K26" s="21" t="s">
        <v>56</v>
      </c>
      <c r="L26" s="21" t="str">
        <f>VLOOKUP(C26,'Trips&amp;Operators'!$C$1:$E$9999,3,FALSE)</f>
        <v>WEBSTER</v>
      </c>
      <c r="M26" s="20" t="s">
        <v>73</v>
      </c>
      <c r="N26" s="21" t="s">
        <v>428</v>
      </c>
      <c r="P26" s="80" t="str">
        <f>VLOOKUP(C26,'Train Runs'!$A$3:$W$251,20,0)</f>
        <v>Southbound</v>
      </c>
      <c r="Q26" s="19" t="str">
        <f t="shared" si="0"/>
        <v>4032</v>
      </c>
    </row>
    <row r="27" spans="1:18" s="19" customFormat="1" x14ac:dyDescent="0.25">
      <c r="A27" s="23">
        <v>42521.672615740739</v>
      </c>
      <c r="B27" s="22" t="s">
        <v>137</v>
      </c>
      <c r="C27" s="22" t="s">
        <v>403</v>
      </c>
      <c r="D27" s="22" t="s">
        <v>52</v>
      </c>
      <c r="E27" s="22" t="s">
        <v>58</v>
      </c>
      <c r="F27" s="22">
        <v>0</v>
      </c>
      <c r="G27" s="22">
        <v>669</v>
      </c>
      <c r="H27" s="22">
        <v>133554</v>
      </c>
      <c r="I27" s="22" t="s">
        <v>59</v>
      </c>
      <c r="J27" s="22">
        <v>133166</v>
      </c>
      <c r="K27" s="21" t="s">
        <v>56</v>
      </c>
      <c r="L27" s="21" t="str">
        <f>VLOOKUP(C27,'Trips&amp;Operators'!$C$1:$E$9999,3,FALSE)</f>
        <v>LOCKLEAR</v>
      </c>
      <c r="M27" s="20" t="s">
        <v>91</v>
      </c>
      <c r="N27" s="21" t="s">
        <v>438</v>
      </c>
      <c r="P27" s="80" t="e">
        <f>VLOOKUP(C27,'Train Runs'!$A$3:$W$251,20,0)</f>
        <v>#N/A</v>
      </c>
      <c r="Q27" s="19" t="str">
        <f t="shared" si="0"/>
        <v>4030</v>
      </c>
    </row>
    <row r="28" spans="1:18" s="19" customFormat="1" x14ac:dyDescent="0.25">
      <c r="A28" s="23">
        <v>42521.704560185186</v>
      </c>
      <c r="B28" s="22" t="s">
        <v>83</v>
      </c>
      <c r="C28" s="22" t="s">
        <v>405</v>
      </c>
      <c r="D28" s="22" t="s">
        <v>52</v>
      </c>
      <c r="E28" s="22" t="s">
        <v>58</v>
      </c>
      <c r="F28" s="22">
        <v>0</v>
      </c>
      <c r="G28" s="22">
        <v>446</v>
      </c>
      <c r="H28" s="22">
        <v>129910</v>
      </c>
      <c r="I28" s="22" t="s">
        <v>59</v>
      </c>
      <c r="J28" s="22">
        <v>127587</v>
      </c>
      <c r="K28" s="21" t="s">
        <v>56</v>
      </c>
      <c r="L28" s="21" t="str">
        <f>VLOOKUP(C28,'Trips&amp;Operators'!$C$1:$E$9999,3,FALSE)</f>
        <v>HELVIE</v>
      </c>
      <c r="M28" s="20" t="s">
        <v>91</v>
      </c>
      <c r="N28" s="21" t="s">
        <v>428</v>
      </c>
      <c r="P28" s="80" t="str">
        <f>VLOOKUP(C28,'Train Runs'!$A$3:$W$251,20,0)</f>
        <v>Southbound</v>
      </c>
      <c r="Q28" s="19" t="str">
        <f t="shared" si="0"/>
        <v>4039</v>
      </c>
    </row>
    <row r="29" spans="1:18" s="19" customFormat="1" x14ac:dyDescent="0.25">
      <c r="A29" s="23">
        <v>42521.160497685189</v>
      </c>
      <c r="B29" s="22" t="s">
        <v>419</v>
      </c>
      <c r="C29" s="22" t="s">
        <v>166</v>
      </c>
      <c r="D29" s="22" t="s">
        <v>52</v>
      </c>
      <c r="E29" s="22" t="s">
        <v>53</v>
      </c>
      <c r="F29" s="22">
        <v>0</v>
      </c>
      <c r="G29" s="22">
        <v>8</v>
      </c>
      <c r="H29" s="22">
        <v>233351</v>
      </c>
      <c r="I29" s="22" t="s">
        <v>54</v>
      </c>
      <c r="J29" s="22">
        <v>233491</v>
      </c>
      <c r="K29" s="21" t="s">
        <v>55</v>
      </c>
      <c r="L29" s="21" t="str">
        <f>VLOOKUP(C29,'Trips&amp;Operators'!$C$1:$E$9999,3,FALSE)</f>
        <v>BEAM</v>
      </c>
      <c r="M29" s="20" t="s">
        <v>73</v>
      </c>
      <c r="N29" s="21"/>
      <c r="P29" s="80" t="str">
        <f>VLOOKUP(C29,'Train Runs'!$A$3:$W$251,20,0)</f>
        <v>NorthBound</v>
      </c>
      <c r="Q29" s="19" t="str">
        <f t="shared" si="0"/>
        <v>4009</v>
      </c>
      <c r="R29" s="83"/>
    </row>
    <row r="30" spans="1:18" s="19" customFormat="1" x14ac:dyDescent="0.25">
      <c r="A30" s="23">
        <v>42521.221828703703</v>
      </c>
      <c r="B30" s="22" t="s">
        <v>416</v>
      </c>
      <c r="C30" s="22" t="s">
        <v>173</v>
      </c>
      <c r="D30" s="22" t="s">
        <v>52</v>
      </c>
      <c r="E30" s="22" t="s">
        <v>53</v>
      </c>
      <c r="F30" s="22">
        <v>0</v>
      </c>
      <c r="G30" s="22">
        <v>49</v>
      </c>
      <c r="H30" s="22">
        <v>247</v>
      </c>
      <c r="I30" s="22" t="s">
        <v>54</v>
      </c>
      <c r="J30" s="22">
        <v>1</v>
      </c>
      <c r="K30" s="21" t="s">
        <v>56</v>
      </c>
      <c r="L30" s="21" t="str">
        <f>VLOOKUP(C30,'Trips&amp;Operators'!$C$1:$E$9999,3,FALSE)</f>
        <v>STARKS</v>
      </c>
      <c r="M30" s="20" t="s">
        <v>73</v>
      </c>
      <c r="N30" s="21"/>
      <c r="P30" s="80" t="str">
        <f>VLOOKUP(C30,'Train Runs'!$A$3:$W$251,20,0)</f>
        <v>Southbound</v>
      </c>
      <c r="Q30" s="19" t="str">
        <f t="shared" si="0"/>
        <v>4013</v>
      </c>
    </row>
    <row r="31" spans="1:18" s="19" customFormat="1" x14ac:dyDescent="0.25">
      <c r="A31" s="23">
        <v>42521.269004629627</v>
      </c>
      <c r="B31" s="22" t="s">
        <v>414</v>
      </c>
      <c r="C31" s="22" t="s">
        <v>199</v>
      </c>
      <c r="D31" s="22" t="s">
        <v>52</v>
      </c>
      <c r="E31" s="22" t="s">
        <v>53</v>
      </c>
      <c r="F31" s="22">
        <v>0</v>
      </c>
      <c r="G31" s="22">
        <v>36</v>
      </c>
      <c r="H31" s="22">
        <v>233383</v>
      </c>
      <c r="I31" s="22" t="s">
        <v>54</v>
      </c>
      <c r="J31" s="22">
        <v>233491</v>
      </c>
      <c r="K31" s="21" t="s">
        <v>55</v>
      </c>
      <c r="L31" s="21" t="str">
        <f>VLOOKUP(C31,'Trips&amp;Operators'!$C$1:$E$9999,3,FALSE)</f>
        <v>STARKS</v>
      </c>
      <c r="M31" s="20" t="s">
        <v>73</v>
      </c>
      <c r="N31" s="21"/>
      <c r="P31" s="80" t="str">
        <f>VLOOKUP(C31,'Train Runs'!$A$3:$W$251,20,0)</f>
        <v>NorthBound</v>
      </c>
      <c r="Q31" s="19" t="str">
        <f t="shared" si="0"/>
        <v>4014</v>
      </c>
    </row>
    <row r="32" spans="1:18" s="19" customFormat="1" x14ac:dyDescent="0.25">
      <c r="A32" s="23">
        <v>42521.306979166664</v>
      </c>
      <c r="B32" s="22" t="s">
        <v>419</v>
      </c>
      <c r="C32" s="22" t="s">
        <v>219</v>
      </c>
      <c r="D32" s="22" t="s">
        <v>52</v>
      </c>
      <c r="E32" s="22" t="s">
        <v>53</v>
      </c>
      <c r="F32" s="22">
        <v>0</v>
      </c>
      <c r="G32" s="22">
        <v>6</v>
      </c>
      <c r="H32" s="22">
        <v>233332</v>
      </c>
      <c r="I32" s="22" t="s">
        <v>54</v>
      </c>
      <c r="J32" s="22">
        <v>233491</v>
      </c>
      <c r="K32" s="21" t="s">
        <v>55</v>
      </c>
      <c r="L32" s="21" t="str">
        <f>VLOOKUP(C32,'Trips&amp;Operators'!$C$1:$E$9999,3,FALSE)</f>
        <v>STRICKLAND</v>
      </c>
      <c r="M32" s="20" t="s">
        <v>73</v>
      </c>
      <c r="N32" s="21"/>
      <c r="P32" s="80" t="str">
        <f>VLOOKUP(C32,'Train Runs'!$A$3:$W$251,20,0)</f>
        <v>NorthBound</v>
      </c>
      <c r="Q32" s="19" t="str">
        <f t="shared" si="0"/>
        <v>4009</v>
      </c>
    </row>
    <row r="33" spans="1:17" s="19" customFormat="1" x14ac:dyDescent="0.25">
      <c r="A33" s="23">
        <v>42521.348229166666</v>
      </c>
      <c r="B33" s="22" t="s">
        <v>410</v>
      </c>
      <c r="C33" s="22" t="s">
        <v>220</v>
      </c>
      <c r="D33" s="22" t="s">
        <v>52</v>
      </c>
      <c r="E33" s="22" t="s">
        <v>53</v>
      </c>
      <c r="F33" s="22">
        <v>0</v>
      </c>
      <c r="G33" s="22">
        <v>7</v>
      </c>
      <c r="H33" s="22">
        <v>121</v>
      </c>
      <c r="I33" s="22" t="s">
        <v>54</v>
      </c>
      <c r="J33" s="22">
        <v>1</v>
      </c>
      <c r="K33" s="21" t="s">
        <v>56</v>
      </c>
      <c r="L33" s="21" t="str">
        <f>VLOOKUP(C33,'Trips&amp;Operators'!$C$1:$E$9999,3,FALSE)</f>
        <v>STRICKLAND</v>
      </c>
      <c r="M33" s="20" t="s">
        <v>73</v>
      </c>
      <c r="N33" s="21"/>
      <c r="P33" s="80" t="str">
        <f>VLOOKUP(C33,'Train Runs'!$A$3:$W$251,20,0)</f>
        <v>Southbound</v>
      </c>
      <c r="Q33" s="19" t="str">
        <f t="shared" si="0"/>
        <v>4010</v>
      </c>
    </row>
    <row r="34" spans="1:17" s="19" customFormat="1" x14ac:dyDescent="0.25">
      <c r="A34" s="23">
        <v>42521.389421296299</v>
      </c>
      <c r="B34" s="22" t="s">
        <v>82</v>
      </c>
      <c r="C34" s="22" t="s">
        <v>246</v>
      </c>
      <c r="D34" s="22" t="s">
        <v>52</v>
      </c>
      <c r="E34" s="22" t="s">
        <v>53</v>
      </c>
      <c r="F34" s="22">
        <v>0</v>
      </c>
      <c r="G34" s="22">
        <v>6</v>
      </c>
      <c r="H34" s="22">
        <v>233331</v>
      </c>
      <c r="I34" s="22" t="s">
        <v>54</v>
      </c>
      <c r="J34" s="22">
        <v>233491</v>
      </c>
      <c r="K34" s="21" t="s">
        <v>55</v>
      </c>
      <c r="L34" s="21" t="str">
        <f>VLOOKUP(C34,'Trips&amp;Operators'!$C$1:$E$9999,3,FALSE)</f>
        <v>BEAM</v>
      </c>
      <c r="M34" s="20" t="s">
        <v>73</v>
      </c>
      <c r="N34" s="21"/>
      <c r="P34" s="80" t="str">
        <f>VLOOKUP(C34,'Train Runs'!$A$3:$W$251,20,0)</f>
        <v>NorthBound</v>
      </c>
      <c r="Q34" s="19" t="str">
        <f t="shared" si="0"/>
        <v>4040</v>
      </c>
    </row>
    <row r="35" spans="1:17" s="19" customFormat="1" x14ac:dyDescent="0.25">
      <c r="A35" s="23">
        <v>42521.408622685187</v>
      </c>
      <c r="B35" s="22" t="s">
        <v>90</v>
      </c>
      <c r="C35" s="22" t="s">
        <v>243</v>
      </c>
      <c r="D35" s="22" t="s">
        <v>52</v>
      </c>
      <c r="E35" s="22" t="s">
        <v>53</v>
      </c>
      <c r="F35" s="22">
        <v>0</v>
      </c>
      <c r="G35" s="22">
        <v>9</v>
      </c>
      <c r="H35" s="22">
        <v>127</v>
      </c>
      <c r="I35" s="22" t="s">
        <v>54</v>
      </c>
      <c r="J35" s="22">
        <v>1</v>
      </c>
      <c r="K35" s="21" t="s">
        <v>56</v>
      </c>
      <c r="L35" s="21" t="str">
        <f>VLOOKUP(C35,'Trips&amp;Operators'!$C$1:$E$9999,3,FALSE)</f>
        <v>ACKERMAN</v>
      </c>
      <c r="M35" s="20" t="s">
        <v>73</v>
      </c>
      <c r="N35" s="21"/>
      <c r="P35" s="80" t="str">
        <f>VLOOKUP(C35,'Train Runs'!$A$3:$W$251,20,0)</f>
        <v>Southbound</v>
      </c>
      <c r="Q35" s="19" t="str">
        <f t="shared" si="0"/>
        <v>4032</v>
      </c>
    </row>
    <row r="36" spans="1:17" s="19" customFormat="1" x14ac:dyDescent="0.25">
      <c r="A36" s="23">
        <v>42521.410381944443</v>
      </c>
      <c r="B36" s="22" t="s">
        <v>414</v>
      </c>
      <c r="C36" s="22" t="s">
        <v>251</v>
      </c>
      <c r="D36" s="22" t="s">
        <v>52</v>
      </c>
      <c r="E36" s="22" t="s">
        <v>53</v>
      </c>
      <c r="F36" s="22">
        <v>0</v>
      </c>
      <c r="G36" s="22">
        <v>39</v>
      </c>
      <c r="H36" s="22">
        <v>233372</v>
      </c>
      <c r="I36" s="22" t="s">
        <v>54</v>
      </c>
      <c r="J36" s="22">
        <v>233491</v>
      </c>
      <c r="K36" s="21" t="s">
        <v>55</v>
      </c>
      <c r="L36" s="21" t="str">
        <f>VLOOKUP(C36,'Trips&amp;Operators'!$C$1:$E$9999,3,FALSE)</f>
        <v>STARKS</v>
      </c>
      <c r="M36" s="20" t="s">
        <v>73</v>
      </c>
      <c r="N36" s="21"/>
      <c r="P36" s="80" t="str">
        <f>VLOOKUP(C36,'Train Runs'!$A$3:$W$251,20,0)</f>
        <v>NorthBound</v>
      </c>
      <c r="Q36" s="19" t="str">
        <f t="shared" si="0"/>
        <v>4014</v>
      </c>
    </row>
    <row r="37" spans="1:17" s="19" customFormat="1" x14ac:dyDescent="0.25">
      <c r="A37" s="23">
        <v>42521.420497685183</v>
      </c>
      <c r="B37" s="22" t="s">
        <v>160</v>
      </c>
      <c r="C37" s="22" t="s">
        <v>256</v>
      </c>
      <c r="D37" s="22" t="s">
        <v>52</v>
      </c>
      <c r="E37" s="22" t="s">
        <v>53</v>
      </c>
      <c r="F37" s="22">
        <v>0</v>
      </c>
      <c r="G37" s="22">
        <v>5</v>
      </c>
      <c r="H37" s="22">
        <v>233385</v>
      </c>
      <c r="I37" s="22" t="s">
        <v>54</v>
      </c>
      <c r="J37" s="22">
        <v>233491</v>
      </c>
      <c r="K37" s="21" t="s">
        <v>55</v>
      </c>
      <c r="L37" s="21" t="str">
        <f>VLOOKUP(C37,'Trips&amp;Operators'!$C$1:$E$9999,3,FALSE)</f>
        <v>ROCHA</v>
      </c>
      <c r="M37" s="20" t="s">
        <v>73</v>
      </c>
      <c r="N37" s="21"/>
      <c r="P37" s="80" t="str">
        <f>VLOOKUP(C37,'Train Runs'!$A$3:$W$251,20,0)</f>
        <v>NorthBound</v>
      </c>
      <c r="Q37" s="19" t="str">
        <f t="shared" si="0"/>
        <v>4044</v>
      </c>
    </row>
    <row r="38" spans="1:17" s="19" customFormat="1" x14ac:dyDescent="0.25">
      <c r="A38" s="23">
        <v>42521.429375</v>
      </c>
      <c r="B38" s="22" t="s">
        <v>83</v>
      </c>
      <c r="C38" s="22" t="s">
        <v>248</v>
      </c>
      <c r="D38" s="22" t="s">
        <v>52</v>
      </c>
      <c r="E38" s="22" t="s">
        <v>53</v>
      </c>
      <c r="F38" s="22">
        <v>0</v>
      </c>
      <c r="G38" s="22">
        <v>47</v>
      </c>
      <c r="H38" s="22">
        <v>160</v>
      </c>
      <c r="I38" s="22" t="s">
        <v>54</v>
      </c>
      <c r="J38" s="22">
        <v>1</v>
      </c>
      <c r="K38" s="21" t="s">
        <v>56</v>
      </c>
      <c r="L38" s="21" t="str">
        <f>VLOOKUP(C38,'Trips&amp;Operators'!$C$1:$E$9999,3,FALSE)</f>
        <v>BEAM</v>
      </c>
      <c r="M38" s="20" t="s">
        <v>73</v>
      </c>
      <c r="N38" s="21"/>
      <c r="P38" s="80" t="str">
        <f>VLOOKUP(C38,'Train Runs'!$A$3:$W$251,20,0)</f>
        <v>Southbound</v>
      </c>
      <c r="Q38" s="19" t="str">
        <f t="shared" si="0"/>
        <v>4039</v>
      </c>
    </row>
    <row r="39" spans="1:17" s="19" customFormat="1" x14ac:dyDescent="0.25">
      <c r="A39" s="23">
        <v>42521.451238425929</v>
      </c>
      <c r="B39" s="22" t="s">
        <v>416</v>
      </c>
      <c r="C39" s="22" t="s">
        <v>254</v>
      </c>
      <c r="D39" s="22" t="s">
        <v>52</v>
      </c>
      <c r="E39" s="22" t="s">
        <v>53</v>
      </c>
      <c r="F39" s="22">
        <v>0</v>
      </c>
      <c r="G39" s="22">
        <v>34</v>
      </c>
      <c r="H39" s="22">
        <v>161</v>
      </c>
      <c r="I39" s="22" t="s">
        <v>54</v>
      </c>
      <c r="J39" s="22">
        <v>1</v>
      </c>
      <c r="K39" s="21" t="s">
        <v>56</v>
      </c>
      <c r="L39" s="21" t="str">
        <f>VLOOKUP(C39,'Trips&amp;Operators'!$C$1:$E$9999,3,FALSE)</f>
        <v>STARKS</v>
      </c>
      <c r="M39" s="20" t="s">
        <v>73</v>
      </c>
      <c r="N39" s="21"/>
      <c r="P39" s="80" t="str">
        <f>VLOOKUP(C39,'Train Runs'!$A$3:$W$251,20,0)</f>
        <v>Southbound</v>
      </c>
      <c r="Q39" s="19" t="str">
        <f t="shared" si="0"/>
        <v>4013</v>
      </c>
    </row>
    <row r="40" spans="1:17" s="19" customFormat="1" x14ac:dyDescent="0.25">
      <c r="A40" s="23">
        <v>42521.513356481482</v>
      </c>
      <c r="B40" s="22" t="s">
        <v>420</v>
      </c>
      <c r="C40" s="22" t="s">
        <v>274</v>
      </c>
      <c r="D40" s="22" t="s">
        <v>52</v>
      </c>
      <c r="E40" s="22" t="s">
        <v>53</v>
      </c>
      <c r="F40" s="22">
        <v>0</v>
      </c>
      <c r="G40" s="22">
        <v>35</v>
      </c>
      <c r="H40" s="22">
        <v>112</v>
      </c>
      <c r="I40" s="22" t="s">
        <v>54</v>
      </c>
      <c r="J40" s="22">
        <v>1</v>
      </c>
      <c r="K40" s="21" t="s">
        <v>56</v>
      </c>
      <c r="L40" s="21" t="str">
        <f>VLOOKUP(C40,'Trips&amp;Operators'!$C$1:$E$9999,3,FALSE)</f>
        <v>BONDS</v>
      </c>
      <c r="M40" s="20" t="s">
        <v>73</v>
      </c>
      <c r="N40" s="21"/>
      <c r="P40" s="80" t="str">
        <f>VLOOKUP(C40,'Train Runs'!$A$3:$W$251,20,0)</f>
        <v>Southbound</v>
      </c>
      <c r="Q40" s="19" t="str">
        <f t="shared" si="0"/>
        <v>4012</v>
      </c>
    </row>
    <row r="41" spans="1:17" s="19" customFormat="1" x14ac:dyDescent="0.25">
      <c r="A41" s="23">
        <v>42521.579942129632</v>
      </c>
      <c r="B41" s="22" t="s">
        <v>136</v>
      </c>
      <c r="C41" s="22" t="s">
        <v>307</v>
      </c>
      <c r="D41" s="22" t="s">
        <v>52</v>
      </c>
      <c r="E41" s="22" t="s">
        <v>53</v>
      </c>
      <c r="F41" s="22">
        <v>0</v>
      </c>
      <c r="G41" s="22">
        <v>81</v>
      </c>
      <c r="H41" s="22">
        <v>233166</v>
      </c>
      <c r="I41" s="22" t="s">
        <v>54</v>
      </c>
      <c r="J41" s="22">
        <v>233491</v>
      </c>
      <c r="K41" s="21" t="s">
        <v>55</v>
      </c>
      <c r="L41" s="21" t="str">
        <f>VLOOKUP(C41,'Trips&amp;Operators'!$C$1:$E$9999,3,FALSE)</f>
        <v>LOCKLEAR</v>
      </c>
      <c r="M41" s="20" t="s">
        <v>73</v>
      </c>
      <c r="N41" s="21"/>
      <c r="P41" s="80" t="str">
        <f>VLOOKUP(C41,'Train Runs'!$A$3:$W$251,20,0)</f>
        <v>NorthBound</v>
      </c>
      <c r="Q41" s="19" t="str">
        <f t="shared" si="0"/>
        <v>4029</v>
      </c>
    </row>
    <row r="42" spans="1:17" s="19" customFormat="1" x14ac:dyDescent="0.25">
      <c r="A42" s="23">
        <v>42521.590509259258</v>
      </c>
      <c r="B42" s="22" t="s">
        <v>85</v>
      </c>
      <c r="C42" s="22" t="s">
        <v>311</v>
      </c>
      <c r="D42" s="22" t="s">
        <v>52</v>
      </c>
      <c r="E42" s="22" t="s">
        <v>53</v>
      </c>
      <c r="F42" s="22">
        <v>0</v>
      </c>
      <c r="G42" s="22">
        <v>5</v>
      </c>
      <c r="H42" s="22">
        <v>233324</v>
      </c>
      <c r="I42" s="22" t="s">
        <v>54</v>
      </c>
      <c r="J42" s="22">
        <v>233491</v>
      </c>
      <c r="K42" s="21" t="s">
        <v>55</v>
      </c>
      <c r="L42" s="21" t="str">
        <f>VLOOKUP(C42,'Trips&amp;Operators'!$C$1:$E$9999,3,FALSE)</f>
        <v>WEBSTER</v>
      </c>
      <c r="M42" s="20" t="s">
        <v>73</v>
      </c>
      <c r="N42" s="21"/>
      <c r="P42" s="80" t="str">
        <f>VLOOKUP(C42,'Train Runs'!$A$3:$W$251,20,0)</f>
        <v>NorthBound</v>
      </c>
      <c r="Q42" s="19" t="str">
        <f t="shared" si="0"/>
        <v>4031</v>
      </c>
    </row>
    <row r="43" spans="1:17" s="19" customFormat="1" x14ac:dyDescent="0.25">
      <c r="A43" s="23">
        <v>42521.64702546296</v>
      </c>
      <c r="B43" s="22" t="s">
        <v>410</v>
      </c>
      <c r="C43" s="22" t="s">
        <v>314</v>
      </c>
      <c r="D43" s="22" t="s">
        <v>52</v>
      </c>
      <c r="E43" s="22" t="s">
        <v>53</v>
      </c>
      <c r="F43" s="22">
        <v>0</v>
      </c>
      <c r="G43" s="22">
        <v>8</v>
      </c>
      <c r="H43" s="22">
        <v>116</v>
      </c>
      <c r="I43" s="22" t="s">
        <v>54</v>
      </c>
      <c r="J43" s="22">
        <v>1</v>
      </c>
      <c r="K43" s="21" t="s">
        <v>56</v>
      </c>
      <c r="L43" s="21" t="str">
        <f>VLOOKUP(C43,'Trips&amp;Operators'!$C$1:$E$9999,3,FALSE)</f>
        <v>RIVERA</v>
      </c>
      <c r="M43" s="20" t="s">
        <v>73</v>
      </c>
      <c r="N43" s="21"/>
      <c r="P43" s="80" t="str">
        <f>VLOOKUP(C43,'Train Runs'!$A$3:$W$251,20,0)</f>
        <v>Southbound</v>
      </c>
      <c r="Q43" s="19" t="str">
        <f t="shared" si="0"/>
        <v>4010</v>
      </c>
    </row>
    <row r="44" spans="1:17" s="19" customFormat="1" x14ac:dyDescent="0.25">
      <c r="A44" s="23">
        <v>42521.657939814817</v>
      </c>
      <c r="B44" s="22" t="s">
        <v>136</v>
      </c>
      <c r="C44" s="22" t="s">
        <v>328</v>
      </c>
      <c r="D44" s="22" t="s">
        <v>52</v>
      </c>
      <c r="E44" s="22" t="s">
        <v>53</v>
      </c>
      <c r="F44" s="22">
        <v>0</v>
      </c>
      <c r="G44" s="22">
        <v>63</v>
      </c>
      <c r="H44" s="22">
        <v>233240</v>
      </c>
      <c r="I44" s="22" t="s">
        <v>54</v>
      </c>
      <c r="J44" s="22">
        <v>233491</v>
      </c>
      <c r="K44" s="21" t="s">
        <v>55</v>
      </c>
      <c r="L44" s="21" t="str">
        <f>VLOOKUP(C44,'Trips&amp;Operators'!$C$1:$E$9999,3,FALSE)</f>
        <v>LOCKLEAR</v>
      </c>
      <c r="M44" s="20" t="s">
        <v>73</v>
      </c>
      <c r="N44" s="21"/>
      <c r="P44" s="80" t="str">
        <f>VLOOKUP(C44,'Train Runs'!$A$3:$W$251,20,0)</f>
        <v>NorthBound</v>
      </c>
      <c r="Q44" s="19" t="str">
        <f t="shared" si="0"/>
        <v>4029</v>
      </c>
    </row>
    <row r="45" spans="1:17" s="19" customFormat="1" x14ac:dyDescent="0.25">
      <c r="A45" s="23">
        <v>42521.664085648146</v>
      </c>
      <c r="B45" s="22" t="s">
        <v>85</v>
      </c>
      <c r="C45" s="22" t="s">
        <v>330</v>
      </c>
      <c r="D45" s="22" t="s">
        <v>52</v>
      </c>
      <c r="E45" s="22" t="s">
        <v>53</v>
      </c>
      <c r="F45" s="22">
        <v>0</v>
      </c>
      <c r="G45" s="22">
        <v>5</v>
      </c>
      <c r="H45" s="22">
        <v>233329</v>
      </c>
      <c r="I45" s="22" t="s">
        <v>54</v>
      </c>
      <c r="J45" s="22">
        <v>233491</v>
      </c>
      <c r="K45" s="21" t="s">
        <v>55</v>
      </c>
      <c r="L45" s="21" t="str">
        <f>VLOOKUP(C45,'Trips&amp;Operators'!$C$1:$E$9999,3,FALSE)</f>
        <v>WEBSTER</v>
      </c>
      <c r="M45" s="20" t="s">
        <v>73</v>
      </c>
      <c r="N45" s="21"/>
      <c r="P45" s="80" t="str">
        <f>VLOOKUP(C45,'Train Runs'!$A$3:$W$251,20,0)</f>
        <v>NorthBound</v>
      </c>
      <c r="Q45" s="19" t="str">
        <f t="shared" si="0"/>
        <v>4031</v>
      </c>
    </row>
    <row r="46" spans="1:17" s="19" customFormat="1" x14ac:dyDescent="0.25">
      <c r="A46" s="23">
        <v>42521.71361111111</v>
      </c>
      <c r="B46" s="22" t="s">
        <v>426</v>
      </c>
      <c r="C46" s="22" t="s">
        <v>340</v>
      </c>
      <c r="D46" s="22" t="s">
        <v>52</v>
      </c>
      <c r="E46" s="22" t="s">
        <v>53</v>
      </c>
      <c r="F46" s="22">
        <v>0</v>
      </c>
      <c r="G46" s="22">
        <v>38</v>
      </c>
      <c r="H46" s="22">
        <v>233345</v>
      </c>
      <c r="I46" s="22" t="s">
        <v>54</v>
      </c>
      <c r="J46" s="22">
        <v>233491</v>
      </c>
      <c r="K46" s="21" t="s">
        <v>55</v>
      </c>
      <c r="L46" s="21" t="str">
        <f>VLOOKUP(C46,'Trips&amp;Operators'!$C$1:$E$9999,3,FALSE)</f>
        <v>LOZA</v>
      </c>
      <c r="M46" s="20" t="s">
        <v>73</v>
      </c>
      <c r="N46" s="21"/>
      <c r="P46" s="80" t="str">
        <f>VLOOKUP(C46,'Train Runs'!$A$3:$W$251,20,0)</f>
        <v>NorthBound</v>
      </c>
      <c r="Q46" s="19" t="str">
        <f t="shared" si="0"/>
        <v>4007</v>
      </c>
    </row>
    <row r="47" spans="1:17" s="19" customFormat="1" x14ac:dyDescent="0.25">
      <c r="A47" s="23">
        <v>42521.722916666666</v>
      </c>
      <c r="B47" s="22" t="s">
        <v>136</v>
      </c>
      <c r="C47" s="22" t="s">
        <v>407</v>
      </c>
      <c r="D47" s="22" t="s">
        <v>52</v>
      </c>
      <c r="E47" s="22" t="s">
        <v>53</v>
      </c>
      <c r="F47" s="22">
        <v>0</v>
      </c>
      <c r="G47" s="22">
        <v>19</v>
      </c>
      <c r="H47" s="22">
        <v>233465</v>
      </c>
      <c r="I47" s="22" t="s">
        <v>54</v>
      </c>
      <c r="J47" s="22">
        <v>233491</v>
      </c>
      <c r="K47" s="21" t="s">
        <v>55</v>
      </c>
      <c r="L47" s="21" t="e">
        <f>VLOOKUP(C47,'Trips&amp;Operators'!$C$1:$E$9999,3,FALSE)</f>
        <v>#N/A</v>
      </c>
      <c r="M47" s="20" t="s">
        <v>73</v>
      </c>
      <c r="N47" s="21"/>
      <c r="P47" s="80" t="e">
        <f>VLOOKUP(C47,'Train Runs'!$A$3:$W$251,20,0)</f>
        <v>#N/A</v>
      </c>
      <c r="Q47" s="19" t="str">
        <f t="shared" si="0"/>
        <v>4029</v>
      </c>
    </row>
    <row r="48" spans="1:17" s="19" customFormat="1" x14ac:dyDescent="0.25">
      <c r="A48" s="23">
        <v>42521.732511574075</v>
      </c>
      <c r="B48" s="22" t="s">
        <v>420</v>
      </c>
      <c r="C48" s="22" t="s">
        <v>336</v>
      </c>
      <c r="D48" s="22" t="s">
        <v>52</v>
      </c>
      <c r="E48" s="22" t="s">
        <v>53</v>
      </c>
      <c r="F48" s="22">
        <v>0</v>
      </c>
      <c r="G48" s="22">
        <v>46</v>
      </c>
      <c r="H48" s="22">
        <v>156</v>
      </c>
      <c r="I48" s="22" t="s">
        <v>54</v>
      </c>
      <c r="J48" s="22">
        <v>1</v>
      </c>
      <c r="K48" s="21" t="s">
        <v>56</v>
      </c>
      <c r="L48" s="21" t="str">
        <f>VLOOKUP(C48,'Trips&amp;Operators'!$C$1:$E$9999,3,FALSE)</f>
        <v>BONDS</v>
      </c>
      <c r="M48" s="20" t="s">
        <v>73</v>
      </c>
      <c r="N48" s="21"/>
      <c r="P48" s="80" t="str">
        <f>VLOOKUP(C48,'Train Runs'!$A$3:$W$251,20,0)</f>
        <v>Southbound</v>
      </c>
      <c r="Q48" s="19" t="str">
        <f t="shared" si="0"/>
        <v>4012</v>
      </c>
    </row>
    <row r="49" spans="1:17" s="19" customFormat="1" x14ac:dyDescent="0.25">
      <c r="A49" s="23">
        <v>42521.762303240743</v>
      </c>
      <c r="B49" s="22" t="s">
        <v>137</v>
      </c>
      <c r="C49" s="22" t="s">
        <v>345</v>
      </c>
      <c r="D49" s="22" t="s">
        <v>52</v>
      </c>
      <c r="E49" s="22" t="s">
        <v>53</v>
      </c>
      <c r="F49" s="22">
        <v>0</v>
      </c>
      <c r="G49" s="22">
        <v>80</v>
      </c>
      <c r="H49" s="22">
        <v>263</v>
      </c>
      <c r="I49" s="22" t="s">
        <v>54</v>
      </c>
      <c r="J49" s="22">
        <v>1</v>
      </c>
      <c r="K49" s="21" t="s">
        <v>56</v>
      </c>
      <c r="L49" s="21" t="str">
        <f>VLOOKUP(C49,'Trips&amp;Operators'!$C$1:$E$9999,3,FALSE)</f>
        <v>LOCKLEAR</v>
      </c>
      <c r="M49" s="20" t="s">
        <v>73</v>
      </c>
      <c r="N49" s="21"/>
      <c r="P49" s="80" t="str">
        <f>VLOOKUP(C49,'Train Runs'!$A$3:$W$251,20,0)</f>
        <v>Southbound</v>
      </c>
      <c r="Q49" s="19" t="str">
        <f t="shared" si="0"/>
        <v>4030</v>
      </c>
    </row>
    <row r="50" spans="1:17" s="19" customFormat="1" x14ac:dyDescent="0.25">
      <c r="A50" s="23">
        <v>42521.794016203705</v>
      </c>
      <c r="B50" s="22" t="s">
        <v>83</v>
      </c>
      <c r="C50" s="22" t="s">
        <v>355</v>
      </c>
      <c r="D50" s="22" t="s">
        <v>52</v>
      </c>
      <c r="E50" s="22" t="s">
        <v>53</v>
      </c>
      <c r="F50" s="22">
        <v>0</v>
      </c>
      <c r="G50" s="22">
        <v>6</v>
      </c>
      <c r="H50" s="22">
        <v>125</v>
      </c>
      <c r="I50" s="22" t="s">
        <v>54</v>
      </c>
      <c r="J50" s="22">
        <v>1</v>
      </c>
      <c r="K50" s="21" t="s">
        <v>56</v>
      </c>
      <c r="L50" s="21" t="str">
        <f>VLOOKUP(C50,'Trips&amp;Operators'!$C$1:$E$9999,3,FALSE)</f>
        <v>HELVIE</v>
      </c>
      <c r="M50" s="20" t="s">
        <v>73</v>
      </c>
      <c r="N50" s="21"/>
      <c r="P50" s="80" t="str">
        <f>VLOOKUP(C50,'Train Runs'!$A$3:$W$251,20,0)</f>
        <v>Southbound</v>
      </c>
      <c r="Q50" s="19" t="str">
        <f t="shared" si="0"/>
        <v>4039</v>
      </c>
    </row>
    <row r="51" spans="1:17" s="19" customFormat="1" x14ac:dyDescent="0.25">
      <c r="A51" s="23">
        <v>42521.814826388887</v>
      </c>
      <c r="B51" s="22" t="s">
        <v>416</v>
      </c>
      <c r="C51" s="22" t="s">
        <v>359</v>
      </c>
      <c r="D51" s="22" t="s">
        <v>52</v>
      </c>
      <c r="E51" s="22" t="s">
        <v>53</v>
      </c>
      <c r="F51" s="22">
        <v>0</v>
      </c>
      <c r="G51" s="22">
        <v>49</v>
      </c>
      <c r="H51" s="22">
        <v>167</v>
      </c>
      <c r="I51" s="22" t="s">
        <v>54</v>
      </c>
      <c r="J51" s="22">
        <v>1</v>
      </c>
      <c r="K51" s="21" t="s">
        <v>56</v>
      </c>
      <c r="L51" s="21" t="str">
        <f>VLOOKUP(C51,'Trips&amp;Operators'!$C$1:$E$9999,3,FALSE)</f>
        <v>REBOLETTI</v>
      </c>
      <c r="M51" s="20" t="s">
        <v>73</v>
      </c>
      <c r="N51" s="21"/>
      <c r="P51" s="80" t="str">
        <f>VLOOKUP(C51,'Train Runs'!$A$3:$W$251,20,0)</f>
        <v>Southbound</v>
      </c>
      <c r="Q51" s="19" t="str">
        <f t="shared" si="0"/>
        <v>4013</v>
      </c>
    </row>
    <row r="52" spans="1:17" s="19" customFormat="1" x14ac:dyDescent="0.25">
      <c r="A52" s="23">
        <v>42521.837314814817</v>
      </c>
      <c r="B52" s="22" t="s">
        <v>424</v>
      </c>
      <c r="C52" s="22" t="s">
        <v>369</v>
      </c>
      <c r="D52" s="22" t="s">
        <v>52</v>
      </c>
      <c r="E52" s="22" t="s">
        <v>53</v>
      </c>
      <c r="F52" s="22">
        <v>0</v>
      </c>
      <c r="G52" s="22">
        <v>9</v>
      </c>
      <c r="H52" s="22">
        <v>233331</v>
      </c>
      <c r="I52" s="22" t="s">
        <v>54</v>
      </c>
      <c r="J52" s="22">
        <v>233491</v>
      </c>
      <c r="K52" s="21" t="s">
        <v>55</v>
      </c>
      <c r="L52" s="21" t="str">
        <f>VLOOKUP(C52,'Trips&amp;Operators'!$C$1:$E$9999,3,FALSE)</f>
        <v>GRASTON</v>
      </c>
      <c r="M52" s="20" t="s">
        <v>73</v>
      </c>
      <c r="N52" s="21"/>
      <c r="P52" s="80" t="str">
        <f>VLOOKUP(C52,'Train Runs'!$A$3:$W$251,20,0)</f>
        <v>NorthBound</v>
      </c>
      <c r="Q52" s="19" t="str">
        <f t="shared" si="0"/>
        <v>4011</v>
      </c>
    </row>
    <row r="53" spans="1:17" s="19" customFormat="1" ht="15.75" thickBot="1" x14ac:dyDescent="0.3">
      <c r="A53" s="41"/>
      <c r="B53" s="42"/>
      <c r="C53" s="42"/>
      <c r="D53" s="42"/>
      <c r="E53" s="42"/>
      <c r="F53" s="42"/>
      <c r="G53" s="42"/>
      <c r="H53" s="42"/>
      <c r="I53" s="42"/>
      <c r="J53" s="42"/>
      <c r="K53" s="43"/>
      <c r="L53" s="43"/>
      <c r="M53" s="44"/>
      <c r="N53" s="43"/>
      <c r="P53" s="80"/>
    </row>
    <row r="54" spans="1:17" ht="30" x14ac:dyDescent="0.25">
      <c r="B54" s="59"/>
      <c r="C54" s="59"/>
      <c r="D54" s="59"/>
      <c r="E54" s="59"/>
      <c r="F54" s="59"/>
      <c r="G54" s="59"/>
      <c r="H54" s="59"/>
      <c r="I54" s="59"/>
      <c r="J54" s="59"/>
      <c r="K54" s="18" t="s">
        <v>28</v>
      </c>
      <c r="L54" s="52"/>
      <c r="M54" s="17">
        <f>COUNTIF(M3:M52,"=Y")</f>
        <v>5</v>
      </c>
      <c r="N54" s="77"/>
    </row>
    <row r="55" spans="1:17" ht="15.75" thickBot="1" x14ac:dyDescent="0.3">
      <c r="B55" s="59"/>
      <c r="C55" s="59"/>
      <c r="D55" s="59"/>
      <c r="E55" s="59"/>
      <c r="F55" s="59"/>
      <c r="G55" s="59"/>
      <c r="H55" s="59"/>
      <c r="I55" s="59"/>
      <c r="J55" s="59"/>
      <c r="K55" s="16" t="s">
        <v>27</v>
      </c>
      <c r="L55" s="53"/>
      <c r="M55" s="15">
        <f>COUNTA(M3:M52)-M54</f>
        <v>45</v>
      </c>
    </row>
  </sheetData>
  <autoFilter ref="A2:N52">
    <sortState ref="A3:N52">
      <sortCondition ref="E2:E52"/>
    </sortState>
  </autoFilter>
  <sortState ref="A3:N63">
    <sortCondition ref="E3:E63"/>
  </sortState>
  <mergeCells count="1">
    <mergeCell ref="A1:M1"/>
  </mergeCells>
  <conditionalFormatting sqref="N2 P2 M2:M1048576">
    <cfRule type="cellIs" dxfId="14" priority="8" operator="equal">
      <formula>"Y"</formula>
    </cfRule>
  </conditionalFormatting>
  <conditionalFormatting sqref="A17:M17 A18:N18 A19:M19 A20:N52 M11:M52 A3:N16">
    <cfRule type="expression" dxfId="13" priority="1">
      <formula>$M3="Y"</formula>
    </cfRule>
  </conditionalFormatting>
  <conditionalFormatting sqref="N17">
    <cfRule type="expression" dxfId="12" priority="29">
      <formula>$M19="Y"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A2" sqref="A2:A8"/>
    </sheetView>
  </sheetViews>
  <sheetFormatPr defaultRowHeight="15" x14ac:dyDescent="0.25"/>
  <cols>
    <col min="2" max="2" width="26.42578125" bestFit="1" customWidth="1"/>
  </cols>
  <sheetData>
    <row r="1" spans="1:2" s="59" customFormat="1" x14ac:dyDescent="0.25">
      <c r="A1" s="76" t="str">
        <f>"Trips that did not appear in PTC Data "&amp;TEXT(Variables!$A$2,"YYYY-mm-dd")</f>
        <v>Trips that did not appear in PTC Data 2016-05-31</v>
      </c>
      <c r="B1" s="77"/>
    </row>
    <row r="2" spans="1:2" x14ac:dyDescent="0.25">
      <c r="A2" s="77" t="s">
        <v>402</v>
      </c>
      <c r="B2" s="77" t="s">
        <v>440</v>
      </c>
    </row>
    <row r="3" spans="1:2" x14ac:dyDescent="0.25">
      <c r="A3" s="77" t="s">
        <v>403</v>
      </c>
      <c r="B3" s="77" t="s">
        <v>440</v>
      </c>
    </row>
    <row r="4" spans="1:2" x14ac:dyDescent="0.25">
      <c r="A4" s="78" t="s">
        <v>404</v>
      </c>
      <c r="B4" s="77" t="s">
        <v>440</v>
      </c>
    </row>
    <row r="5" spans="1:2" x14ac:dyDescent="0.25">
      <c r="A5" s="78" t="s">
        <v>406</v>
      </c>
      <c r="B5" s="77" t="s">
        <v>440</v>
      </c>
    </row>
    <row r="6" spans="1:2" x14ac:dyDescent="0.25">
      <c r="A6" s="78" t="s">
        <v>407</v>
      </c>
      <c r="B6" s="77" t="s">
        <v>440</v>
      </c>
    </row>
    <row r="7" spans="1:2" x14ac:dyDescent="0.25">
      <c r="A7" s="78" t="s">
        <v>408</v>
      </c>
      <c r="B7" s="77" t="s">
        <v>440</v>
      </c>
    </row>
    <row r="8" spans="1:2" x14ac:dyDescent="0.25">
      <c r="A8" s="78" t="s">
        <v>409</v>
      </c>
      <c r="B8" s="77" t="s">
        <v>440</v>
      </c>
    </row>
    <row r="9" spans="1:2" x14ac:dyDescent="0.25">
      <c r="A9" s="78"/>
      <c r="B9" s="77"/>
    </row>
    <row r="10" spans="1:2" x14ac:dyDescent="0.25">
      <c r="A10" s="78"/>
      <c r="B10" s="77"/>
    </row>
    <row r="11" spans="1:2" x14ac:dyDescent="0.25">
      <c r="A11" s="78"/>
      <c r="B11" s="77"/>
    </row>
    <row r="12" spans="1:2" x14ac:dyDescent="0.25">
      <c r="A12" s="78"/>
      <c r="B12" s="77"/>
    </row>
    <row r="13" spans="1:2" x14ac:dyDescent="0.25">
      <c r="A13" s="78"/>
      <c r="B13" s="77"/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E150"/>
  <sheetViews>
    <sheetView workbookViewId="0">
      <selection activeCell="G15" sqref="G15"/>
    </sheetView>
  </sheetViews>
  <sheetFormatPr defaultRowHeight="15" x14ac:dyDescent="0.25"/>
  <cols>
    <col min="1" max="1" width="18.28515625" style="14" bestFit="1" customWidth="1"/>
    <col min="2" max="2" width="17" bestFit="1" customWidth="1"/>
    <col min="3" max="3" width="6.7109375" bestFit="1" customWidth="1"/>
    <col min="4" max="4" width="8" bestFit="1" customWidth="1"/>
    <col min="5" max="5" width="12.140625" bestFit="1" customWidth="1"/>
  </cols>
  <sheetData>
    <row r="1" spans="1:5" x14ac:dyDescent="0.25">
      <c r="A1" s="14">
        <v>42521.310324074075</v>
      </c>
      <c r="B1" t="s">
        <v>410</v>
      </c>
      <c r="C1" t="s">
        <v>220</v>
      </c>
      <c r="D1">
        <v>1760000</v>
      </c>
      <c r="E1" t="s">
        <v>411</v>
      </c>
    </row>
    <row r="2" spans="1:5" x14ac:dyDescent="0.25">
      <c r="A2" s="14">
        <v>42521.533784722225</v>
      </c>
      <c r="B2" t="s">
        <v>410</v>
      </c>
      <c r="C2" t="s">
        <v>296</v>
      </c>
      <c r="D2">
        <v>1470000</v>
      </c>
      <c r="E2" t="s">
        <v>412</v>
      </c>
    </row>
    <row r="3" spans="1:5" x14ac:dyDescent="0.25">
      <c r="A3" s="14">
        <v>42521.540995370371</v>
      </c>
      <c r="B3" t="s">
        <v>83</v>
      </c>
      <c r="C3" t="s">
        <v>298</v>
      </c>
      <c r="D3">
        <v>1540000</v>
      </c>
      <c r="E3" t="s">
        <v>413</v>
      </c>
    </row>
    <row r="4" spans="1:5" x14ac:dyDescent="0.25">
      <c r="A4" s="14">
        <v>42521.581331018519</v>
      </c>
      <c r="B4" t="s">
        <v>82</v>
      </c>
      <c r="C4" t="s">
        <v>315</v>
      </c>
      <c r="D4">
        <v>1540000</v>
      </c>
      <c r="E4" t="s">
        <v>413</v>
      </c>
    </row>
    <row r="5" spans="1:5" x14ac:dyDescent="0.25">
      <c r="A5" s="14">
        <v>42521.609837962962</v>
      </c>
      <c r="B5" t="s">
        <v>410</v>
      </c>
      <c r="C5" t="s">
        <v>314</v>
      </c>
      <c r="D5">
        <v>1470000</v>
      </c>
      <c r="E5" t="s">
        <v>412</v>
      </c>
    </row>
    <row r="6" spans="1:5" x14ac:dyDescent="0.25">
      <c r="A6" s="14">
        <v>42521.505358796298</v>
      </c>
      <c r="B6" t="s">
        <v>82</v>
      </c>
      <c r="C6" t="s">
        <v>297</v>
      </c>
      <c r="D6">
        <v>1540000</v>
      </c>
      <c r="E6" t="s">
        <v>413</v>
      </c>
    </row>
    <row r="7" spans="1:5" x14ac:dyDescent="0.25">
      <c r="A7" s="14">
        <v>42521.655717592592</v>
      </c>
      <c r="B7" t="s">
        <v>82</v>
      </c>
      <c r="C7" t="s">
        <v>404</v>
      </c>
      <c r="D7">
        <v>1540000</v>
      </c>
      <c r="E7" t="s">
        <v>413</v>
      </c>
    </row>
    <row r="8" spans="1:5" ht="15.75" thickBot="1" x14ac:dyDescent="0.3">
      <c r="A8" s="84">
        <v>42521.676377314812</v>
      </c>
      <c r="B8" t="s">
        <v>414</v>
      </c>
      <c r="C8" t="s">
        <v>337</v>
      </c>
      <c r="D8">
        <v>1750000</v>
      </c>
      <c r="E8" t="s">
        <v>415</v>
      </c>
    </row>
    <row r="9" spans="1:5" x14ac:dyDescent="0.25">
      <c r="A9" s="14">
        <v>42521.745150462964</v>
      </c>
      <c r="B9" t="s">
        <v>90</v>
      </c>
      <c r="C9" t="s">
        <v>349</v>
      </c>
      <c r="D9">
        <v>950000</v>
      </c>
      <c r="E9" t="s">
        <v>129</v>
      </c>
    </row>
    <row r="10" spans="1:5" x14ac:dyDescent="0.25">
      <c r="A10" s="14">
        <v>42521.783113425925</v>
      </c>
      <c r="B10" t="s">
        <v>416</v>
      </c>
      <c r="C10" t="s">
        <v>359</v>
      </c>
      <c r="D10">
        <v>1750000</v>
      </c>
      <c r="E10" t="s">
        <v>415</v>
      </c>
    </row>
    <row r="11" spans="1:5" x14ac:dyDescent="0.25">
      <c r="A11" s="14">
        <v>42521.797037037039</v>
      </c>
      <c r="B11" t="s">
        <v>417</v>
      </c>
      <c r="C11" t="s">
        <v>362</v>
      </c>
      <c r="D11">
        <v>1820000</v>
      </c>
      <c r="E11" t="s">
        <v>139</v>
      </c>
    </row>
    <row r="12" spans="1:5" x14ac:dyDescent="0.25">
      <c r="A12" s="14">
        <v>42521.485381944447</v>
      </c>
      <c r="B12" t="s">
        <v>85</v>
      </c>
      <c r="C12" t="s">
        <v>291</v>
      </c>
      <c r="D12">
        <v>950000</v>
      </c>
      <c r="E12" t="s">
        <v>129</v>
      </c>
    </row>
    <row r="13" spans="1:5" x14ac:dyDescent="0.25">
      <c r="A13" s="14">
        <v>42521.995057870372</v>
      </c>
      <c r="B13" t="s">
        <v>137</v>
      </c>
      <c r="C13" t="s">
        <v>389</v>
      </c>
      <c r="D13">
        <v>1280000</v>
      </c>
      <c r="E13" t="s">
        <v>418</v>
      </c>
    </row>
    <row r="14" spans="1:5" x14ac:dyDescent="0.25">
      <c r="A14" s="14">
        <v>42521.483414351853</v>
      </c>
      <c r="B14" t="s">
        <v>136</v>
      </c>
      <c r="C14" t="s">
        <v>284</v>
      </c>
      <c r="D14">
        <v>1120000</v>
      </c>
      <c r="E14" t="s">
        <v>128</v>
      </c>
    </row>
    <row r="15" spans="1:5" x14ac:dyDescent="0.25">
      <c r="A15" s="14">
        <v>42521.126736111109</v>
      </c>
      <c r="B15" t="s">
        <v>419</v>
      </c>
      <c r="C15" t="s">
        <v>166</v>
      </c>
      <c r="D15">
        <v>1340000</v>
      </c>
      <c r="E15" t="s">
        <v>162</v>
      </c>
    </row>
    <row r="16" spans="1:5" x14ac:dyDescent="0.25">
      <c r="A16" s="14">
        <v>42521.479432870372</v>
      </c>
      <c r="B16" t="s">
        <v>420</v>
      </c>
      <c r="C16" t="s">
        <v>274</v>
      </c>
      <c r="D16">
        <v>940000</v>
      </c>
      <c r="E16" t="s">
        <v>421</v>
      </c>
    </row>
    <row r="17" spans="1:5" x14ac:dyDescent="0.25">
      <c r="A17" s="14">
        <v>42521.223634259259</v>
      </c>
      <c r="B17" t="s">
        <v>137</v>
      </c>
      <c r="C17" t="s">
        <v>183</v>
      </c>
      <c r="D17">
        <v>1230000</v>
      </c>
      <c r="E17" t="s">
        <v>422</v>
      </c>
    </row>
    <row r="18" spans="1:5" x14ac:dyDescent="0.25">
      <c r="A18" s="14">
        <v>42521.457314814812</v>
      </c>
      <c r="B18" t="s">
        <v>414</v>
      </c>
      <c r="C18" t="s">
        <v>277</v>
      </c>
      <c r="D18">
        <v>1090000</v>
      </c>
      <c r="E18" t="s">
        <v>165</v>
      </c>
    </row>
    <row r="19" spans="1:5" x14ac:dyDescent="0.25">
      <c r="A19" s="14">
        <v>42521.234537037039</v>
      </c>
      <c r="B19" t="s">
        <v>414</v>
      </c>
      <c r="C19" t="s">
        <v>199</v>
      </c>
      <c r="D19">
        <v>1110000</v>
      </c>
      <c r="E19" t="s">
        <v>141</v>
      </c>
    </row>
    <row r="20" spans="1:5" x14ac:dyDescent="0.25">
      <c r="A20" s="14">
        <v>42521.457546296297</v>
      </c>
      <c r="B20" t="s">
        <v>410</v>
      </c>
      <c r="C20" t="s">
        <v>269</v>
      </c>
      <c r="D20">
        <v>1450000</v>
      </c>
      <c r="E20" t="s">
        <v>423</v>
      </c>
    </row>
    <row r="21" spans="1:5" x14ac:dyDescent="0.25">
      <c r="A21" s="14">
        <v>42521.244826388887</v>
      </c>
      <c r="B21" t="s">
        <v>410</v>
      </c>
      <c r="C21" t="s">
        <v>189</v>
      </c>
      <c r="D21">
        <v>1760000</v>
      </c>
      <c r="E21" t="s">
        <v>411</v>
      </c>
    </row>
    <row r="22" spans="1:5" x14ac:dyDescent="0.25">
      <c r="A22" s="14">
        <v>42521.406736111108</v>
      </c>
      <c r="B22" t="s">
        <v>420</v>
      </c>
      <c r="C22" t="s">
        <v>250</v>
      </c>
      <c r="D22">
        <v>1090000</v>
      </c>
      <c r="E22" t="s">
        <v>165</v>
      </c>
    </row>
    <row r="23" spans="1:5" x14ac:dyDescent="0.25">
      <c r="A23" s="14">
        <v>42521.277060185188</v>
      </c>
      <c r="B23" t="s">
        <v>416</v>
      </c>
      <c r="C23" t="s">
        <v>203</v>
      </c>
      <c r="D23">
        <v>1110000</v>
      </c>
      <c r="E23" t="s">
        <v>141</v>
      </c>
    </row>
    <row r="24" spans="1:5" x14ac:dyDescent="0.25">
      <c r="A24" s="14">
        <v>42521.40488425926</v>
      </c>
      <c r="B24" t="s">
        <v>136</v>
      </c>
      <c r="C24" t="s">
        <v>261</v>
      </c>
      <c r="D24">
        <v>1230000</v>
      </c>
      <c r="E24" t="s">
        <v>422</v>
      </c>
    </row>
    <row r="25" spans="1:5" x14ac:dyDescent="0.25">
      <c r="A25" s="14">
        <v>42521.2890162037</v>
      </c>
      <c r="B25" t="s">
        <v>82</v>
      </c>
      <c r="C25" t="s">
        <v>221</v>
      </c>
      <c r="D25">
        <v>1340000</v>
      </c>
      <c r="E25" t="s">
        <v>162</v>
      </c>
    </row>
    <row r="26" spans="1:5" x14ac:dyDescent="0.25">
      <c r="A26" s="14">
        <v>42521.388692129629</v>
      </c>
      <c r="B26" t="s">
        <v>160</v>
      </c>
      <c r="C26" t="s">
        <v>256</v>
      </c>
      <c r="D26">
        <v>900000</v>
      </c>
      <c r="E26" t="s">
        <v>164</v>
      </c>
    </row>
    <row r="27" spans="1:5" x14ac:dyDescent="0.25">
      <c r="A27" s="14">
        <v>42521.32372685185</v>
      </c>
      <c r="B27" t="s">
        <v>83</v>
      </c>
      <c r="C27" t="s">
        <v>223</v>
      </c>
      <c r="D27">
        <v>1340000</v>
      </c>
      <c r="E27" t="s">
        <v>162</v>
      </c>
    </row>
    <row r="28" spans="1:5" x14ac:dyDescent="0.25">
      <c r="A28" s="14">
        <v>42521.381574074076</v>
      </c>
      <c r="B28" t="s">
        <v>414</v>
      </c>
      <c r="C28" t="s">
        <v>251</v>
      </c>
      <c r="D28">
        <v>1110000</v>
      </c>
      <c r="E28" t="s">
        <v>141</v>
      </c>
    </row>
    <row r="29" spans="1:5" x14ac:dyDescent="0.25">
      <c r="A29" s="14">
        <v>42521.333229166667</v>
      </c>
      <c r="B29" t="s">
        <v>420</v>
      </c>
      <c r="C29" t="s">
        <v>227</v>
      </c>
      <c r="D29">
        <v>1090000</v>
      </c>
      <c r="E29" t="s">
        <v>165</v>
      </c>
    </row>
    <row r="30" spans="1:5" x14ac:dyDescent="0.25">
      <c r="A30" s="14">
        <v>42521.352719907409</v>
      </c>
      <c r="B30" t="s">
        <v>419</v>
      </c>
      <c r="C30" t="s">
        <v>244</v>
      </c>
      <c r="D30">
        <v>1760000</v>
      </c>
      <c r="E30" t="s">
        <v>411</v>
      </c>
    </row>
    <row r="31" spans="1:5" x14ac:dyDescent="0.25">
      <c r="A31" s="14">
        <v>42521.349328703705</v>
      </c>
      <c r="B31" t="s">
        <v>416</v>
      </c>
      <c r="C31" t="s">
        <v>230</v>
      </c>
      <c r="D31">
        <v>1110000</v>
      </c>
      <c r="E31" t="s">
        <v>141</v>
      </c>
    </row>
    <row r="32" spans="1:5" x14ac:dyDescent="0.25">
      <c r="A32" s="14">
        <v>42521.29891203704</v>
      </c>
      <c r="B32" t="s">
        <v>424</v>
      </c>
      <c r="C32" t="s">
        <v>224</v>
      </c>
      <c r="D32">
        <v>1090000</v>
      </c>
      <c r="E32" t="s">
        <v>165</v>
      </c>
    </row>
    <row r="33" spans="1:5" x14ac:dyDescent="0.25">
      <c r="A33" s="14">
        <v>42521.354502314818</v>
      </c>
      <c r="B33" t="s">
        <v>419</v>
      </c>
      <c r="C33" t="s">
        <v>244</v>
      </c>
      <c r="D33">
        <v>1760000</v>
      </c>
      <c r="E33" t="s">
        <v>411</v>
      </c>
    </row>
    <row r="34" spans="1:5" x14ac:dyDescent="0.25">
      <c r="A34" s="14">
        <v>42521.252523148149</v>
      </c>
      <c r="B34" t="s">
        <v>83</v>
      </c>
      <c r="C34" t="s">
        <v>195</v>
      </c>
      <c r="D34">
        <v>1340000</v>
      </c>
      <c r="E34" t="s">
        <v>162</v>
      </c>
    </row>
    <row r="35" spans="1:5" x14ac:dyDescent="0.25">
      <c r="A35" s="14">
        <v>42521.361759259256</v>
      </c>
      <c r="B35" t="s">
        <v>161</v>
      </c>
      <c r="C35" t="s">
        <v>235</v>
      </c>
      <c r="D35">
        <v>900000</v>
      </c>
      <c r="E35" t="s">
        <v>164</v>
      </c>
    </row>
    <row r="36" spans="1:5" x14ac:dyDescent="0.25">
      <c r="A36" s="14">
        <v>42521.231053240743</v>
      </c>
      <c r="B36" t="s">
        <v>90</v>
      </c>
      <c r="C36" t="s">
        <v>185</v>
      </c>
      <c r="D36">
        <v>1260000</v>
      </c>
      <c r="E36" t="s">
        <v>425</v>
      </c>
    </row>
    <row r="37" spans="1:5" x14ac:dyDescent="0.25">
      <c r="A37" s="14">
        <v>42521.370706018519</v>
      </c>
      <c r="B37" t="s">
        <v>137</v>
      </c>
      <c r="C37" t="s">
        <v>240</v>
      </c>
      <c r="D37">
        <v>1230000</v>
      </c>
      <c r="E37" t="s">
        <v>422</v>
      </c>
    </row>
    <row r="38" spans="1:5" x14ac:dyDescent="0.25">
      <c r="A38" s="14">
        <v>42521.206284722219</v>
      </c>
      <c r="B38" t="s">
        <v>417</v>
      </c>
      <c r="C38" t="s">
        <v>178</v>
      </c>
      <c r="D38">
        <v>900000</v>
      </c>
      <c r="E38" t="s">
        <v>164</v>
      </c>
    </row>
    <row r="39" spans="1:5" x14ac:dyDescent="0.25">
      <c r="A39" s="14">
        <v>42521.3746875</v>
      </c>
      <c r="B39" t="s">
        <v>90</v>
      </c>
      <c r="C39" t="s">
        <v>243</v>
      </c>
      <c r="D39">
        <v>1260000</v>
      </c>
      <c r="E39" t="s">
        <v>425</v>
      </c>
    </row>
    <row r="40" spans="1:5" x14ac:dyDescent="0.25">
      <c r="A40" s="14">
        <v>42521.191724537035</v>
      </c>
      <c r="B40" t="s">
        <v>85</v>
      </c>
      <c r="C40" t="s">
        <v>184</v>
      </c>
      <c r="D40">
        <v>1260000</v>
      </c>
      <c r="E40" t="s">
        <v>425</v>
      </c>
    </row>
    <row r="41" spans="1:5" x14ac:dyDescent="0.25">
      <c r="A41" s="14">
        <v>42521.563958333332</v>
      </c>
      <c r="B41" t="s">
        <v>416</v>
      </c>
      <c r="C41" t="s">
        <v>303</v>
      </c>
      <c r="D41">
        <v>1750000</v>
      </c>
      <c r="E41" t="s">
        <v>415</v>
      </c>
    </row>
    <row r="42" spans="1:5" x14ac:dyDescent="0.25">
      <c r="A42" s="14">
        <v>42521.46837962963</v>
      </c>
      <c r="B42" t="s">
        <v>426</v>
      </c>
      <c r="C42" t="s">
        <v>281</v>
      </c>
      <c r="D42">
        <v>890000</v>
      </c>
      <c r="E42" t="s">
        <v>163</v>
      </c>
    </row>
    <row r="43" spans="1:5" x14ac:dyDescent="0.25">
      <c r="A43" s="14">
        <v>42521.606400462966</v>
      </c>
      <c r="B43" t="s">
        <v>419</v>
      </c>
      <c r="C43" t="s">
        <v>402</v>
      </c>
      <c r="D43">
        <v>1470000</v>
      </c>
      <c r="E43" t="s">
        <v>412</v>
      </c>
    </row>
    <row r="44" spans="1:5" x14ac:dyDescent="0.25">
      <c r="A44" s="14">
        <v>42521.328622685185</v>
      </c>
      <c r="B44" t="s">
        <v>160</v>
      </c>
      <c r="C44" t="s">
        <v>232</v>
      </c>
      <c r="D44">
        <v>900000</v>
      </c>
      <c r="E44" t="s">
        <v>164</v>
      </c>
    </row>
    <row r="45" spans="1:5" x14ac:dyDescent="0.25">
      <c r="A45" s="14">
        <v>42521.639756944445</v>
      </c>
      <c r="B45" t="s">
        <v>416</v>
      </c>
      <c r="C45" t="s">
        <v>322</v>
      </c>
      <c r="D45">
        <v>1750000</v>
      </c>
      <c r="E45" t="s">
        <v>415</v>
      </c>
    </row>
    <row r="46" spans="1:5" x14ac:dyDescent="0.25">
      <c r="A46" s="14">
        <v>42522.056435185186</v>
      </c>
      <c r="B46" t="s">
        <v>417</v>
      </c>
      <c r="C46" t="s">
        <v>401</v>
      </c>
      <c r="D46">
        <v>1820000</v>
      </c>
      <c r="E46" t="s">
        <v>139</v>
      </c>
    </row>
    <row r="47" spans="1:5" x14ac:dyDescent="0.25">
      <c r="A47" s="14">
        <v>42521.749467592592</v>
      </c>
      <c r="B47" t="s">
        <v>410</v>
      </c>
      <c r="C47" t="s">
        <v>351</v>
      </c>
      <c r="D47">
        <v>1180000</v>
      </c>
      <c r="E47" t="s">
        <v>138</v>
      </c>
    </row>
    <row r="48" spans="1:5" x14ac:dyDescent="0.25">
      <c r="A48" s="14">
        <v>42521.651192129626</v>
      </c>
      <c r="B48" t="s">
        <v>419</v>
      </c>
      <c r="C48" t="s">
        <v>332</v>
      </c>
      <c r="D48">
        <v>1470000</v>
      </c>
      <c r="E48" t="s">
        <v>412</v>
      </c>
    </row>
    <row r="49" spans="1:5" x14ac:dyDescent="0.25">
      <c r="A49" s="14">
        <v>42521.703379629631</v>
      </c>
      <c r="B49" t="s">
        <v>420</v>
      </c>
      <c r="C49" t="s">
        <v>336</v>
      </c>
      <c r="D49">
        <v>940000</v>
      </c>
      <c r="E49" t="s">
        <v>421</v>
      </c>
    </row>
    <row r="50" spans="1:5" x14ac:dyDescent="0.25">
      <c r="A50" s="14">
        <v>42521.540497685186</v>
      </c>
      <c r="B50" t="s">
        <v>426</v>
      </c>
      <c r="C50" t="s">
        <v>304</v>
      </c>
      <c r="D50">
        <v>890000</v>
      </c>
      <c r="E50" t="s">
        <v>163</v>
      </c>
    </row>
    <row r="51" spans="1:5" x14ac:dyDescent="0.25">
      <c r="A51" s="14">
        <v>42521.74523148148</v>
      </c>
      <c r="B51" t="s">
        <v>414</v>
      </c>
      <c r="C51" t="s">
        <v>358</v>
      </c>
      <c r="D51">
        <v>1750000</v>
      </c>
      <c r="E51" t="s">
        <v>415</v>
      </c>
    </row>
    <row r="52" spans="1:5" x14ac:dyDescent="0.25">
      <c r="A52" s="14">
        <v>42521.888599537036</v>
      </c>
      <c r="B52" t="s">
        <v>137</v>
      </c>
      <c r="C52" t="s">
        <v>376</v>
      </c>
      <c r="D52">
        <v>1280000</v>
      </c>
      <c r="E52" t="s">
        <v>418</v>
      </c>
    </row>
    <row r="53" spans="1:5" x14ac:dyDescent="0.25">
      <c r="A53" s="14">
        <v>42521.907743055555</v>
      </c>
      <c r="B53" t="s">
        <v>410</v>
      </c>
      <c r="C53" t="s">
        <v>379</v>
      </c>
      <c r="D53">
        <v>1180000</v>
      </c>
      <c r="E53" t="s">
        <v>138</v>
      </c>
    </row>
    <row r="54" spans="1:5" x14ac:dyDescent="0.25">
      <c r="A54" s="14">
        <v>42521.707685185182</v>
      </c>
      <c r="B54" t="s">
        <v>416</v>
      </c>
      <c r="C54" t="s">
        <v>338</v>
      </c>
      <c r="D54">
        <v>1750000</v>
      </c>
      <c r="E54" t="s">
        <v>415</v>
      </c>
    </row>
    <row r="55" spans="1:5" x14ac:dyDescent="0.25">
      <c r="A55" s="14">
        <v>42521.914201388892</v>
      </c>
      <c r="B55" t="s">
        <v>426</v>
      </c>
      <c r="C55" t="s">
        <v>385</v>
      </c>
      <c r="D55">
        <v>1820000</v>
      </c>
      <c r="E55" t="s">
        <v>139</v>
      </c>
    </row>
    <row r="56" spans="1:5" x14ac:dyDescent="0.25">
      <c r="A56" s="14">
        <v>42521.473958333336</v>
      </c>
      <c r="B56" t="s">
        <v>136</v>
      </c>
      <c r="C56" t="s">
        <v>284</v>
      </c>
      <c r="D56">
        <v>1120000</v>
      </c>
      <c r="E56" t="s">
        <v>128</v>
      </c>
    </row>
    <row r="57" spans="1:5" x14ac:dyDescent="0.25">
      <c r="A57" s="14">
        <v>42521.602986111109</v>
      </c>
      <c r="B57" t="s">
        <v>414</v>
      </c>
      <c r="C57" t="s">
        <v>321</v>
      </c>
      <c r="D57">
        <v>1750000</v>
      </c>
      <c r="E57" t="s">
        <v>415</v>
      </c>
    </row>
    <row r="58" spans="1:5" x14ac:dyDescent="0.25">
      <c r="A58" s="14">
        <v>42521.399270833332</v>
      </c>
      <c r="B58" t="s">
        <v>83</v>
      </c>
      <c r="C58" t="s">
        <v>248</v>
      </c>
      <c r="D58">
        <v>1340000</v>
      </c>
      <c r="E58" t="s">
        <v>162</v>
      </c>
    </row>
    <row r="59" spans="1:5" x14ac:dyDescent="0.25">
      <c r="A59" s="14">
        <v>42521.822083333333</v>
      </c>
      <c r="B59" t="s">
        <v>410</v>
      </c>
      <c r="C59" t="s">
        <v>368</v>
      </c>
      <c r="D59">
        <v>1180000</v>
      </c>
      <c r="E59" t="s">
        <v>138</v>
      </c>
    </row>
    <row r="60" spans="1:5" x14ac:dyDescent="0.25">
      <c r="A60" s="14">
        <v>42521.165462962963</v>
      </c>
      <c r="B60" t="s">
        <v>83</v>
      </c>
      <c r="C60" t="s">
        <v>168</v>
      </c>
      <c r="D60">
        <v>1340000</v>
      </c>
      <c r="E60" t="s">
        <v>162</v>
      </c>
    </row>
    <row r="61" spans="1:5" x14ac:dyDescent="0.25">
      <c r="A61" s="14">
        <v>42521.725092592591</v>
      </c>
      <c r="B61" t="s">
        <v>82</v>
      </c>
      <c r="C61" t="s">
        <v>353</v>
      </c>
      <c r="D61">
        <v>1540000</v>
      </c>
      <c r="E61" t="s">
        <v>413</v>
      </c>
    </row>
    <row r="62" spans="1:5" x14ac:dyDescent="0.25">
      <c r="A62" s="14">
        <v>42521.442870370367</v>
      </c>
      <c r="B62" t="s">
        <v>137</v>
      </c>
      <c r="C62" t="s">
        <v>264</v>
      </c>
      <c r="D62">
        <v>1230000</v>
      </c>
      <c r="E62" t="s">
        <v>422</v>
      </c>
    </row>
    <row r="63" spans="1:5" x14ac:dyDescent="0.25">
      <c r="A63" s="14">
        <v>42522.016331018516</v>
      </c>
      <c r="B63" t="s">
        <v>410</v>
      </c>
      <c r="C63" t="s">
        <v>392</v>
      </c>
      <c r="D63">
        <v>1180000</v>
      </c>
      <c r="E63" t="s">
        <v>138</v>
      </c>
    </row>
    <row r="64" spans="1:5" x14ac:dyDescent="0.25">
      <c r="A64" s="14">
        <v>42521.207268518519</v>
      </c>
      <c r="B64" t="s">
        <v>419</v>
      </c>
      <c r="C64" t="s">
        <v>187</v>
      </c>
      <c r="D64">
        <v>1760000</v>
      </c>
      <c r="E64" t="s">
        <v>411</v>
      </c>
    </row>
    <row r="65" spans="1:5" x14ac:dyDescent="0.25">
      <c r="A65" s="14">
        <v>42521.651180555556</v>
      </c>
      <c r="B65" t="s">
        <v>417</v>
      </c>
      <c r="C65" t="s">
        <v>326</v>
      </c>
      <c r="D65">
        <v>890000</v>
      </c>
      <c r="E65" t="s">
        <v>163</v>
      </c>
    </row>
    <row r="66" spans="1:5" x14ac:dyDescent="0.25">
      <c r="A66" s="14">
        <v>42521.725902777776</v>
      </c>
      <c r="B66" t="s">
        <v>417</v>
      </c>
      <c r="C66" t="s">
        <v>343</v>
      </c>
      <c r="D66">
        <v>890000</v>
      </c>
      <c r="E66" t="s">
        <v>163</v>
      </c>
    </row>
    <row r="67" spans="1:5" x14ac:dyDescent="0.25">
      <c r="A67" s="14">
        <v>42521.681157407409</v>
      </c>
      <c r="B67" t="s">
        <v>410</v>
      </c>
      <c r="C67" t="s">
        <v>333</v>
      </c>
      <c r="D67">
        <v>1470000</v>
      </c>
      <c r="E67" t="s">
        <v>412</v>
      </c>
    </row>
    <row r="68" spans="1:5" x14ac:dyDescent="0.25">
      <c r="A68" s="14">
        <v>42521.301724537036</v>
      </c>
      <c r="B68" t="s">
        <v>90</v>
      </c>
      <c r="C68" t="s">
        <v>218</v>
      </c>
      <c r="D68">
        <v>1260000</v>
      </c>
      <c r="E68" t="s">
        <v>425</v>
      </c>
    </row>
    <row r="69" spans="1:5" x14ac:dyDescent="0.25">
      <c r="A69" s="14">
        <v>42521.572372685187</v>
      </c>
      <c r="B69" t="s">
        <v>419</v>
      </c>
      <c r="C69" t="s">
        <v>402</v>
      </c>
      <c r="D69">
        <v>1470000</v>
      </c>
      <c r="E69" t="s">
        <v>412</v>
      </c>
    </row>
    <row r="70" spans="1:5" x14ac:dyDescent="0.25">
      <c r="A70" s="14">
        <v>42521.181377314817</v>
      </c>
      <c r="B70" t="s">
        <v>136</v>
      </c>
      <c r="C70" t="s">
        <v>180</v>
      </c>
      <c r="D70">
        <v>1230000</v>
      </c>
      <c r="E70" t="s">
        <v>422</v>
      </c>
    </row>
    <row r="71" spans="1:5" x14ac:dyDescent="0.25">
      <c r="A71" s="14">
        <v>42521.672384259262</v>
      </c>
      <c r="B71" t="s">
        <v>90</v>
      </c>
      <c r="C71" t="s">
        <v>331</v>
      </c>
      <c r="D71">
        <v>950000</v>
      </c>
      <c r="E71" t="s">
        <v>129</v>
      </c>
    </row>
    <row r="72" spans="1:5" x14ac:dyDescent="0.25">
      <c r="A72" s="14">
        <v>42521.714236111111</v>
      </c>
      <c r="B72" t="s">
        <v>419</v>
      </c>
      <c r="C72" t="s">
        <v>350</v>
      </c>
      <c r="D72">
        <v>1180000</v>
      </c>
      <c r="E72" t="s">
        <v>138</v>
      </c>
    </row>
    <row r="73" spans="1:5" x14ac:dyDescent="0.25">
      <c r="A73" s="14">
        <v>42521.703981481478</v>
      </c>
      <c r="B73" t="s">
        <v>85</v>
      </c>
      <c r="C73" t="s">
        <v>348</v>
      </c>
      <c r="D73">
        <v>950000</v>
      </c>
      <c r="E73" t="s">
        <v>129</v>
      </c>
    </row>
    <row r="74" spans="1:5" x14ac:dyDescent="0.25">
      <c r="A74" s="14">
        <v>42521.389131944445</v>
      </c>
      <c r="B74" t="s">
        <v>410</v>
      </c>
      <c r="C74" t="s">
        <v>245</v>
      </c>
      <c r="D74">
        <v>1760000</v>
      </c>
      <c r="E74" t="s">
        <v>411</v>
      </c>
    </row>
    <row r="75" spans="1:5" x14ac:dyDescent="0.25">
      <c r="A75" s="14">
        <v>42521.735520833332</v>
      </c>
      <c r="B75" t="s">
        <v>424</v>
      </c>
      <c r="C75" t="s">
        <v>356</v>
      </c>
      <c r="D75">
        <v>1240000</v>
      </c>
      <c r="E75" t="s">
        <v>140</v>
      </c>
    </row>
    <row r="76" spans="1:5" x14ac:dyDescent="0.25">
      <c r="A76" s="14">
        <v>42521.372569444444</v>
      </c>
      <c r="B76" t="s">
        <v>424</v>
      </c>
      <c r="C76" t="s">
        <v>249</v>
      </c>
      <c r="D76">
        <v>1090000</v>
      </c>
      <c r="E76" t="s">
        <v>165</v>
      </c>
    </row>
    <row r="77" spans="1:5" x14ac:dyDescent="0.25">
      <c r="A77" s="14">
        <v>42521.776284722226</v>
      </c>
      <c r="B77" t="s">
        <v>420</v>
      </c>
      <c r="C77" t="s">
        <v>357</v>
      </c>
      <c r="D77">
        <v>1240000</v>
      </c>
      <c r="E77" t="s">
        <v>140</v>
      </c>
    </row>
    <row r="78" spans="1:5" x14ac:dyDescent="0.25">
      <c r="A78" s="14">
        <v>42522.015613425923</v>
      </c>
      <c r="B78" t="s">
        <v>426</v>
      </c>
      <c r="C78" t="s">
        <v>399</v>
      </c>
      <c r="D78">
        <v>1820000</v>
      </c>
      <c r="E78" t="s">
        <v>139</v>
      </c>
    </row>
    <row r="79" spans="1:5" x14ac:dyDescent="0.25">
      <c r="A79" s="14">
        <v>42521.522372685184</v>
      </c>
      <c r="B79" t="s">
        <v>90</v>
      </c>
      <c r="C79" t="s">
        <v>292</v>
      </c>
      <c r="D79">
        <v>950000</v>
      </c>
      <c r="E79" t="s">
        <v>129</v>
      </c>
    </row>
    <row r="80" spans="1:5" x14ac:dyDescent="0.25">
      <c r="A80" s="14">
        <v>42521.933032407411</v>
      </c>
      <c r="B80" t="s">
        <v>136</v>
      </c>
      <c r="C80" t="s">
        <v>386</v>
      </c>
      <c r="D80">
        <v>1280000</v>
      </c>
      <c r="E80" t="s">
        <v>418</v>
      </c>
    </row>
    <row r="81" spans="1:5" x14ac:dyDescent="0.25">
      <c r="A81" s="14">
        <v>42521.765949074077</v>
      </c>
      <c r="B81" t="s">
        <v>136</v>
      </c>
      <c r="C81" t="s">
        <v>363</v>
      </c>
      <c r="D81">
        <v>1280000</v>
      </c>
      <c r="E81" t="s">
        <v>418</v>
      </c>
    </row>
    <row r="82" spans="1:5" x14ac:dyDescent="0.25">
      <c r="A82" s="14">
        <v>42521.598321759258</v>
      </c>
      <c r="B82" t="s">
        <v>90</v>
      </c>
      <c r="C82" t="s">
        <v>313</v>
      </c>
      <c r="D82">
        <v>950000</v>
      </c>
      <c r="E82" t="s">
        <v>129</v>
      </c>
    </row>
    <row r="83" spans="1:5" x14ac:dyDescent="0.25">
      <c r="A83" s="14">
        <v>42521.832245370373</v>
      </c>
      <c r="B83" t="s">
        <v>426</v>
      </c>
      <c r="C83" t="s">
        <v>371</v>
      </c>
      <c r="D83">
        <v>1820000</v>
      </c>
      <c r="E83" t="s">
        <v>139</v>
      </c>
    </row>
    <row r="84" spans="1:5" x14ac:dyDescent="0.25">
      <c r="A84" s="14">
        <v>42521.286990740744</v>
      </c>
      <c r="B84" t="s">
        <v>161</v>
      </c>
      <c r="C84" t="s">
        <v>209</v>
      </c>
      <c r="D84">
        <v>900000</v>
      </c>
      <c r="E84" t="s">
        <v>164</v>
      </c>
    </row>
    <row r="85" spans="1:5" x14ac:dyDescent="0.25">
      <c r="A85" s="14">
        <v>42521.151412037034</v>
      </c>
      <c r="B85" t="s">
        <v>424</v>
      </c>
      <c r="C85" t="s">
        <v>170</v>
      </c>
      <c r="D85">
        <v>1110000</v>
      </c>
      <c r="E85" t="s">
        <v>141</v>
      </c>
    </row>
    <row r="86" spans="1:5" x14ac:dyDescent="0.25">
      <c r="A86" s="14">
        <v>42521.973391203705</v>
      </c>
      <c r="B86" t="s">
        <v>419</v>
      </c>
      <c r="C86" t="s">
        <v>391</v>
      </c>
      <c r="D86">
        <v>1180000</v>
      </c>
      <c r="E86" t="s">
        <v>138</v>
      </c>
    </row>
    <row r="87" spans="1:5" x14ac:dyDescent="0.25">
      <c r="A87" s="14">
        <v>42521.213946759257</v>
      </c>
      <c r="B87" t="s">
        <v>82</v>
      </c>
      <c r="C87" t="s">
        <v>192</v>
      </c>
      <c r="D87">
        <v>1340000</v>
      </c>
      <c r="E87" t="s">
        <v>162</v>
      </c>
    </row>
    <row r="88" spans="1:5" x14ac:dyDescent="0.25">
      <c r="A88" s="14">
        <v>42521.869467592594</v>
      </c>
      <c r="B88" t="s">
        <v>417</v>
      </c>
      <c r="C88" t="s">
        <v>374</v>
      </c>
      <c r="D88">
        <v>1820000</v>
      </c>
      <c r="E88" t="s">
        <v>139</v>
      </c>
    </row>
    <row r="89" spans="1:5" x14ac:dyDescent="0.25">
      <c r="A89" s="14">
        <v>42521.247395833336</v>
      </c>
      <c r="B89" t="s">
        <v>160</v>
      </c>
      <c r="C89" t="s">
        <v>206</v>
      </c>
      <c r="D89">
        <v>900000</v>
      </c>
      <c r="E89" t="s">
        <v>164</v>
      </c>
    </row>
    <row r="90" spans="1:5" x14ac:dyDescent="0.25">
      <c r="A90" s="14">
        <v>42521.807662037034</v>
      </c>
      <c r="B90" t="s">
        <v>424</v>
      </c>
      <c r="C90" t="s">
        <v>369</v>
      </c>
      <c r="D90">
        <v>1240000</v>
      </c>
      <c r="E90" t="s">
        <v>140</v>
      </c>
    </row>
    <row r="91" spans="1:5" x14ac:dyDescent="0.25">
      <c r="A91" s="14">
        <v>42521.266423611109</v>
      </c>
      <c r="B91" t="s">
        <v>85</v>
      </c>
      <c r="C91" t="s">
        <v>217</v>
      </c>
      <c r="D91">
        <v>1260000</v>
      </c>
      <c r="E91" t="s">
        <v>425</v>
      </c>
    </row>
    <row r="92" spans="1:5" x14ac:dyDescent="0.25">
      <c r="A92" s="14">
        <v>42521.762152777781</v>
      </c>
      <c r="B92" t="s">
        <v>83</v>
      </c>
      <c r="C92" t="s">
        <v>355</v>
      </c>
      <c r="D92">
        <v>1540000</v>
      </c>
      <c r="E92" t="s">
        <v>413</v>
      </c>
    </row>
    <row r="93" spans="1:5" x14ac:dyDescent="0.25">
      <c r="A93" s="14">
        <v>42521.277685185189</v>
      </c>
      <c r="B93" t="s">
        <v>419</v>
      </c>
      <c r="C93" t="s">
        <v>219</v>
      </c>
      <c r="D93">
        <v>1760000</v>
      </c>
      <c r="E93" t="s">
        <v>411</v>
      </c>
    </row>
    <row r="94" spans="1:5" x14ac:dyDescent="0.25">
      <c r="A94" s="14">
        <v>42521.755798611113</v>
      </c>
      <c r="B94" t="s">
        <v>426</v>
      </c>
      <c r="C94" t="s">
        <v>361</v>
      </c>
      <c r="D94">
        <v>1820000</v>
      </c>
      <c r="E94" t="s">
        <v>139</v>
      </c>
    </row>
    <row r="95" spans="1:5" x14ac:dyDescent="0.25">
      <c r="A95" s="14">
        <v>42521.331099537034</v>
      </c>
      <c r="B95" t="s">
        <v>136</v>
      </c>
      <c r="C95" t="s">
        <v>237</v>
      </c>
      <c r="D95">
        <v>1230000</v>
      </c>
      <c r="E95" t="s">
        <v>422</v>
      </c>
    </row>
    <row r="96" spans="1:5" x14ac:dyDescent="0.25">
      <c r="A96" s="14">
        <v>42521.710115740738</v>
      </c>
      <c r="B96" t="s">
        <v>85</v>
      </c>
      <c r="C96" t="s">
        <v>348</v>
      </c>
      <c r="D96">
        <v>950000</v>
      </c>
      <c r="E96" t="s">
        <v>129</v>
      </c>
    </row>
    <row r="97" spans="1:5" x14ac:dyDescent="0.25">
      <c r="A97" s="14">
        <v>42521.434004629627</v>
      </c>
      <c r="B97" t="s">
        <v>82</v>
      </c>
      <c r="C97" t="s">
        <v>271</v>
      </c>
      <c r="D97">
        <v>1760000</v>
      </c>
      <c r="E97" t="s">
        <v>411</v>
      </c>
    </row>
    <row r="98" spans="1:5" x14ac:dyDescent="0.25">
      <c r="A98" s="14">
        <v>42521.659826388888</v>
      </c>
      <c r="B98" t="s">
        <v>137</v>
      </c>
      <c r="C98" t="s">
        <v>403</v>
      </c>
      <c r="D98">
        <v>1120000</v>
      </c>
      <c r="E98" t="s">
        <v>128</v>
      </c>
    </row>
    <row r="99" spans="1:5" x14ac:dyDescent="0.25">
      <c r="A99" s="14">
        <v>42521.44290509259</v>
      </c>
      <c r="B99" t="s">
        <v>424</v>
      </c>
      <c r="C99" t="s">
        <v>273</v>
      </c>
      <c r="D99">
        <v>940000</v>
      </c>
      <c r="E99" t="s">
        <v>421</v>
      </c>
    </row>
    <row r="100" spans="1:5" x14ac:dyDescent="0.25">
      <c r="A100" s="14">
        <v>42521.625150462962</v>
      </c>
      <c r="B100" t="s">
        <v>136</v>
      </c>
      <c r="C100" t="s">
        <v>328</v>
      </c>
      <c r="D100">
        <v>1120000</v>
      </c>
      <c r="E100" t="s">
        <v>128</v>
      </c>
    </row>
    <row r="101" spans="1:5" x14ac:dyDescent="0.25">
      <c r="A101" s="14">
        <v>42521.455543981479</v>
      </c>
      <c r="B101" t="s">
        <v>414</v>
      </c>
      <c r="C101" t="s">
        <v>277</v>
      </c>
      <c r="D101">
        <v>1090000</v>
      </c>
      <c r="E101" t="s">
        <v>165</v>
      </c>
    </row>
    <row r="102" spans="1:5" x14ac:dyDescent="0.25">
      <c r="A102" s="14">
        <v>42521.531608796293</v>
      </c>
      <c r="B102" t="s">
        <v>414</v>
      </c>
      <c r="C102" t="s">
        <v>301</v>
      </c>
      <c r="D102">
        <v>1750000</v>
      </c>
      <c r="E102" t="s">
        <v>415</v>
      </c>
    </row>
    <row r="103" spans="1:5" x14ac:dyDescent="0.25">
      <c r="A103" s="14">
        <v>42521.516793981478</v>
      </c>
      <c r="B103" t="s">
        <v>424</v>
      </c>
      <c r="C103" t="s">
        <v>299</v>
      </c>
      <c r="D103">
        <v>940000</v>
      </c>
      <c r="E103" t="s">
        <v>421</v>
      </c>
    </row>
    <row r="104" spans="1:5" x14ac:dyDescent="0.25">
      <c r="A104" s="14">
        <v>42521.492210648146</v>
      </c>
      <c r="B104" t="s">
        <v>416</v>
      </c>
      <c r="C104" t="s">
        <v>279</v>
      </c>
      <c r="D104">
        <v>1090000</v>
      </c>
      <c r="E104" t="s">
        <v>165</v>
      </c>
    </row>
    <row r="105" spans="1:5" x14ac:dyDescent="0.25">
      <c r="A105" s="14">
        <v>42521.16920138889</v>
      </c>
      <c r="B105" t="s">
        <v>160</v>
      </c>
      <c r="C105" t="s">
        <v>176</v>
      </c>
      <c r="D105">
        <v>900000</v>
      </c>
      <c r="E105" t="s">
        <v>164</v>
      </c>
    </row>
    <row r="106" spans="1:5" x14ac:dyDescent="0.25">
      <c r="A106" s="14">
        <v>42521.469849537039</v>
      </c>
      <c r="B106" t="s">
        <v>83</v>
      </c>
      <c r="C106" t="s">
        <v>272</v>
      </c>
      <c r="D106">
        <v>1760000</v>
      </c>
      <c r="E106" t="s">
        <v>411</v>
      </c>
    </row>
    <row r="107" spans="1:5" x14ac:dyDescent="0.25">
      <c r="A107" s="14">
        <v>42521.244976851849</v>
      </c>
      <c r="B107" t="s">
        <v>414</v>
      </c>
      <c r="C107" t="s">
        <v>199</v>
      </c>
      <c r="D107">
        <v>1110000</v>
      </c>
      <c r="E107" t="s">
        <v>141</v>
      </c>
    </row>
    <row r="108" spans="1:5" x14ac:dyDescent="0.25">
      <c r="A108" s="14">
        <v>42521.430567129632</v>
      </c>
      <c r="B108" t="s">
        <v>161</v>
      </c>
      <c r="C108" t="s">
        <v>259</v>
      </c>
      <c r="D108">
        <v>900000</v>
      </c>
      <c r="E108" t="s">
        <v>164</v>
      </c>
    </row>
    <row r="109" spans="1:5" x14ac:dyDescent="0.25">
      <c r="A109" s="14">
        <v>42521.263020833336</v>
      </c>
      <c r="B109" t="s">
        <v>420</v>
      </c>
      <c r="C109" t="s">
        <v>198</v>
      </c>
      <c r="D109">
        <v>1090000</v>
      </c>
      <c r="E109" t="s">
        <v>165</v>
      </c>
    </row>
    <row r="110" spans="1:5" x14ac:dyDescent="0.25">
      <c r="A110" s="14">
        <v>42521.425821759258</v>
      </c>
      <c r="B110" t="s">
        <v>419</v>
      </c>
      <c r="C110" t="s">
        <v>268</v>
      </c>
      <c r="D110">
        <v>1450000</v>
      </c>
      <c r="E110" t="s">
        <v>423</v>
      </c>
    </row>
    <row r="111" spans="1:5" x14ac:dyDescent="0.25">
      <c r="A111" s="14">
        <v>42521.292604166665</v>
      </c>
      <c r="B111" t="s">
        <v>137</v>
      </c>
      <c r="C111" t="s">
        <v>215</v>
      </c>
      <c r="D111">
        <v>1230000</v>
      </c>
      <c r="E111" t="s">
        <v>422</v>
      </c>
    </row>
    <row r="112" spans="1:5" x14ac:dyDescent="0.25">
      <c r="A112" s="14">
        <v>42522.035370370373</v>
      </c>
      <c r="B112" t="s">
        <v>420</v>
      </c>
      <c r="C112" t="s">
        <v>396</v>
      </c>
      <c r="D112">
        <v>1240000</v>
      </c>
      <c r="E112" t="s">
        <v>140</v>
      </c>
    </row>
    <row r="113" spans="1:5" x14ac:dyDescent="0.25">
      <c r="A113" s="14">
        <v>42521.299467592595</v>
      </c>
      <c r="B113" t="s">
        <v>161</v>
      </c>
      <c r="C113" t="s">
        <v>209</v>
      </c>
      <c r="D113">
        <v>900000</v>
      </c>
      <c r="E113" t="s">
        <v>164</v>
      </c>
    </row>
    <row r="114" spans="1:5" x14ac:dyDescent="0.25">
      <c r="A114" s="14">
        <v>42521.735486111109</v>
      </c>
      <c r="B114" t="s">
        <v>137</v>
      </c>
      <c r="C114" t="s">
        <v>345</v>
      </c>
      <c r="D114">
        <v>1120000</v>
      </c>
      <c r="E114" t="s">
        <v>128</v>
      </c>
    </row>
    <row r="115" spans="1:5" x14ac:dyDescent="0.25">
      <c r="A115" s="14">
        <v>42521.314351851855</v>
      </c>
      <c r="B115" t="s">
        <v>410</v>
      </c>
      <c r="C115" t="s">
        <v>220</v>
      </c>
      <c r="D115">
        <v>1760000</v>
      </c>
      <c r="E115" t="s">
        <v>411</v>
      </c>
    </row>
    <row r="116" spans="1:5" x14ac:dyDescent="0.25">
      <c r="A116" s="14">
        <v>42521.634571759256</v>
      </c>
      <c r="B116" t="s">
        <v>85</v>
      </c>
      <c r="C116" t="s">
        <v>330</v>
      </c>
      <c r="D116">
        <v>950000</v>
      </c>
      <c r="E116" t="s">
        <v>129</v>
      </c>
    </row>
    <row r="117" spans="1:5" x14ac:dyDescent="0.25">
      <c r="A117" s="14">
        <v>42521.361979166664</v>
      </c>
      <c r="B117" t="s">
        <v>82</v>
      </c>
      <c r="C117" t="s">
        <v>246</v>
      </c>
      <c r="D117">
        <v>1340000</v>
      </c>
      <c r="E117" t="s">
        <v>162</v>
      </c>
    </row>
    <row r="118" spans="1:5" x14ac:dyDescent="0.25">
      <c r="A118" s="14">
        <v>42521.627071759256</v>
      </c>
      <c r="B118" t="s">
        <v>420</v>
      </c>
      <c r="C118" t="s">
        <v>319</v>
      </c>
      <c r="D118">
        <v>940000</v>
      </c>
      <c r="E118" t="s">
        <v>421</v>
      </c>
    </row>
    <row r="119" spans="1:5" x14ac:dyDescent="0.25">
      <c r="A119" s="14">
        <v>42521.420601851853</v>
      </c>
      <c r="B119" t="s">
        <v>416</v>
      </c>
      <c r="C119" t="s">
        <v>254</v>
      </c>
      <c r="D119">
        <v>1110000</v>
      </c>
      <c r="E119" t="s">
        <v>141</v>
      </c>
    </row>
    <row r="120" spans="1:5" x14ac:dyDescent="0.25">
      <c r="A120" s="14">
        <v>42521.577465277776</v>
      </c>
      <c r="B120" t="s">
        <v>417</v>
      </c>
      <c r="C120" t="s">
        <v>306</v>
      </c>
      <c r="D120">
        <v>890000</v>
      </c>
      <c r="E120" t="s">
        <v>163</v>
      </c>
    </row>
    <row r="121" spans="1:5" x14ac:dyDescent="0.25">
      <c r="A121" s="14">
        <v>42521.500520833331</v>
      </c>
      <c r="B121" t="s">
        <v>419</v>
      </c>
      <c r="C121" t="s">
        <v>295</v>
      </c>
      <c r="D121">
        <v>1470000</v>
      </c>
      <c r="E121" t="s">
        <v>412</v>
      </c>
    </row>
    <row r="122" spans="1:5" x14ac:dyDescent="0.25">
      <c r="A122" s="14">
        <v>42521.55064814815</v>
      </c>
      <c r="B122" t="s">
        <v>136</v>
      </c>
      <c r="C122" t="s">
        <v>307</v>
      </c>
      <c r="D122">
        <v>1120000</v>
      </c>
      <c r="E122" t="s">
        <v>128</v>
      </c>
    </row>
    <row r="123" spans="1:5" x14ac:dyDescent="0.25">
      <c r="A123" s="14">
        <v>42521.505439814813</v>
      </c>
      <c r="B123" t="s">
        <v>417</v>
      </c>
      <c r="C123" t="s">
        <v>283</v>
      </c>
      <c r="D123">
        <v>890000</v>
      </c>
      <c r="E123" t="s">
        <v>163</v>
      </c>
    </row>
    <row r="124" spans="1:5" x14ac:dyDescent="0.25">
      <c r="A124" s="14">
        <v>42521.411539351851</v>
      </c>
      <c r="B124" t="s">
        <v>85</v>
      </c>
      <c r="C124" t="s">
        <v>266</v>
      </c>
      <c r="D124">
        <v>1260000</v>
      </c>
      <c r="E124" t="s">
        <v>425</v>
      </c>
    </row>
    <row r="125" spans="1:5" x14ac:dyDescent="0.25">
      <c r="A125" s="14">
        <v>42521.514861111114</v>
      </c>
      <c r="B125" t="s">
        <v>137</v>
      </c>
      <c r="C125" t="s">
        <v>289</v>
      </c>
      <c r="D125">
        <v>1120000</v>
      </c>
      <c r="E125" t="s">
        <v>128</v>
      </c>
    </row>
    <row r="126" spans="1:5" x14ac:dyDescent="0.25">
      <c r="A126" s="14">
        <v>42521.866655092592</v>
      </c>
      <c r="B126" t="s">
        <v>419</v>
      </c>
      <c r="C126" t="s">
        <v>378</v>
      </c>
      <c r="D126">
        <v>1180000</v>
      </c>
      <c r="E126" t="s">
        <v>138</v>
      </c>
    </row>
    <row r="127" spans="1:5" x14ac:dyDescent="0.25">
      <c r="A127" s="14">
        <v>42521.338935185187</v>
      </c>
      <c r="B127" t="s">
        <v>85</v>
      </c>
      <c r="C127" t="s">
        <v>242</v>
      </c>
      <c r="D127">
        <v>1260000</v>
      </c>
      <c r="E127" t="s">
        <v>425</v>
      </c>
    </row>
    <row r="128" spans="1:5" x14ac:dyDescent="0.25">
      <c r="A128" s="14">
        <v>42521.846550925926</v>
      </c>
      <c r="B128" t="s">
        <v>420</v>
      </c>
      <c r="C128" t="s">
        <v>370</v>
      </c>
      <c r="D128">
        <v>1240000</v>
      </c>
      <c r="E128" t="s">
        <v>140</v>
      </c>
    </row>
    <row r="129" spans="1:5" x14ac:dyDescent="0.25">
      <c r="A129" s="14">
        <v>42521.553530092591</v>
      </c>
      <c r="B129" t="s">
        <v>420</v>
      </c>
      <c r="C129" t="s">
        <v>300</v>
      </c>
      <c r="D129">
        <v>940000</v>
      </c>
      <c r="E129" t="s">
        <v>421</v>
      </c>
    </row>
    <row r="130" spans="1:5" x14ac:dyDescent="0.25">
      <c r="A130" s="14">
        <v>42521.800520833334</v>
      </c>
      <c r="B130" t="s">
        <v>137</v>
      </c>
      <c r="C130" t="s">
        <v>366</v>
      </c>
      <c r="D130">
        <v>1280000</v>
      </c>
      <c r="E130" t="s">
        <v>418</v>
      </c>
    </row>
    <row r="131" spans="1:5" x14ac:dyDescent="0.25">
      <c r="A131" s="14">
        <v>42521.591956018521</v>
      </c>
      <c r="B131" t="s">
        <v>424</v>
      </c>
      <c r="C131" t="s">
        <v>317</v>
      </c>
      <c r="D131">
        <v>940000</v>
      </c>
      <c r="E131" t="s">
        <v>421</v>
      </c>
    </row>
    <row r="132" spans="1:5" x14ac:dyDescent="0.25">
      <c r="A132" s="14">
        <v>42521.692499999997</v>
      </c>
      <c r="B132" t="s">
        <v>83</v>
      </c>
      <c r="C132" t="s">
        <v>405</v>
      </c>
      <c r="D132">
        <v>1540000</v>
      </c>
      <c r="E132" t="s">
        <v>413</v>
      </c>
    </row>
    <row r="133" spans="1:5" x14ac:dyDescent="0.25">
      <c r="A133" s="14">
        <v>42521.614849537036</v>
      </c>
      <c r="B133" t="s">
        <v>426</v>
      </c>
      <c r="C133" t="s">
        <v>323</v>
      </c>
      <c r="D133">
        <v>890000</v>
      </c>
      <c r="E133" t="s">
        <v>163</v>
      </c>
    </row>
    <row r="134" spans="1:5" x14ac:dyDescent="0.25">
      <c r="A134" s="14">
        <v>42521.589432870373</v>
      </c>
      <c r="B134" t="s">
        <v>137</v>
      </c>
      <c r="C134" t="s">
        <v>309</v>
      </c>
      <c r="D134">
        <v>1120000</v>
      </c>
      <c r="E134" t="s">
        <v>128</v>
      </c>
    </row>
    <row r="135" spans="1:5" x14ac:dyDescent="0.25">
      <c r="A135" s="14">
        <v>42521.687847222223</v>
      </c>
      <c r="B135" t="s">
        <v>426</v>
      </c>
      <c r="C135" t="s">
        <v>340</v>
      </c>
      <c r="D135">
        <v>890000</v>
      </c>
      <c r="E135" t="s">
        <v>163</v>
      </c>
    </row>
    <row r="136" spans="1:5" x14ac:dyDescent="0.25">
      <c r="A136" s="14">
        <v>42521.560694444444</v>
      </c>
      <c r="B136" t="s">
        <v>85</v>
      </c>
      <c r="C136" t="s">
        <v>311</v>
      </c>
      <c r="D136">
        <v>950000</v>
      </c>
      <c r="E136" t="s">
        <v>129</v>
      </c>
    </row>
    <row r="137" spans="1:5" x14ac:dyDescent="0.25">
      <c r="A137" s="14">
        <v>42521.846354166664</v>
      </c>
      <c r="B137" t="s">
        <v>136</v>
      </c>
      <c r="C137" t="s">
        <v>375</v>
      </c>
      <c r="D137">
        <v>1280000</v>
      </c>
      <c r="E137" t="s">
        <v>418</v>
      </c>
    </row>
    <row r="138" spans="1:5" x14ac:dyDescent="0.25">
      <c r="A138" s="14">
        <v>42521.447789351849</v>
      </c>
      <c r="B138" t="s">
        <v>90</v>
      </c>
      <c r="C138" t="s">
        <v>267</v>
      </c>
      <c r="D138">
        <v>1260000</v>
      </c>
      <c r="E138" t="s">
        <v>425</v>
      </c>
    </row>
    <row r="139" spans="1:5" x14ac:dyDescent="0.25">
      <c r="A139" s="14">
        <v>42521.891261574077</v>
      </c>
      <c r="B139" t="s">
        <v>424</v>
      </c>
      <c r="C139" t="s">
        <v>381</v>
      </c>
      <c r="D139">
        <v>1240000</v>
      </c>
      <c r="E139" t="s">
        <v>140</v>
      </c>
    </row>
    <row r="140" spans="1:5" x14ac:dyDescent="0.25">
      <c r="A140" s="14">
        <v>42521.30846064815</v>
      </c>
      <c r="B140" t="s">
        <v>414</v>
      </c>
      <c r="C140" t="s">
        <v>228</v>
      </c>
      <c r="D140">
        <v>1110000</v>
      </c>
      <c r="E140" t="s">
        <v>141</v>
      </c>
    </row>
    <row r="141" spans="1:5" x14ac:dyDescent="0.25">
      <c r="A141" s="14">
        <v>42521.99658564815</v>
      </c>
      <c r="B141" t="s">
        <v>424</v>
      </c>
      <c r="C141" t="s">
        <v>395</v>
      </c>
      <c r="D141">
        <v>1240000</v>
      </c>
      <c r="E141" t="s">
        <v>140</v>
      </c>
    </row>
    <row r="142" spans="1:5" x14ac:dyDescent="0.25">
      <c r="A142" s="14">
        <v>42521.193668981483</v>
      </c>
      <c r="B142" t="s">
        <v>416</v>
      </c>
      <c r="C142" t="s">
        <v>173</v>
      </c>
      <c r="D142">
        <v>1110000</v>
      </c>
      <c r="E142" t="s">
        <v>141</v>
      </c>
    </row>
    <row r="143" spans="1:5" x14ac:dyDescent="0.25">
      <c r="A143" s="14">
        <v>42521.667638888888</v>
      </c>
      <c r="B143" t="s">
        <v>424</v>
      </c>
      <c r="C143" t="s">
        <v>406</v>
      </c>
      <c r="D143">
        <v>940000</v>
      </c>
      <c r="E143" t="s">
        <v>421</v>
      </c>
    </row>
    <row r="144" spans="1:5" x14ac:dyDescent="0.25">
      <c r="A144" s="14">
        <v>42521.182557870372</v>
      </c>
      <c r="B144" t="s">
        <v>136</v>
      </c>
      <c r="C144" t="s">
        <v>180</v>
      </c>
      <c r="D144">
        <v>1230000</v>
      </c>
      <c r="E144" t="s">
        <v>422</v>
      </c>
    </row>
    <row r="145" spans="1:5" x14ac:dyDescent="0.25">
      <c r="A145" s="14">
        <v>42521.786898148152</v>
      </c>
      <c r="B145" t="s">
        <v>419</v>
      </c>
      <c r="C145" t="s">
        <v>367</v>
      </c>
      <c r="D145">
        <v>1180000</v>
      </c>
      <c r="E145" t="s">
        <v>138</v>
      </c>
    </row>
    <row r="146" spans="1:5" x14ac:dyDescent="0.25">
      <c r="A146" s="14">
        <v>42521.258379629631</v>
      </c>
      <c r="B146" t="s">
        <v>136</v>
      </c>
      <c r="C146" t="s">
        <v>212</v>
      </c>
      <c r="D146">
        <v>1230000</v>
      </c>
      <c r="E146" t="s">
        <v>422</v>
      </c>
    </row>
    <row r="147" spans="1:5" x14ac:dyDescent="0.25">
      <c r="A147" s="14">
        <v>42521.929224537038</v>
      </c>
      <c r="B147" t="s">
        <v>420</v>
      </c>
      <c r="C147" t="s">
        <v>384</v>
      </c>
      <c r="D147">
        <v>1240000</v>
      </c>
      <c r="E147" t="s">
        <v>140</v>
      </c>
    </row>
    <row r="148" spans="1:5" x14ac:dyDescent="0.25">
      <c r="A148" s="14">
        <v>42521.228715277779</v>
      </c>
      <c r="B148" t="s">
        <v>424</v>
      </c>
      <c r="C148" t="s">
        <v>196</v>
      </c>
      <c r="D148">
        <v>1090000</v>
      </c>
      <c r="E148" t="s">
        <v>165</v>
      </c>
    </row>
    <row r="149" spans="1:5" x14ac:dyDescent="0.25">
      <c r="A149" s="14">
        <v>42521.974999999999</v>
      </c>
      <c r="B149" t="s">
        <v>417</v>
      </c>
      <c r="C149" t="s">
        <v>388</v>
      </c>
      <c r="D149">
        <v>1820000</v>
      </c>
      <c r="E149" t="s">
        <v>139</v>
      </c>
    </row>
    <row r="150" spans="1:5" x14ac:dyDescent="0.25">
      <c r="A150" s="14">
        <v>42521.615266203706</v>
      </c>
      <c r="B150" t="s">
        <v>83</v>
      </c>
      <c r="C150" t="s">
        <v>316</v>
      </c>
      <c r="D150">
        <v>1540000</v>
      </c>
      <c r="E150" t="s">
        <v>413</v>
      </c>
    </row>
  </sheetData>
  <sortState ref="A1:E215">
    <sortCondition ref="A1:A215"/>
  </sortState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F4"/>
  <sheetViews>
    <sheetView workbookViewId="0">
      <selection activeCell="F3" sqref="F3"/>
    </sheetView>
  </sheetViews>
  <sheetFormatPr defaultRowHeight="15" x14ac:dyDescent="0.25"/>
  <cols>
    <col min="1" max="1" width="32.140625" customWidth="1"/>
    <col min="3" max="3" width="24" customWidth="1"/>
  </cols>
  <sheetData>
    <row r="1" spans="1:6" ht="45.75" x14ac:dyDescent="0.3">
      <c r="A1" s="28" t="s">
        <v>25</v>
      </c>
      <c r="C1" s="36" t="s">
        <v>48</v>
      </c>
    </row>
    <row r="2" spans="1:6" ht="15.75" thickBot="1" x14ac:dyDescent="0.3">
      <c r="A2" s="29">
        <v>42521</v>
      </c>
      <c r="B2" s="10"/>
      <c r="C2" s="37">
        <v>50</v>
      </c>
      <c r="F2" t="s">
        <v>74</v>
      </c>
    </row>
    <row r="3" spans="1:6" x14ac:dyDescent="0.25">
      <c r="F3" t="s">
        <v>75</v>
      </c>
    </row>
    <row r="4" spans="1:6" x14ac:dyDescent="0.25">
      <c r="F4" t="s">
        <v>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Train Runs</vt:lpstr>
      <vt:lpstr>Enforcements</vt:lpstr>
      <vt:lpstr>Missing Trips</vt:lpstr>
      <vt:lpstr>Trips&amp;Operators</vt:lpstr>
      <vt:lpstr>Variables</vt:lpstr>
      <vt:lpstr>'Train Runs'!Denver_Train_Runs_04122016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Whitlock, Robert;Tu, Steve</dc:creator>
  <cp:lastModifiedBy>Steve Tu</cp:lastModifiedBy>
  <dcterms:created xsi:type="dcterms:W3CDTF">2016-04-12T13:52:23Z</dcterms:created>
  <dcterms:modified xsi:type="dcterms:W3CDTF">2016-06-29T15:02:13Z</dcterms:modified>
</cp:coreProperties>
</file>