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Enforcements!$A$6:$V$64</definedName>
    <definedName name="_xlnm._FilterDatabase" localSheetId="2" hidden="1">'Missing Trips'!$A$2:$G$2</definedName>
    <definedName name="_xlnm._FilterDatabase" localSheetId="0" hidden="1">'Train Runs'!$A$12:$AD$156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5" i="1" l="1"/>
  <c r="P146" i="1"/>
  <c r="K146" i="1"/>
  <c r="L146" i="1"/>
  <c r="M146" i="1"/>
  <c r="T146" i="1"/>
  <c r="V146" i="1"/>
  <c r="X146" i="1"/>
  <c r="U146" i="1"/>
  <c r="S146" i="1" s="1"/>
  <c r="AA146" i="1"/>
  <c r="W146" i="1" s="1"/>
  <c r="AB146" i="1"/>
  <c r="AC146" i="1"/>
  <c r="AD146" i="1"/>
  <c r="AE146" i="1"/>
  <c r="AF146" i="1"/>
  <c r="AG146" i="1"/>
  <c r="N95" i="1"/>
  <c r="P87" i="1"/>
  <c r="P2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4" i="1"/>
  <c r="V155" i="1"/>
  <c r="V156" i="1"/>
  <c r="V13" i="1"/>
  <c r="P44" i="1"/>
  <c r="K15" i="1"/>
  <c r="L15" i="1"/>
  <c r="M15" i="1"/>
  <c r="N15" i="1" s="1"/>
  <c r="T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X16" i="1"/>
  <c r="Y16" i="1"/>
  <c r="Z16" i="1"/>
  <c r="AA16" i="1" s="1"/>
  <c r="W16" i="1" s="1"/>
  <c r="AB16" i="1"/>
  <c r="AC16" i="1"/>
  <c r="AD16" i="1"/>
  <c r="AE16" i="1"/>
  <c r="AF16" i="1"/>
  <c r="AG16" i="1"/>
  <c r="K17" i="1"/>
  <c r="L17" i="1"/>
  <c r="M17" i="1"/>
  <c r="N17" i="1" s="1"/>
  <c r="T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X20" i="1"/>
  <c r="Y20" i="1"/>
  <c r="AA20" i="1"/>
  <c r="W20" i="1" s="1"/>
  <c r="AB20" i="1"/>
  <c r="AC20" i="1"/>
  <c r="AD20" i="1"/>
  <c r="AE20" i="1"/>
  <c r="AF20" i="1"/>
  <c r="AG20" i="1"/>
  <c r="K21" i="1"/>
  <c r="L21" i="1"/>
  <c r="M21" i="1"/>
  <c r="N21" i="1" s="1"/>
  <c r="T21" i="1"/>
  <c r="X21" i="1"/>
  <c r="Y21" i="1"/>
  <c r="Z21" i="1"/>
  <c r="AB21" i="1"/>
  <c r="AC21" i="1"/>
  <c r="AD21" i="1"/>
  <c r="AE21" i="1"/>
  <c r="AF21" i="1"/>
  <c r="AG21" i="1"/>
  <c r="K22" i="1"/>
  <c r="L22" i="1"/>
  <c r="M22" i="1"/>
  <c r="T22" i="1"/>
  <c r="X22" i="1"/>
  <c r="Y22" i="1"/>
  <c r="Z22" i="1"/>
  <c r="AB22" i="1"/>
  <c r="AC22" i="1"/>
  <c r="AD22" i="1"/>
  <c r="AE22" i="1"/>
  <c r="AF22" i="1"/>
  <c r="AG22" i="1"/>
  <c r="K23" i="1"/>
  <c r="L23" i="1"/>
  <c r="M23" i="1"/>
  <c r="T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X24" i="1"/>
  <c r="Y24" i="1"/>
  <c r="Z24" i="1"/>
  <c r="AA24" i="1" s="1"/>
  <c r="W24" i="1" s="1"/>
  <c r="AB24" i="1"/>
  <c r="AC24" i="1"/>
  <c r="AD24" i="1"/>
  <c r="AE24" i="1"/>
  <c r="AF24" i="1"/>
  <c r="AG24" i="1"/>
  <c r="K25" i="1"/>
  <c r="L25" i="1"/>
  <c r="M25" i="1"/>
  <c r="N25" i="1" s="1"/>
  <c r="T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/>
  <c r="T27" i="1"/>
  <c r="X27" i="1"/>
  <c r="Y27" i="1"/>
  <c r="Z27" i="1"/>
  <c r="AB27" i="1"/>
  <c r="AC27" i="1"/>
  <c r="AD27" i="1"/>
  <c r="AE27" i="1"/>
  <c r="AF27" i="1"/>
  <c r="AG27" i="1"/>
  <c r="K28" i="1"/>
  <c r="L28" i="1"/>
  <c r="M28" i="1"/>
  <c r="P28" i="1" s="1"/>
  <c r="T28" i="1"/>
  <c r="X28" i="1"/>
  <c r="Y28" i="1"/>
  <c r="AA28" i="1" s="1"/>
  <c r="W28" i="1" s="1"/>
  <c r="Z28" i="1"/>
  <c r="AB28" i="1"/>
  <c r="AC28" i="1"/>
  <c r="AD28" i="1"/>
  <c r="AE28" i="1"/>
  <c r="AF28" i="1"/>
  <c r="AG28" i="1"/>
  <c r="K29" i="1"/>
  <c r="L29" i="1"/>
  <c r="M29" i="1"/>
  <c r="N29" i="1" s="1"/>
  <c r="T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X32" i="1"/>
  <c r="Y32" i="1"/>
  <c r="Z32" i="1"/>
  <c r="AA32" i="1" s="1"/>
  <c r="W32" i="1" s="1"/>
  <c r="AB32" i="1"/>
  <c r="AC32" i="1"/>
  <c r="AD32" i="1"/>
  <c r="AE32" i="1"/>
  <c r="AF32" i="1"/>
  <c r="AG32" i="1"/>
  <c r="K33" i="1"/>
  <c r="L33" i="1"/>
  <c r="M33" i="1"/>
  <c r="N33" i="1" s="1"/>
  <c r="T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X39" i="1"/>
  <c r="Y39" i="1"/>
  <c r="U39" i="1" s="1"/>
  <c r="S39" i="1" s="1"/>
  <c r="Z39" i="1"/>
  <c r="AB39" i="1"/>
  <c r="AC39" i="1"/>
  <c r="AD39" i="1"/>
  <c r="AE39" i="1"/>
  <c r="AF39" i="1"/>
  <c r="AG39" i="1"/>
  <c r="K40" i="1"/>
  <c r="L40" i="1"/>
  <c r="M40" i="1"/>
  <c r="N40" i="1" s="1"/>
  <c r="T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X43" i="1"/>
  <c r="Y43" i="1"/>
  <c r="Z43" i="1"/>
  <c r="AB43" i="1"/>
  <c r="AC43" i="1"/>
  <c r="AD43" i="1"/>
  <c r="AE43" i="1"/>
  <c r="AF43" i="1"/>
  <c r="AG43" i="1"/>
  <c r="K44" i="1"/>
  <c r="L44" i="1"/>
  <c r="M44" i="1"/>
  <c r="T44" i="1"/>
  <c r="X44" i="1"/>
  <c r="Y44" i="1"/>
  <c r="Z44" i="1"/>
  <c r="AA44" i="1" s="1"/>
  <c r="W44" i="1" s="1"/>
  <c r="AB44" i="1"/>
  <c r="AC44" i="1"/>
  <c r="AD44" i="1"/>
  <c r="AE44" i="1"/>
  <c r="AF44" i="1"/>
  <c r="AG44" i="1"/>
  <c r="K45" i="1"/>
  <c r="L45" i="1"/>
  <c r="M45" i="1"/>
  <c r="N45" i="1" s="1"/>
  <c r="T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X46" i="1"/>
  <c r="Y46" i="1"/>
  <c r="Z46" i="1"/>
  <c r="AA46" i="1" s="1"/>
  <c r="W46" i="1" s="1"/>
  <c r="AB46" i="1"/>
  <c r="AC46" i="1"/>
  <c r="AD46" i="1"/>
  <c r="AE46" i="1"/>
  <c r="AF46" i="1"/>
  <c r="AG46" i="1"/>
  <c r="K47" i="1"/>
  <c r="L47" i="1"/>
  <c r="M47" i="1"/>
  <c r="N47" i="1" s="1"/>
  <c r="T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X53" i="1"/>
  <c r="Y53" i="1"/>
  <c r="Z53" i="1"/>
  <c r="AA53" i="1" s="1"/>
  <c r="W53" i="1" s="1"/>
  <c r="AB53" i="1"/>
  <c r="AC53" i="1"/>
  <c r="AD53" i="1"/>
  <c r="AE53" i="1"/>
  <c r="AF53" i="1"/>
  <c r="AG53" i="1"/>
  <c r="K54" i="1"/>
  <c r="L54" i="1"/>
  <c r="M54" i="1"/>
  <c r="N54" i="1" s="1"/>
  <c r="T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/>
  <c r="T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X56" i="1"/>
  <c r="Y56" i="1"/>
  <c r="AA56" i="1" s="1"/>
  <c r="W56" i="1" s="1"/>
  <c r="Z56" i="1"/>
  <c r="AB56" i="1"/>
  <c r="AC56" i="1"/>
  <c r="AD56" i="1"/>
  <c r="AE56" i="1"/>
  <c r="AF56" i="1"/>
  <c r="AG56" i="1"/>
  <c r="K57" i="1"/>
  <c r="L57" i="1"/>
  <c r="M57" i="1"/>
  <c r="N57" i="1" s="1"/>
  <c r="T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X66" i="1"/>
  <c r="Y66" i="1"/>
  <c r="U66" i="1" s="1"/>
  <c r="S66" i="1" s="1"/>
  <c r="Z66" i="1"/>
  <c r="AB66" i="1"/>
  <c r="AC66" i="1"/>
  <c r="AD66" i="1"/>
  <c r="AE66" i="1"/>
  <c r="AF66" i="1"/>
  <c r="AG66" i="1"/>
  <c r="K67" i="1"/>
  <c r="L67" i="1"/>
  <c r="M67" i="1"/>
  <c r="N67" i="1" s="1"/>
  <c r="T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X72" i="1"/>
  <c r="Y72" i="1"/>
  <c r="Z72" i="1"/>
  <c r="AB72" i="1"/>
  <c r="AC72" i="1"/>
  <c r="AD72" i="1"/>
  <c r="AE72" i="1"/>
  <c r="AF72" i="1"/>
  <c r="AG72" i="1"/>
  <c r="K73" i="1"/>
  <c r="L73" i="1"/>
  <c r="M73" i="1"/>
  <c r="P73" i="1" s="1"/>
  <c r="T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X74" i="1"/>
  <c r="Y74" i="1"/>
  <c r="U74" i="1" s="1"/>
  <c r="S74" i="1" s="1"/>
  <c r="Z74" i="1"/>
  <c r="AB74" i="1"/>
  <c r="AC74" i="1"/>
  <c r="AD74" i="1"/>
  <c r="AE74" i="1"/>
  <c r="AF74" i="1"/>
  <c r="AG74" i="1"/>
  <c r="K75" i="1"/>
  <c r="L75" i="1"/>
  <c r="M75" i="1"/>
  <c r="N75" i="1" s="1"/>
  <c r="T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/>
  <c r="T79" i="1"/>
  <c r="X79" i="1"/>
  <c r="Y79" i="1"/>
  <c r="U79" i="1" s="1"/>
  <c r="S79" i="1" s="1"/>
  <c r="Z79" i="1"/>
  <c r="AB79" i="1"/>
  <c r="AC79" i="1"/>
  <c r="AD79" i="1"/>
  <c r="AE79" i="1"/>
  <c r="AF79" i="1"/>
  <c r="AG79" i="1"/>
  <c r="K80" i="1"/>
  <c r="L80" i="1"/>
  <c r="M80" i="1"/>
  <c r="N80" i="1" s="1"/>
  <c r="T80" i="1"/>
  <c r="X80" i="1"/>
  <c r="Y80" i="1"/>
  <c r="Z80" i="1"/>
  <c r="AB80" i="1"/>
  <c r="AC80" i="1"/>
  <c r="AD80" i="1"/>
  <c r="AE80" i="1"/>
  <c r="AF80" i="1"/>
  <c r="AG80" i="1"/>
  <c r="K81" i="1"/>
  <c r="L81" i="1"/>
  <c r="M81" i="1"/>
  <c r="P81" i="1" s="1"/>
  <c r="T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X82" i="1"/>
  <c r="Y82" i="1"/>
  <c r="Z82" i="1"/>
  <c r="AB82" i="1"/>
  <c r="AC82" i="1"/>
  <c r="AD82" i="1"/>
  <c r="AE82" i="1"/>
  <c r="AF82" i="1"/>
  <c r="AG82" i="1"/>
  <c r="K83" i="1"/>
  <c r="L83" i="1"/>
  <c r="M83" i="1"/>
  <c r="P83" i="1" s="1"/>
  <c r="T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X84" i="1"/>
  <c r="Y84" i="1"/>
  <c r="Z84" i="1"/>
  <c r="AB84" i="1"/>
  <c r="AC84" i="1"/>
  <c r="AD84" i="1"/>
  <c r="AE84" i="1"/>
  <c r="AF84" i="1"/>
  <c r="AG84" i="1"/>
  <c r="K85" i="1"/>
  <c r="L85" i="1"/>
  <c r="M85" i="1"/>
  <c r="P85" i="1" s="1"/>
  <c r="T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X87" i="1"/>
  <c r="Y87" i="1"/>
  <c r="Z87" i="1"/>
  <c r="AB87" i="1"/>
  <c r="AC87" i="1"/>
  <c r="AD87" i="1"/>
  <c r="AE87" i="1"/>
  <c r="AF87" i="1"/>
  <c r="AG87" i="1"/>
  <c r="K88" i="1"/>
  <c r="L88" i="1"/>
  <c r="M88" i="1"/>
  <c r="T88" i="1"/>
  <c r="X88" i="1"/>
  <c r="Y88" i="1"/>
  <c r="AA88" i="1" s="1"/>
  <c r="W88" i="1" s="1"/>
  <c r="Z88" i="1"/>
  <c r="AB88" i="1"/>
  <c r="AC88" i="1"/>
  <c r="AD88" i="1"/>
  <c r="AE88" i="1"/>
  <c r="AF88" i="1"/>
  <c r="AG88" i="1"/>
  <c r="K89" i="1"/>
  <c r="L89" i="1"/>
  <c r="M89" i="1"/>
  <c r="N89" i="1" s="1"/>
  <c r="T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X94" i="1"/>
  <c r="Y94" i="1"/>
  <c r="Z94" i="1"/>
  <c r="AB94" i="1"/>
  <c r="AC94" i="1"/>
  <c r="AD94" i="1"/>
  <c r="AE94" i="1"/>
  <c r="AF94" i="1"/>
  <c r="AG94" i="1"/>
  <c r="K95" i="1"/>
  <c r="L95" i="1"/>
  <c r="M95" i="1"/>
  <c r="T95" i="1"/>
  <c r="X95" i="1"/>
  <c r="Y95" i="1"/>
  <c r="AB95" i="1"/>
  <c r="AC95" i="1"/>
  <c r="AD95" i="1"/>
  <c r="AE95" i="1"/>
  <c r="AF95" i="1"/>
  <c r="AG95" i="1"/>
  <c r="K96" i="1"/>
  <c r="L96" i="1"/>
  <c r="M96" i="1"/>
  <c r="N96" i="1" s="1"/>
  <c r="T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X104" i="1"/>
  <c r="Y104" i="1"/>
  <c r="Z104" i="1"/>
  <c r="AA104" i="1" s="1"/>
  <c r="W104" i="1" s="1"/>
  <c r="AB104" i="1"/>
  <c r="AC104" i="1"/>
  <c r="AD104" i="1"/>
  <c r="AE104" i="1"/>
  <c r="AF104" i="1"/>
  <c r="AG104" i="1"/>
  <c r="K105" i="1"/>
  <c r="L105" i="1"/>
  <c r="M105" i="1"/>
  <c r="N105" i="1" s="1"/>
  <c r="T105" i="1"/>
  <c r="X105" i="1"/>
  <c r="Y105" i="1"/>
  <c r="Z105" i="1"/>
  <c r="AA105" i="1" s="1"/>
  <c r="W105" i="1" s="1"/>
  <c r="AB105" i="1"/>
  <c r="AC105" i="1"/>
  <c r="AD105" i="1"/>
  <c r="AE105" i="1"/>
  <c r="AF105" i="1"/>
  <c r="AG105" i="1"/>
  <c r="K106" i="1"/>
  <c r="L106" i="1"/>
  <c r="M106" i="1"/>
  <c r="N106" i="1" s="1"/>
  <c r="T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/>
  <c r="T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X108" i="1"/>
  <c r="Y108" i="1"/>
  <c r="AA108" i="1" s="1"/>
  <c r="W108" i="1" s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X112" i="1"/>
  <c r="Y112" i="1"/>
  <c r="AA112" i="1" s="1"/>
  <c r="W112" i="1" s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X115" i="1"/>
  <c r="Y115" i="1"/>
  <c r="Z115" i="1"/>
  <c r="AA115" i="1" s="1"/>
  <c r="W115" i="1" s="1"/>
  <c r="AB115" i="1"/>
  <c r="AC115" i="1"/>
  <c r="AD115" i="1"/>
  <c r="AE115" i="1"/>
  <c r="AF115" i="1"/>
  <c r="AG115" i="1"/>
  <c r="K116" i="1"/>
  <c r="L116" i="1"/>
  <c r="M116" i="1"/>
  <c r="N116" i="1" s="1"/>
  <c r="T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X119" i="1"/>
  <c r="Y119" i="1"/>
  <c r="Z119" i="1"/>
  <c r="AA119" i="1" s="1"/>
  <c r="W119" i="1" s="1"/>
  <c r="AB119" i="1"/>
  <c r="AC119" i="1"/>
  <c r="AD119" i="1"/>
  <c r="AE119" i="1"/>
  <c r="AF119" i="1"/>
  <c r="AG119" i="1"/>
  <c r="K120" i="1"/>
  <c r="L120" i="1"/>
  <c r="M120" i="1"/>
  <c r="N120" i="1" s="1"/>
  <c r="T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X124" i="1"/>
  <c r="Y124" i="1"/>
  <c r="Z124" i="1"/>
  <c r="AA124" i="1" s="1"/>
  <c r="W124" i="1" s="1"/>
  <c r="AB124" i="1"/>
  <c r="AC124" i="1"/>
  <c r="AD124" i="1"/>
  <c r="AE124" i="1"/>
  <c r="AF124" i="1"/>
  <c r="AG124" i="1"/>
  <c r="K125" i="1"/>
  <c r="L125" i="1"/>
  <c r="M125" i="1"/>
  <c r="N125" i="1" s="1"/>
  <c r="T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X128" i="1"/>
  <c r="Y128" i="1"/>
  <c r="Z128" i="1"/>
  <c r="AA128" i="1" s="1"/>
  <c r="W128" i="1" s="1"/>
  <c r="AB128" i="1"/>
  <c r="AC128" i="1"/>
  <c r="AD128" i="1"/>
  <c r="AE128" i="1"/>
  <c r="AF128" i="1"/>
  <c r="AG128" i="1"/>
  <c r="K129" i="1"/>
  <c r="L129" i="1"/>
  <c r="M129" i="1"/>
  <c r="N129" i="1" s="1"/>
  <c r="T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X136" i="1"/>
  <c r="Y136" i="1"/>
  <c r="Z136" i="1"/>
  <c r="AA136" i="1" s="1"/>
  <c r="W136" i="1" s="1"/>
  <c r="AB136" i="1"/>
  <c r="AC136" i="1"/>
  <c r="AD136" i="1"/>
  <c r="AE136" i="1"/>
  <c r="AF136" i="1"/>
  <c r="AG136" i="1"/>
  <c r="K137" i="1"/>
  <c r="L137" i="1"/>
  <c r="M137" i="1"/>
  <c r="N137" i="1" s="1"/>
  <c r="T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X138" i="1"/>
  <c r="Y138" i="1"/>
  <c r="Z138" i="1"/>
  <c r="AA138" i="1" s="1"/>
  <c r="W138" i="1" s="1"/>
  <c r="AB138" i="1"/>
  <c r="AC138" i="1"/>
  <c r="AD138" i="1"/>
  <c r="AE138" i="1"/>
  <c r="AF138" i="1"/>
  <c r="AG138" i="1"/>
  <c r="K139" i="1"/>
  <c r="L139" i="1"/>
  <c r="M139" i="1"/>
  <c r="N139" i="1" s="1"/>
  <c r="T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X145" i="1"/>
  <c r="Y145" i="1"/>
  <c r="Z145" i="1"/>
  <c r="AB145" i="1"/>
  <c r="AC145" i="1"/>
  <c r="AD145" i="1"/>
  <c r="AE145" i="1"/>
  <c r="AF145" i="1"/>
  <c r="AG145" i="1"/>
  <c r="K147" i="1"/>
  <c r="L147" i="1"/>
  <c r="M147" i="1"/>
  <c r="N147" i="1" s="1"/>
  <c r="T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/>
  <c r="T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/>
  <c r="T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T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T156" i="1"/>
  <c r="X156" i="1"/>
  <c r="Y156" i="1"/>
  <c r="Z156" i="1"/>
  <c r="AB156" i="1"/>
  <c r="AC156" i="1"/>
  <c r="AD156" i="1"/>
  <c r="AE156" i="1"/>
  <c r="AF156" i="1"/>
  <c r="AG156" i="1"/>
  <c r="L64" i="3"/>
  <c r="S64" i="3"/>
  <c r="T64" i="3"/>
  <c r="U64" i="3"/>
  <c r="V64" i="3"/>
  <c r="AA84" i="1" l="1"/>
  <c r="W84" i="1" s="1"/>
  <c r="U71" i="1"/>
  <c r="S71" i="1" s="1"/>
  <c r="U141" i="1"/>
  <c r="S141" i="1" s="1"/>
  <c r="AA139" i="1"/>
  <c r="W139" i="1" s="1"/>
  <c r="AA133" i="1"/>
  <c r="W133" i="1" s="1"/>
  <c r="AA76" i="1"/>
  <c r="W76" i="1" s="1"/>
  <c r="AA68" i="1"/>
  <c r="W68" i="1" s="1"/>
  <c r="AA37" i="1"/>
  <c r="W37" i="1" s="1"/>
  <c r="AA147" i="1"/>
  <c r="W147" i="1" s="1"/>
  <c r="AA144" i="1"/>
  <c r="W144" i="1" s="1"/>
  <c r="AA142" i="1"/>
  <c r="W142" i="1" s="1"/>
  <c r="AA127" i="1"/>
  <c r="W127" i="1" s="1"/>
  <c r="AA101" i="1"/>
  <c r="W101" i="1" s="1"/>
  <c r="AA99" i="1"/>
  <c r="W99" i="1" s="1"/>
  <c r="AA97" i="1"/>
  <c r="W97" i="1" s="1"/>
  <c r="AA95" i="1"/>
  <c r="W95" i="1" s="1"/>
  <c r="AA93" i="1"/>
  <c r="W93" i="1" s="1"/>
  <c r="AA85" i="1"/>
  <c r="W85" i="1" s="1"/>
  <c r="AA52" i="1"/>
  <c r="W52" i="1" s="1"/>
  <c r="AA40" i="1"/>
  <c r="W40" i="1" s="1"/>
  <c r="AA36" i="1"/>
  <c r="W36" i="1" s="1"/>
  <c r="AA151" i="1"/>
  <c r="W151" i="1" s="1"/>
  <c r="AA149" i="1"/>
  <c r="W149" i="1" s="1"/>
  <c r="U149" i="1"/>
  <c r="S149" i="1" s="1"/>
  <c r="U145" i="1"/>
  <c r="S145" i="1" s="1"/>
  <c r="AA143" i="1"/>
  <c r="W143" i="1" s="1"/>
  <c r="U134" i="1"/>
  <c r="S134" i="1" s="1"/>
  <c r="U133" i="1"/>
  <c r="S133" i="1" s="1"/>
  <c r="U126" i="1"/>
  <c r="S126" i="1" s="1"/>
  <c r="U121" i="1"/>
  <c r="S121" i="1" s="1"/>
  <c r="AA116" i="1"/>
  <c r="W116" i="1" s="1"/>
  <c r="U114" i="1"/>
  <c r="S114" i="1" s="1"/>
  <c r="U110" i="1"/>
  <c r="S110" i="1" s="1"/>
  <c r="AA100" i="1"/>
  <c r="W100" i="1" s="1"/>
  <c r="AA96" i="1"/>
  <c r="W96" i="1" s="1"/>
  <c r="AA92" i="1"/>
  <c r="W92" i="1" s="1"/>
  <c r="AA72" i="1"/>
  <c r="W72" i="1" s="1"/>
  <c r="AA65" i="1"/>
  <c r="W65" i="1" s="1"/>
  <c r="U65" i="1"/>
  <c r="S65" i="1" s="1"/>
  <c r="AA61" i="1"/>
  <c r="W61" i="1" s="1"/>
  <c r="U61" i="1"/>
  <c r="S61" i="1" s="1"/>
  <c r="AA55" i="1"/>
  <c r="W55" i="1" s="1"/>
  <c r="U54" i="1"/>
  <c r="S54" i="1" s="1"/>
  <c r="AA48" i="1"/>
  <c r="W48" i="1" s="1"/>
  <c r="AA31" i="1"/>
  <c r="W31" i="1" s="1"/>
  <c r="AA140" i="1"/>
  <c r="W140" i="1" s="1"/>
  <c r="U137" i="1"/>
  <c r="S137" i="1" s="1"/>
  <c r="AA135" i="1"/>
  <c r="W135" i="1" s="1"/>
  <c r="AA129" i="1"/>
  <c r="W129" i="1" s="1"/>
  <c r="AA122" i="1"/>
  <c r="W122" i="1" s="1"/>
  <c r="AA120" i="1"/>
  <c r="W120" i="1" s="1"/>
  <c r="U113" i="1"/>
  <c r="S113" i="1" s="1"/>
  <c r="AA111" i="1"/>
  <c r="W111" i="1" s="1"/>
  <c r="AA109" i="1"/>
  <c r="W109" i="1" s="1"/>
  <c r="U86" i="1"/>
  <c r="S86" i="1" s="1"/>
  <c r="U82" i="1"/>
  <c r="S82" i="1" s="1"/>
  <c r="AA80" i="1"/>
  <c r="W80" i="1" s="1"/>
  <c r="U75" i="1"/>
  <c r="S75" i="1" s="1"/>
  <c r="AA73" i="1"/>
  <c r="W73" i="1" s="1"/>
  <c r="AA64" i="1"/>
  <c r="W64" i="1" s="1"/>
  <c r="AA62" i="1"/>
  <c r="W62" i="1" s="1"/>
  <c r="AA60" i="1"/>
  <c r="W60" i="1" s="1"/>
  <c r="U47" i="1"/>
  <c r="S47" i="1" s="1"/>
  <c r="U43" i="1"/>
  <c r="S43" i="1" s="1"/>
  <c r="U38" i="1"/>
  <c r="S38" i="1" s="1"/>
  <c r="AA27" i="1"/>
  <c r="W27" i="1" s="1"/>
  <c r="U26" i="1"/>
  <c r="S26" i="1" s="1"/>
  <c r="U18" i="1"/>
  <c r="S18" i="1" s="1"/>
  <c r="AA156" i="1"/>
  <c r="W156" i="1" s="1"/>
  <c r="U84" i="1"/>
  <c r="S84" i="1" s="1"/>
  <c r="U24" i="1"/>
  <c r="S24" i="1" s="1"/>
  <c r="U154" i="1"/>
  <c r="S154" i="1" s="1"/>
  <c r="AA152" i="1"/>
  <c r="W152" i="1" s="1"/>
  <c r="AA155" i="1"/>
  <c r="W155" i="1" s="1"/>
  <c r="AA153" i="1"/>
  <c r="W153" i="1" s="1"/>
  <c r="U150" i="1"/>
  <c r="S150" i="1" s="1"/>
  <c r="AA148" i="1"/>
  <c r="W148" i="1" s="1"/>
  <c r="U98" i="1"/>
  <c r="S98" i="1" s="1"/>
  <c r="U94" i="1"/>
  <c r="S94" i="1" s="1"/>
  <c r="U78" i="1"/>
  <c r="S78" i="1" s="1"/>
  <c r="U52" i="1"/>
  <c r="S52" i="1" s="1"/>
  <c r="U30" i="1"/>
  <c r="S30" i="1" s="1"/>
  <c r="AA25" i="1"/>
  <c r="W25" i="1" s="1"/>
  <c r="AA19" i="1"/>
  <c r="W19" i="1" s="1"/>
  <c r="U140" i="1"/>
  <c r="S140" i="1" s="1"/>
  <c r="U153" i="1"/>
  <c r="S153" i="1" s="1"/>
  <c r="U109" i="1"/>
  <c r="S109" i="1" s="1"/>
  <c r="U93" i="1"/>
  <c r="S93" i="1" s="1"/>
  <c r="U136" i="1"/>
  <c r="S136" i="1" s="1"/>
  <c r="U128" i="1"/>
  <c r="S128" i="1" s="1"/>
  <c r="U97" i="1"/>
  <c r="S97" i="1" s="1"/>
  <c r="U144" i="1"/>
  <c r="S144" i="1" s="1"/>
  <c r="U131" i="1"/>
  <c r="S131" i="1" s="1"/>
  <c r="AA131" i="1"/>
  <c r="W131" i="1" s="1"/>
  <c r="U117" i="1"/>
  <c r="S117" i="1" s="1"/>
  <c r="U80" i="1"/>
  <c r="S80" i="1" s="1"/>
  <c r="U101" i="1"/>
  <c r="S101" i="1" s="1"/>
  <c r="U85" i="1"/>
  <c r="S85" i="1" s="1"/>
  <c r="U16" i="1"/>
  <c r="S16" i="1" s="1"/>
  <c r="U37" i="1"/>
  <c r="S37" i="1" s="1"/>
  <c r="AA154" i="1"/>
  <c r="W154" i="1" s="1"/>
  <c r="AA150" i="1"/>
  <c r="W150" i="1" s="1"/>
  <c r="AA145" i="1"/>
  <c r="W145" i="1" s="1"/>
  <c r="AA141" i="1"/>
  <c r="W141" i="1" s="1"/>
  <c r="AA137" i="1"/>
  <c r="W137" i="1" s="1"/>
  <c r="U129" i="1"/>
  <c r="S129" i="1" s="1"/>
  <c r="U124" i="1"/>
  <c r="S124" i="1" s="1"/>
  <c r="AA123" i="1"/>
  <c r="W123" i="1" s="1"/>
  <c r="AA118" i="1"/>
  <c r="W118" i="1" s="1"/>
  <c r="AA110" i="1"/>
  <c r="W110" i="1" s="1"/>
  <c r="AA107" i="1"/>
  <c r="W107" i="1" s="1"/>
  <c r="U106" i="1"/>
  <c r="S106" i="1" s="1"/>
  <c r="U104" i="1"/>
  <c r="S104" i="1" s="1"/>
  <c r="AA98" i="1"/>
  <c r="W98" i="1" s="1"/>
  <c r="AA94" i="1"/>
  <c r="W94" i="1" s="1"/>
  <c r="AA91" i="1"/>
  <c r="W91" i="1" s="1"/>
  <c r="U90" i="1"/>
  <c r="S90" i="1" s="1"/>
  <c r="U88" i="1"/>
  <c r="U81" i="1"/>
  <c r="S81" i="1" s="1"/>
  <c r="AA77" i="1"/>
  <c r="W77" i="1" s="1"/>
  <c r="U77" i="1"/>
  <c r="S77" i="1" s="1"/>
  <c r="AA71" i="1"/>
  <c r="W71" i="1" s="1"/>
  <c r="U70" i="1"/>
  <c r="S70" i="1" s="1"/>
  <c r="U68" i="1"/>
  <c r="S68" i="1" s="1"/>
  <c r="U62" i="1"/>
  <c r="S62" i="1" s="1"/>
  <c r="U55" i="1"/>
  <c r="S55" i="1" s="1"/>
  <c r="U53" i="1"/>
  <c r="S53" i="1" s="1"/>
  <c r="AA47" i="1"/>
  <c r="W47" i="1" s="1"/>
  <c r="AA43" i="1"/>
  <c r="W43" i="1" s="1"/>
  <c r="U42" i="1"/>
  <c r="S42" i="1" s="1"/>
  <c r="U40" i="1"/>
  <c r="S40" i="1" s="1"/>
  <c r="AA35" i="1"/>
  <c r="W35" i="1" s="1"/>
  <c r="U34" i="1"/>
  <c r="S34" i="1" s="1"/>
  <c r="U32" i="1"/>
  <c r="S32" i="1" s="1"/>
  <c r="U28" i="1"/>
  <c r="S28" i="1" s="1"/>
  <c r="U25" i="1"/>
  <c r="S25" i="1" s="1"/>
  <c r="AA17" i="1"/>
  <c r="W17" i="1" s="1"/>
  <c r="U17" i="1"/>
  <c r="S17" i="1" s="1"/>
  <c r="U73" i="1"/>
  <c r="S73" i="1" s="1"/>
  <c r="U125" i="1"/>
  <c r="S125" i="1" s="1"/>
  <c r="U120" i="1"/>
  <c r="S120" i="1" s="1"/>
  <c r="U105" i="1"/>
  <c r="S105" i="1" s="1"/>
  <c r="AA89" i="1"/>
  <c r="W89" i="1" s="1"/>
  <c r="U89" i="1"/>
  <c r="S89" i="1" s="1"/>
  <c r="AA82" i="1"/>
  <c r="W82" i="1" s="1"/>
  <c r="AA78" i="1"/>
  <c r="W78" i="1" s="1"/>
  <c r="AA69" i="1"/>
  <c r="W69" i="1" s="1"/>
  <c r="U69" i="1"/>
  <c r="S69" i="1" s="1"/>
  <c r="AA63" i="1"/>
  <c r="W63" i="1" s="1"/>
  <c r="AA59" i="1"/>
  <c r="W59" i="1" s="1"/>
  <c r="U58" i="1"/>
  <c r="S58" i="1" s="1"/>
  <c r="U56" i="1"/>
  <c r="S56" i="1" s="1"/>
  <c r="AA51" i="1"/>
  <c r="W51" i="1" s="1"/>
  <c r="U50" i="1"/>
  <c r="S50" i="1" s="1"/>
  <c r="U48" i="1"/>
  <c r="S48" i="1" s="1"/>
  <c r="U44" i="1"/>
  <c r="S44" i="1" s="1"/>
  <c r="AA41" i="1"/>
  <c r="W41" i="1" s="1"/>
  <c r="U41" i="1"/>
  <c r="S41" i="1" s="1"/>
  <c r="AA33" i="1"/>
  <c r="W33" i="1" s="1"/>
  <c r="U33" i="1"/>
  <c r="S33" i="1" s="1"/>
  <c r="AA29" i="1"/>
  <c r="W29" i="1" s="1"/>
  <c r="U29" i="1"/>
  <c r="S29" i="1" s="1"/>
  <c r="AA23" i="1"/>
  <c r="W23" i="1" s="1"/>
  <c r="U22" i="1"/>
  <c r="S22" i="1" s="1"/>
  <c r="U20" i="1"/>
  <c r="S20" i="1" s="1"/>
  <c r="U76" i="1"/>
  <c r="S76" i="1" s="1"/>
  <c r="U46" i="1"/>
  <c r="S46" i="1" s="1"/>
  <c r="U156" i="1"/>
  <c r="U155" i="1"/>
  <c r="S155" i="1" s="1"/>
  <c r="U152" i="1"/>
  <c r="S152" i="1" s="1"/>
  <c r="U151" i="1"/>
  <c r="S151" i="1" s="1"/>
  <c r="U148" i="1"/>
  <c r="S148" i="1" s="1"/>
  <c r="U147" i="1"/>
  <c r="S147" i="1" s="1"/>
  <c r="U143" i="1"/>
  <c r="S143" i="1" s="1"/>
  <c r="U142" i="1"/>
  <c r="S142" i="1" s="1"/>
  <c r="U139" i="1"/>
  <c r="S139" i="1" s="1"/>
  <c r="U138" i="1"/>
  <c r="S138" i="1" s="1"/>
  <c r="U135" i="1"/>
  <c r="S135" i="1" s="1"/>
  <c r="AA132" i="1"/>
  <c r="W132" i="1" s="1"/>
  <c r="U132" i="1"/>
  <c r="S132" i="1" s="1"/>
  <c r="U130" i="1"/>
  <c r="S130" i="1" s="1"/>
  <c r="AA125" i="1"/>
  <c r="W125" i="1" s="1"/>
  <c r="AA121" i="1"/>
  <c r="W121" i="1" s="1"/>
  <c r="U119" i="1"/>
  <c r="S119" i="1" s="1"/>
  <c r="AA117" i="1"/>
  <c r="W117" i="1" s="1"/>
  <c r="U116" i="1"/>
  <c r="S116" i="1" s="1"/>
  <c r="U112" i="1"/>
  <c r="S112" i="1" s="1"/>
  <c r="U108" i="1"/>
  <c r="S108" i="1" s="1"/>
  <c r="AA103" i="1"/>
  <c r="W103" i="1" s="1"/>
  <c r="U102" i="1"/>
  <c r="S102" i="1" s="1"/>
  <c r="U100" i="1"/>
  <c r="S100" i="1" s="1"/>
  <c r="U96" i="1"/>
  <c r="S96" i="1" s="1"/>
  <c r="U92" i="1"/>
  <c r="S92" i="1" s="1"/>
  <c r="AA87" i="1"/>
  <c r="W87" i="1" s="1"/>
  <c r="AA83" i="1"/>
  <c r="W83" i="1" s="1"/>
  <c r="AA79" i="1"/>
  <c r="W79" i="1" s="1"/>
  <c r="AA75" i="1"/>
  <c r="W75" i="1" s="1"/>
  <c r="U72" i="1"/>
  <c r="S72" i="1" s="1"/>
  <c r="AA67" i="1"/>
  <c r="W67" i="1" s="1"/>
  <c r="U64" i="1"/>
  <c r="S64" i="1" s="1"/>
  <c r="U60" i="1"/>
  <c r="S60" i="1" s="1"/>
  <c r="AA57" i="1"/>
  <c r="W57" i="1" s="1"/>
  <c r="U57" i="1"/>
  <c r="S57" i="1" s="1"/>
  <c r="AA49" i="1"/>
  <c r="W49" i="1" s="1"/>
  <c r="U49" i="1"/>
  <c r="S49" i="1" s="1"/>
  <c r="AA45" i="1"/>
  <c r="W45" i="1" s="1"/>
  <c r="U45" i="1"/>
  <c r="S45" i="1" s="1"/>
  <c r="AA39" i="1"/>
  <c r="W39" i="1" s="1"/>
  <c r="U36" i="1"/>
  <c r="S36" i="1" s="1"/>
  <c r="AA30" i="1"/>
  <c r="W30" i="1" s="1"/>
  <c r="AA21" i="1"/>
  <c r="W21" i="1" s="1"/>
  <c r="U21" i="1"/>
  <c r="S21" i="1" s="1"/>
  <c r="AA15" i="1"/>
  <c r="W15" i="1" s="1"/>
  <c r="AA134" i="1"/>
  <c r="W134" i="1" s="1"/>
  <c r="AA130" i="1"/>
  <c r="W130" i="1" s="1"/>
  <c r="U107" i="1"/>
  <c r="S107" i="1" s="1"/>
  <c r="AA102" i="1"/>
  <c r="W102" i="1" s="1"/>
  <c r="U91" i="1"/>
  <c r="S91" i="1" s="1"/>
  <c r="AA86" i="1"/>
  <c r="W86" i="1" s="1"/>
  <c r="U118" i="1"/>
  <c r="S118" i="1" s="1"/>
  <c r="U87" i="1"/>
  <c r="U123" i="1"/>
  <c r="S123" i="1" s="1"/>
  <c r="U122" i="1"/>
  <c r="S122" i="1" s="1"/>
  <c r="U99" i="1"/>
  <c r="S99" i="1" s="1"/>
  <c r="U83" i="1"/>
  <c r="S83" i="1" s="1"/>
  <c r="U103" i="1"/>
  <c r="S103" i="1" s="1"/>
  <c r="U127" i="1"/>
  <c r="S127" i="1" s="1"/>
  <c r="AA126" i="1"/>
  <c r="W126" i="1" s="1"/>
  <c r="U115" i="1"/>
  <c r="S115" i="1" s="1"/>
  <c r="AA114" i="1"/>
  <c r="W114" i="1" s="1"/>
  <c r="AA113" i="1"/>
  <c r="W113" i="1" s="1"/>
  <c r="U111" i="1"/>
  <c r="S111" i="1" s="1"/>
  <c r="AA106" i="1"/>
  <c r="W106" i="1" s="1"/>
  <c r="U95" i="1"/>
  <c r="S95" i="1" s="1"/>
  <c r="AA90" i="1"/>
  <c r="W90" i="1" s="1"/>
  <c r="U19" i="1"/>
  <c r="S19" i="1" s="1"/>
  <c r="AA70" i="1"/>
  <c r="W70" i="1" s="1"/>
  <c r="U59" i="1"/>
  <c r="S59" i="1" s="1"/>
  <c r="AA54" i="1"/>
  <c r="W54" i="1" s="1"/>
  <c r="AA38" i="1"/>
  <c r="W38" i="1" s="1"/>
  <c r="U27" i="1"/>
  <c r="S27" i="1" s="1"/>
  <c r="AA22" i="1"/>
  <c r="W22" i="1" s="1"/>
  <c r="AA66" i="1"/>
  <c r="W66" i="1" s="1"/>
  <c r="AA50" i="1"/>
  <c r="W50" i="1" s="1"/>
  <c r="AA34" i="1"/>
  <c r="W34" i="1" s="1"/>
  <c r="U23" i="1"/>
  <c r="S23" i="1" s="1"/>
  <c r="AA18" i="1"/>
  <c r="W18" i="1" s="1"/>
  <c r="AA81" i="1"/>
  <c r="W81" i="1" s="1"/>
  <c r="AA74" i="1"/>
  <c r="W74" i="1" s="1"/>
  <c r="U67" i="1"/>
  <c r="S67" i="1" s="1"/>
  <c r="U63" i="1"/>
  <c r="S63" i="1" s="1"/>
  <c r="AA58" i="1"/>
  <c r="W58" i="1" s="1"/>
  <c r="U51" i="1"/>
  <c r="S51" i="1" s="1"/>
  <c r="AA42" i="1"/>
  <c r="W42" i="1" s="1"/>
  <c r="U35" i="1"/>
  <c r="S35" i="1" s="1"/>
  <c r="U31" i="1"/>
  <c r="S31" i="1" s="1"/>
  <c r="AA26" i="1"/>
  <c r="W26" i="1" s="1"/>
  <c r="U15" i="1"/>
  <c r="S15" i="1" s="1"/>
  <c r="V22" i="3"/>
  <c r="V29" i="3"/>
  <c r="V30" i="3"/>
  <c r="V27" i="3"/>
  <c r="V28" i="3"/>
  <c r="V52" i="3"/>
  <c r="V31" i="3"/>
  <c r="V32" i="3"/>
  <c r="V21" i="3"/>
  <c r="V13" i="3"/>
  <c r="V33" i="3"/>
  <c r="V34" i="3"/>
  <c r="V35" i="3"/>
  <c r="V20" i="3"/>
  <c r="V36" i="3"/>
  <c r="V53" i="3"/>
  <c r="V7" i="3"/>
  <c r="V37" i="3"/>
  <c r="V38" i="3"/>
  <c r="V39" i="3"/>
  <c r="V17" i="3"/>
  <c r="V54" i="3"/>
  <c r="V9" i="3"/>
  <c r="V23" i="3"/>
  <c r="V16" i="3"/>
  <c r="V8" i="3"/>
  <c r="V50" i="3"/>
  <c r="V26" i="3"/>
  <c r="V40" i="3"/>
  <c r="V55" i="3"/>
  <c r="V24" i="3"/>
  <c r="V25" i="3"/>
  <c r="V15" i="3"/>
  <c r="V56" i="3"/>
  <c r="V41" i="3"/>
  <c r="V18" i="3"/>
  <c r="V12" i="3"/>
  <c r="V57" i="3"/>
  <c r="V11" i="3"/>
  <c r="V42" i="3"/>
  <c r="V43" i="3"/>
  <c r="V19" i="3"/>
  <c r="V44" i="3"/>
  <c r="V14" i="3"/>
  <c r="V45" i="3"/>
  <c r="V58" i="3"/>
  <c r="V46" i="3"/>
  <c r="V47" i="3"/>
  <c r="V59" i="3"/>
  <c r="V60" i="3"/>
  <c r="V48" i="3"/>
  <c r="V49" i="3"/>
  <c r="V61" i="3"/>
  <c r="V62" i="3"/>
  <c r="V10" i="3"/>
  <c r="V63" i="3"/>
  <c r="V51" i="3"/>
  <c r="L37" i="3"/>
  <c r="L42" i="3"/>
  <c r="L26" i="3"/>
  <c r="L7" i="3"/>
  <c r="L31" i="3"/>
  <c r="L27" i="3"/>
  <c r="L52" i="3"/>
  <c r="L50" i="3"/>
  <c r="L41" i="3"/>
  <c r="L25" i="3"/>
  <c r="L63" i="3"/>
  <c r="L38" i="3"/>
  <c r="L62" i="3"/>
  <c r="L24" i="3"/>
  <c r="L47" i="3"/>
  <c r="L51" i="3"/>
  <c r="L29" i="3"/>
  <c r="L39" i="3"/>
  <c r="L48" i="3"/>
  <c r="L17" i="3"/>
  <c r="L54" i="3"/>
  <c r="L61" i="3"/>
  <c r="L55" i="3"/>
  <c r="L59" i="3"/>
  <c r="L32" i="3"/>
  <c r="L28" i="3"/>
  <c r="L18" i="3"/>
  <c r="L10" i="3"/>
  <c r="L9" i="3"/>
  <c r="L21" i="3"/>
  <c r="L23" i="3"/>
  <c r="L60" i="3"/>
  <c r="L53" i="3"/>
  <c r="L22" i="3"/>
  <c r="L16" i="3"/>
  <c r="L13" i="3"/>
  <c r="S87" i="1" l="1"/>
  <c r="AF14" i="1"/>
  <c r="R64" i="3"/>
  <c r="AF13" i="1"/>
  <c r="Q64" i="3" l="1"/>
  <c r="P64" i="3"/>
  <c r="Q13" i="3" l="1"/>
  <c r="P22" i="3"/>
  <c r="P16" i="3"/>
  <c r="R16" i="3"/>
  <c r="S23" i="3"/>
  <c r="T23" i="3"/>
  <c r="U23" i="3"/>
  <c r="S17" i="3"/>
  <c r="T17" i="3"/>
  <c r="U17" i="3"/>
  <c r="S60" i="3"/>
  <c r="T60" i="3"/>
  <c r="U60" i="3"/>
  <c r="S27" i="3"/>
  <c r="T27" i="3"/>
  <c r="U27" i="3"/>
  <c r="L30" i="3"/>
  <c r="S30" i="3"/>
  <c r="T30" i="3"/>
  <c r="U30" i="3"/>
  <c r="S53" i="3"/>
  <c r="T53" i="3"/>
  <c r="U53" i="3"/>
  <c r="S22" i="3"/>
  <c r="T22" i="3"/>
  <c r="U22" i="3"/>
  <c r="S16" i="3"/>
  <c r="T16" i="3"/>
  <c r="U16" i="3"/>
  <c r="S54" i="3"/>
  <c r="T54" i="3"/>
  <c r="U54" i="3"/>
  <c r="S61" i="3"/>
  <c r="T61" i="3"/>
  <c r="U61" i="3"/>
  <c r="P13" i="3"/>
  <c r="R13" i="3"/>
  <c r="S13" i="3"/>
  <c r="T13" i="3"/>
  <c r="U13" i="3"/>
  <c r="L43" i="3"/>
  <c r="S43" i="3"/>
  <c r="T43" i="3"/>
  <c r="U43" i="3"/>
  <c r="L8" i="3"/>
  <c r="S8" i="3"/>
  <c r="T8" i="3"/>
  <c r="U8" i="3"/>
  <c r="S24" i="3"/>
  <c r="T24" i="3"/>
  <c r="U24" i="3"/>
  <c r="L19" i="3"/>
  <c r="S19" i="3"/>
  <c r="T19" i="3"/>
  <c r="U19" i="3"/>
  <c r="S47" i="3"/>
  <c r="T47" i="3"/>
  <c r="U47" i="3"/>
  <c r="S18" i="3"/>
  <c r="T18" i="3"/>
  <c r="U18" i="3"/>
  <c r="S10" i="3"/>
  <c r="T10" i="3"/>
  <c r="U10" i="3"/>
  <c r="S51" i="3"/>
  <c r="T51" i="3"/>
  <c r="U51" i="3"/>
  <c r="S7" i="3"/>
  <c r="T7" i="3"/>
  <c r="U7" i="3"/>
  <c r="S9" i="3"/>
  <c r="T9" i="3"/>
  <c r="U9" i="3"/>
  <c r="S31" i="3"/>
  <c r="T31" i="3"/>
  <c r="U31" i="3"/>
  <c r="S29" i="3"/>
  <c r="T29" i="3"/>
  <c r="U29" i="3"/>
  <c r="S21" i="3"/>
  <c r="T21" i="3"/>
  <c r="U21" i="3"/>
  <c r="L46" i="3"/>
  <c r="S46" i="3"/>
  <c r="T46" i="3"/>
  <c r="U46" i="3"/>
  <c r="S39" i="3"/>
  <c r="T39" i="3"/>
  <c r="U39" i="3"/>
  <c r="S48" i="3"/>
  <c r="T48" i="3"/>
  <c r="U48" i="3"/>
  <c r="L36" i="3"/>
  <c r="S36" i="3"/>
  <c r="T36" i="3"/>
  <c r="U36" i="3"/>
  <c r="Q16" i="3" l="1"/>
  <c r="R22" i="3"/>
  <c r="Q22" i="3"/>
  <c r="AG13" i="1"/>
  <c r="AG14" i="1"/>
  <c r="U56" i="3"/>
  <c r="U14" i="3"/>
  <c r="U45" i="3"/>
  <c r="U58" i="3"/>
  <c r="U40" i="3"/>
  <c r="U33" i="3"/>
  <c r="U20" i="3"/>
  <c r="U12" i="3"/>
  <c r="U57" i="3"/>
  <c r="U15" i="3"/>
  <c r="U11" i="3"/>
  <c r="U44" i="3"/>
  <c r="U34" i="3"/>
  <c r="U49" i="3"/>
  <c r="U35" i="3"/>
  <c r="U37" i="3"/>
  <c r="U42" i="3"/>
  <c r="U26" i="3"/>
  <c r="U52" i="3"/>
  <c r="U50" i="3"/>
  <c r="U41" i="3"/>
  <c r="U25" i="3"/>
  <c r="U63" i="3"/>
  <c r="U38" i="3"/>
  <c r="U62" i="3"/>
  <c r="U55" i="3"/>
  <c r="U59" i="3"/>
  <c r="U32" i="3"/>
  <c r="U28" i="3"/>
  <c r="Q43" i="3"/>
  <c r="AE13" i="1"/>
  <c r="AE14" i="1"/>
  <c r="P43" i="3"/>
  <c r="L15" i="3"/>
  <c r="L56" i="3"/>
  <c r="L14" i="3"/>
  <c r="L12" i="3"/>
  <c r="L57" i="3"/>
  <c r="L40" i="3"/>
  <c r="L20" i="3"/>
  <c r="L11" i="3"/>
  <c r="L45" i="3"/>
  <c r="L34" i="3"/>
  <c r="L35" i="3"/>
  <c r="L44" i="3"/>
  <c r="L58" i="3"/>
  <c r="L33" i="3"/>
  <c r="L49" i="3"/>
  <c r="S55" i="3"/>
  <c r="T55" i="3"/>
  <c r="S41" i="3"/>
  <c r="T41" i="3"/>
  <c r="S37" i="3"/>
  <c r="T37" i="3"/>
  <c r="S12" i="3"/>
  <c r="T12" i="3"/>
  <c r="Q24" i="3" l="1"/>
  <c r="R43" i="3"/>
  <c r="Q37" i="3"/>
  <c r="Q12" i="3"/>
  <c r="P12" i="3"/>
  <c r="Q41" i="3"/>
  <c r="Q8" i="3"/>
  <c r="P41" i="3"/>
  <c r="Q18" i="3"/>
  <c r="R12" i="3"/>
  <c r="Q7" i="3"/>
  <c r="Q54" i="3"/>
  <c r="Q29" i="3"/>
  <c r="Q55" i="3"/>
  <c r="Q61" i="3"/>
  <c r="Q36" i="3"/>
  <c r="Q60" i="3"/>
  <c r="Q53" i="3"/>
  <c r="Q27" i="3"/>
  <c r="Q30" i="3"/>
  <c r="P54" i="3"/>
  <c r="R54" i="3"/>
  <c r="R37" i="3" l="1"/>
  <c r="Q23" i="3"/>
  <c r="Q17" i="3"/>
  <c r="Q9" i="3"/>
  <c r="Q10" i="3"/>
  <c r="P55" i="3"/>
  <c r="P37" i="3"/>
  <c r="Q21" i="3"/>
  <c r="P24" i="3"/>
  <c r="Q51" i="3"/>
  <c r="R41" i="3"/>
  <c r="Q47" i="3"/>
  <c r="R29" i="3"/>
  <c r="P51" i="3"/>
  <c r="P29" i="3"/>
  <c r="R47" i="3"/>
  <c r="R7" i="3"/>
  <c r="P47" i="3"/>
  <c r="R8" i="3"/>
  <c r="R24" i="3"/>
  <c r="P7" i="3"/>
  <c r="R51" i="3"/>
  <c r="P8" i="3"/>
  <c r="Q39" i="3"/>
  <c r="Q31" i="3"/>
  <c r="P19" i="3"/>
  <c r="Q46" i="3"/>
  <c r="Q48" i="3"/>
  <c r="R19" i="3"/>
  <c r="Q19" i="3"/>
  <c r="R35" i="3"/>
  <c r="R28" i="3"/>
  <c r="R45" i="3"/>
  <c r="R59" i="3"/>
  <c r="R52" i="3"/>
  <c r="R20" i="3"/>
  <c r="R34" i="3"/>
  <c r="R62" i="3"/>
  <c r="R57" i="3"/>
  <c r="R58" i="3"/>
  <c r="R25" i="3"/>
  <c r="R14" i="3"/>
  <c r="R17" i="3"/>
  <c r="R9" i="3"/>
  <c r="R36" i="3"/>
  <c r="R10" i="3"/>
  <c r="R60" i="3"/>
  <c r="R27" i="3"/>
  <c r="R30" i="3"/>
  <c r="R56" i="3"/>
  <c r="R40" i="3"/>
  <c r="R63" i="3"/>
  <c r="R32" i="3"/>
  <c r="Q56" i="3"/>
  <c r="Q35" i="3"/>
  <c r="Q28" i="3"/>
  <c r="Q45" i="3"/>
  <c r="Q59" i="3"/>
  <c r="Q40" i="3"/>
  <c r="Q52" i="3"/>
  <c r="Q20" i="3"/>
  <c r="Q34" i="3"/>
  <c r="Q62" i="3"/>
  <c r="Q57" i="3"/>
  <c r="Q58" i="3"/>
  <c r="P35" i="3"/>
  <c r="P45" i="3"/>
  <c r="P59" i="3"/>
  <c r="P52" i="3"/>
  <c r="P20" i="3"/>
  <c r="P34" i="3"/>
  <c r="P62" i="3"/>
  <c r="P57" i="3"/>
  <c r="P58" i="3"/>
  <c r="P25" i="3"/>
  <c r="P39" i="3"/>
  <c r="P14" i="3"/>
  <c r="P21" i="3"/>
  <c r="P17" i="3"/>
  <c r="P9" i="3"/>
  <c r="P36" i="3"/>
  <c r="P10" i="3"/>
  <c r="P53" i="3"/>
  <c r="P27" i="3"/>
  <c r="P30" i="3"/>
  <c r="P56" i="3"/>
  <c r="P40" i="3"/>
  <c r="P32" i="3"/>
  <c r="P23" i="3" l="1"/>
  <c r="P46" i="3"/>
  <c r="P61" i="3"/>
  <c r="R26" i="3"/>
  <c r="R53" i="3"/>
  <c r="R23" i="3"/>
  <c r="R46" i="3"/>
  <c r="R61" i="3"/>
  <c r="R18" i="3"/>
  <c r="P28" i="3"/>
  <c r="R21" i="3"/>
  <c r="P18" i="3"/>
  <c r="R55" i="3"/>
  <c r="R48" i="3"/>
  <c r="P38" i="3"/>
  <c r="P60" i="3"/>
  <c r="R31" i="3"/>
  <c r="P48" i="3"/>
  <c r="P31" i="3"/>
  <c r="R39" i="3"/>
  <c r="R42" i="3"/>
  <c r="R49" i="3"/>
  <c r="P63" i="3"/>
  <c r="P33" i="3"/>
  <c r="P11" i="3"/>
  <c r="P49" i="3"/>
  <c r="R38" i="3"/>
  <c r="P50" i="3"/>
  <c r="P26" i="3"/>
  <c r="P15" i="3"/>
  <c r="P44" i="3"/>
  <c r="R33" i="3"/>
  <c r="R11" i="3"/>
  <c r="P42" i="3"/>
  <c r="R50" i="3"/>
  <c r="R15" i="3"/>
  <c r="R44" i="3"/>
  <c r="M19" i="5"/>
  <c r="M18" i="5"/>
  <c r="T25" i="3"/>
  <c r="T44" i="3"/>
  <c r="T49" i="3"/>
  <c r="T14" i="3"/>
  <c r="T56" i="3"/>
  <c r="T15" i="3"/>
  <c r="T32" i="3"/>
  <c r="T35" i="3"/>
  <c r="T28" i="3"/>
  <c r="T45" i="3"/>
  <c r="T59" i="3"/>
  <c r="T40" i="3"/>
  <c r="T38" i="3"/>
  <c r="T42" i="3"/>
  <c r="T11" i="3"/>
  <c r="T26" i="3"/>
  <c r="T52" i="3"/>
  <c r="T20" i="3"/>
  <c r="T34" i="3"/>
  <c r="T62" i="3"/>
  <c r="T33" i="3"/>
  <c r="T57" i="3"/>
  <c r="T50" i="3"/>
  <c r="T58" i="3"/>
  <c r="T63" i="3"/>
  <c r="Q32" i="3" l="1"/>
  <c r="S59" i="3"/>
  <c r="S38" i="3"/>
  <c r="S49" i="3"/>
  <c r="S11" i="3"/>
  <c r="Q63" i="3" l="1"/>
  <c r="Q50" i="3"/>
  <c r="Q33" i="3"/>
  <c r="Q14" i="3"/>
  <c r="S32" i="3" l="1"/>
  <c r="S40" i="3"/>
  <c r="S50" i="3"/>
  <c r="S33" i="3"/>
  <c r="S57" i="3"/>
  <c r="S35" i="3"/>
  <c r="S26" i="3"/>
  <c r="S20" i="3"/>
  <c r="S56" i="3"/>
  <c r="S28" i="3"/>
  <c r="S45" i="3"/>
  <c r="Q15" i="3" l="1"/>
  <c r="Q26" i="3"/>
  <c r="Q11" i="3"/>
  <c r="Q38" i="3"/>
  <c r="S52" i="3"/>
  <c r="AD14" i="1" l="1"/>
  <c r="AD13" i="1"/>
  <c r="S3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3" i="3" l="1"/>
  <c r="S62" i="3"/>
  <c r="S15" i="3"/>
  <c r="S44" i="3"/>
  <c r="S58" i="3"/>
  <c r="S42" i="3"/>
  <c r="S25" i="3"/>
  <c r="S14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42" i="3" l="1"/>
  <c r="X14" i="1"/>
  <c r="Y14" i="1"/>
  <c r="Q25" i="3" l="1"/>
  <c r="Q44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49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<sst xmlns="http://schemas.openxmlformats.org/spreadsheetml/2006/main" count="2056" uniqueCount="643">
  <si>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</si>
  <si>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</si>
  <si>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</si>
  <si>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</si>
  <si>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</si>
  <si>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</si>
  <si>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</si>
  <si>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</si>
  <si>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</si>
  <si>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</si>
  <si>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</si>
  <si>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</si>
  <si>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</si>
  <si>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</si>
  <si>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</si>
  <si>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</si>
  <si>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</si>
  <si>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</si>
  <si>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</si>
  <si>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</si>
  <si>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</si>
  <si>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</si>
  <si>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</si>
  <si>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</si>
  <si>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</si>
  <si>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</si>
  <si>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</si>
  <si>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</si>
  <si>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</si>
  <si>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</si>
  <si>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</si>
  <si>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</si>
  <si>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</si>
  <si>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</si>
  <si>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</si>
  <si>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</si>
  <si>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</si>
  <si>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</si>
  <si>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</si>
  <si>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</si>
  <si>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</si>
  <si>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</si>
  <si>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</si>
  <si>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</si>
  <si>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</si>
  <si>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</si>
  <si>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</si>
  <si>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</si>
  <si>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</si>
  <si>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</si>
  <si>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</si>
  <si>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</si>
  <si>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</si>
  <si>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</si>
  <si>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</si>
  <si>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</si>
  <si>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</si>
  <si>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</si>
  <si>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</si>
  <si>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</si>
  <si>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</si>
  <si>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</si>
  <si>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</si>
  <si>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</si>
  <si>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</si>
  <si>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</si>
  <si>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</si>
  <si>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</si>
  <si>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</si>
  <si>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</si>
  <si>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</si>
  <si>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</si>
  <si>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</si>
  <si>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</si>
  <si>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</si>
  <si>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</si>
  <si>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</si>
  <si>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</si>
  <si>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</si>
  <si>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</si>
  <si>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</si>
  <si>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</si>
  <si>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</si>
  <si>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</si>
  <si>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</si>
  <si>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</si>
  <si>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</si>
  <si>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</si>
  <si>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</si>
  <si>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</si>
  <si>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</si>
  <si>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</si>
  <si>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</si>
  <si>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</si>
  <si>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</si>
  <si>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</si>
  <si>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</si>
  <si>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</si>
  <si>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</si>
  <si>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</si>
  <si>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</si>
  <si>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</si>
  <si>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</si>
  <si>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</si>
  <si>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</si>
  <si>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</si>
  <si>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</si>
  <si>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</si>
  <si>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</si>
  <si>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</si>
  <si>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</si>
  <si>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</si>
  <si>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</si>
  <si>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</si>
  <si>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</si>
  <si>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</si>
  <si>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</si>
  <si>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</si>
  <si>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</si>
  <si>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</si>
  <si>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</si>
  <si>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</si>
  <si>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</si>
  <si>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</si>
  <si>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</si>
  <si>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</si>
  <si>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</si>
  <si>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</si>
  <si>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</si>
  <si>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</si>
  <si>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</si>
  <si>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</si>
  <si>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</si>
  <si>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</si>
  <si>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</si>
  <si>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</si>
  <si>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</si>
  <si>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</si>
  <si>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</si>
  <si>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</si>
  <si>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</si>
  <si>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</si>
  <si>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</si>
  <si>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</si>
  <si>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</si>
  <si>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</si>
  <si>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</si>
  <si>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</si>
  <si>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</si>
  <si>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</si>
  <si>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</si>
  <si>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</si>
  <si>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</si>
  <si>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</si>
  <si>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</si>
  <si>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</si>
  <si>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</si>
  <si>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</si>
  <si>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</si>
  <si>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</si>
  <si>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</si>
  <si>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</si>
  <si>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</si>
  <si>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</si>
  <si>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</si>
  <si>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</si>
  <si>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</si>
  <si>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</si>
  <si>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</si>
  <si>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</si>
  <si>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</si>
  <si>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</si>
  <si>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</si>
  <si>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</si>
  <si>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</si>
  <si>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</si>
  <si>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</si>
  <si>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</si>
  <si>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</si>
  <si>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</si>
  <si>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</si>
  <si>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</si>
  <si>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</si>
  <si>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</si>
  <si>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</si>
  <si>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</si>
  <si>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</si>
  <si>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</si>
  <si>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</si>
  <si>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</si>
  <si>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</si>
  <si>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</si>
  <si>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</si>
  <si>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</si>
  <si>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</si>
  <si>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</si>
  <si>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</si>
  <si>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</si>
  <si>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</si>
  <si>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</si>
  <si>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</si>
  <si>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</si>
  <si>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</si>
  <si>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</si>
  <si>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</si>
  <si>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</si>
  <si>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</si>
  <si>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</si>
  <si>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</si>
  <si>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</si>
  <si>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</si>
  <si>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</si>
  <si>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</si>
  <si>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</si>
  <si>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</si>
  <si>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</si>
  <si>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</si>
  <si>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</si>
  <si>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</si>
  <si>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</si>
  <si>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</si>
  <si>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</si>
  <si>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</si>
  <si>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</si>
  <si>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204:232979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</si>
  <si>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</si>
  <si>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</si>
  <si>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</si>
  <si>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</si>
  <si>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</si>
  <si>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</si>
  <si>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</si>
  <si>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</si>
  <si>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</si>
  <si>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</si>
  <si>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</si>
  <si>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</si>
  <si>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</si>
  <si>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</si>
  <si>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</si>
  <si>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</si>
  <si>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</si>
  <si>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</si>
  <si>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</si>
  <si>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</si>
  <si>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</si>
  <si>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</si>
  <si>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</si>
  <si>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</si>
  <si>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</si>
  <si>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</si>
  <si>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</si>
  <si>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</si>
  <si>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</si>
  <si>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</si>
  <si>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</si>
  <si>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</si>
  <si>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</si>
  <si>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</si>
  <si>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</si>
  <si>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</si>
  <si>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</si>
  <si>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</si>
  <si>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</si>
  <si>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</si>
  <si>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</si>
  <si>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</si>
  <si>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</si>
  <si>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</si>
  <si>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</si>
  <si>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</si>
  <si>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</si>
  <si>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</si>
  <si>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</si>
  <si>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</si>
  <si>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</si>
  <si>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</si>
  <si>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</si>
  <si>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</si>
  <si>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</si>
  <si>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</si>
  <si>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</si>
  <si>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</si>
  <si>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</si>
  <si>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</si>
  <si>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</si>
  <si>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</si>
  <si>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</si>
  <si>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</si>
  <si>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</si>
  <si>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</si>
  <si>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</si>
  <si>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</si>
  <si>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</si>
  <si>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</si>
  <si>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</si>
  <si>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</si>
  <si>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</si>
  <si>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</si>
  <si>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</si>
  <si>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</si>
  <si>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</si>
  <si>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</si>
  <si>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</si>
  <si>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</si>
  <si>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</si>
  <si>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</si>
  <si>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</si>
  <si>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</si>
  <si>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</si>
  <si>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EC or NWGL</t>
  </si>
  <si>
    <t>158-08</t>
  </si>
  <si>
    <t>YANAI</t>
  </si>
  <si>
    <t>163-08</t>
  </si>
  <si>
    <t>204:233306</t>
  </si>
  <si>
    <t>204:233331</t>
  </si>
  <si>
    <t>204:165</t>
  </si>
  <si>
    <t>204:232959</t>
  </si>
  <si>
    <t>204:174</t>
  </si>
  <si>
    <t>204:233299</t>
  </si>
  <si>
    <t>204:233276</t>
  </si>
  <si>
    <t>204:455</t>
  </si>
  <si>
    <t>204:469</t>
  </si>
  <si>
    <t>204:233293</t>
  </si>
  <si>
    <t>EC/NWGL</t>
  </si>
  <si>
    <t>204-08</t>
  </si>
  <si>
    <t>LEVERE</t>
  </si>
  <si>
    <t>167-08</t>
  </si>
  <si>
    <t>202-08</t>
  </si>
  <si>
    <t>195-08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</si>
  <si>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</si>
  <si>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</si>
  <si>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</si>
  <si>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</si>
  <si>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</si>
  <si>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</si>
  <si>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</si>
  <si>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</si>
  <si>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</si>
  <si>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</si>
  <si>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</si>
  <si>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</si>
  <si>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</si>
  <si>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</si>
  <si>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</si>
  <si>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</si>
  <si>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</si>
  <si>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214-08</t>
  </si>
  <si>
    <t>216-08</t>
  </si>
  <si>
    <t>237-08</t>
  </si>
  <si>
    <t>236-08</t>
  </si>
  <si>
    <t>204:147</t>
  </si>
  <si>
    <t>228-08</t>
  </si>
  <si>
    <t>204:232998</t>
  </si>
  <si>
    <t>229-08</t>
  </si>
  <si>
    <t>230-08</t>
  </si>
  <si>
    <t>204:233314</t>
  </si>
  <si>
    <t>204:232982</t>
  </si>
  <si>
    <t>238-08</t>
  </si>
  <si>
    <t>204:233288</t>
  </si>
  <si>
    <t>244-08</t>
  </si>
  <si>
    <t>SANTIZO</t>
  </si>
  <si>
    <t>246-08</t>
  </si>
  <si>
    <t>105-09</t>
  </si>
  <si>
    <t>Not offered</t>
  </si>
  <si>
    <t>245-09</t>
  </si>
  <si>
    <t>243-09</t>
  </si>
  <si>
    <t>GEBRETEKLE</t>
  </si>
  <si>
    <t>ARNOLD</t>
  </si>
  <si>
    <t>246-09</t>
  </si>
  <si>
    <t>244-09</t>
  </si>
  <si>
    <t>242-09</t>
  </si>
  <si>
    <t>204:662</t>
  </si>
  <si>
    <t>204:138</t>
  </si>
  <si>
    <t>204:233000</t>
  </si>
  <si>
    <t>204:783</t>
  </si>
  <si>
    <t>204:129</t>
  </si>
  <si>
    <t>204:233280</t>
  </si>
  <si>
    <t>204:233257</t>
  </si>
  <si>
    <t>204:232953</t>
  </si>
  <si>
    <t>204:232989</t>
  </si>
  <si>
    <t>204:440</t>
  </si>
  <si>
    <t>204:233002</t>
  </si>
  <si>
    <t>204:232975</t>
  </si>
  <si>
    <t>204:233319</t>
  </si>
  <si>
    <t>204:446</t>
  </si>
  <si>
    <t>204:232993</t>
  </si>
  <si>
    <t>204:478</t>
  </si>
  <si>
    <t>204:471</t>
  </si>
  <si>
    <t>204:233282</t>
  </si>
  <si>
    <t>204:232932</t>
  </si>
  <si>
    <t>204:131971</t>
  </si>
  <si>
    <t>204:86354</t>
  </si>
  <si>
    <t>204:84669</t>
  </si>
  <si>
    <t>Omit due to TWC &lt; 1</t>
  </si>
  <si>
    <t>103-10</t>
  </si>
  <si>
    <t>109-10</t>
  </si>
  <si>
    <t>104-10</t>
  </si>
  <si>
    <t>110-10</t>
  </si>
  <si>
    <t>Reactive Enforcement (3)</t>
  </si>
  <si>
    <t>115-10</t>
  </si>
  <si>
    <t>113-10</t>
  </si>
  <si>
    <t>108-10</t>
  </si>
  <si>
    <t>123-10</t>
  </si>
  <si>
    <t>114-10</t>
  </si>
  <si>
    <t>126-10</t>
  </si>
  <si>
    <t>132-10</t>
  </si>
  <si>
    <t>145-10</t>
  </si>
  <si>
    <t>140-10</t>
  </si>
  <si>
    <t>149-10</t>
  </si>
  <si>
    <t>155-10</t>
  </si>
  <si>
    <t>EQUIPMENT RESTRICTION</t>
  </si>
  <si>
    <t>150-10</t>
  </si>
  <si>
    <t>152-10</t>
  </si>
  <si>
    <t>154-10</t>
  </si>
  <si>
    <t>167-10</t>
  </si>
  <si>
    <t>160-10</t>
  </si>
  <si>
    <t>170-10</t>
  </si>
  <si>
    <t>177-10</t>
  </si>
  <si>
    <t>181-10</t>
  </si>
  <si>
    <t>188-10</t>
  </si>
  <si>
    <t>184-10</t>
  </si>
  <si>
    <t>191-10</t>
  </si>
  <si>
    <t>193-10</t>
  </si>
  <si>
    <t>192-10</t>
  </si>
  <si>
    <t>195-10</t>
  </si>
  <si>
    <t>198-10</t>
  </si>
  <si>
    <t>205-10</t>
  </si>
  <si>
    <t>201-10</t>
  </si>
  <si>
    <t>194-10</t>
  </si>
  <si>
    <t>202-10</t>
  </si>
  <si>
    <t>208-10</t>
  </si>
  <si>
    <t>206-10</t>
  </si>
  <si>
    <t>210-10</t>
  </si>
  <si>
    <t>217-10</t>
  </si>
  <si>
    <t>212-10</t>
  </si>
  <si>
    <t>216-10</t>
  </si>
  <si>
    <t>225-10</t>
  </si>
  <si>
    <t>229-10</t>
  </si>
  <si>
    <t>228-10</t>
  </si>
  <si>
    <t>230-10</t>
  </si>
  <si>
    <t>233-10</t>
  </si>
  <si>
    <t>235-10</t>
  </si>
  <si>
    <t>241-10</t>
  </si>
  <si>
    <t>242-10</t>
  </si>
  <si>
    <t>Overspeed</t>
  </si>
  <si>
    <t>101-10</t>
  </si>
  <si>
    <t>204:761</t>
  </si>
  <si>
    <t>102-10</t>
  </si>
  <si>
    <t>204:232644</t>
  </si>
  <si>
    <t>204:233370</t>
  </si>
  <si>
    <t>204:232738</t>
  </si>
  <si>
    <t>204:134</t>
  </si>
  <si>
    <t>105-10</t>
  </si>
  <si>
    <t>106-10</t>
  </si>
  <si>
    <t>107-10</t>
  </si>
  <si>
    <t>204:701</t>
  </si>
  <si>
    <t>204:233380</t>
  </si>
  <si>
    <t>204:3223</t>
  </si>
  <si>
    <t>204:231820</t>
  </si>
  <si>
    <t>204:199322</t>
  </si>
  <si>
    <t>204:224693</t>
  </si>
  <si>
    <t>111-10</t>
  </si>
  <si>
    <t>204:695</t>
  </si>
  <si>
    <t>204:233307</t>
  </si>
  <si>
    <t>112-10</t>
  </si>
  <si>
    <t>204:232990</t>
  </si>
  <si>
    <t>204:777</t>
  </si>
  <si>
    <t>204:104741</t>
  </si>
  <si>
    <t>116-10</t>
  </si>
  <si>
    <t>117-10</t>
  </si>
  <si>
    <t>118-10</t>
  </si>
  <si>
    <t>119-10</t>
  </si>
  <si>
    <t>204:447</t>
  </si>
  <si>
    <t>120-10</t>
  </si>
  <si>
    <t>204:232992</t>
  </si>
  <si>
    <t>121-10</t>
  </si>
  <si>
    <t>122-10</t>
  </si>
  <si>
    <t>124-10</t>
  </si>
  <si>
    <t>125-10</t>
  </si>
  <si>
    <t>204:232966</t>
  </si>
  <si>
    <t>127-10</t>
  </si>
  <si>
    <t>128-10</t>
  </si>
  <si>
    <t>204:136</t>
  </si>
  <si>
    <t>129-10</t>
  </si>
  <si>
    <t>130-10</t>
  </si>
  <si>
    <t>204:232964</t>
  </si>
  <si>
    <t>131-10</t>
  </si>
  <si>
    <t>204:215103</t>
  </si>
  <si>
    <t>133-10</t>
  </si>
  <si>
    <t>134-10</t>
  </si>
  <si>
    <t>135-10</t>
  </si>
  <si>
    <t>136-10</t>
  </si>
  <si>
    <t>204:232946</t>
  </si>
  <si>
    <t>137-10</t>
  </si>
  <si>
    <t>138-10</t>
  </si>
  <si>
    <t>139-10</t>
  </si>
  <si>
    <t>204:233337</t>
  </si>
  <si>
    <t>141-10</t>
  </si>
  <si>
    <t>204:233312</t>
  </si>
  <si>
    <t>142-10</t>
  </si>
  <si>
    <t>143-10</t>
  </si>
  <si>
    <t>144-10</t>
  </si>
  <si>
    <t>204:233327</t>
  </si>
  <si>
    <t>146-10</t>
  </si>
  <si>
    <t>147-10</t>
  </si>
  <si>
    <t>204:233320</t>
  </si>
  <si>
    <t>148-10</t>
  </si>
  <si>
    <t>204:178</t>
  </si>
  <si>
    <t>151-10</t>
  </si>
  <si>
    <t>204:232944</t>
  </si>
  <si>
    <t>153-10</t>
  </si>
  <si>
    <t>204:233330</t>
  </si>
  <si>
    <t>156-10</t>
  </si>
  <si>
    <t>204:232994</t>
  </si>
  <si>
    <t>157-10</t>
  </si>
  <si>
    <t>158-10</t>
  </si>
  <si>
    <t>204:232968</t>
  </si>
  <si>
    <t>159-10</t>
  </si>
  <si>
    <t>204:108055</t>
  </si>
  <si>
    <t>161-10</t>
  </si>
  <si>
    <t>162-10</t>
  </si>
  <si>
    <t>204:167</t>
  </si>
  <si>
    <t>163-10</t>
  </si>
  <si>
    <t>204:233339</t>
  </si>
  <si>
    <t>164-10</t>
  </si>
  <si>
    <t>204:233011</t>
  </si>
  <si>
    <t>204:116</t>
  </si>
  <si>
    <t>165-10</t>
  </si>
  <si>
    <t>166-10</t>
  </si>
  <si>
    <t>204:233332</t>
  </si>
  <si>
    <t>168-10</t>
  </si>
  <si>
    <t>204:107595</t>
  </si>
  <si>
    <t>169-10</t>
  </si>
  <si>
    <t>204:106110</t>
  </si>
  <si>
    <t>171-10</t>
  </si>
  <si>
    <t>172-10</t>
  </si>
  <si>
    <t>204:105044</t>
  </si>
  <si>
    <t>173-10</t>
  </si>
  <si>
    <t>204:444</t>
  </si>
  <si>
    <t>204:233344</t>
  </si>
  <si>
    <t>174-10</t>
  </si>
  <si>
    <t>204:233038</t>
  </si>
  <si>
    <t>204:86352</t>
  </si>
  <si>
    <t>175-10</t>
  </si>
  <si>
    <t>204:233316</t>
  </si>
  <si>
    <t>176-10</t>
  </si>
  <si>
    <t>204:416</t>
  </si>
  <si>
    <t>178-10</t>
  </si>
  <si>
    <t>204:125</t>
  </si>
  <si>
    <t>179-10</t>
  </si>
  <si>
    <t>180-10</t>
  </si>
  <si>
    <t>204:232957</t>
  </si>
  <si>
    <t>204:1481</t>
  </si>
  <si>
    <t>204:1471</t>
  </si>
  <si>
    <t>183-10</t>
  </si>
  <si>
    <t>204:509</t>
  </si>
  <si>
    <t>204:233305</t>
  </si>
  <si>
    <t>204:176</t>
  </si>
  <si>
    <t>185-10</t>
  </si>
  <si>
    <t>204:233272</t>
  </si>
  <si>
    <t>186-10</t>
  </si>
  <si>
    <t>204:619</t>
  </si>
  <si>
    <t>187-10</t>
  </si>
  <si>
    <t>204:233005</t>
  </si>
  <si>
    <t>189-10</t>
  </si>
  <si>
    <t>204:233322</t>
  </si>
  <si>
    <t>190-10</t>
  </si>
  <si>
    <t>204:232930</t>
  </si>
  <si>
    <t>204:233242</t>
  </si>
  <si>
    <t>204:232963</t>
  </si>
  <si>
    <t>204:431</t>
  </si>
  <si>
    <t>197-10</t>
  </si>
  <si>
    <t>204:232652</t>
  </si>
  <si>
    <t>199-10</t>
  </si>
  <si>
    <t>204:743</t>
  </si>
  <si>
    <t>200-10</t>
  </si>
  <si>
    <t>204:181</t>
  </si>
  <si>
    <t>203-10</t>
  </si>
  <si>
    <t>204:233311</t>
  </si>
  <si>
    <t>204-10</t>
  </si>
  <si>
    <t>204:438</t>
  </si>
  <si>
    <t>204:233323</t>
  </si>
  <si>
    <t>204:233032</t>
  </si>
  <si>
    <t>207-10</t>
  </si>
  <si>
    <t>209-10</t>
  </si>
  <si>
    <t>204:433</t>
  </si>
  <si>
    <t>204:233285</t>
  </si>
  <si>
    <t>204:232970</t>
  </si>
  <si>
    <t>211-10</t>
  </si>
  <si>
    <t>213-10</t>
  </si>
  <si>
    <t>204:233308</t>
  </si>
  <si>
    <t>214-10</t>
  </si>
  <si>
    <t>204:232991</t>
  </si>
  <si>
    <t>215-10</t>
  </si>
  <si>
    <t>204:362</t>
  </si>
  <si>
    <t>218-10</t>
  </si>
  <si>
    <t>219-10</t>
  </si>
  <si>
    <t>204:442</t>
  </si>
  <si>
    <t>220-10</t>
  </si>
  <si>
    <t>221-10</t>
  </si>
  <si>
    <t>222-10</t>
  </si>
  <si>
    <t>223-10</t>
  </si>
  <si>
    <t>204:482</t>
  </si>
  <si>
    <t>224-10</t>
  </si>
  <si>
    <t>226-10</t>
  </si>
  <si>
    <t>227-10</t>
  </si>
  <si>
    <t>204:233249</t>
  </si>
  <si>
    <t>231-10</t>
  </si>
  <si>
    <t>232-10</t>
  </si>
  <si>
    <t>236-10</t>
  </si>
  <si>
    <t>237-10</t>
  </si>
  <si>
    <t>238-10</t>
  </si>
  <si>
    <t>204:373</t>
  </si>
  <si>
    <t>239-10</t>
  </si>
  <si>
    <t>240-10</t>
  </si>
  <si>
    <t>204:360</t>
  </si>
  <si>
    <t>204:1152</t>
  </si>
  <si>
    <t>204:1577</t>
  </si>
  <si>
    <t>PELLETIER-10</t>
  </si>
  <si>
    <t>MADLOM</t>
  </si>
  <si>
    <t>PELLITIER</t>
  </si>
  <si>
    <t>ACKERMAN</t>
  </si>
  <si>
    <t>SNYDER</t>
  </si>
  <si>
    <t>182-10</t>
  </si>
  <si>
    <t>CHANDLER</t>
  </si>
  <si>
    <t>234-10</t>
  </si>
  <si>
    <t>244-26</t>
  </si>
  <si>
    <t>GOLIGHTLY</t>
  </si>
  <si>
    <t>101-11</t>
  </si>
  <si>
    <t>Early arrival</t>
  </si>
  <si>
    <t>Cut out button not pressed at end of run</t>
  </si>
  <si>
    <t>EC2174RH (CP 78TH AVENUE) Signal 2N was at STOP</t>
  </si>
  <si>
    <t>EC1035XH (CP SABLE) Signal 2S was at STOP</t>
  </si>
  <si>
    <t>EC1035XH (CP SABLE) Signal 4S was at STOP</t>
  </si>
  <si>
    <t>196-10</t>
  </si>
  <si>
    <t>Onboard in-route failure</t>
  </si>
  <si>
    <t>Cut out button not pressed from previous run</t>
  </si>
  <si>
    <t>40th 4S was at STOP, switch wasn't aligned</t>
  </si>
  <si>
    <t>Premature downgrade at EC2241RH 219-1T 1N</t>
  </si>
  <si>
    <t>Premature downgrade at EC2241RH 225-1T 1S</t>
  </si>
  <si>
    <t>61st 2N was at STOP, switch wasn't aligned</t>
  </si>
  <si>
    <t>40th Signal 2N was at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</si>
</sst>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169" fontId="0" fillId="0" borderId="19" xfId="0" applyBorder="1"/>
  </cellXfs>
  <cellStyles count="3">
    <cellStyle name="Normal" xfId="0" builtinId="0"/>
    <cellStyle name="Normal_XINGS" xfId="1"/>
    <cellStyle name="Percent" xfId="2" builtinId="5"/>
  </cellStyles>
  <dxfs count="77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6"/>
  <sheetViews>
    <sheetView zoomScale="85" zoomScaleNormal="85" workbookViewId="0">
      <selection activeCell="R6" sqref="R6"/>
    </sheetView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4.140625" style="58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07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07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17">
        <f>Variables!A2</f>
        <v>42561</v>
      </c>
      <c r="J2" s="118"/>
      <c r="K2" s="59"/>
      <c r="L2" s="59"/>
      <c r="M2" s="119" t="s">
        <v>8</v>
      </c>
      <c r="N2" s="120"/>
      <c r="O2" s="121"/>
      <c r="P2" s="2"/>
      <c r="U2" s="107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2" t="s">
        <v>10</v>
      </c>
      <c r="J3" s="123"/>
      <c r="K3" s="60"/>
      <c r="L3" s="60"/>
      <c r="M3" s="61" t="s">
        <v>11</v>
      </c>
      <c r="N3" s="62" t="s">
        <v>12</v>
      </c>
      <c r="O3" s="3" t="s">
        <v>13</v>
      </c>
      <c r="P3" s="2"/>
      <c r="U3" s="107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COUNT($N$13:$P$1753)</f>
        <v>141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07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COUNT($N$13:$N$1753)</f>
        <v>131</v>
      </c>
      <c r="K5" s="63"/>
      <c r="L5" s="63"/>
      <c r="M5" s="64">
        <f>AVERAGE($N$13:$N$753)</f>
        <v>43.386386768831976</v>
      </c>
      <c r="N5" s="62">
        <f>MIN($N$13:$N$753)</f>
        <v>35.866666658548638</v>
      </c>
      <c r="O5" s="3">
        <f>MAX($N$13:$N$753)</f>
        <v>60.066666668280959</v>
      </c>
      <c r="P5" s="2"/>
      <c r="U5" s="107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COUNT($O$13:$O$753)</f>
        <v>0</v>
      </c>
      <c r="K6" s="63"/>
      <c r="L6" s="63"/>
      <c r="M6" s="64">
        <f>IFERROR(AVERAGE($O$13:$O$753),0)</f>
        <v>0</v>
      </c>
      <c r="N6" s="62">
        <f>MIN($O$13:$O$753)</f>
        <v>0</v>
      </c>
      <c r="O6" s="3">
        <f>MAX($O$13:$O$753)</f>
        <v>0</v>
      </c>
      <c r="P6" s="2"/>
      <c r="U6" s="107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COUNT($P$13:$P$753)</f>
        <v>10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07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COUNT($N$13:$O$753)</f>
        <v>131</v>
      </c>
      <c r="K8" s="63"/>
      <c r="L8" s="63"/>
      <c r="M8" s="64">
        <f>AVERAGE($N$13:$P$753)</f>
        <v>43.312411347968862</v>
      </c>
      <c r="N8" s="62">
        <f>MIN($N$13:$O$753)</f>
        <v>35.866666658548638</v>
      </c>
      <c r="O8" s="3">
        <f>MAX($N$13:$O$753)</f>
        <v>60.066666668280959</v>
      </c>
      <c r="P8" s="2"/>
      <c r="U8" s="107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0">
        <f>J8/J4</f>
        <v>0.92907801418439717</v>
      </c>
      <c r="K9" s="65"/>
      <c r="L9" s="65"/>
      <c r="M9" s="57"/>
      <c r="N9" s="58"/>
      <c r="O9" s="2"/>
      <c r="P9" s="2"/>
      <c r="U9" s="107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07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6" t="str">
        <f>"Eagle P3 System Performance - "&amp;TEXT(Variables!A2,"yyyy-mm-dd")</f>
        <v>Eagle P3 System Performance - 2016-07-10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08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150</v>
      </c>
      <c r="AE12" s="77" t="s">
        <v>236</v>
      </c>
      <c r="AF12" s="77" t="s">
        <v>241</v>
      </c>
      <c r="AG12" s="4" t="s">
        <v>324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446</v>
      </c>
      <c r="B13" s="7">
        <v>4020</v>
      </c>
      <c r="C13" s="28" t="s">
        <v>59</v>
      </c>
      <c r="D13" s="28" t="s">
        <v>447</v>
      </c>
      <c r="E13" s="17">
        <v>42561.133101851854</v>
      </c>
      <c r="F13" s="17">
        <v>42561.133773148147</v>
      </c>
      <c r="G13" s="7">
        <v>0</v>
      </c>
      <c r="H13" s="17" t="s">
        <v>168</v>
      </c>
      <c r="I13" s="17">
        <v>42561.161597222221</v>
      </c>
      <c r="J13" s="7">
        <v>0</v>
      </c>
      <c r="K13" s="28" t="str">
        <f t="shared" ref="K13:K14" si="0">IF(ISEVEN(B13),(B13-1)&amp;"/"&amp;B13,B13&amp;"/"&amp;(B13+1))</f>
        <v>4019/4020</v>
      </c>
      <c r="L13" s="28" t="str">
        <f>VLOOKUP(A13,'Trips&amp;Operators'!$C$1:$E$10000,3,FALSE)</f>
        <v>NELSON</v>
      </c>
      <c r="M13" s="6">
        <f t="shared" ref="M13:M14" si="1">I13-F13</f>
        <v>2.7824074073578231E-2</v>
      </c>
      <c r="N13" s="7">
        <f t="shared" ref="N13:P76" si="2">24*60*SUM($M13:$M13)</f>
        <v>40.066666665952653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09">
        <f>COUNTIFS(Variables!$M$2:$M$19,IF(T13="NorthBound","&gt;=","&lt;=")&amp;Y13,Variables!$M$2:$M$19,IF(T13="NorthBound","&lt;=","&gt;=")&amp;Z13)</f>
        <v>12</v>
      </c>
      <c r="V13" s="78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https://search-rtdc-monitor-bjffxe2xuh6vdkpspy63sjmuny.us-east-1.es.amazonaws.com/_plugin/kibana/#/discover/Steve-Slow-Train-Analysis-(2080s-and-2083s)?_g=(refreshInterval:(display:Off,section:0,value:0),time:(from:'2016-07-10 02:11:40-0600',mode:absolute,to:'2016-07-10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78" t="str">
        <f t="shared" ref="W13:W14" si="5">IF(AA13&lt;23,"Y","N")</f>
        <v>N</v>
      </c>
      <c r="X13" s="104" t="e">
        <f>VALUE(LEFT(A13,3))-VALUE(LEFT(#REF!,3))</f>
        <v>#REF!</v>
      </c>
      <c r="Y13" s="101">
        <f t="shared" ref="Y13:Y14" si="6">RIGHT(D13,LEN(D13)-4)/10000</f>
        <v>7.6100000000000001E-2</v>
      </c>
      <c r="Z13" s="101">
        <f t="shared" ref="Z13:Z14" si="7">RIGHT(H13,LEN(H13)-4)/10000</f>
        <v>23.328900000000001</v>
      </c>
      <c r="AA13" s="101">
        <f t="shared" ref="AA13:AA14" si="8">ABS(Z13-Y13)</f>
        <v>23.252800000000001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9">IF(LEN(A13)=6,"0"&amp;A13,A13)</f>
        <v>0101-10</v>
      </c>
      <c r="AE13" s="79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" s="79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/stypes="*4020*20160710*"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1" t="s">
        <v>448</v>
      </c>
      <c r="B14" s="7">
        <v>4012</v>
      </c>
      <c r="C14" s="28" t="s">
        <v>59</v>
      </c>
      <c r="D14" s="28" t="s">
        <v>449</v>
      </c>
      <c r="E14" s="17">
        <v>42561.167303240742</v>
      </c>
      <c r="F14" s="17">
        <v>42561.168564814812</v>
      </c>
      <c r="G14" s="7">
        <v>1</v>
      </c>
      <c r="H14" s="17" t="s">
        <v>60</v>
      </c>
      <c r="I14" s="17">
        <v>42561.201053240744</v>
      </c>
      <c r="J14" s="7">
        <v>0</v>
      </c>
      <c r="K14" s="28" t="str">
        <f t="shared" si="0"/>
        <v>4011/4012</v>
      </c>
      <c r="L14" s="28" t="str">
        <f>VLOOKUP(A14,'Trips&amp;Operators'!$C$1:$E$10000,3,FALSE)</f>
        <v>NELSON</v>
      </c>
      <c r="M14" s="6">
        <f t="shared" si="1"/>
        <v>3.2488425931660458E-2</v>
      </c>
      <c r="N14" s="7">
        <f t="shared" si="2"/>
        <v>46.78333334159106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09">
        <f>COUNTIFS(Variables!$M$2:$M$19,IF(T14="NorthBound","&gt;=","&lt;=")&amp;Y14,Variables!$M$2:$M$19,IF(T14="NorthBound","&lt;=","&gt;=")&amp;Z14)</f>
        <v>12</v>
      </c>
      <c r="V14" s="78" t="str">
        <f t="shared" ref="V14:V77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https://search-rtdc-monitor-bjffxe2xuh6vdkpspy63sjmuny.us-east-1.es.amazonaws.com/_plugin/kibana/#/discover/Steve-Slow-Train-Analysis-(2080s-and-2083s)?_g=(refreshInterval:(display:Off,section:0,value:0),time:(from:'2016-07-10 03:00:55-0600',mode:absolute,to:'2016-07-10 05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78" t="str">
        <f t="shared" si="5"/>
        <v>N</v>
      </c>
      <c r="X14" s="104">
        <f t="shared" ref="X14" si="14">VALUE(LEFT(A14,3))-VALUE(LEFT(A13,3))</f>
        <v>1</v>
      </c>
      <c r="Y14" s="101">
        <f t="shared" si="6"/>
        <v>23.264399999999998</v>
      </c>
      <c r="Z14" s="101">
        <f t="shared" si="7"/>
        <v>1.4500000000000001E-2</v>
      </c>
      <c r="AA14" s="101">
        <f t="shared" si="8"/>
        <v>23.249899999999997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9"/>
        <v>0102-10</v>
      </c>
      <c r="AE14" s="79" t="str">
        <f t="shared" si="1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4" s="79" t="str">
        <f t="shared" si="11"/>
        <v>"C:\Program Files (x86)\AstroGrep\AstroGrep.exe" /spath="C:\Users\stu\Documents\Analysis\2016-02-23 RTDC Observations" /stypes="*4012*20160710*"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1" t="s">
        <v>395</v>
      </c>
      <c r="B15" s="7">
        <v>4018</v>
      </c>
      <c r="C15" s="28" t="s">
        <v>59</v>
      </c>
      <c r="D15" s="28" t="s">
        <v>372</v>
      </c>
      <c r="E15" s="17">
        <v>42561.152314814812</v>
      </c>
      <c r="F15" s="17">
        <v>42561.153067129628</v>
      </c>
      <c r="G15" s="7">
        <v>1</v>
      </c>
      <c r="H15" s="17" t="s">
        <v>450</v>
      </c>
      <c r="I15" s="17">
        <v>42561.182210648149</v>
      </c>
      <c r="J15" s="7">
        <v>1</v>
      </c>
      <c r="K15" s="28" t="str">
        <f t="shared" ref="K15:K78" si="15">IF(ISEVEN(B15),(B15-1)&amp;"/"&amp;B15,B15&amp;"/"&amp;(B15+1))</f>
        <v>4017/4018</v>
      </c>
      <c r="L15" s="28" t="str">
        <f>VLOOKUP(A15,'Trips&amp;Operators'!$C$1:$E$10000,3,FALSE)</f>
        <v>ACKERMAN</v>
      </c>
      <c r="M15" s="6">
        <f t="shared" ref="M15:M78" si="16">I15-F15</f>
        <v>2.9143518520868383E-2</v>
      </c>
      <c r="N15" s="7">
        <f t="shared" si="2"/>
        <v>41.966666670050472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09">
        <f>COUNTIFS(Variables!$M$2:$M$19,IF(T15="NorthBound","&gt;=","&lt;=")&amp;Y15,Variables!$M$2:$M$19,IF(T15="NorthBound","&lt;=","&gt;=")&amp;Z15)</f>
        <v>12</v>
      </c>
      <c r="V1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78" t="str">
        <f t="shared" ref="W15:W78" si="19">IF(AA15&lt;23,"Y","N")</f>
        <v>N</v>
      </c>
      <c r="X15" s="104">
        <f t="shared" ref="X15:X78" si="20">VALUE(LEFT(A15,3))-VALUE(LEFT(A14,3))</f>
        <v>1</v>
      </c>
      <c r="Y15" s="101">
        <f t="shared" ref="Y15:Y78" si="21">RIGHT(D15,LEN(D15)-4)/10000</f>
        <v>6.6199999999999995E-2</v>
      </c>
      <c r="Z15" s="101">
        <f t="shared" ref="Z15:Z78" si="22">RIGHT(H15,LEN(H15)-4)/10000</f>
        <v>23.337</v>
      </c>
      <c r="AA15" s="101">
        <f t="shared" ref="AA15:AA78" si="23">ABS(Z15-Y15)</f>
        <v>23.270800000000001</v>
      </c>
      <c r="AB15" s="98" t="e">
        <f>VLOOKUP(A15,Enforcements!$C$7:$J$23,8,0)</f>
        <v>#N/A</v>
      </c>
      <c r="AC15" s="94" t="e">
        <f>VLOOKUP(A15,Enforcements!$C$7:$E$23,3,0)</f>
        <v>#N/A</v>
      </c>
      <c r="AD15" s="95" t="str">
        <f t="shared" ref="AD15:AD78" si="24">IF(LEN(A15)=6,"0"&amp;A15,A15)</f>
        <v>0103-10</v>
      </c>
      <c r="AE15" s="79" t="str">
        <f t="shared" ref="AE15:AE78" si="2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" s="79" t="str">
        <f t="shared" ref="AF15:AF78" si="2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397</v>
      </c>
      <c r="B16" s="7">
        <v>4032</v>
      </c>
      <c r="C16" s="28" t="s">
        <v>59</v>
      </c>
      <c r="D16" s="28" t="s">
        <v>451</v>
      </c>
      <c r="E16" s="17">
        <v>42561.190717592595</v>
      </c>
      <c r="F16" s="17">
        <v>42561.191724537035</v>
      </c>
      <c r="G16" s="7">
        <v>1</v>
      </c>
      <c r="H16" s="17" t="s">
        <v>452</v>
      </c>
      <c r="I16" s="17">
        <v>42561.223449074074</v>
      </c>
      <c r="J16" s="7">
        <v>2</v>
      </c>
      <c r="K16" s="28" t="str">
        <f t="shared" si="15"/>
        <v>4031/4032</v>
      </c>
      <c r="L16" s="28" t="str">
        <f>VLOOKUP(A16,'Trips&amp;Operators'!$C$1:$E$10000,3,FALSE)</f>
        <v>ACKERMAN</v>
      </c>
      <c r="M16" s="6">
        <f t="shared" si="16"/>
        <v>3.1724537038826384E-2</v>
      </c>
      <c r="N16" s="7">
        <f t="shared" si="2"/>
        <v>45.683333335909992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09">
        <f>COUNTIFS(Variables!$M$2:$M$19,IF(T16="NorthBound","&gt;=","&lt;=")&amp;Y16,Variables!$M$2:$M$19,IF(T16="NorthBound","&lt;=","&gt;=")&amp;Z16)</f>
        <v>12</v>
      </c>
      <c r="V1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8" t="str">
        <f t="shared" si="19"/>
        <v>N</v>
      </c>
      <c r="X16" s="104">
        <f t="shared" si="20"/>
        <v>1</v>
      </c>
      <c r="Y16" s="101">
        <f t="shared" si="21"/>
        <v>23.273800000000001</v>
      </c>
      <c r="Z16" s="101">
        <f t="shared" si="22"/>
        <v>1.34E-2</v>
      </c>
      <c r="AA16" s="101">
        <f t="shared" si="23"/>
        <v>23.260400000000001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4"/>
        <v>0104-10</v>
      </c>
      <c r="AE16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6" s="79" t="str">
        <f t="shared" si="26"/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453</v>
      </c>
      <c r="B17" s="7">
        <v>4029</v>
      </c>
      <c r="C17" s="28" t="s">
        <v>59</v>
      </c>
      <c r="D17" s="28" t="s">
        <v>226</v>
      </c>
      <c r="E17" s="17">
        <v>42561.174976851849</v>
      </c>
      <c r="F17" s="17">
        <v>42561.177835648145</v>
      </c>
      <c r="G17" s="7">
        <v>4</v>
      </c>
      <c r="H17" s="17" t="s">
        <v>151</v>
      </c>
      <c r="I17" s="17">
        <v>42561.204097222224</v>
      </c>
      <c r="J17" s="7">
        <v>0</v>
      </c>
      <c r="K17" s="28" t="str">
        <f t="shared" si="15"/>
        <v>4029/4030</v>
      </c>
      <c r="L17" s="28" t="str">
        <f>VLOOKUP(A17,'Trips&amp;Operators'!$C$1:$E$10000,3,FALSE)</f>
        <v>SANTIZO</v>
      </c>
      <c r="M17" s="6">
        <f t="shared" si="16"/>
        <v>2.6261574079398997E-2</v>
      </c>
      <c r="N17" s="7">
        <f t="shared" si="2"/>
        <v>37.816666674334556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09">
        <f>COUNTIFS(Variables!$M$2:$M$19,IF(T17="NorthBound","&gt;=","&lt;=")&amp;Y17,Variables!$M$2:$M$19,IF(T17="NorthBound","&lt;=","&gt;=")&amp;Z17)</f>
        <v>12</v>
      </c>
      <c r="V1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03:11:58-0600',mode:absolute,to:'2016-07-10 05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" s="78" t="str">
        <f t="shared" si="19"/>
        <v>N</v>
      </c>
      <c r="X17" s="104">
        <f t="shared" si="20"/>
        <v>1</v>
      </c>
      <c r="Y17" s="101">
        <f t="shared" si="21"/>
        <v>4.6699999999999998E-2</v>
      </c>
      <c r="Z17" s="101">
        <f t="shared" si="22"/>
        <v>23.330200000000001</v>
      </c>
      <c r="AA17" s="101">
        <f t="shared" si="23"/>
        <v>23.2835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4"/>
        <v>0105-10</v>
      </c>
      <c r="AE17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7" s="79" t="str">
        <f t="shared" si="26"/>
        <v>"C:\Program Files (x86)\AstroGrep\AstroGrep.exe" /spath="C:\Users\stu\Documents\Analysis\2016-02-23 RTDC Observations" /stypes="*4029*20160710*"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454</v>
      </c>
      <c r="B18" s="7">
        <v>4030</v>
      </c>
      <c r="C18" s="28" t="s">
        <v>59</v>
      </c>
      <c r="D18" s="28" t="s">
        <v>380</v>
      </c>
      <c r="E18" s="17">
        <v>42561.206875000003</v>
      </c>
      <c r="F18" s="17">
        <v>42561.208182870374</v>
      </c>
      <c r="G18" s="7">
        <v>1</v>
      </c>
      <c r="H18" s="17" t="s">
        <v>373</v>
      </c>
      <c r="I18" s="17">
        <v>42561.241956018515</v>
      </c>
      <c r="J18" s="7">
        <v>0</v>
      </c>
      <c r="K18" s="28" t="str">
        <f t="shared" si="15"/>
        <v>4029/4030</v>
      </c>
      <c r="L18" s="28" t="str">
        <f>VLOOKUP(A18,'Trips&amp;Operators'!$C$1:$E$10000,3,FALSE)</f>
        <v>SANTIZO</v>
      </c>
      <c r="M18" s="6">
        <f t="shared" si="16"/>
        <v>3.3773148141335696E-2</v>
      </c>
      <c r="N18" s="7">
        <f t="shared" si="2"/>
        <v>48.633333323523402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09">
        <f>COUNTIFS(Variables!$M$2:$M$19,IF(T18="NorthBound","&gt;=","&lt;=")&amp;Y18,Variables!$M$2:$M$19,IF(T18="NorthBound","&lt;=","&gt;=")&amp;Z18)</f>
        <v>12</v>
      </c>
      <c r="V1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03:57:54-0600',mode:absolute,to:'2016-07-10 06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" s="78" t="str">
        <f t="shared" si="19"/>
        <v>N</v>
      </c>
      <c r="X18" s="104">
        <f t="shared" si="20"/>
        <v>1</v>
      </c>
      <c r="Y18" s="101">
        <f t="shared" si="21"/>
        <v>23.2989</v>
      </c>
      <c r="Z18" s="101">
        <f t="shared" si="22"/>
        <v>1.38E-2</v>
      </c>
      <c r="AA18" s="101">
        <f t="shared" si="23"/>
        <v>23.2851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4"/>
        <v>0106-10</v>
      </c>
      <c r="AE18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8" s="79" t="str">
        <f t="shared" si="26"/>
        <v>"C:\Program Files (x86)\AstroGrep\AstroGrep.exe" /spath="C:\Users\stu\Documents\Analysis\2016-02-23 RTDC Observations" /stypes="*4030*20160710*"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455</v>
      </c>
      <c r="B19" s="7">
        <v>4040</v>
      </c>
      <c r="C19" s="28" t="s">
        <v>59</v>
      </c>
      <c r="D19" s="28" t="s">
        <v>456</v>
      </c>
      <c r="E19" s="17">
        <v>42561.192754629628</v>
      </c>
      <c r="F19" s="17">
        <v>42561.194189814814</v>
      </c>
      <c r="G19" s="7">
        <v>2</v>
      </c>
      <c r="H19" s="17" t="s">
        <v>457</v>
      </c>
      <c r="I19" s="17">
        <v>42561.221550925926</v>
      </c>
      <c r="J19" s="7">
        <v>0</v>
      </c>
      <c r="K19" s="28" t="str">
        <f t="shared" si="15"/>
        <v>4039/4040</v>
      </c>
      <c r="L19" s="28" t="b">
        <f>VLOOKUP(A19,'Trips&amp;Operators'!$C$1:$E$10000,3,FALSE)</f>
        <v>1</v>
      </c>
      <c r="M19" s="6">
        <f t="shared" si="16"/>
        <v>2.73611111115315E-2</v>
      </c>
      <c r="N19" s="7">
        <f t="shared" si="2"/>
        <v>39.40000000060536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09">
        <f>COUNTIFS(Variables!$M$2:$M$19,IF(T19="NorthBound","&gt;=","&lt;=")&amp;Y19,Variables!$M$2:$M$19,IF(T19="NorthBound","&lt;=","&gt;=")&amp;Z19)</f>
        <v>12</v>
      </c>
      <c r="V1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03:37:34-0600',mode:absolute,to:'2016-07-10 06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78" t="str">
        <f t="shared" si="19"/>
        <v>N</v>
      </c>
      <c r="X19" s="104">
        <f t="shared" si="20"/>
        <v>1</v>
      </c>
      <c r="Y19" s="101">
        <f t="shared" si="21"/>
        <v>7.0099999999999996E-2</v>
      </c>
      <c r="Z19" s="101">
        <f t="shared" si="22"/>
        <v>23.338000000000001</v>
      </c>
      <c r="AA19" s="101">
        <f t="shared" si="23"/>
        <v>23.267900000000001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4"/>
        <v>0107-10</v>
      </c>
      <c r="AE19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9" s="79" t="str">
        <f t="shared" si="26"/>
        <v>"C:\Program Files (x86)\AstroGrep\AstroGrep.exe" /spath="C:\Users\stu\Documents\Analysis\2016-02-23 RTDC Observations" /stypes="*4040*20160710*"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402</v>
      </c>
      <c r="B20" s="7">
        <v>4028</v>
      </c>
      <c r="C20" s="28" t="s">
        <v>59</v>
      </c>
      <c r="D20" s="28" t="s">
        <v>451</v>
      </c>
      <c r="E20" s="17">
        <v>42561.226643518516</v>
      </c>
      <c r="F20" s="17">
        <v>42561.228275462963</v>
      </c>
      <c r="G20" s="7">
        <v>2</v>
      </c>
      <c r="H20" s="17" t="s">
        <v>458</v>
      </c>
      <c r="I20" s="17">
        <v>42561.256932870368</v>
      </c>
      <c r="J20" s="7">
        <v>2</v>
      </c>
      <c r="K20" s="28" t="str">
        <f t="shared" si="15"/>
        <v>4027/4028</v>
      </c>
      <c r="L20" s="28" t="b">
        <f>VLOOKUP(A20,'Trips&amp;Operators'!$C$1:$E$10000,3,FALSE)</f>
        <v>1</v>
      </c>
      <c r="M20" s="6">
        <f t="shared" si="16"/>
        <v>2.8657407405262347E-2</v>
      </c>
      <c r="N20" s="7">
        <f t="shared" si="2"/>
        <v>41.26666666357778</v>
      </c>
      <c r="O20" s="7"/>
      <c r="P20" s="7"/>
      <c r="Q20" s="29"/>
      <c r="R20" s="29" t="s">
        <v>631</v>
      </c>
      <c r="S20" s="47">
        <f t="shared" si="17"/>
        <v>1</v>
      </c>
      <c r="T20" s="73" t="str">
        <f t="shared" si="18"/>
        <v>Southbound</v>
      </c>
      <c r="U20" s="109">
        <f>COUNTIFS(Variables!$M$2:$M$19,IF(T20="NorthBound","&gt;=","&lt;=")&amp;Y20,Variables!$M$2:$M$19,IF(T20="NorthBound","&lt;=","&gt;=")&amp;Z20)</f>
        <v>12</v>
      </c>
      <c r="V2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" s="78" t="str">
        <f t="shared" si="19"/>
        <v>N</v>
      </c>
      <c r="X20" s="104">
        <f t="shared" si="20"/>
        <v>1</v>
      </c>
      <c r="Y20" s="101">
        <f t="shared" si="21"/>
        <v>23.273800000000001</v>
      </c>
      <c r="Z20" s="101">
        <v>0.01</v>
      </c>
      <c r="AA20" s="101">
        <f t="shared" si="23"/>
        <v>23.2638</v>
      </c>
      <c r="AB20" s="98">
        <f>VLOOKUP(A20,Enforcements!$C$7:$J$23,8,0)</f>
        <v>1692</v>
      </c>
      <c r="AC20" s="94" t="str">
        <f>VLOOKUP(A20,Enforcements!$C$7:$E$23,3,0)</f>
        <v>SIGNAL</v>
      </c>
      <c r="AD20" s="95" t="str">
        <f t="shared" si="24"/>
        <v>0108-10</v>
      </c>
      <c r="AE20" s="79" t="str">
        <f t="shared" si="25"/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AF20" s="79" t="str">
        <f t="shared" si="26"/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396</v>
      </c>
      <c r="B21" s="7">
        <v>4025</v>
      </c>
      <c r="C21" s="28" t="s">
        <v>59</v>
      </c>
      <c r="D21" s="28" t="s">
        <v>152</v>
      </c>
      <c r="E21" s="17">
        <v>42561.1952662037</v>
      </c>
      <c r="F21" s="17">
        <v>42561.196597222224</v>
      </c>
      <c r="G21" s="7">
        <v>1</v>
      </c>
      <c r="H21" s="17" t="s">
        <v>459</v>
      </c>
      <c r="I21" s="17">
        <v>42561.223020833335</v>
      </c>
      <c r="J21" s="7">
        <v>1</v>
      </c>
      <c r="K21" s="28" t="str">
        <f t="shared" si="15"/>
        <v>4025/4026</v>
      </c>
      <c r="L21" s="28" t="str">
        <f>VLOOKUP(A21,'Trips&amp;Operators'!$C$1:$E$10000,3,FALSE)</f>
        <v>MALAVE</v>
      </c>
      <c r="M21" s="6">
        <f t="shared" si="16"/>
        <v>2.6423611110658385E-2</v>
      </c>
      <c r="N21" s="7">
        <f t="shared" si="2"/>
        <v>38.049999999348074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09">
        <f>COUNTIFS(Variables!$M$2:$M$19,IF(T21="NorthBound","&gt;=","&lt;=")&amp;Y21,Variables!$M$2:$M$19,IF(T21="NorthBound","&lt;=","&gt;=")&amp;Z21)</f>
        <v>12</v>
      </c>
      <c r="V2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78" t="str">
        <f t="shared" si="19"/>
        <v>N</v>
      </c>
      <c r="X21" s="104">
        <f t="shared" si="20"/>
        <v>1</v>
      </c>
      <c r="Y21" s="101">
        <f t="shared" si="21"/>
        <v>4.4900000000000002E-2</v>
      </c>
      <c r="Z21" s="101">
        <f t="shared" si="22"/>
        <v>23.181999999999999</v>
      </c>
      <c r="AA21" s="101">
        <f t="shared" si="23"/>
        <v>23.1371</v>
      </c>
      <c r="AB21" s="98">
        <f>VLOOKUP(A21,Enforcements!$C$7:$J$23,8,0)</f>
        <v>126585</v>
      </c>
      <c r="AC21" s="94" t="str">
        <f>VLOOKUP(A21,Enforcements!$C$7:$E$23,3,0)</f>
        <v>SIGNAL</v>
      </c>
      <c r="AD21" s="95" t="str">
        <f t="shared" si="24"/>
        <v>0109-10</v>
      </c>
      <c r="AE21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21" s="79" t="str">
        <f t="shared" si="26"/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398</v>
      </c>
      <c r="B22" s="7">
        <v>4026</v>
      </c>
      <c r="C22" s="28" t="s">
        <v>59</v>
      </c>
      <c r="D22" s="28" t="s">
        <v>460</v>
      </c>
      <c r="E22" s="17">
        <v>42561.241099537037</v>
      </c>
      <c r="F22" s="17">
        <v>42561.24181712963</v>
      </c>
      <c r="G22" s="7">
        <v>1</v>
      </c>
      <c r="H22" s="17" t="s">
        <v>373</v>
      </c>
      <c r="I22" s="17">
        <v>42561.265069444446</v>
      </c>
      <c r="J22" s="7">
        <v>1</v>
      </c>
      <c r="K22" s="28" t="str">
        <f t="shared" si="15"/>
        <v>4025/4026</v>
      </c>
      <c r="L22" s="28" t="str">
        <f>VLOOKUP(A22,'Trips&amp;Operators'!$C$1:$E$10000,3,FALSE)</f>
        <v>MALAVE</v>
      </c>
      <c r="M22" s="6">
        <f t="shared" si="16"/>
        <v>2.3252314815181307E-2</v>
      </c>
      <c r="N22" s="7"/>
      <c r="O22" s="7"/>
      <c r="P22" s="7">
        <f>24*60*SUM($M22:$M23)</f>
        <v>34.433333335909992</v>
      </c>
      <c r="Q22" s="29"/>
      <c r="R22" s="29" t="s">
        <v>134</v>
      </c>
      <c r="S22" s="47">
        <f t="shared" si="17"/>
        <v>1</v>
      </c>
      <c r="T22" s="73" t="str">
        <f t="shared" si="18"/>
        <v>Southbound</v>
      </c>
      <c r="U22" s="109">
        <f>COUNTIFS(Variables!$M$2:$M$19,IF(T22="NorthBound","&gt;=","&lt;=")&amp;Y22,Variables!$M$2:$M$19,IF(T22="NorthBound","&lt;=","&gt;=")&amp;Z22)</f>
        <v>12</v>
      </c>
      <c r="V2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78" t="str">
        <f t="shared" si="19"/>
        <v>Y</v>
      </c>
      <c r="X22" s="104">
        <f t="shared" si="20"/>
        <v>1</v>
      </c>
      <c r="Y22" s="101">
        <f t="shared" si="21"/>
        <v>19.932200000000002</v>
      </c>
      <c r="Z22" s="101">
        <f t="shared" si="22"/>
        <v>1.38E-2</v>
      </c>
      <c r="AA22" s="101">
        <f t="shared" si="23"/>
        <v>19.918400000000002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4"/>
        <v>0110-10</v>
      </c>
      <c r="AE22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2" s="79" t="str">
        <f t="shared" si="26"/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398</v>
      </c>
      <c r="B23" s="7">
        <v>4026</v>
      </c>
      <c r="C23" s="28" t="s">
        <v>59</v>
      </c>
      <c r="D23" s="28" t="s">
        <v>224</v>
      </c>
      <c r="E23" s="17">
        <v>42561.234849537039</v>
      </c>
      <c r="F23" s="17">
        <v>42561.238240740742</v>
      </c>
      <c r="G23" s="7">
        <v>4</v>
      </c>
      <c r="H23" s="17" t="s">
        <v>461</v>
      </c>
      <c r="I23" s="17">
        <v>42561.238900462966</v>
      </c>
      <c r="J23" s="7">
        <v>1</v>
      </c>
      <c r="K23" s="28" t="str">
        <f t="shared" si="15"/>
        <v>4025/4026</v>
      </c>
      <c r="L23" s="28" t="str">
        <f>VLOOKUP(A23,'Trips&amp;Operators'!$C$1:$E$10000,3,FALSE)</f>
        <v>MALAVE</v>
      </c>
      <c r="M23" s="6">
        <f t="shared" si="16"/>
        <v>6.5972222364507616E-4</v>
      </c>
      <c r="N23" s="7"/>
      <c r="O23" s="7"/>
      <c r="P23" s="7"/>
      <c r="Q23" s="29"/>
      <c r="R23" s="29"/>
      <c r="S23" s="47">
        <f t="shared" si="17"/>
        <v>0</v>
      </c>
      <c r="T23" s="73" t="str">
        <f t="shared" si="18"/>
        <v>Southbound</v>
      </c>
      <c r="U23" s="109">
        <f>COUNTIFS(Variables!$M$2:$M$19,IF(T23="NorthBound","&gt;=","&lt;=")&amp;Y23,Variables!$M$2:$M$19,IF(T23="NorthBound","&lt;=","&gt;=")&amp;Z23)</f>
        <v>0</v>
      </c>
      <c r="V2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04:38:11-0600',mode:absolute,to:'2016-07-10 06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3" s="78" t="str">
        <f t="shared" si="19"/>
        <v>Y</v>
      </c>
      <c r="X23" s="104">
        <f t="shared" si="20"/>
        <v>0</v>
      </c>
      <c r="Y23" s="101">
        <f t="shared" si="21"/>
        <v>23.297899999999998</v>
      </c>
      <c r="Z23" s="101">
        <f t="shared" si="22"/>
        <v>22.4693</v>
      </c>
      <c r="AA23" s="101">
        <f t="shared" si="23"/>
        <v>0.828599999999998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4"/>
        <v>0110-10</v>
      </c>
      <c r="AE23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3" s="79" t="str">
        <f t="shared" si="26"/>
        <v>"C:\Program Files (x86)\AstroGrep\AstroGrep.exe" /spath="C:\Users\stu\Documents\Analysis\2016-02-23 RTDC Observations" /stypes="*4026*20160710*"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462</v>
      </c>
      <c r="B24" s="7">
        <v>4020</v>
      </c>
      <c r="C24" s="28" t="s">
        <v>59</v>
      </c>
      <c r="D24" s="28" t="s">
        <v>463</v>
      </c>
      <c r="E24" s="17">
        <v>42561.204884259256</v>
      </c>
      <c r="F24" s="17">
        <v>42561.206319444442</v>
      </c>
      <c r="G24" s="7">
        <v>2</v>
      </c>
      <c r="H24" s="17" t="s">
        <v>464</v>
      </c>
      <c r="I24" s="17">
        <v>42561.233854166669</v>
      </c>
      <c r="J24" s="7">
        <v>0</v>
      </c>
      <c r="K24" s="28" t="str">
        <f t="shared" si="15"/>
        <v>4019/4020</v>
      </c>
      <c r="L24" s="28" t="str">
        <f>VLOOKUP(A24,'Trips&amp;Operators'!$C$1:$E$10000,3,FALSE)</f>
        <v>GEBRETEKLE</v>
      </c>
      <c r="M24" s="6">
        <f t="shared" si="16"/>
        <v>2.7534722226846498E-2</v>
      </c>
      <c r="N24" s="7">
        <f t="shared" si="2"/>
        <v>39.650000006658956</v>
      </c>
      <c r="O24" s="7"/>
      <c r="P24" s="7"/>
      <c r="Q24" s="29"/>
      <c r="R24" s="29"/>
      <c r="S24" s="47">
        <f t="shared" si="17"/>
        <v>1</v>
      </c>
      <c r="T24" s="73" t="str">
        <f t="shared" si="18"/>
        <v>NorthBound</v>
      </c>
      <c r="U24" s="109">
        <f>COUNTIFS(Variables!$M$2:$M$19,IF(T24="NorthBound","&gt;=","&lt;=")&amp;Y24,Variables!$M$2:$M$19,IF(T24="NorthBound","&lt;=","&gt;=")&amp;Z24)</f>
        <v>12</v>
      </c>
      <c r="V2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03:55:02-0600',mode:absolute,to:'2016-07-10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4" s="78" t="str">
        <f t="shared" si="19"/>
        <v>N</v>
      </c>
      <c r="X24" s="104">
        <f t="shared" si="20"/>
        <v>1</v>
      </c>
      <c r="Y24" s="101">
        <f t="shared" si="21"/>
        <v>6.9500000000000006E-2</v>
      </c>
      <c r="Z24" s="101">
        <f t="shared" si="22"/>
        <v>23.3307</v>
      </c>
      <c r="AA24" s="101">
        <f t="shared" si="23"/>
        <v>23.261199999999999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4"/>
        <v>0111-10</v>
      </c>
      <c r="AE24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24" s="79" t="str">
        <f t="shared" si="26"/>
        <v>"C:\Program Files (x86)\AstroGrep\AstroGrep.exe" /spath="C:\Users\stu\Documents\Analysis\2016-02-23 RTDC Observations" /stypes="*4020*20160710*" /stext=" 11:.+((prompt.+disp)|(slice.+state.+chan)|(ment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465</v>
      </c>
      <c r="B25" s="7">
        <v>4019</v>
      </c>
      <c r="C25" s="28" t="s">
        <v>59</v>
      </c>
      <c r="D25" s="28" t="s">
        <v>466</v>
      </c>
      <c r="E25" s="17">
        <v>42561.242997685185</v>
      </c>
      <c r="F25" s="17">
        <v>42561.244363425925</v>
      </c>
      <c r="G25" s="7">
        <v>1</v>
      </c>
      <c r="H25" s="17" t="s">
        <v>351</v>
      </c>
      <c r="I25" s="17">
        <v>42561.273981481485</v>
      </c>
      <c r="J25" s="7">
        <v>0</v>
      </c>
      <c r="K25" s="28" t="str">
        <f t="shared" si="15"/>
        <v>4019/4020</v>
      </c>
      <c r="L25" s="28" t="str">
        <f>VLOOKUP(A25,'Trips&amp;Operators'!$C$1:$E$10000,3,FALSE)</f>
        <v>GEBRETEKLE</v>
      </c>
      <c r="M25" s="6">
        <f t="shared" si="16"/>
        <v>2.9618055559694767E-2</v>
      </c>
      <c r="N25" s="7">
        <f t="shared" si="2"/>
        <v>42.650000005960464</v>
      </c>
      <c r="O25" s="7"/>
      <c r="P25" s="7"/>
      <c r="Q25" s="29"/>
      <c r="R25" s="29"/>
      <c r="S25" s="47">
        <f t="shared" si="17"/>
        <v>1</v>
      </c>
      <c r="T25" s="73" t="str">
        <f t="shared" si="18"/>
        <v>Southbound</v>
      </c>
      <c r="U25" s="109">
        <f>COUNTIFS(Variables!$M$2:$M$19,IF(T25="NorthBound","&gt;=","&lt;=")&amp;Y25,Variables!$M$2:$M$19,IF(T25="NorthBound","&lt;=","&gt;=")&amp;Z25)</f>
        <v>12</v>
      </c>
      <c r="V2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04:49:55-0600',mode:absolute,to:'2016-07-10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5" s="78" t="str">
        <f t="shared" si="19"/>
        <v>N</v>
      </c>
      <c r="X25" s="104">
        <f t="shared" si="20"/>
        <v>1</v>
      </c>
      <c r="Y25" s="101">
        <f t="shared" si="21"/>
        <v>23.298999999999999</v>
      </c>
      <c r="Z25" s="101">
        <f t="shared" si="22"/>
        <v>1.47E-2</v>
      </c>
      <c r="AA25" s="101">
        <f t="shared" si="23"/>
        <v>23.284299999999998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4"/>
        <v>0112-10</v>
      </c>
      <c r="AE25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25" s="79" t="str">
        <f t="shared" si="26"/>
        <v>"C:\Program Files (x86)\AstroGrep\AstroGrep.exe" /spath="C:\Users\stu\Documents\Analysis\2016-02-23 RTDC Observations" /stypes="*4019*20160710*" /stext=" 12:.+((prompt.+disp)|(slice.+state.+chan)|(ment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401</v>
      </c>
      <c r="B26" s="7">
        <v>4011</v>
      </c>
      <c r="C26" s="28" t="s">
        <v>59</v>
      </c>
      <c r="D26" s="28" t="s">
        <v>385</v>
      </c>
      <c r="E26" s="17">
        <v>42561.204351851855</v>
      </c>
      <c r="F26" s="17">
        <v>42561.205462962964</v>
      </c>
      <c r="G26" s="7">
        <v>1</v>
      </c>
      <c r="H26" s="17" t="s">
        <v>314</v>
      </c>
      <c r="I26" s="17">
        <v>42561.245219907411</v>
      </c>
      <c r="J26" s="7">
        <v>1</v>
      </c>
      <c r="K26" s="28" t="str">
        <f t="shared" si="15"/>
        <v>4011/4012</v>
      </c>
      <c r="L26" s="28" t="str">
        <f>VLOOKUP(A26,'Trips&amp;Operators'!$C$1:$E$10000,3,FALSE)</f>
        <v>NELSON</v>
      </c>
      <c r="M26" s="6">
        <f t="shared" si="16"/>
        <v>3.9756944446708076E-2</v>
      </c>
      <c r="N26" s="7">
        <f t="shared" si="2"/>
        <v>57.250000003259629</v>
      </c>
      <c r="O26" s="7"/>
      <c r="P26" s="7"/>
      <c r="Q26" s="29"/>
      <c r="R26" s="29"/>
      <c r="S26" s="47">
        <f t="shared" si="17"/>
        <v>1</v>
      </c>
      <c r="T26" s="73" t="str">
        <f t="shared" si="18"/>
        <v>NorthBound</v>
      </c>
      <c r="U26" s="109">
        <f>COUNTIFS(Variables!$M$2:$M$19,IF(T26="NorthBound","&gt;=","&lt;=")&amp;Y26,Variables!$M$2:$M$19,IF(T26="NorthBound","&lt;=","&gt;=")&amp;Z26)</f>
        <v>12</v>
      </c>
      <c r="V2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6" s="78" t="str">
        <f t="shared" si="19"/>
        <v>N</v>
      </c>
      <c r="X26" s="104">
        <f t="shared" si="20"/>
        <v>1</v>
      </c>
      <c r="Y26" s="101">
        <f t="shared" si="21"/>
        <v>4.4600000000000001E-2</v>
      </c>
      <c r="Z26" s="101">
        <f t="shared" si="22"/>
        <v>23.3306</v>
      </c>
      <c r="AA26" s="101">
        <f t="shared" si="23"/>
        <v>23.286000000000001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4"/>
        <v>0113-10</v>
      </c>
      <c r="AE26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26" s="79" t="str">
        <f t="shared" si="26"/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404</v>
      </c>
      <c r="B27" s="7">
        <v>4012</v>
      </c>
      <c r="C27" s="28" t="s">
        <v>59</v>
      </c>
      <c r="D27" s="28" t="s">
        <v>225</v>
      </c>
      <c r="E27" s="17">
        <v>42561.251956018517</v>
      </c>
      <c r="F27" s="17">
        <v>42561.253078703703</v>
      </c>
      <c r="G27" s="7">
        <v>1</v>
      </c>
      <c r="H27" s="17" t="s">
        <v>60</v>
      </c>
      <c r="I27" s="17">
        <v>42561.283391203702</v>
      </c>
      <c r="J27" s="7">
        <v>1</v>
      </c>
      <c r="K27" s="28" t="str">
        <f t="shared" si="15"/>
        <v>4011/4012</v>
      </c>
      <c r="L27" s="28" t="str">
        <f>VLOOKUP(A27,'Trips&amp;Operators'!$C$1:$E$10000,3,FALSE)</f>
        <v>NELSON</v>
      </c>
      <c r="M27" s="6">
        <f t="shared" si="16"/>
        <v>3.0312499999126885E-2</v>
      </c>
      <c r="N27" s="7">
        <f t="shared" si="2"/>
        <v>43.649999998742715</v>
      </c>
      <c r="O27" s="7"/>
      <c r="P27" s="7"/>
      <c r="Q27" s="29"/>
      <c r="R27" s="29"/>
      <c r="S27" s="47">
        <f t="shared" si="17"/>
        <v>1</v>
      </c>
      <c r="T27" s="73" t="str">
        <f t="shared" si="18"/>
        <v>Southbound</v>
      </c>
      <c r="U27" s="109">
        <f>COUNTIFS(Variables!$M$2:$M$19,IF(T27="NorthBound","&gt;=","&lt;=")&amp;Y27,Variables!$M$2:$M$19,IF(T27="NorthBound","&lt;=","&gt;=")&amp;Z27)</f>
        <v>12</v>
      </c>
      <c r="V2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7" s="78" t="str">
        <f t="shared" si="19"/>
        <v>N</v>
      </c>
      <c r="X27" s="104">
        <f t="shared" si="20"/>
        <v>1</v>
      </c>
      <c r="Y27" s="101">
        <f t="shared" si="21"/>
        <v>23.299600000000002</v>
      </c>
      <c r="Z27" s="101">
        <f t="shared" si="22"/>
        <v>1.4500000000000001E-2</v>
      </c>
      <c r="AA27" s="101">
        <f t="shared" si="23"/>
        <v>23.2851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4"/>
        <v>0114-10</v>
      </c>
      <c r="AE27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27" s="79" t="str">
        <f t="shared" si="26"/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400</v>
      </c>
      <c r="B28" s="7">
        <v>4018</v>
      </c>
      <c r="C28" s="28" t="s">
        <v>59</v>
      </c>
      <c r="D28" s="28" t="s">
        <v>467</v>
      </c>
      <c r="E28" s="17">
        <v>42561.226076388892</v>
      </c>
      <c r="F28" s="17">
        <v>42561.227152777778</v>
      </c>
      <c r="G28" s="7">
        <v>1</v>
      </c>
      <c r="H28" s="17" t="s">
        <v>468</v>
      </c>
      <c r="I28" s="17">
        <v>42561.243333333332</v>
      </c>
      <c r="J28" s="7">
        <v>0</v>
      </c>
      <c r="K28" s="28" t="str">
        <f t="shared" si="15"/>
        <v>4017/4018</v>
      </c>
      <c r="L28" s="28" t="str">
        <f>VLOOKUP(A28,'Trips&amp;Operators'!$C$1:$E$10000,3,FALSE)</f>
        <v>YORK</v>
      </c>
      <c r="M28" s="6">
        <f t="shared" si="16"/>
        <v>1.6180555554456078E-2</v>
      </c>
      <c r="N28" s="7"/>
      <c r="O28" s="7"/>
      <c r="P28" s="7">
        <f t="shared" si="2"/>
        <v>23.299999998416752</v>
      </c>
      <c r="Q28" s="29"/>
      <c r="R28" s="29" t="s">
        <v>134</v>
      </c>
      <c r="S28" s="47">
        <f t="shared" si="17"/>
        <v>0.91666666666666663</v>
      </c>
      <c r="T28" s="73" t="str">
        <f t="shared" si="18"/>
        <v>NorthBound</v>
      </c>
      <c r="U28" s="109">
        <f>COUNTIFS(Variables!$M$2:$M$19,IF(T28="NorthBound","&gt;=","&lt;=")&amp;Y28,Variables!$M$2:$M$19,IF(T28="NorthBound","&lt;=","&gt;=")&amp;Z28)</f>
        <v>11</v>
      </c>
      <c r="V2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19"/>
        <v>Y</v>
      </c>
      <c r="X28" s="104">
        <f t="shared" si="20"/>
        <v>1</v>
      </c>
      <c r="Y28" s="101">
        <f t="shared" si="21"/>
        <v>7.7700000000000005E-2</v>
      </c>
      <c r="Z28" s="101">
        <f t="shared" si="22"/>
        <v>10.4741</v>
      </c>
      <c r="AA28" s="101">
        <f t="shared" si="23"/>
        <v>10.3964</v>
      </c>
      <c r="AB28" s="98" t="e">
        <f>VLOOKUP(A28,Enforcements!$C$7:$J$23,8,0)</f>
        <v>#N/A</v>
      </c>
      <c r="AC28" s="94" t="e">
        <f>VLOOKUP(A28,Enforcements!$C$7:$E$23,3,0)</f>
        <v>#N/A</v>
      </c>
      <c r="AD28" s="95" t="str">
        <f t="shared" si="24"/>
        <v>0115-10</v>
      </c>
      <c r="AE28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28" s="79" t="str">
        <f t="shared" si="26"/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469</v>
      </c>
      <c r="B29" s="7">
        <v>4017</v>
      </c>
      <c r="C29" s="28" t="s">
        <v>59</v>
      </c>
      <c r="D29" s="28" t="s">
        <v>357</v>
      </c>
      <c r="E29" s="17">
        <v>42561.258344907408</v>
      </c>
      <c r="F29" s="17">
        <v>42561.260868055557</v>
      </c>
      <c r="G29" s="7">
        <v>3</v>
      </c>
      <c r="H29" s="17" t="s">
        <v>111</v>
      </c>
      <c r="I29" s="17">
        <v>42561.294120370374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YORK</v>
      </c>
      <c r="M29" s="6">
        <f t="shared" si="16"/>
        <v>3.3252314817218576E-2</v>
      </c>
      <c r="N29" s="7">
        <f t="shared" si="2"/>
        <v>47.883333336794749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09">
        <f>COUNTIFS(Variables!$M$2:$M$19,IF(T29="NorthBound","&gt;=","&lt;=")&amp;Y29,Variables!$M$2:$M$19,IF(T29="NorthBound","&lt;=","&gt;=")&amp;Z29)</f>
        <v>12</v>
      </c>
      <c r="V2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05:12:01-0600',mode:absolute,to:'2016-07-10 08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19"/>
        <v>N</v>
      </c>
      <c r="X29" s="104">
        <f t="shared" si="20"/>
        <v>1</v>
      </c>
      <c r="Y29" s="101">
        <f t="shared" si="21"/>
        <v>23.298200000000001</v>
      </c>
      <c r="Z29" s="101">
        <f t="shared" si="22"/>
        <v>1.43E-2</v>
      </c>
      <c r="AA29" s="101">
        <f t="shared" si="23"/>
        <v>23.283900000000003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4"/>
        <v>0116-10</v>
      </c>
      <c r="AE29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29" s="79" t="str">
        <f t="shared" si="26"/>
        <v>"C:\Program Files (x86)\AstroGrep\AstroGrep.exe" /spath="C:\Users\stu\Documents\Analysis\2016-02-23 RTDC Observations" /stypes="*4017*20160710*"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470</v>
      </c>
      <c r="B30" s="7">
        <v>4031</v>
      </c>
      <c r="C30" s="28" t="s">
        <v>59</v>
      </c>
      <c r="D30" s="28" t="s">
        <v>185</v>
      </c>
      <c r="E30" s="17">
        <v>42561.23159722222</v>
      </c>
      <c r="F30" s="17">
        <v>42561.232928240737</v>
      </c>
      <c r="G30" s="7">
        <v>1</v>
      </c>
      <c r="H30" s="17" t="s">
        <v>315</v>
      </c>
      <c r="I30" s="17">
        <v>42561.264791666668</v>
      </c>
      <c r="J30" s="7">
        <v>0</v>
      </c>
      <c r="K30" s="28" t="str">
        <f t="shared" si="15"/>
        <v>4031/4032</v>
      </c>
      <c r="L30" s="28" t="str">
        <f>VLOOKUP(A30,'Trips&amp;Operators'!$C$1:$E$10000,3,FALSE)</f>
        <v>ACKERMAN</v>
      </c>
      <c r="M30" s="6">
        <f t="shared" si="16"/>
        <v>3.1863425931078382E-2</v>
      </c>
      <c r="N30" s="7">
        <f t="shared" si="2"/>
        <v>45.88333334075287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09">
        <f>COUNTIFS(Variables!$M$2:$M$19,IF(T30="NorthBound","&gt;=","&lt;=")&amp;Y30,Variables!$M$2:$M$19,IF(T30="NorthBound","&lt;=","&gt;=")&amp;Z30)</f>
        <v>12</v>
      </c>
      <c r="V3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04:33:30-0600',mode:absolute,to:'2016-07-10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19"/>
        <v>N</v>
      </c>
      <c r="X30" s="104">
        <f t="shared" si="20"/>
        <v>1</v>
      </c>
      <c r="Y30" s="101">
        <f t="shared" si="21"/>
        <v>4.58E-2</v>
      </c>
      <c r="Z30" s="101">
        <f t="shared" si="22"/>
        <v>23.333100000000002</v>
      </c>
      <c r="AA30" s="101">
        <f t="shared" si="23"/>
        <v>23.287300000000002</v>
      </c>
      <c r="AB30" s="98" t="e">
        <f>VLOOKUP(A30,Enforcements!$C$7:$J$23,8,0)</f>
        <v>#N/A</v>
      </c>
      <c r="AC30" s="94" t="e">
        <f>VLOOKUP(A30,Enforcements!$C$7:$E$23,3,0)</f>
        <v>#N/A</v>
      </c>
      <c r="AD30" s="95" t="str">
        <f t="shared" si="24"/>
        <v>0117-10</v>
      </c>
      <c r="AE30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30" s="79" t="str">
        <f t="shared" si="26"/>
        <v>"C:\Program Files (x86)\AstroGrep\AstroGrep.exe" /spath="C:\Users\stu\Documents\Analysis\2016-02-23 RTDC Observations" /stypes="*4031*20160710*"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471</v>
      </c>
      <c r="B31" s="7">
        <v>4032</v>
      </c>
      <c r="C31" s="28" t="s">
        <v>59</v>
      </c>
      <c r="D31" s="28" t="s">
        <v>353</v>
      </c>
      <c r="E31" s="17">
        <v>42561.272905092592</v>
      </c>
      <c r="F31" s="17">
        <v>42561.273680555554</v>
      </c>
      <c r="G31" s="7">
        <v>1</v>
      </c>
      <c r="H31" s="17" t="s">
        <v>342</v>
      </c>
      <c r="I31" s="17">
        <v>42561.306863425925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ACKERMAN</v>
      </c>
      <c r="M31" s="6">
        <f t="shared" si="16"/>
        <v>3.3182870371092577E-2</v>
      </c>
      <c r="N31" s="7">
        <f t="shared" si="2"/>
        <v>47.78333333437331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09">
        <f>COUNTIFS(Variables!$M$2:$M$19,IF(T31="NorthBound","&gt;=","&lt;=")&amp;Y31,Variables!$M$2:$M$19,IF(T31="NorthBound","&lt;=","&gt;=")&amp;Z31)</f>
        <v>12</v>
      </c>
      <c r="V3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05:32:59-0600',mode:absolute,to:'2016-07-10 08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19"/>
        <v>N</v>
      </c>
      <c r="X31" s="104">
        <f t="shared" si="20"/>
        <v>1</v>
      </c>
      <c r="Y31" s="101">
        <f t="shared" si="21"/>
        <v>23.299800000000001</v>
      </c>
      <c r="Z31" s="101">
        <f t="shared" si="22"/>
        <v>1.3899999999999999E-2</v>
      </c>
      <c r="AA31" s="101">
        <f t="shared" si="23"/>
        <v>23.285900000000002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4"/>
        <v>0118-10</v>
      </c>
      <c r="AE31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31" s="79" t="str">
        <f t="shared" si="26"/>
        <v>"C:\Program Files (x86)\AstroGrep\AstroGrep.exe" /spath="C:\Users\stu\Documents\Analysis\2016-02-23 RTDC Observations" /stypes="*4032*20160710*"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472</v>
      </c>
      <c r="B32" s="7">
        <v>4029</v>
      </c>
      <c r="C32" s="28" t="s">
        <v>59</v>
      </c>
      <c r="D32" s="28" t="s">
        <v>473</v>
      </c>
      <c r="E32" s="17">
        <v>42561.246747685182</v>
      </c>
      <c r="F32" s="17">
        <v>42561.247743055559</v>
      </c>
      <c r="G32" s="7">
        <v>1</v>
      </c>
      <c r="H32" s="17" t="s">
        <v>356</v>
      </c>
      <c r="I32" s="17">
        <v>42561.274895833332</v>
      </c>
      <c r="J32" s="7">
        <v>0</v>
      </c>
      <c r="K32" s="28" t="str">
        <f t="shared" si="15"/>
        <v>4029/4030</v>
      </c>
      <c r="L32" s="28" t="str">
        <f>VLOOKUP(A32,'Trips&amp;Operators'!$C$1:$E$10000,3,FALSE)</f>
        <v>SANTIZO</v>
      </c>
      <c r="M32" s="6">
        <f t="shared" si="16"/>
        <v>2.7152777773153502E-2</v>
      </c>
      <c r="N32" s="7">
        <f t="shared" si="2"/>
        <v>39.099999993341044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09">
        <f>COUNTIFS(Variables!$M$2:$M$19,IF(T32="NorthBound","&gt;=","&lt;=")&amp;Y32,Variables!$M$2:$M$19,IF(T32="NorthBound","&lt;=","&gt;=")&amp;Z32)</f>
        <v>12</v>
      </c>
      <c r="V3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04:55:19-0600',mode:absolute,to:'2016-07-10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78" t="str">
        <f t="shared" si="19"/>
        <v>N</v>
      </c>
      <c r="X32" s="104">
        <f t="shared" si="20"/>
        <v>1</v>
      </c>
      <c r="Y32" s="101">
        <f t="shared" si="21"/>
        <v>4.4699999999999997E-2</v>
      </c>
      <c r="Z32" s="101">
        <f t="shared" si="22"/>
        <v>23.331399999999999</v>
      </c>
      <c r="AA32" s="101">
        <f t="shared" si="23"/>
        <v>23.2867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4"/>
        <v>0119-10</v>
      </c>
      <c r="AE32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32" s="79" t="str">
        <f t="shared" si="26"/>
        <v>"C:\Program Files (x86)\AstroGrep\AstroGrep.exe" /spath="C:\Users\stu\Documents\Analysis\2016-02-23 RTDC Observations" /stypes="*4029*20160710*"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474</v>
      </c>
      <c r="B33" s="7">
        <v>4030</v>
      </c>
      <c r="C33" s="28" t="s">
        <v>59</v>
      </c>
      <c r="D33" s="28" t="s">
        <v>475</v>
      </c>
      <c r="E33" s="17">
        <v>42561.277870370373</v>
      </c>
      <c r="F33" s="17">
        <v>42561.278819444444</v>
      </c>
      <c r="G33" s="7">
        <v>1</v>
      </c>
      <c r="H33" s="17" t="s">
        <v>376</v>
      </c>
      <c r="I33" s="17">
        <v>42561.315104166664</v>
      </c>
      <c r="J33" s="7">
        <v>0</v>
      </c>
      <c r="K33" s="28" t="str">
        <f t="shared" si="15"/>
        <v>4029/4030</v>
      </c>
      <c r="L33" s="28" t="str">
        <f>VLOOKUP(A33,'Trips&amp;Operators'!$C$1:$E$10000,3,FALSE)</f>
        <v>SANTIZO</v>
      </c>
      <c r="M33" s="6">
        <f t="shared" si="16"/>
        <v>3.6284722220443655E-2</v>
      </c>
      <c r="N33" s="7">
        <f t="shared" si="2"/>
        <v>52.249999997438863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09">
        <f>COUNTIFS(Variables!$M$2:$M$19,IF(T33="NorthBound","&gt;=","&lt;=")&amp;Y33,Variables!$M$2:$M$19,IF(T33="NorthBound","&lt;=","&gt;=")&amp;Z33)</f>
        <v>12</v>
      </c>
      <c r="V3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05:40:08-0600',mode:absolute,to:'2016-07-10 08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78" t="str">
        <f t="shared" si="19"/>
        <v>N</v>
      </c>
      <c r="X33" s="104">
        <f t="shared" si="20"/>
        <v>1</v>
      </c>
      <c r="Y33" s="101">
        <f t="shared" si="21"/>
        <v>23.299199999999999</v>
      </c>
      <c r="Z33" s="101">
        <f t="shared" si="22"/>
        <v>1.29E-2</v>
      </c>
      <c r="AA33" s="101">
        <f t="shared" si="23"/>
        <v>23.286300000000001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4"/>
        <v>0120-10</v>
      </c>
      <c r="AE33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33" s="79" t="str">
        <f t="shared" si="26"/>
        <v>"C:\Program Files (x86)\AstroGrep\AstroGrep.exe" /spath="C:\Users\stu\Documents\Analysis\2016-02-23 RTDC Observations" /stypes="*4030*20160710*"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476</v>
      </c>
      <c r="B34" s="7">
        <v>4040</v>
      </c>
      <c r="C34" s="28" t="s">
        <v>59</v>
      </c>
      <c r="D34" s="28" t="s">
        <v>375</v>
      </c>
      <c r="E34" s="17">
        <v>42561.260671296295</v>
      </c>
      <c r="F34" s="17">
        <v>42561.262511574074</v>
      </c>
      <c r="G34" s="7">
        <v>2</v>
      </c>
      <c r="H34" s="17" t="s">
        <v>320</v>
      </c>
      <c r="I34" s="17">
        <v>42561.28833333333</v>
      </c>
      <c r="J34" s="7">
        <v>0</v>
      </c>
      <c r="K34" s="28" t="str">
        <f t="shared" si="15"/>
        <v>4039/4040</v>
      </c>
      <c r="L34" s="28" t="str">
        <f>VLOOKUP(A34,'Trips&amp;Operators'!$C$1:$E$10000,3,FALSE)</f>
        <v>MADLOM</v>
      </c>
      <c r="M34" s="6">
        <f t="shared" si="16"/>
        <v>2.5821759256359655E-2</v>
      </c>
      <c r="N34" s="7">
        <f t="shared" si="2"/>
        <v>37.183333329157904</v>
      </c>
      <c r="O34" s="7"/>
      <c r="P34" s="7"/>
      <c r="Q34" s="29"/>
      <c r="R34" s="29"/>
      <c r="S34" s="47">
        <f t="shared" si="17"/>
        <v>1</v>
      </c>
      <c r="T34" s="73" t="str">
        <f t="shared" si="18"/>
        <v>NorthBound</v>
      </c>
      <c r="U34" s="109">
        <f>COUNTIFS(Variables!$M$2:$M$19,IF(T34="NorthBound","&gt;=","&lt;=")&amp;Y34,Variables!$M$2:$M$19,IF(T34="NorthBound","&lt;=","&gt;=")&amp;Z34)</f>
        <v>12</v>
      </c>
      <c r="V3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05:15:22-0600',mode:absolute,to:'2016-07-10 07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4" s="78" t="str">
        <f t="shared" si="19"/>
        <v>N</v>
      </c>
      <c r="X34" s="104">
        <f t="shared" si="20"/>
        <v>1</v>
      </c>
      <c r="Y34" s="101">
        <f t="shared" si="21"/>
        <v>7.8299999999999995E-2</v>
      </c>
      <c r="Z34" s="101">
        <f t="shared" si="22"/>
        <v>23.3276</v>
      </c>
      <c r="AA34" s="101">
        <f t="shared" si="23"/>
        <v>23.249300000000002</v>
      </c>
      <c r="AB34" s="98" t="e">
        <f>VLOOKUP(A34,Enforcements!$C$7:$J$23,8,0)</f>
        <v>#N/A</v>
      </c>
      <c r="AC34" s="94" t="e">
        <f>VLOOKUP(A34,Enforcements!$C$7:$E$23,3,0)</f>
        <v>#N/A</v>
      </c>
      <c r="AD34" s="95" t="str">
        <f t="shared" si="24"/>
        <v>0121-10</v>
      </c>
      <c r="AE34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34" s="79" t="str">
        <f t="shared" si="26"/>
        <v>"C:\Program Files (x86)\AstroGrep\AstroGrep.exe" /spath="C:\Users\stu\Documents\Analysis\2016-02-23 RTDC Observations" /stypes="*4040*20160710*"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477</v>
      </c>
      <c r="B35" s="7">
        <v>4039</v>
      </c>
      <c r="C35" s="28" t="s">
        <v>59</v>
      </c>
      <c r="D35" s="28" t="s">
        <v>379</v>
      </c>
      <c r="E35" s="17">
        <v>42561.292488425926</v>
      </c>
      <c r="F35" s="17">
        <v>42561.293807870374</v>
      </c>
      <c r="G35" s="7">
        <v>1</v>
      </c>
      <c r="H35" s="17" t="s">
        <v>331</v>
      </c>
      <c r="I35" s="17">
        <v>42561.324733796297</v>
      </c>
      <c r="J35" s="7">
        <v>0</v>
      </c>
      <c r="K35" s="28" t="str">
        <f t="shared" si="15"/>
        <v>4039/4040</v>
      </c>
      <c r="L35" s="28" t="str">
        <f>VLOOKUP(A35,'Trips&amp;Operators'!$C$1:$E$10000,3,FALSE)</f>
        <v>MADLOM</v>
      </c>
      <c r="M35" s="6">
        <f t="shared" si="16"/>
        <v>3.0925925922929309E-2</v>
      </c>
      <c r="N35" s="7">
        <f t="shared" si="2"/>
        <v>44.533333329018205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09">
        <f>COUNTIFS(Variables!$M$2:$M$19,IF(T35="NorthBound","&gt;=","&lt;=")&amp;Y35,Variables!$M$2:$M$19,IF(T35="NorthBound","&lt;=","&gt;=")&amp;Z35)</f>
        <v>12</v>
      </c>
      <c r="V3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06:01:11-0600',mode:absolute,to:'2016-07-10 08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5" s="78" t="str">
        <f t="shared" si="19"/>
        <v>N</v>
      </c>
      <c r="X35" s="104">
        <f t="shared" si="20"/>
        <v>1</v>
      </c>
      <c r="Y35" s="101">
        <f t="shared" si="21"/>
        <v>23.295300000000001</v>
      </c>
      <c r="Z35" s="101">
        <f t="shared" si="22"/>
        <v>1.4999999999999999E-2</v>
      </c>
      <c r="AA35" s="101">
        <f t="shared" si="23"/>
        <v>23.2803</v>
      </c>
      <c r="AB35" s="98" t="e">
        <f>VLOOKUP(A35,Enforcements!$C$7:$J$23,8,0)</f>
        <v>#N/A</v>
      </c>
      <c r="AC35" s="94" t="e">
        <f>VLOOKUP(A35,Enforcements!$C$7:$E$23,3,0)</f>
        <v>#N/A</v>
      </c>
      <c r="AD35" s="95" t="str">
        <f t="shared" si="24"/>
        <v>0122-10</v>
      </c>
      <c r="AE35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35" s="79" t="str">
        <f t="shared" si="26"/>
        <v>"C:\Program Files (x86)\AstroGrep\AstroGrep.exe" /spath="C:\Users\stu\Documents\Analysis\2016-02-23 RTDC Observations" /stypes="*4039*20160710*" /stext=" 13:.+((prompt.+disp)|(slice.+state.+chan)|(ment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403</v>
      </c>
      <c r="B36" s="7">
        <v>4025</v>
      </c>
      <c r="C36" s="28" t="s">
        <v>59</v>
      </c>
      <c r="D36" s="28" t="s">
        <v>473</v>
      </c>
      <c r="E36" s="17">
        <v>42561.269988425927</v>
      </c>
      <c r="F36" s="17">
        <v>42561.270775462966</v>
      </c>
      <c r="G36" s="7">
        <v>1</v>
      </c>
      <c r="H36" s="17" t="s">
        <v>323</v>
      </c>
      <c r="I36" s="17">
        <v>42561.295682870368</v>
      </c>
      <c r="J36" s="7">
        <v>1</v>
      </c>
      <c r="K36" s="28" t="str">
        <f t="shared" si="15"/>
        <v>4025/4026</v>
      </c>
      <c r="L36" s="28" t="str">
        <f>VLOOKUP(A36,'Trips&amp;Operators'!$C$1:$E$10000,3,FALSE)</f>
        <v>MALAVE</v>
      </c>
      <c r="M36" s="6">
        <f t="shared" si="16"/>
        <v>2.4907407401769888E-2</v>
      </c>
      <c r="N36" s="7">
        <f t="shared" si="2"/>
        <v>35.866666658548638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09">
        <f>COUNTIFS(Variables!$M$2:$M$19,IF(T36="NorthBound","&gt;=","&lt;=")&amp;Y36,Variables!$M$2:$M$19,IF(T36="NorthBound","&lt;=","&gt;=")&amp;Z36)</f>
        <v>12</v>
      </c>
      <c r="V3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6" s="78" t="str">
        <f t="shared" si="19"/>
        <v>N</v>
      </c>
      <c r="X36" s="104">
        <f t="shared" si="20"/>
        <v>1</v>
      </c>
      <c r="Y36" s="101">
        <f t="shared" si="21"/>
        <v>4.4699999999999997E-2</v>
      </c>
      <c r="Z36" s="101">
        <f t="shared" si="22"/>
        <v>23.3293</v>
      </c>
      <c r="AA36" s="101">
        <f t="shared" si="23"/>
        <v>23.284600000000001</v>
      </c>
      <c r="AB36" s="98">
        <f>VLOOKUP(A36,Enforcements!$C$7:$J$23,8,0)</f>
        <v>27333</v>
      </c>
      <c r="AC36" s="94" t="str">
        <f>VLOOKUP(A36,Enforcements!$C$7:$E$23,3,0)</f>
        <v>PERMANENT SPEED RESTRICTION</v>
      </c>
      <c r="AD36" s="95" t="str">
        <f t="shared" si="24"/>
        <v>0123-10</v>
      </c>
      <c r="AE36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36" s="79" t="str">
        <f t="shared" si="26"/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478</v>
      </c>
      <c r="B37" s="7">
        <v>4026</v>
      </c>
      <c r="C37" s="28" t="s">
        <v>59</v>
      </c>
      <c r="D37" s="28" t="s">
        <v>345</v>
      </c>
      <c r="E37" s="17">
        <v>42561.306851851848</v>
      </c>
      <c r="F37" s="17">
        <v>42561.307650462964</v>
      </c>
      <c r="G37" s="7">
        <v>1</v>
      </c>
      <c r="H37" s="17" t="s">
        <v>61</v>
      </c>
      <c r="I37" s="17">
        <v>42561.337465277778</v>
      </c>
      <c r="J37" s="7">
        <v>0</v>
      </c>
      <c r="K37" s="28" t="str">
        <f t="shared" si="15"/>
        <v>4025/4026</v>
      </c>
      <c r="L37" s="28" t="str">
        <f>VLOOKUP(A37,'Trips&amp;Operators'!$C$1:$E$10000,3,FALSE)</f>
        <v>MALAVE</v>
      </c>
      <c r="M37" s="6">
        <f t="shared" si="16"/>
        <v>2.9814814814017154E-2</v>
      </c>
      <c r="N37" s="7">
        <f t="shared" si="2"/>
        <v>42.933333332184702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09">
        <f>COUNTIFS(Variables!$M$2:$M$19,IF(T37="NorthBound","&gt;=","&lt;=")&amp;Y37,Variables!$M$2:$M$19,IF(T37="NorthBound","&lt;=","&gt;=")&amp;Z37)</f>
        <v>12</v>
      </c>
      <c r="V3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06:21:52-0600',mode:absolute,to:'2016-07-10 09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7" s="78" t="str">
        <f t="shared" si="19"/>
        <v>N</v>
      </c>
      <c r="X37" s="104">
        <f t="shared" si="20"/>
        <v>1</v>
      </c>
      <c r="Y37" s="101">
        <f t="shared" si="21"/>
        <v>23.297999999999998</v>
      </c>
      <c r="Z37" s="101">
        <f t="shared" si="22"/>
        <v>1.52E-2</v>
      </c>
      <c r="AA37" s="101">
        <f t="shared" si="23"/>
        <v>23.282799999999998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4"/>
        <v>0124-10</v>
      </c>
      <c r="AE37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37" s="79" t="str">
        <f t="shared" si="26"/>
        <v>"C:\Program Files (x86)\AstroGrep\AstroGrep.exe" /spath="C:\Users\stu\Documents\Analysis\2016-02-23 RTDC Observations" /stypes="*4026*20160710*"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479</v>
      </c>
      <c r="B38" s="7">
        <v>4020</v>
      </c>
      <c r="C38" s="28" t="s">
        <v>59</v>
      </c>
      <c r="D38" s="28" t="s">
        <v>70</v>
      </c>
      <c r="E38" s="17">
        <v>42561.276689814818</v>
      </c>
      <c r="F38" s="17">
        <v>42561.277685185189</v>
      </c>
      <c r="G38" s="7">
        <v>1</v>
      </c>
      <c r="H38" s="17" t="s">
        <v>245</v>
      </c>
      <c r="I38" s="17">
        <v>42561.306157407409</v>
      </c>
      <c r="J38" s="7">
        <v>0</v>
      </c>
      <c r="K38" s="28" t="str">
        <f t="shared" si="15"/>
        <v>4019/4020</v>
      </c>
      <c r="L38" s="28" t="str">
        <f>VLOOKUP(A38,'Trips&amp;Operators'!$C$1:$E$10000,3,FALSE)</f>
        <v>GEBRETEKLE</v>
      </c>
      <c r="M38" s="6">
        <f t="shared" si="16"/>
        <v>2.8472222220443655E-2</v>
      </c>
      <c r="N38" s="7">
        <f t="shared" si="2"/>
        <v>40.999999997438863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09">
        <f>COUNTIFS(Variables!$M$2:$M$19,IF(T38="NorthBound","&gt;=","&lt;=")&amp;Y38,Variables!$M$2:$M$19,IF(T38="NorthBound","&lt;=","&gt;=")&amp;Z38)</f>
        <v>12</v>
      </c>
      <c r="V3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05:38:26-0600',mode:absolute,to:'2016-07-10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78" t="str">
        <f t="shared" si="19"/>
        <v>N</v>
      </c>
      <c r="X38" s="104">
        <f t="shared" si="20"/>
        <v>1</v>
      </c>
      <c r="Y38" s="101">
        <f t="shared" si="21"/>
        <v>4.5699999999999998E-2</v>
      </c>
      <c r="Z38" s="101">
        <f t="shared" si="22"/>
        <v>23.3291</v>
      </c>
      <c r="AA38" s="101">
        <f t="shared" si="23"/>
        <v>23.2834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4"/>
        <v>0125-10</v>
      </c>
      <c r="AE38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38" s="79" t="str">
        <f t="shared" si="26"/>
        <v>"C:\Program Files (x86)\AstroGrep\AstroGrep.exe" /spath="C:\Users\stu\Documents\Analysis\2016-02-23 RTDC Observations" /stypes="*4020*20160710*"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405</v>
      </c>
      <c r="B39" s="7">
        <v>4019</v>
      </c>
      <c r="C39" s="28" t="s">
        <v>59</v>
      </c>
      <c r="D39" s="28" t="s">
        <v>480</v>
      </c>
      <c r="E39" s="17">
        <v>42561.317083333335</v>
      </c>
      <c r="F39" s="17">
        <v>42561.318020833336</v>
      </c>
      <c r="G39" s="7">
        <v>1</v>
      </c>
      <c r="H39" s="17" t="s">
        <v>316</v>
      </c>
      <c r="I39" s="17">
        <v>42561.345555555556</v>
      </c>
      <c r="J39" s="7">
        <v>1</v>
      </c>
      <c r="K39" s="28" t="str">
        <f t="shared" si="15"/>
        <v>4019/4020</v>
      </c>
      <c r="L39" s="28" t="str">
        <f>VLOOKUP(A39,'Trips&amp;Operators'!$C$1:$E$10000,3,FALSE)</f>
        <v>GEBRETEKLE</v>
      </c>
      <c r="M39" s="6">
        <f t="shared" si="16"/>
        <v>2.753472221957054E-2</v>
      </c>
      <c r="N39" s="7">
        <f t="shared" si="2"/>
        <v>39.649999996181577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09">
        <f>COUNTIFS(Variables!$M$2:$M$19,IF(T39="NorthBound","&gt;=","&lt;=")&amp;Y39,Variables!$M$2:$M$19,IF(T39="NorthBound","&lt;=","&gt;=")&amp;Z39)</f>
        <v>12</v>
      </c>
      <c r="V3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78" t="str">
        <f t="shared" si="19"/>
        <v>N</v>
      </c>
      <c r="X39" s="104">
        <f t="shared" si="20"/>
        <v>1</v>
      </c>
      <c r="Y39" s="101">
        <f t="shared" si="21"/>
        <v>23.296600000000002</v>
      </c>
      <c r="Z39" s="101">
        <f t="shared" si="22"/>
        <v>1.6500000000000001E-2</v>
      </c>
      <c r="AA39" s="101">
        <f t="shared" si="23"/>
        <v>23.280100000000001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4"/>
        <v>0126-10</v>
      </c>
      <c r="AE39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39" s="79" t="str">
        <f t="shared" si="26"/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481</v>
      </c>
      <c r="B40" s="7">
        <v>4011</v>
      </c>
      <c r="C40" s="28" t="s">
        <v>59</v>
      </c>
      <c r="D40" s="28" t="s">
        <v>388</v>
      </c>
      <c r="E40" s="17">
        <v>42561.284953703704</v>
      </c>
      <c r="F40" s="17">
        <v>42561.286099537036</v>
      </c>
      <c r="G40" s="7">
        <v>1</v>
      </c>
      <c r="H40" s="17" t="s">
        <v>323</v>
      </c>
      <c r="I40" s="17">
        <v>42561.31653935185</v>
      </c>
      <c r="J40" s="7">
        <v>0</v>
      </c>
      <c r="K40" s="28" t="str">
        <f t="shared" si="15"/>
        <v>4011/4012</v>
      </c>
      <c r="L40" s="28" t="str">
        <f>VLOOKUP(A40,'Trips&amp;Operators'!$C$1:$E$10000,3,FALSE)</f>
        <v>NELSON</v>
      </c>
      <c r="M40" s="6">
        <f t="shared" si="16"/>
        <v>3.0439814814599231E-2</v>
      </c>
      <c r="N40" s="7">
        <f t="shared" si="2"/>
        <v>43.833333333022892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09">
        <f>COUNTIFS(Variables!$M$2:$M$19,IF(T40="NorthBound","&gt;=","&lt;=")&amp;Y40,Variables!$M$2:$M$19,IF(T40="NorthBound","&lt;=","&gt;=")&amp;Z40)</f>
        <v>12</v>
      </c>
      <c r="V4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05:50:20-0600',mode:absolute,to:'2016-07-10 08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0" s="78" t="str">
        <f t="shared" si="19"/>
        <v>N</v>
      </c>
      <c r="X40" s="104">
        <f t="shared" si="20"/>
        <v>1</v>
      </c>
      <c r="Y40" s="101">
        <f t="shared" si="21"/>
        <v>4.7100000000000003E-2</v>
      </c>
      <c r="Z40" s="101">
        <f t="shared" si="22"/>
        <v>23.3293</v>
      </c>
      <c r="AA40" s="101">
        <f t="shared" si="23"/>
        <v>23.2822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4"/>
        <v>0127-10</v>
      </c>
      <c r="AE40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40" s="79" t="str">
        <f t="shared" si="26"/>
        <v>"C:\Program Files (x86)\AstroGrep\AstroGrep.exe" /spath="C:\Users\stu\Documents\Analysis\2016-02-23 RTDC Observations" /stypes="*4011*20160710*"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482</v>
      </c>
      <c r="B41" s="7">
        <v>4012</v>
      </c>
      <c r="C41" s="28" t="s">
        <v>59</v>
      </c>
      <c r="D41" s="28" t="s">
        <v>343</v>
      </c>
      <c r="E41" s="17">
        <v>42561.323877314811</v>
      </c>
      <c r="F41" s="17">
        <v>42561.324756944443</v>
      </c>
      <c r="G41" s="7">
        <v>1</v>
      </c>
      <c r="H41" s="17" t="s">
        <v>483</v>
      </c>
      <c r="I41" s="17">
        <v>42561.356354166666</v>
      </c>
      <c r="J41" s="7">
        <v>0</v>
      </c>
      <c r="K41" s="28" t="str">
        <f t="shared" si="15"/>
        <v>4011/4012</v>
      </c>
      <c r="L41" s="28" t="str">
        <f>VLOOKUP(A41,'Trips&amp;Operators'!$C$1:$E$10000,3,FALSE)</f>
        <v>NELSON</v>
      </c>
      <c r="M41" s="6">
        <f t="shared" si="16"/>
        <v>3.1597222223354038E-2</v>
      </c>
      <c r="N41" s="7">
        <f t="shared" si="2"/>
        <v>45.500000001629815</v>
      </c>
      <c r="O41" s="7"/>
      <c r="P41" s="7"/>
      <c r="Q41" s="29"/>
      <c r="R41" s="29"/>
      <c r="S41" s="47">
        <f t="shared" si="17"/>
        <v>1</v>
      </c>
      <c r="T41" s="73" t="str">
        <f t="shared" si="18"/>
        <v>Southbound</v>
      </c>
      <c r="U41" s="109">
        <f>COUNTIFS(Variables!$M$2:$M$19,IF(T41="NorthBound","&gt;=","&lt;=")&amp;Y41,Variables!$M$2:$M$19,IF(T41="NorthBound","&lt;=","&gt;=")&amp;Z41)</f>
        <v>12</v>
      </c>
      <c r="V4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06:46:23-0600',mode:absolute,to:'2016-07-10 09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78" t="str">
        <f t="shared" si="19"/>
        <v>N</v>
      </c>
      <c r="X41" s="104">
        <f t="shared" si="20"/>
        <v>1</v>
      </c>
      <c r="Y41" s="101">
        <f t="shared" si="21"/>
        <v>23.2986</v>
      </c>
      <c r="Z41" s="101">
        <f t="shared" si="22"/>
        <v>1.3599999999999999E-2</v>
      </c>
      <c r="AA41" s="101">
        <f t="shared" si="23"/>
        <v>23.285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4"/>
        <v>0128-10</v>
      </c>
      <c r="AE41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41" s="79" t="str">
        <f t="shared" si="26"/>
        <v>"C:\Program Files (x86)\AstroGrep\AstroGrep.exe" /spath="C:\Users\stu\Documents\Analysis\2016-02-23 RTDC Observations" /stypes="*4012*20160710*"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484</v>
      </c>
      <c r="B42" s="7">
        <v>4018</v>
      </c>
      <c r="C42" s="28" t="s">
        <v>59</v>
      </c>
      <c r="D42" s="28" t="s">
        <v>152</v>
      </c>
      <c r="E42" s="17">
        <v>42561.297118055554</v>
      </c>
      <c r="F42" s="17">
        <v>42561.298472222225</v>
      </c>
      <c r="G42" s="7">
        <v>1</v>
      </c>
      <c r="H42" s="17" t="s">
        <v>243</v>
      </c>
      <c r="I42" s="17">
        <v>42561.326932870368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YORK</v>
      </c>
      <c r="M42" s="6">
        <f t="shared" si="16"/>
        <v>2.8460648143664002E-2</v>
      </c>
      <c r="N42" s="7">
        <f t="shared" si="2"/>
        <v>40.983333326876163</v>
      </c>
      <c r="O42" s="7"/>
      <c r="P42" s="7"/>
      <c r="Q42" s="29"/>
      <c r="R42" s="29"/>
      <c r="S42" s="47">
        <f t="shared" si="17"/>
        <v>1</v>
      </c>
      <c r="T42" s="73" t="str">
        <f t="shared" si="18"/>
        <v>NorthBound</v>
      </c>
      <c r="U42" s="109">
        <f>COUNTIFS(Variables!$M$2:$M$19,IF(T42="NorthBound","&gt;=","&lt;=")&amp;Y42,Variables!$M$2:$M$19,IF(T42="NorthBound","&lt;=","&gt;=")&amp;Z42)</f>
        <v>12</v>
      </c>
      <c r="V4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06:07:51-0600',mode:absolute,to:'2016-07-10 08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2" s="78" t="str">
        <f t="shared" si="19"/>
        <v>N</v>
      </c>
      <c r="X42" s="104">
        <f t="shared" si="20"/>
        <v>1</v>
      </c>
      <c r="Y42" s="101">
        <f t="shared" si="21"/>
        <v>4.4900000000000002E-2</v>
      </c>
      <c r="Z42" s="101">
        <f t="shared" si="22"/>
        <v>23.3278</v>
      </c>
      <c r="AA42" s="101">
        <f t="shared" si="23"/>
        <v>23.282900000000001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4"/>
        <v>0129-10</v>
      </c>
      <c r="AE42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42" s="79" t="str">
        <f t="shared" si="26"/>
        <v>"C:\Program Files (x86)\AstroGrep\AstroGrep.exe" /spath="C:\Users\stu\Documents\Analysis\2016-02-23 RTDC Observations" /stypes="*4018*20160710*" /stext=" 13:.+((prompt.+disp)|(slice.+state.+chan)|(ment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485</v>
      </c>
      <c r="B43" s="7">
        <v>4017</v>
      </c>
      <c r="C43" s="28" t="s">
        <v>59</v>
      </c>
      <c r="D43" s="28" t="s">
        <v>486</v>
      </c>
      <c r="E43" s="17">
        <v>42561.328344907408</v>
      </c>
      <c r="F43" s="17">
        <v>42561.328958333332</v>
      </c>
      <c r="G43" s="7">
        <v>0</v>
      </c>
      <c r="H43" s="17" t="s">
        <v>60</v>
      </c>
      <c r="I43" s="17">
        <v>42561.366006944445</v>
      </c>
      <c r="J43" s="7">
        <v>0</v>
      </c>
      <c r="K43" s="28" t="str">
        <f t="shared" si="15"/>
        <v>4017/4018</v>
      </c>
      <c r="L43" s="28" t="str">
        <f>VLOOKUP(A43,'Trips&amp;Operators'!$C$1:$E$10000,3,FALSE)</f>
        <v>YORK</v>
      </c>
      <c r="M43" s="6">
        <f t="shared" si="16"/>
        <v>3.704861111327773E-2</v>
      </c>
      <c r="N43" s="7">
        <f t="shared" si="2"/>
        <v>53.350000003119931</v>
      </c>
      <c r="O43" s="7"/>
      <c r="P43" s="7"/>
      <c r="Q43" s="29"/>
      <c r="R43" s="29"/>
      <c r="S43" s="47">
        <f t="shared" si="17"/>
        <v>1</v>
      </c>
      <c r="T43" s="73" t="str">
        <f t="shared" si="18"/>
        <v>Southbound</v>
      </c>
      <c r="U43" s="109">
        <f>COUNTIFS(Variables!$M$2:$M$19,IF(T43="NorthBound","&gt;=","&lt;=")&amp;Y43,Variables!$M$2:$M$19,IF(T43="NorthBound","&lt;=","&gt;=")&amp;Z43)</f>
        <v>12</v>
      </c>
      <c r="V4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06:52:49-0600',mode:absolute,to:'2016-07-10 09:47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3" s="78" t="str">
        <f t="shared" si="19"/>
        <v>N</v>
      </c>
      <c r="X43" s="104">
        <f t="shared" si="20"/>
        <v>1</v>
      </c>
      <c r="Y43" s="101">
        <f t="shared" si="21"/>
        <v>23.296399999999998</v>
      </c>
      <c r="Z43" s="101">
        <f t="shared" si="22"/>
        <v>1.4500000000000001E-2</v>
      </c>
      <c r="AA43" s="101">
        <f t="shared" si="23"/>
        <v>23.281899999999997</v>
      </c>
      <c r="AB43" s="98" t="e">
        <f>VLOOKUP(A43,Enforcements!$C$7:$J$23,8,0)</f>
        <v>#N/A</v>
      </c>
      <c r="AC43" s="94" t="e">
        <f>VLOOKUP(A43,Enforcements!$C$7:$E$23,3,0)</f>
        <v>#N/A</v>
      </c>
      <c r="AD43" s="95" t="str">
        <f t="shared" si="24"/>
        <v>0130-10</v>
      </c>
      <c r="AE43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43" s="79" t="str">
        <f t="shared" si="26"/>
        <v>"C:\Program Files (x86)\AstroGrep\AstroGrep.exe" /spath="C:\Users\stu\Documents\Analysis\2016-02-23 RTDC Observations" /stypes="*4017*20160710*"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487</v>
      </c>
      <c r="B44" s="7">
        <v>4031</v>
      </c>
      <c r="C44" s="28" t="s">
        <v>59</v>
      </c>
      <c r="D44" s="28" t="s">
        <v>385</v>
      </c>
      <c r="E44" s="17">
        <v>42561.308321759258</v>
      </c>
      <c r="F44" s="17">
        <v>42561.309259259258</v>
      </c>
      <c r="G44" s="7">
        <v>1</v>
      </c>
      <c r="H44" s="17" t="s">
        <v>488</v>
      </c>
      <c r="I44" s="17">
        <v>42561.335752314815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ACKERMAN</v>
      </c>
      <c r="M44" s="6">
        <f t="shared" si="16"/>
        <v>2.6493055556784384E-2</v>
      </c>
      <c r="N44" s="7"/>
      <c r="O44" s="7"/>
      <c r="P44" s="7">
        <f t="shared" si="2"/>
        <v>38.150000001769513</v>
      </c>
      <c r="Q44" s="29"/>
      <c r="R44" s="29" t="s">
        <v>632</v>
      </c>
      <c r="S44" s="47">
        <f t="shared" si="17"/>
        <v>1</v>
      </c>
      <c r="T44" s="73" t="str">
        <f t="shared" si="18"/>
        <v>NorthBound</v>
      </c>
      <c r="U44" s="109">
        <f>COUNTIFS(Variables!$M$2:$M$19,IF(T44="NorthBound","&gt;=","&lt;=")&amp;Y44,Variables!$M$2:$M$19,IF(T44="NorthBound","&lt;=","&gt;=")&amp;Z44)</f>
        <v>12</v>
      </c>
      <c r="V4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06:23:59-0600',mode:absolute,to:'2016-07-10 09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8" t="str">
        <f t="shared" si="19"/>
        <v>Y</v>
      </c>
      <c r="X44" s="104">
        <f t="shared" si="20"/>
        <v>1</v>
      </c>
      <c r="Y44" s="101">
        <f t="shared" si="21"/>
        <v>4.4600000000000001E-2</v>
      </c>
      <c r="Z44" s="101">
        <f t="shared" si="22"/>
        <v>21.510300000000001</v>
      </c>
      <c r="AA44" s="101">
        <f t="shared" si="23"/>
        <v>21.465700000000002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4"/>
        <v>0131-10</v>
      </c>
      <c r="AE44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44" s="79" t="str">
        <f t="shared" si="26"/>
        <v>"C:\Program Files (x86)\AstroGrep\AstroGrep.exe" /spath="C:\Users\stu\Documents\Analysis\2016-02-23 RTDC Observations" /stypes="*4031*20160710*" /stext=" 14:.+((prompt.+disp)|(slice.+state.+chan)|(ment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406</v>
      </c>
      <c r="B45" s="7">
        <v>4032</v>
      </c>
      <c r="C45" s="28" t="s">
        <v>59</v>
      </c>
      <c r="D45" s="28" t="s">
        <v>383</v>
      </c>
      <c r="E45" s="17">
        <v>42561.346458333333</v>
      </c>
      <c r="F45" s="17">
        <v>42561.347557870373</v>
      </c>
      <c r="G45" s="7">
        <v>1</v>
      </c>
      <c r="H45" s="17" t="s">
        <v>130</v>
      </c>
      <c r="I45" s="17">
        <v>42561.377314814818</v>
      </c>
      <c r="J45" s="7">
        <v>1</v>
      </c>
      <c r="K45" s="28" t="str">
        <f t="shared" si="15"/>
        <v>4031/4032</v>
      </c>
      <c r="L45" s="28" t="str">
        <f>VLOOKUP(A45,'Trips&amp;Operators'!$C$1:$E$10000,3,FALSE)</f>
        <v>ACKERMAN</v>
      </c>
      <c r="M45" s="6">
        <f t="shared" si="16"/>
        <v>2.9756944444670808E-2</v>
      </c>
      <c r="N45" s="7">
        <f t="shared" si="2"/>
        <v>42.850000000325963</v>
      </c>
      <c r="O45" s="7"/>
      <c r="P45" s="7"/>
      <c r="Q45" s="29"/>
      <c r="R45" s="29"/>
      <c r="S45" s="47">
        <f t="shared" si="17"/>
        <v>1</v>
      </c>
      <c r="T45" s="73" t="str">
        <f t="shared" si="18"/>
        <v>Southbound</v>
      </c>
      <c r="U45" s="109">
        <f>COUNTIFS(Variables!$M$2:$M$19,IF(T45="NorthBound","&gt;=","&lt;=")&amp;Y45,Variables!$M$2:$M$19,IF(T45="NorthBound","&lt;=","&gt;=")&amp;Z45)</f>
        <v>12</v>
      </c>
      <c r="V4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8" t="str">
        <f t="shared" si="19"/>
        <v>N</v>
      </c>
      <c r="X45" s="104">
        <f t="shared" si="20"/>
        <v>1</v>
      </c>
      <c r="Y45" s="101">
        <f t="shared" si="21"/>
        <v>23.297499999999999</v>
      </c>
      <c r="Z45" s="101">
        <f t="shared" si="22"/>
        <v>1.5599999999999999E-2</v>
      </c>
      <c r="AA45" s="101">
        <f t="shared" si="23"/>
        <v>23.2819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4"/>
        <v>0132-10</v>
      </c>
      <c r="AE45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45" s="79" t="str">
        <f t="shared" si="26"/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489</v>
      </c>
      <c r="B46" s="7">
        <v>4029</v>
      </c>
      <c r="C46" s="28" t="s">
        <v>59</v>
      </c>
      <c r="D46" s="28" t="s">
        <v>381</v>
      </c>
      <c r="E46" s="17">
        <v>42561.321655092594</v>
      </c>
      <c r="F46" s="17">
        <v>42561.322592592594</v>
      </c>
      <c r="G46" s="7">
        <v>1</v>
      </c>
      <c r="H46" s="17" t="s">
        <v>336</v>
      </c>
      <c r="I46" s="17">
        <v>42561.348055555558</v>
      </c>
      <c r="J46" s="7">
        <v>0</v>
      </c>
      <c r="K46" s="28" t="str">
        <f t="shared" si="15"/>
        <v>4029/4030</v>
      </c>
      <c r="L46" s="28" t="str">
        <f>VLOOKUP(A46,'Trips&amp;Operators'!$C$1:$E$10000,3,FALSE)</f>
        <v>SANTIZO</v>
      </c>
      <c r="M46" s="6">
        <f t="shared" si="16"/>
        <v>2.5462962963501923E-2</v>
      </c>
      <c r="N46" s="7">
        <f t="shared" si="2"/>
        <v>36.666666667442769</v>
      </c>
      <c r="O46" s="7"/>
      <c r="P46" s="7"/>
      <c r="Q46" s="29"/>
      <c r="R46" s="29"/>
      <c r="S46" s="47">
        <f t="shared" si="17"/>
        <v>1</v>
      </c>
      <c r="T46" s="73" t="str">
        <f t="shared" si="18"/>
        <v>NorthBound</v>
      </c>
      <c r="U46" s="109">
        <f>COUNTIFS(Variables!$M$2:$M$19,IF(T46="NorthBound","&gt;=","&lt;=")&amp;Y46,Variables!$M$2:$M$19,IF(T46="NorthBound","&lt;=","&gt;=")&amp;Z46)</f>
        <v>12</v>
      </c>
      <c r="V4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06:43:11-0600',mode:absolute,to:'2016-07-10 09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6" s="78" t="str">
        <f t="shared" si="19"/>
        <v>N</v>
      </c>
      <c r="X46" s="104">
        <f t="shared" si="20"/>
        <v>1</v>
      </c>
      <c r="Y46" s="101">
        <f t="shared" si="21"/>
        <v>4.3999999999999997E-2</v>
      </c>
      <c r="Z46" s="101">
        <f t="shared" si="22"/>
        <v>23.331</v>
      </c>
      <c r="AA46" s="101">
        <f t="shared" si="23"/>
        <v>23.286999999999999</v>
      </c>
      <c r="AB46" s="98" t="e">
        <f>VLOOKUP(A46,Enforcements!$C$7:$J$23,8,0)</f>
        <v>#N/A</v>
      </c>
      <c r="AC46" s="94" t="e">
        <f>VLOOKUP(A46,Enforcements!$C$7:$E$23,3,0)</f>
        <v>#N/A</v>
      </c>
      <c r="AD46" s="95" t="str">
        <f t="shared" si="24"/>
        <v>0133-10</v>
      </c>
      <c r="AE46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46" s="79" t="str">
        <f t="shared" si="26"/>
        <v>"C:\Program Files (x86)\AstroGrep\AstroGrep.exe" /spath="C:\Users\stu\Documents\Analysis\2016-02-23 RTDC Observations" /stypes="*4029*20160710*" /stext=" 14:.+((prompt.+disp)|(slice.+state.+chan)|(ment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490</v>
      </c>
      <c r="B47" s="7">
        <v>4030</v>
      </c>
      <c r="C47" s="28" t="s">
        <v>59</v>
      </c>
      <c r="D47" s="28" t="s">
        <v>266</v>
      </c>
      <c r="E47" s="17">
        <v>42561.350034722222</v>
      </c>
      <c r="F47" s="17">
        <v>42561.35087962963</v>
      </c>
      <c r="G47" s="7">
        <v>1</v>
      </c>
      <c r="H47" s="17" t="s">
        <v>331</v>
      </c>
      <c r="I47" s="17">
        <v>42561.388182870367</v>
      </c>
      <c r="J47" s="7">
        <v>0</v>
      </c>
      <c r="K47" s="28" t="str">
        <f t="shared" si="15"/>
        <v>4029/4030</v>
      </c>
      <c r="L47" s="28" t="str">
        <f>VLOOKUP(A47,'Trips&amp;Operators'!$C$1:$E$10000,3,FALSE)</f>
        <v>SANTIZO</v>
      </c>
      <c r="M47" s="6">
        <f t="shared" si="16"/>
        <v>3.7303240736946464E-2</v>
      </c>
      <c r="N47" s="7">
        <f t="shared" si="2"/>
        <v>53.716666661202908</v>
      </c>
      <c r="O47" s="7"/>
      <c r="P47" s="7"/>
      <c r="Q47" s="29"/>
      <c r="R47" s="29"/>
      <c r="S47" s="47">
        <f t="shared" si="17"/>
        <v>1</v>
      </c>
      <c r="T47" s="73" t="str">
        <f t="shared" si="18"/>
        <v>Southbound</v>
      </c>
      <c r="U47" s="109">
        <f>COUNTIFS(Variables!$M$2:$M$19,IF(T47="NorthBound","&gt;=","&lt;=")&amp;Y47,Variables!$M$2:$M$19,IF(T47="NorthBound","&lt;=","&gt;=")&amp;Z47)</f>
        <v>12</v>
      </c>
      <c r="V4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07:24:03-0600',mode:absolute,to:'2016-07-10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7" s="78" t="str">
        <f t="shared" si="19"/>
        <v>N</v>
      </c>
      <c r="X47" s="104">
        <f t="shared" si="20"/>
        <v>1</v>
      </c>
      <c r="Y47" s="101">
        <f t="shared" si="21"/>
        <v>23.298500000000001</v>
      </c>
      <c r="Z47" s="101">
        <f t="shared" si="22"/>
        <v>1.4999999999999999E-2</v>
      </c>
      <c r="AA47" s="101">
        <f t="shared" si="23"/>
        <v>23.2835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4"/>
        <v>0134-10</v>
      </c>
      <c r="AE47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47" s="79" t="str">
        <f t="shared" si="26"/>
        <v>"C:\Program Files (x86)\AstroGrep\AstroGrep.exe" /spath="C:\Users\stu\Documents\Analysis\2016-02-23 RTDC Observations" /stypes="*4030*20160710*" /stext=" 15:.+((prompt.+disp)|(slice.+state.+chan)|(ment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491</v>
      </c>
      <c r="B48" s="7">
        <v>4040</v>
      </c>
      <c r="C48" s="28" t="s">
        <v>59</v>
      </c>
      <c r="D48" s="28" t="s">
        <v>473</v>
      </c>
      <c r="E48" s="17">
        <v>42561.329074074078</v>
      </c>
      <c r="F48" s="17">
        <v>42561.330300925925</v>
      </c>
      <c r="G48" s="7">
        <v>1</v>
      </c>
      <c r="H48" s="17" t="s">
        <v>320</v>
      </c>
      <c r="I48" s="17">
        <v>42561.358101851853</v>
      </c>
      <c r="J48" s="7">
        <v>0</v>
      </c>
      <c r="K48" s="28" t="str">
        <f t="shared" si="15"/>
        <v>4039/4040</v>
      </c>
      <c r="L48" s="28" t="str">
        <f>VLOOKUP(A48,'Trips&amp;Operators'!$C$1:$E$10000,3,FALSE)</f>
        <v>MADLOM</v>
      </c>
      <c r="M48" s="6">
        <f t="shared" si="16"/>
        <v>2.7800925927294884E-2</v>
      </c>
      <c r="N48" s="7">
        <f t="shared" si="2"/>
        <v>40.033333335304633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NorthBound</v>
      </c>
      <c r="U48" s="109">
        <f>COUNTIFS(Variables!$M$2:$M$19,IF(T48="NorthBound","&gt;=","&lt;=")&amp;Y48,Variables!$M$2:$M$19,IF(T48="NorthBound","&lt;=","&gt;=")&amp;Z48)</f>
        <v>12</v>
      </c>
      <c r="V4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06:53:52-0600',mode:absolute,to:'2016-07-10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78" t="str">
        <f t="shared" si="19"/>
        <v>N</v>
      </c>
      <c r="X48" s="104">
        <f t="shared" si="20"/>
        <v>1</v>
      </c>
      <c r="Y48" s="101">
        <f t="shared" si="21"/>
        <v>4.4699999999999997E-2</v>
      </c>
      <c r="Z48" s="101">
        <f t="shared" si="22"/>
        <v>23.3276</v>
      </c>
      <c r="AA48" s="101">
        <f t="shared" si="23"/>
        <v>23.282900000000001</v>
      </c>
      <c r="AB48" s="98" t="e">
        <f>VLOOKUP(A48,Enforcements!$C$7:$J$23,8,0)</f>
        <v>#N/A</v>
      </c>
      <c r="AC48" s="94" t="e">
        <f>VLOOKUP(A48,Enforcements!$C$7:$E$23,3,0)</f>
        <v>#N/A</v>
      </c>
      <c r="AD48" s="95" t="str">
        <f t="shared" si="24"/>
        <v>0135-10</v>
      </c>
      <c r="AE48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48" s="79" t="str">
        <f t="shared" si="26"/>
        <v>"C:\Program Files (x86)\AstroGrep\AstroGrep.exe" /spath="C:\Users\stu\Documents\Analysis\2016-02-23 RTDC Observations" /stypes="*4040*20160710*" /stext=" 14:.+((prompt.+disp)|(slice.+state.+chan)|(ment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492</v>
      </c>
      <c r="B49" s="7">
        <v>4039</v>
      </c>
      <c r="C49" s="28" t="s">
        <v>59</v>
      </c>
      <c r="D49" s="28" t="s">
        <v>493</v>
      </c>
      <c r="E49" s="17">
        <v>42561.367337962962</v>
      </c>
      <c r="F49" s="17">
        <v>42561.368298611109</v>
      </c>
      <c r="G49" s="7">
        <v>1</v>
      </c>
      <c r="H49" s="17" t="s">
        <v>61</v>
      </c>
      <c r="I49" s="17">
        <v>42561.397870370369</v>
      </c>
      <c r="J49" s="7">
        <v>0</v>
      </c>
      <c r="K49" s="28" t="str">
        <f t="shared" si="15"/>
        <v>4039/4040</v>
      </c>
      <c r="L49" s="28" t="str">
        <f>VLOOKUP(A49,'Trips&amp;Operators'!$C$1:$E$10000,3,FALSE)</f>
        <v>MADLOM</v>
      </c>
      <c r="M49" s="6">
        <f t="shared" si="16"/>
        <v>2.9571759259852115E-2</v>
      </c>
      <c r="N49" s="7">
        <f t="shared" si="2"/>
        <v>42.583333334187046</v>
      </c>
      <c r="O49" s="7"/>
      <c r="P49" s="7"/>
      <c r="Q49" s="29"/>
      <c r="R49" s="29"/>
      <c r="S49" s="47">
        <f t="shared" si="17"/>
        <v>1</v>
      </c>
      <c r="T49" s="73" t="str">
        <f t="shared" si="18"/>
        <v>Southbound</v>
      </c>
      <c r="U49" s="109">
        <f>COUNTIFS(Variables!$M$2:$M$19,IF(T49="NorthBound","&gt;=","&lt;=")&amp;Y49,Variables!$M$2:$M$19,IF(T49="NorthBound","&lt;=","&gt;=")&amp;Z49)</f>
        <v>12</v>
      </c>
      <c r="V4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07:48:58-0600',mode:absolute,to:'2016-07-10 10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78" t="str">
        <f t="shared" si="19"/>
        <v>N</v>
      </c>
      <c r="X49" s="104">
        <f t="shared" si="20"/>
        <v>1</v>
      </c>
      <c r="Y49" s="101">
        <f t="shared" si="21"/>
        <v>23.294599999999999</v>
      </c>
      <c r="Z49" s="101">
        <f t="shared" si="22"/>
        <v>1.52E-2</v>
      </c>
      <c r="AA49" s="101">
        <f t="shared" si="23"/>
        <v>23.279399999999999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4"/>
        <v>0136-10</v>
      </c>
      <c r="AE49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49" s="79" t="str">
        <f t="shared" si="26"/>
        <v>"C:\Program Files (x86)\AstroGrep\AstroGrep.exe" /spath="C:\Users\stu\Documents\Analysis\2016-02-23 RTDC Observations" /stypes="*4039*20160710*"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494</v>
      </c>
      <c r="B50" s="7">
        <v>4025</v>
      </c>
      <c r="C50" s="28" t="s">
        <v>59</v>
      </c>
      <c r="D50" s="28" t="s">
        <v>116</v>
      </c>
      <c r="E50" s="17">
        <v>42561.342766203707</v>
      </c>
      <c r="F50" s="17">
        <v>42561.344178240739</v>
      </c>
      <c r="G50" s="7">
        <v>2</v>
      </c>
      <c r="H50" s="17" t="s">
        <v>168</v>
      </c>
      <c r="I50" s="17">
        <v>42561.371770833335</v>
      </c>
      <c r="J50" s="7">
        <v>0</v>
      </c>
      <c r="K50" s="28" t="str">
        <f t="shared" si="15"/>
        <v>4025/4026</v>
      </c>
      <c r="L50" s="28" t="str">
        <f>VLOOKUP(A50,'Trips&amp;Operators'!$C$1:$E$10000,3,FALSE)</f>
        <v>PELLITIER</v>
      </c>
      <c r="M50" s="6">
        <f t="shared" si="16"/>
        <v>2.7592592596192844E-2</v>
      </c>
      <c r="N50" s="7">
        <f t="shared" si="2"/>
        <v>39.733333338517696</v>
      </c>
      <c r="O50" s="7"/>
      <c r="P50" s="7"/>
      <c r="Q50" s="29"/>
      <c r="R50" s="29"/>
      <c r="S50" s="47">
        <f t="shared" si="17"/>
        <v>1</v>
      </c>
      <c r="T50" s="73" t="str">
        <f t="shared" si="18"/>
        <v>NorthBound</v>
      </c>
      <c r="U50" s="109">
        <f>COUNTIFS(Variables!$M$2:$M$19,IF(T50="NorthBound","&gt;=","&lt;=")&amp;Y50,Variables!$M$2:$M$19,IF(T50="NorthBound","&lt;=","&gt;=")&amp;Z50)</f>
        <v>12</v>
      </c>
      <c r="V5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07:13:35-0600',mode:absolute,to:'2016-07-10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0" s="78" t="str">
        <f t="shared" si="19"/>
        <v>N</v>
      </c>
      <c r="X50" s="104">
        <f t="shared" si="20"/>
        <v>1</v>
      </c>
      <c r="Y50" s="101">
        <f t="shared" si="21"/>
        <v>4.5100000000000001E-2</v>
      </c>
      <c r="Z50" s="101">
        <f t="shared" si="22"/>
        <v>23.328900000000001</v>
      </c>
      <c r="AA50" s="101">
        <f t="shared" si="23"/>
        <v>23.283799999999999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4"/>
        <v>0137-10</v>
      </c>
      <c r="AE50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50" s="79" t="str">
        <f t="shared" si="26"/>
        <v>"C:\Program Files (x86)\AstroGrep\AstroGrep.exe" /spath="C:\Users\stu\Documents\Analysis\2016-02-23 RTDC Observations" /stypes="*4025*20160710*" /stext=" 14:.+((prompt.+disp)|(slice.+state.+chan)|(ment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495</v>
      </c>
      <c r="B51" s="7">
        <v>4026</v>
      </c>
      <c r="C51" s="28" t="s">
        <v>59</v>
      </c>
      <c r="D51" s="28" t="s">
        <v>353</v>
      </c>
      <c r="E51" s="17">
        <v>42561.375671296293</v>
      </c>
      <c r="F51" s="17">
        <v>42561.376932870371</v>
      </c>
      <c r="G51" s="7">
        <v>1</v>
      </c>
      <c r="H51" s="17" t="s">
        <v>60</v>
      </c>
      <c r="I51" s="17">
        <v>42561.409594907411</v>
      </c>
      <c r="J51" s="7">
        <v>0</v>
      </c>
      <c r="K51" s="28" t="str">
        <f t="shared" si="15"/>
        <v>4025/4026</v>
      </c>
      <c r="L51" s="28" t="str">
        <f>VLOOKUP(A51,'Trips&amp;Operators'!$C$1:$E$10000,3,FALSE)</f>
        <v>PELLITIER</v>
      </c>
      <c r="M51" s="6">
        <f t="shared" si="16"/>
        <v>3.2662037039699499E-2</v>
      </c>
      <c r="N51" s="7">
        <f t="shared" si="2"/>
        <v>47.033333337167278</v>
      </c>
      <c r="O51" s="7"/>
      <c r="P51" s="7"/>
      <c r="Q51" s="29"/>
      <c r="R51" s="29"/>
      <c r="S51" s="47">
        <f t="shared" si="17"/>
        <v>1</v>
      </c>
      <c r="T51" s="73" t="str">
        <f t="shared" si="18"/>
        <v>Southbound</v>
      </c>
      <c r="U51" s="109">
        <f>COUNTIFS(Variables!$M$2:$M$19,IF(T51="NorthBound","&gt;=","&lt;=")&amp;Y51,Variables!$M$2:$M$19,IF(T51="NorthBound","&lt;=","&gt;=")&amp;Z51)</f>
        <v>12</v>
      </c>
      <c r="V5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08:00:58-0600',mode:absolute,to:'2016-07-10 10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1" s="78" t="str">
        <f t="shared" si="19"/>
        <v>N</v>
      </c>
      <c r="X51" s="104">
        <f t="shared" si="20"/>
        <v>1</v>
      </c>
      <c r="Y51" s="101">
        <f t="shared" si="21"/>
        <v>23.299800000000001</v>
      </c>
      <c r="Z51" s="101">
        <f t="shared" si="22"/>
        <v>1.4500000000000001E-2</v>
      </c>
      <c r="AA51" s="101">
        <f t="shared" si="23"/>
        <v>23.285299999999999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4"/>
        <v>0138-10</v>
      </c>
      <c r="AE51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51" s="79" t="str">
        <f t="shared" si="26"/>
        <v>"C:\Program Files (x86)\AstroGrep\AstroGrep.exe" /spath="C:\Users\stu\Documents\Analysis\2016-02-23 RTDC Observations" /stypes="*4026*20160710*"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496</v>
      </c>
      <c r="B52" s="7">
        <v>4020</v>
      </c>
      <c r="C52" s="28" t="s">
        <v>59</v>
      </c>
      <c r="D52" s="28" t="s">
        <v>332</v>
      </c>
      <c r="E52" s="17">
        <v>42561.349629629629</v>
      </c>
      <c r="F52" s="17">
        <v>42561.350532407407</v>
      </c>
      <c r="G52" s="7">
        <v>1</v>
      </c>
      <c r="H52" s="17" t="s">
        <v>497</v>
      </c>
      <c r="I52" s="17">
        <v>42561.380659722221</v>
      </c>
      <c r="J52" s="7">
        <v>0</v>
      </c>
      <c r="K52" s="28" t="str">
        <f t="shared" si="15"/>
        <v>4019/4020</v>
      </c>
      <c r="L52" s="28" t="str">
        <f>VLOOKUP(A52,'Trips&amp;Operators'!$C$1:$E$10000,3,FALSE)</f>
        <v>GEBRETEKLE</v>
      </c>
      <c r="M52" s="6">
        <f t="shared" si="16"/>
        <v>3.0127314814308193E-2</v>
      </c>
      <c r="N52" s="7">
        <f t="shared" si="2"/>
        <v>43.383333332603797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NorthBound</v>
      </c>
      <c r="U52" s="109">
        <f>COUNTIFS(Variables!$M$2:$M$19,IF(T52="NorthBound","&gt;=","&lt;=")&amp;Y52,Variables!$M$2:$M$19,IF(T52="NorthBound","&lt;=","&gt;=")&amp;Z52)</f>
        <v>12</v>
      </c>
      <c r="V5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07:23:28-0600',mode:absolute,to:'2016-07-10 10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78" t="str">
        <f t="shared" si="19"/>
        <v>N</v>
      </c>
      <c r="X52" s="104">
        <f t="shared" si="20"/>
        <v>1</v>
      </c>
      <c r="Y52" s="101">
        <f t="shared" si="21"/>
        <v>4.6399999999999997E-2</v>
      </c>
      <c r="Z52" s="101">
        <f t="shared" si="22"/>
        <v>23.3337</v>
      </c>
      <c r="AA52" s="101">
        <f t="shared" si="23"/>
        <v>23.287300000000002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4"/>
        <v>0139-10</v>
      </c>
      <c r="AE52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52" s="79" t="str">
        <f t="shared" si="26"/>
        <v>"C:\Program Files (x86)\AstroGrep\AstroGrep.exe" /spath="C:\Users\stu\Documents\Analysis\2016-02-23 RTDC Observations" /stypes="*4020*20160710*" /stext=" 15:.+((prompt.+disp)|(slice.+state.+chan)|(ment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408</v>
      </c>
      <c r="B53" s="7">
        <v>4019</v>
      </c>
      <c r="C53" s="28" t="s">
        <v>59</v>
      </c>
      <c r="D53" s="28" t="s">
        <v>343</v>
      </c>
      <c r="E53" s="17">
        <v>42561.390902777777</v>
      </c>
      <c r="F53" s="17">
        <v>42561.391875000001</v>
      </c>
      <c r="G53" s="7">
        <v>1</v>
      </c>
      <c r="H53" s="17" t="s">
        <v>228</v>
      </c>
      <c r="I53" s="17">
        <v>42561.418263888889</v>
      </c>
      <c r="J53" s="7">
        <v>1</v>
      </c>
      <c r="K53" s="28" t="str">
        <f t="shared" si="15"/>
        <v>4019/4020</v>
      </c>
      <c r="L53" s="28" t="str">
        <f>VLOOKUP(A53,'Trips&amp;Operators'!$C$1:$E$10000,3,FALSE)</f>
        <v>GEBRETEKLE</v>
      </c>
      <c r="M53" s="6">
        <f t="shared" si="16"/>
        <v>2.6388888887595385E-2</v>
      </c>
      <c r="N53" s="7">
        <f t="shared" si="2"/>
        <v>37.999999998137355</v>
      </c>
      <c r="O53" s="7"/>
      <c r="P53" s="7"/>
      <c r="Q53" s="29"/>
      <c r="R53" s="29"/>
      <c r="S53" s="47">
        <f t="shared" si="17"/>
        <v>1</v>
      </c>
      <c r="T53" s="73" t="str">
        <f t="shared" si="18"/>
        <v>Southbound</v>
      </c>
      <c r="U53" s="109">
        <f>COUNTIFS(Variables!$M$2:$M$19,IF(T53="NorthBound","&gt;=","&lt;=")&amp;Y53,Variables!$M$2:$M$19,IF(T53="NorthBound","&lt;=","&gt;=")&amp;Z53)</f>
        <v>12</v>
      </c>
      <c r="V5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78" t="str">
        <f t="shared" si="19"/>
        <v>N</v>
      </c>
      <c r="X53" s="104">
        <f t="shared" si="20"/>
        <v>1</v>
      </c>
      <c r="Y53" s="101">
        <f t="shared" si="21"/>
        <v>23.2986</v>
      </c>
      <c r="Z53" s="101">
        <f t="shared" si="22"/>
        <v>1.6E-2</v>
      </c>
      <c r="AA53" s="101">
        <f t="shared" si="23"/>
        <v>23.282600000000002</v>
      </c>
      <c r="AB53" s="98" t="e">
        <f>VLOOKUP(A53,Enforcements!$C$7:$J$23,8,0)</f>
        <v>#N/A</v>
      </c>
      <c r="AC53" s="94" t="e">
        <f>VLOOKUP(A53,Enforcements!$C$7:$E$23,3,0)</f>
        <v>#N/A</v>
      </c>
      <c r="AD53" s="95" t="str">
        <f t="shared" si="24"/>
        <v>0140-10</v>
      </c>
      <c r="AE53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53" s="79" t="str">
        <f t="shared" si="26"/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498</v>
      </c>
      <c r="B54" s="7">
        <v>4011</v>
      </c>
      <c r="C54" s="28" t="s">
        <v>59</v>
      </c>
      <c r="D54" s="28" t="s">
        <v>385</v>
      </c>
      <c r="E54" s="17">
        <v>42561.357673611114</v>
      </c>
      <c r="F54" s="17">
        <v>42561.358819444446</v>
      </c>
      <c r="G54" s="7">
        <v>1</v>
      </c>
      <c r="H54" s="17" t="s">
        <v>499</v>
      </c>
      <c r="I54" s="17">
        <v>42561.389930555553</v>
      </c>
      <c r="J54" s="7">
        <v>0</v>
      </c>
      <c r="K54" s="28" t="str">
        <f t="shared" si="15"/>
        <v>4011/4012</v>
      </c>
      <c r="L54" s="28" t="str">
        <f>VLOOKUP(A54,'Trips&amp;Operators'!$C$1:$E$10000,3,FALSE)</f>
        <v>NELSON</v>
      </c>
      <c r="M54" s="6">
        <f t="shared" si="16"/>
        <v>3.1111111107748002E-2</v>
      </c>
      <c r="N54" s="7">
        <f t="shared" si="2"/>
        <v>44.799999995157123</v>
      </c>
      <c r="O54" s="7"/>
      <c r="P54" s="7"/>
      <c r="Q54" s="29"/>
      <c r="R54" s="29"/>
      <c r="S54" s="47">
        <f t="shared" si="17"/>
        <v>1</v>
      </c>
      <c r="T54" s="73" t="str">
        <f t="shared" si="18"/>
        <v>NorthBound</v>
      </c>
      <c r="U54" s="109">
        <f>COUNTIFS(Variables!$M$2:$M$19,IF(T54="NorthBound","&gt;=","&lt;=")&amp;Y54,Variables!$M$2:$M$19,IF(T54="NorthBound","&lt;=","&gt;=")&amp;Z54)</f>
        <v>12</v>
      </c>
      <c r="V5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07:35:03-0600',mode:absolute,to:'2016-07-10 10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4" s="78" t="str">
        <f t="shared" si="19"/>
        <v>N</v>
      </c>
      <c r="X54" s="104">
        <f t="shared" si="20"/>
        <v>1</v>
      </c>
      <c r="Y54" s="101">
        <f t="shared" si="21"/>
        <v>4.4600000000000001E-2</v>
      </c>
      <c r="Z54" s="101">
        <f t="shared" si="22"/>
        <v>23.331199999999999</v>
      </c>
      <c r="AA54" s="101">
        <f t="shared" si="23"/>
        <v>23.2866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4"/>
        <v>0141-10</v>
      </c>
      <c r="AE54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54" s="79" t="str">
        <f t="shared" si="26"/>
        <v>"C:\Program Files (x86)\AstroGrep\AstroGrep.exe" /spath="C:\Users\stu\Documents\Analysis\2016-02-23 RTDC Observations" /stypes="*4011*20160710*" /stext=" 15:.+((prompt.+disp)|(slice.+state.+chan)|(ment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500</v>
      </c>
      <c r="B55" s="7">
        <v>4012</v>
      </c>
      <c r="C55" s="28" t="s">
        <v>59</v>
      </c>
      <c r="D55" s="28" t="s">
        <v>386</v>
      </c>
      <c r="E55" s="17">
        <v>42561.39739583333</v>
      </c>
      <c r="F55" s="17">
        <v>42561.401273148149</v>
      </c>
      <c r="G55" s="7">
        <v>5</v>
      </c>
      <c r="H55" s="17" t="s">
        <v>351</v>
      </c>
      <c r="I55" s="17">
        <v>42561.429212962961</v>
      </c>
      <c r="J55" s="7">
        <v>0</v>
      </c>
      <c r="K55" s="28" t="str">
        <f t="shared" si="15"/>
        <v>4011/4012</v>
      </c>
      <c r="L55" s="28" t="str">
        <f>VLOOKUP(A55,'Trips&amp;Operators'!$C$1:$E$10000,3,FALSE)</f>
        <v>NELSON</v>
      </c>
      <c r="M55" s="6">
        <f t="shared" si="16"/>
        <v>2.7939814812270924E-2</v>
      </c>
      <c r="N55" s="7">
        <f t="shared" si="2"/>
        <v>40.233333329670131</v>
      </c>
      <c r="O55" s="7"/>
      <c r="P55" s="7"/>
      <c r="Q55" s="29"/>
      <c r="R55" s="29"/>
      <c r="S55" s="47">
        <f t="shared" si="17"/>
        <v>1</v>
      </c>
      <c r="T55" s="73" t="str">
        <f t="shared" si="18"/>
        <v>Southbound</v>
      </c>
      <c r="U55" s="109">
        <f>COUNTIFS(Variables!$M$2:$M$19,IF(T55="NorthBound","&gt;=","&lt;=")&amp;Y55,Variables!$M$2:$M$19,IF(T55="NorthBound","&lt;=","&gt;=")&amp;Z55)</f>
        <v>12</v>
      </c>
      <c r="V5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08:32:15-0600',mode:absolute,to:'2016-07-10 11:18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5" s="78" t="str">
        <f t="shared" si="19"/>
        <v>N</v>
      </c>
      <c r="X55" s="104">
        <f t="shared" si="20"/>
        <v>1</v>
      </c>
      <c r="Y55" s="101">
        <f t="shared" si="21"/>
        <v>23.299299999999999</v>
      </c>
      <c r="Z55" s="101">
        <f t="shared" si="22"/>
        <v>1.47E-2</v>
      </c>
      <c r="AA55" s="101">
        <f t="shared" si="23"/>
        <v>23.284599999999998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4"/>
        <v>0142-10</v>
      </c>
      <c r="AE55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55" s="79" t="str">
        <f t="shared" si="26"/>
        <v>"C:\Program Files (x86)\AstroGrep\AstroGrep.exe" /spath="C:\Users\stu\Documents\Analysis\2016-02-23 RTDC Observations" /stypes="*4012*20160710*" /stext=" 16:.+((prompt.+disp)|(slice.+state.+chan)|(ment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501</v>
      </c>
      <c r="B56" s="7">
        <v>4018</v>
      </c>
      <c r="C56" s="28" t="s">
        <v>59</v>
      </c>
      <c r="D56" s="28" t="s">
        <v>227</v>
      </c>
      <c r="E56" s="17">
        <v>42561.367523148147</v>
      </c>
      <c r="F56" s="17">
        <v>42561.368425925924</v>
      </c>
      <c r="G56" s="7">
        <v>1</v>
      </c>
      <c r="H56" s="17" t="s">
        <v>359</v>
      </c>
      <c r="I56" s="17">
        <v>42561.399236111109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YORK</v>
      </c>
      <c r="M56" s="6">
        <f t="shared" si="16"/>
        <v>3.0810185184236616E-2</v>
      </c>
      <c r="N56" s="7">
        <f t="shared" si="2"/>
        <v>44.366666665300727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NorthBound</v>
      </c>
      <c r="U56" s="109">
        <f>COUNTIFS(Variables!$M$2:$M$19,IF(T56="NorthBound","&gt;=","&lt;=")&amp;Y56,Variables!$M$2:$M$19,IF(T56="NorthBound","&lt;=","&gt;=")&amp;Z56)</f>
        <v>12</v>
      </c>
      <c r="V5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07:49:14-0600',mode:absolute,to:'2016-07-10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78" t="str">
        <f t="shared" si="19"/>
        <v>N</v>
      </c>
      <c r="X56" s="104">
        <f t="shared" si="20"/>
        <v>1</v>
      </c>
      <c r="Y56" s="101">
        <f t="shared" si="21"/>
        <v>4.8000000000000001E-2</v>
      </c>
      <c r="Z56" s="101">
        <f t="shared" si="22"/>
        <v>23.328800000000001</v>
      </c>
      <c r="AA56" s="101">
        <f t="shared" si="23"/>
        <v>23.280800000000003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4"/>
        <v>0143-10</v>
      </c>
      <c r="AE56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56" s="79" t="str">
        <f t="shared" si="26"/>
        <v>"C:\Program Files (x86)\AstroGrep\AstroGrep.exe" /spath="C:\Users\stu\Documents\Analysis\2016-02-23 RTDC Observations" /stypes="*4018*20160710*" /stext=" 15:.+((prompt.+disp)|(slice.+state.+chan)|(ment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502</v>
      </c>
      <c r="B57" s="7">
        <v>4017</v>
      </c>
      <c r="C57" s="28" t="s">
        <v>59</v>
      </c>
      <c r="D57" s="28" t="s">
        <v>68</v>
      </c>
      <c r="E57" s="17">
        <v>42561.399965277778</v>
      </c>
      <c r="F57" s="17">
        <v>42561.400706018518</v>
      </c>
      <c r="G57" s="7">
        <v>1</v>
      </c>
      <c r="H57" s="17" t="s">
        <v>60</v>
      </c>
      <c r="I57" s="17">
        <v>42561.438784722224</v>
      </c>
      <c r="J57" s="7">
        <v>0</v>
      </c>
      <c r="K57" s="28" t="str">
        <f t="shared" si="15"/>
        <v>4017/4018</v>
      </c>
      <c r="L57" s="28" t="str">
        <f>VLOOKUP(A57,'Trips&amp;Operators'!$C$1:$E$10000,3,FALSE)</f>
        <v>YORK</v>
      </c>
      <c r="M57" s="6">
        <f t="shared" si="16"/>
        <v>3.8078703706560191E-2</v>
      </c>
      <c r="N57" s="7">
        <f t="shared" si="2"/>
        <v>54.833333337446675</v>
      </c>
      <c r="O57" s="7"/>
      <c r="P57" s="7"/>
      <c r="Q57" s="29"/>
      <c r="R57" s="29"/>
      <c r="S57" s="47">
        <f t="shared" si="17"/>
        <v>1</v>
      </c>
      <c r="T57" s="73" t="str">
        <f t="shared" si="18"/>
        <v>Southbound</v>
      </c>
      <c r="U57" s="109">
        <f>COUNTIFS(Variables!$M$2:$M$19,IF(T57="NorthBound","&gt;=","&lt;=")&amp;Y57,Variables!$M$2:$M$19,IF(T57="NorthBound","&lt;=","&gt;=")&amp;Z57)</f>
        <v>12</v>
      </c>
      <c r="V5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08:35:57-0600',mode:absolute,to:'2016-07-10 11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78" t="str">
        <f t="shared" si="19"/>
        <v>N</v>
      </c>
      <c r="X57" s="104">
        <f t="shared" si="20"/>
        <v>1</v>
      </c>
      <c r="Y57" s="101">
        <f t="shared" si="21"/>
        <v>23.297699999999999</v>
      </c>
      <c r="Z57" s="101">
        <f t="shared" si="22"/>
        <v>1.4500000000000001E-2</v>
      </c>
      <c r="AA57" s="101">
        <f t="shared" si="23"/>
        <v>23.283199999999997</v>
      </c>
      <c r="AB57" s="98" t="e">
        <f>VLOOKUP(A57,Enforcements!$C$7:$J$23,8,0)</f>
        <v>#N/A</v>
      </c>
      <c r="AC57" s="94" t="e">
        <f>VLOOKUP(A57,Enforcements!$C$7:$E$23,3,0)</f>
        <v>#N/A</v>
      </c>
      <c r="AD57" s="95" t="str">
        <f t="shared" si="24"/>
        <v>0144-10</v>
      </c>
      <c r="AE57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57" s="79" t="str">
        <f t="shared" si="26"/>
        <v>"C:\Program Files (x86)\AstroGrep\AstroGrep.exe" /spath="C:\Users\stu\Documents\Analysis\2016-02-23 RTDC Observations" /stypes="*4017*20160710*"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407</v>
      </c>
      <c r="B58" s="7">
        <v>4031</v>
      </c>
      <c r="C58" s="28" t="s">
        <v>59</v>
      </c>
      <c r="D58" s="28" t="s">
        <v>277</v>
      </c>
      <c r="E58" s="17">
        <v>42561.37972222222</v>
      </c>
      <c r="F58" s="17">
        <v>42561.381365740737</v>
      </c>
      <c r="G58" s="7">
        <v>2</v>
      </c>
      <c r="H58" s="17" t="s">
        <v>503</v>
      </c>
      <c r="I58" s="17">
        <v>42561.41133101852</v>
      </c>
      <c r="J58" s="7">
        <v>1</v>
      </c>
      <c r="K58" s="28" t="str">
        <f t="shared" si="15"/>
        <v>4031/4032</v>
      </c>
      <c r="L58" s="28" t="str">
        <f>VLOOKUP(A58,'Trips&amp;Operators'!$C$1:$E$10000,3,FALSE)</f>
        <v>ACKERMAN</v>
      </c>
      <c r="M58" s="6">
        <f t="shared" si="16"/>
        <v>2.9965277783048805E-2</v>
      </c>
      <c r="N58" s="7">
        <f t="shared" si="2"/>
        <v>43.150000007590279</v>
      </c>
      <c r="O58" s="7"/>
      <c r="P58" s="7"/>
      <c r="Q58" s="29"/>
      <c r="R58" s="29"/>
      <c r="S58" s="47">
        <f t="shared" si="17"/>
        <v>1</v>
      </c>
      <c r="T58" s="73" t="str">
        <f t="shared" si="18"/>
        <v>NorthBound</v>
      </c>
      <c r="U58" s="109">
        <f>COUNTIFS(Variables!$M$2:$M$19,IF(T58="NorthBound","&gt;=","&lt;=")&amp;Y58,Variables!$M$2:$M$19,IF(T58="NorthBound","&lt;=","&gt;=")&amp;Z58)</f>
        <v>12</v>
      </c>
      <c r="V5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8" t="str">
        <f t="shared" si="19"/>
        <v>N</v>
      </c>
      <c r="X58" s="104">
        <f t="shared" si="20"/>
        <v>1</v>
      </c>
      <c r="Y58" s="101">
        <f t="shared" si="21"/>
        <v>4.7300000000000002E-2</v>
      </c>
      <c r="Z58" s="101">
        <f t="shared" si="22"/>
        <v>23.332699999999999</v>
      </c>
      <c r="AA58" s="101">
        <f t="shared" si="23"/>
        <v>23.285399999999999</v>
      </c>
      <c r="AB58" s="98">
        <f>VLOOKUP(A58,Enforcements!$C$7:$J$23,8,0)</f>
        <v>230436</v>
      </c>
      <c r="AC58" s="94" t="str">
        <f>VLOOKUP(A58,Enforcements!$C$7:$E$23,3,0)</f>
        <v>PERMANENT SPEED RESTRICTION</v>
      </c>
      <c r="AD58" s="95" t="str">
        <f t="shared" si="24"/>
        <v>0145-10</v>
      </c>
      <c r="AE58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58" s="79" t="str">
        <f t="shared" si="26"/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504</v>
      </c>
      <c r="B59" s="7">
        <v>4032</v>
      </c>
      <c r="C59" s="28" t="s">
        <v>59</v>
      </c>
      <c r="D59" s="28" t="s">
        <v>386</v>
      </c>
      <c r="E59" s="17">
        <v>42561.419421296298</v>
      </c>
      <c r="F59" s="17">
        <v>42561.420960648145</v>
      </c>
      <c r="G59" s="7">
        <v>2</v>
      </c>
      <c r="H59" s="17" t="s">
        <v>351</v>
      </c>
      <c r="I59" s="17">
        <v>42561.450092592589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ACKERMAN</v>
      </c>
      <c r="M59" s="6">
        <f t="shared" si="16"/>
        <v>2.9131944444088731E-2</v>
      </c>
      <c r="N59" s="7">
        <f t="shared" si="2"/>
        <v>41.949999999487773</v>
      </c>
      <c r="O59" s="7"/>
      <c r="P59" s="7"/>
      <c r="Q59" s="29"/>
      <c r="R59" s="29"/>
      <c r="S59" s="47">
        <f t="shared" si="17"/>
        <v>1</v>
      </c>
      <c r="T59" s="73" t="str">
        <f t="shared" si="18"/>
        <v>Southbound</v>
      </c>
      <c r="U59" s="109">
        <f>COUNTIFS(Variables!$M$2:$M$19,IF(T59="NorthBound","&gt;=","&lt;=")&amp;Y59,Variables!$M$2:$M$19,IF(T59="NorthBound","&lt;=","&gt;=")&amp;Z59)</f>
        <v>12</v>
      </c>
      <c r="V5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09:03:58-0600',mode:absolute,to:'2016-07-10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19"/>
        <v>N</v>
      </c>
      <c r="X59" s="104">
        <f t="shared" si="20"/>
        <v>1</v>
      </c>
      <c r="Y59" s="101">
        <f t="shared" si="21"/>
        <v>23.299299999999999</v>
      </c>
      <c r="Z59" s="101">
        <f t="shared" si="22"/>
        <v>1.47E-2</v>
      </c>
      <c r="AA59" s="101">
        <f t="shared" si="23"/>
        <v>23.284599999999998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4"/>
        <v>0146-10</v>
      </c>
      <c r="AE59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59" s="79" t="str">
        <f t="shared" si="26"/>
        <v>"C:\Program Files (x86)\AstroGrep\AstroGrep.exe" /spath="C:\Users\stu\Documents\Analysis\2016-02-23 RTDC Observations" /stypes="*4032*20160710*" /stext=" 16:.+((prompt.+disp)|(slice.+state.+chan)|(ment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505</v>
      </c>
      <c r="B60" s="7">
        <v>4029</v>
      </c>
      <c r="C60" s="28" t="s">
        <v>59</v>
      </c>
      <c r="D60" s="28" t="s">
        <v>152</v>
      </c>
      <c r="E60" s="17">
        <v>42561.392997685187</v>
      </c>
      <c r="F60" s="17">
        <v>42561.393958333334</v>
      </c>
      <c r="G60" s="7">
        <v>1</v>
      </c>
      <c r="H60" s="17" t="s">
        <v>506</v>
      </c>
      <c r="I60" s="17">
        <v>42561.42087962963</v>
      </c>
      <c r="J60" s="7">
        <v>0</v>
      </c>
      <c r="K60" s="28" t="str">
        <f t="shared" si="15"/>
        <v>4029/4030</v>
      </c>
      <c r="L60" s="28" t="str">
        <f>VLOOKUP(A60,'Trips&amp;Operators'!$C$1:$E$10000,3,FALSE)</f>
        <v>SANTIZO</v>
      </c>
      <c r="M60" s="6">
        <f t="shared" si="16"/>
        <v>2.6921296295768116E-2</v>
      </c>
      <c r="N60" s="7">
        <f t="shared" si="2"/>
        <v>38.766666665906087</v>
      </c>
      <c r="O60" s="7"/>
      <c r="P60" s="7"/>
      <c r="Q60" s="29"/>
      <c r="R60" s="29"/>
      <c r="S60" s="47">
        <f t="shared" si="17"/>
        <v>1</v>
      </c>
      <c r="T60" s="73" t="str">
        <f t="shared" si="18"/>
        <v>NorthBound</v>
      </c>
      <c r="U60" s="109">
        <f>COUNTIFS(Variables!$M$2:$M$19,IF(T60="NorthBound","&gt;=","&lt;=")&amp;Y60,Variables!$M$2:$M$19,IF(T60="NorthBound","&lt;=","&gt;=")&amp;Z60)</f>
        <v>12</v>
      </c>
      <c r="V6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08:25:55-0600',mode:absolute,to:'2016-07-10 11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0" s="78" t="str">
        <f t="shared" si="19"/>
        <v>N</v>
      </c>
      <c r="X60" s="104">
        <f t="shared" si="20"/>
        <v>1</v>
      </c>
      <c r="Y60" s="101">
        <f t="shared" si="21"/>
        <v>4.4900000000000002E-2</v>
      </c>
      <c r="Z60" s="101">
        <f t="shared" si="22"/>
        <v>23.332000000000001</v>
      </c>
      <c r="AA60" s="101">
        <f t="shared" si="23"/>
        <v>23.287100000000002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4"/>
        <v>0147-10</v>
      </c>
      <c r="AE60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60" s="79" t="str">
        <f t="shared" si="26"/>
        <v>"C:\Program Files (x86)\AstroGrep\AstroGrep.exe" /spath="C:\Users\stu\Documents\Analysis\2016-02-23 RTDC Observations" /stypes="*4029*20160710*"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507</v>
      </c>
      <c r="B61" s="7">
        <v>4030</v>
      </c>
      <c r="C61" s="28" t="s">
        <v>59</v>
      </c>
      <c r="D61" s="28" t="s">
        <v>475</v>
      </c>
      <c r="E61" s="17">
        <v>42561.423252314817</v>
      </c>
      <c r="F61" s="17">
        <v>42561.424097222225</v>
      </c>
      <c r="G61" s="7">
        <v>1</v>
      </c>
      <c r="H61" s="17" t="s">
        <v>60</v>
      </c>
      <c r="I61" s="17">
        <v>42561.461273148147</v>
      </c>
      <c r="J61" s="7">
        <v>0</v>
      </c>
      <c r="K61" s="28" t="str">
        <f t="shared" si="15"/>
        <v>4029/4030</v>
      </c>
      <c r="L61" s="28" t="str">
        <f>VLOOKUP(A61,'Trips&amp;Operators'!$C$1:$E$10000,3,FALSE)</f>
        <v>SANTIZO</v>
      </c>
      <c r="M61" s="6">
        <f t="shared" si="16"/>
        <v>3.7175925921474118E-2</v>
      </c>
      <c r="N61" s="7">
        <f t="shared" si="2"/>
        <v>53.53333332692273</v>
      </c>
      <c r="O61" s="7"/>
      <c r="P61" s="7"/>
      <c r="Q61" s="29"/>
      <c r="R61" s="29"/>
      <c r="S61" s="47">
        <f t="shared" si="17"/>
        <v>1</v>
      </c>
      <c r="T61" s="73" t="str">
        <f t="shared" si="18"/>
        <v>Southbound</v>
      </c>
      <c r="U61" s="109">
        <f>COUNTIFS(Variables!$M$2:$M$19,IF(T61="NorthBound","&gt;=","&lt;=")&amp;Y61,Variables!$M$2:$M$19,IF(T61="NorthBound","&lt;=","&gt;=")&amp;Z61)</f>
        <v>12</v>
      </c>
      <c r="V6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09:09:29-0600',mode:absolute,to:'2016-07-10 12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1" s="78" t="str">
        <f t="shared" si="19"/>
        <v>N</v>
      </c>
      <c r="X61" s="104">
        <f t="shared" si="20"/>
        <v>1</v>
      </c>
      <c r="Y61" s="101">
        <f t="shared" si="21"/>
        <v>23.299199999999999</v>
      </c>
      <c r="Z61" s="101">
        <f t="shared" si="22"/>
        <v>1.4500000000000001E-2</v>
      </c>
      <c r="AA61" s="101">
        <f t="shared" si="23"/>
        <v>23.284699999999997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4"/>
        <v>0148-10</v>
      </c>
      <c r="AE61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61" s="79" t="str">
        <f t="shared" si="26"/>
        <v>"C:\Program Files (x86)\AstroGrep\AstroGrep.exe" /spath="C:\Users\stu\Documents\Analysis\2016-02-23 RTDC Observations" /stypes="*4030*20160710*" /stext=" 17:.+((prompt.+disp)|(slice.+state.+chan)|(ment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409</v>
      </c>
      <c r="B62" s="7">
        <v>4040</v>
      </c>
      <c r="C62" s="28" t="s">
        <v>59</v>
      </c>
      <c r="D62" s="28" t="s">
        <v>66</v>
      </c>
      <c r="E62" s="17">
        <v>42561.400717592594</v>
      </c>
      <c r="F62" s="17">
        <v>42561.401666666665</v>
      </c>
      <c r="G62" s="7">
        <v>1</v>
      </c>
      <c r="H62" s="17" t="s">
        <v>377</v>
      </c>
      <c r="I62" s="17">
        <v>42561.431284722225</v>
      </c>
      <c r="J62" s="7">
        <v>1</v>
      </c>
      <c r="K62" s="28" t="str">
        <f t="shared" si="15"/>
        <v>4039/4040</v>
      </c>
      <c r="L62" s="28" t="str">
        <f>VLOOKUP(A62,'Trips&amp;Operators'!$C$1:$E$10000,3,FALSE)</f>
        <v>MADLOM</v>
      </c>
      <c r="M62" s="6">
        <f t="shared" si="16"/>
        <v>2.9618055559694767E-2</v>
      </c>
      <c r="N62" s="7">
        <f t="shared" si="2"/>
        <v>42.650000005960464</v>
      </c>
      <c r="O62" s="7"/>
      <c r="P62" s="7"/>
      <c r="Q62" s="29"/>
      <c r="R62" s="29"/>
      <c r="S62" s="47">
        <f t="shared" si="17"/>
        <v>1</v>
      </c>
      <c r="T62" s="73" t="str">
        <f t="shared" si="18"/>
        <v>NorthBound</v>
      </c>
      <c r="U62" s="109">
        <f>COUNTIFS(Variables!$M$2:$M$19,IF(T62="NorthBound","&gt;=","&lt;=")&amp;Y62,Variables!$M$2:$M$19,IF(T62="NorthBound","&lt;=","&gt;=")&amp;Z62)</f>
        <v>12</v>
      </c>
      <c r="V6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78" t="str">
        <f t="shared" si="19"/>
        <v>N</v>
      </c>
      <c r="X62" s="104">
        <f t="shared" si="20"/>
        <v>1</v>
      </c>
      <c r="Y62" s="101">
        <f t="shared" si="21"/>
        <v>4.5999999999999999E-2</v>
      </c>
      <c r="Z62" s="101">
        <f t="shared" si="22"/>
        <v>23.327999999999999</v>
      </c>
      <c r="AA62" s="101">
        <f t="shared" si="23"/>
        <v>23.282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4"/>
        <v>0149-10</v>
      </c>
      <c r="AE62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62" s="79" t="str">
        <f t="shared" si="26"/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412</v>
      </c>
      <c r="B63" s="7">
        <v>4039</v>
      </c>
      <c r="C63" s="28" t="s">
        <v>59</v>
      </c>
      <c r="D63" s="28" t="s">
        <v>341</v>
      </c>
      <c r="E63" s="17">
        <v>42561.438136574077</v>
      </c>
      <c r="F63" s="17">
        <v>42561.438946759263</v>
      </c>
      <c r="G63" s="7">
        <v>1</v>
      </c>
      <c r="H63" s="17" t="s">
        <v>508</v>
      </c>
      <c r="I63" s="17">
        <v>42561.470752314817</v>
      </c>
      <c r="J63" s="7">
        <v>1</v>
      </c>
      <c r="K63" s="28" t="str">
        <f t="shared" si="15"/>
        <v>4039/4040</v>
      </c>
      <c r="L63" s="28" t="str">
        <f>VLOOKUP(A63,'Trips&amp;Operators'!$C$1:$E$10000,3,FALSE)</f>
        <v>MADLOM</v>
      </c>
      <c r="M63" s="6">
        <f t="shared" si="16"/>
        <v>3.1805555554456078E-2</v>
      </c>
      <c r="N63" s="7">
        <f t="shared" si="2"/>
        <v>45.799999998416752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Southbound</v>
      </c>
      <c r="U63" s="109">
        <f>COUNTIFS(Variables!$M$2:$M$19,IF(T63="NorthBound","&gt;=","&lt;=")&amp;Y63,Variables!$M$2:$M$19,IF(T63="NorthBound","&lt;=","&gt;=")&amp;Z63)</f>
        <v>12</v>
      </c>
      <c r="V6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78" t="str">
        <f t="shared" si="19"/>
        <v>N</v>
      </c>
      <c r="X63" s="104">
        <f t="shared" si="20"/>
        <v>1</v>
      </c>
      <c r="Y63" s="101">
        <f t="shared" si="21"/>
        <v>23.297599999999999</v>
      </c>
      <c r="Z63" s="101">
        <f t="shared" si="22"/>
        <v>1.78E-2</v>
      </c>
      <c r="AA63" s="101">
        <f t="shared" si="23"/>
        <v>23.279799999999998</v>
      </c>
      <c r="AB63" s="98" t="e">
        <f>VLOOKUP(A63,Enforcements!$C$7:$J$23,8,0)</f>
        <v>#N/A</v>
      </c>
      <c r="AC63" s="94" t="e">
        <f>VLOOKUP(A63,Enforcements!$C$7:$E$23,3,0)</f>
        <v>#N/A</v>
      </c>
      <c r="AD63" s="95" t="str">
        <f t="shared" si="24"/>
        <v>0150-10</v>
      </c>
      <c r="AE63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63" s="79" t="str">
        <f t="shared" si="26"/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509</v>
      </c>
      <c r="B64" s="7">
        <v>4025</v>
      </c>
      <c r="C64" s="28" t="s">
        <v>59</v>
      </c>
      <c r="D64" s="28" t="s">
        <v>322</v>
      </c>
      <c r="E64" s="17">
        <v>42561.411886574075</v>
      </c>
      <c r="F64" s="17">
        <v>42561.412939814814</v>
      </c>
      <c r="G64" s="7">
        <v>1</v>
      </c>
      <c r="H64" s="17" t="s">
        <v>378</v>
      </c>
      <c r="I64" s="17">
        <v>42561.441435185188</v>
      </c>
      <c r="J64" s="7">
        <v>0</v>
      </c>
      <c r="K64" s="28" t="str">
        <f t="shared" si="15"/>
        <v>4025/4026</v>
      </c>
      <c r="L64" s="28" t="str">
        <f>VLOOKUP(A64,'Trips&amp;Operators'!$C$1:$E$10000,3,FALSE)</f>
        <v>MALAVE</v>
      </c>
      <c r="M64" s="6">
        <f t="shared" si="16"/>
        <v>2.849537037400296E-2</v>
      </c>
      <c r="N64" s="7">
        <f t="shared" si="2"/>
        <v>41.033333338564262</v>
      </c>
      <c r="O64" s="7"/>
      <c r="P64" s="7"/>
      <c r="Q64" s="29"/>
      <c r="R64" s="29"/>
      <c r="S64" s="47">
        <f t="shared" si="17"/>
        <v>1</v>
      </c>
      <c r="T64" s="73" t="str">
        <f t="shared" si="18"/>
        <v>NorthBound</v>
      </c>
      <c r="U64" s="109">
        <f>COUNTIFS(Variables!$M$2:$M$19,IF(T64="NorthBound","&gt;=","&lt;=")&amp;Y64,Variables!$M$2:$M$19,IF(T64="NorthBound","&lt;=","&gt;=")&amp;Z64)</f>
        <v>12</v>
      </c>
      <c r="V6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08:53:07-0600',mode:absolute,to:'2016-07-10 11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78" t="str">
        <f t="shared" si="19"/>
        <v>N</v>
      </c>
      <c r="X64" s="104">
        <f t="shared" si="20"/>
        <v>1</v>
      </c>
      <c r="Y64" s="101">
        <f t="shared" si="21"/>
        <v>4.6899999999999997E-2</v>
      </c>
      <c r="Z64" s="101">
        <f t="shared" si="22"/>
        <v>23.325700000000001</v>
      </c>
      <c r="AA64" s="101">
        <f t="shared" si="23"/>
        <v>23.2788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4"/>
        <v>0151-10</v>
      </c>
      <c r="AE64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64" s="79" t="str">
        <f t="shared" si="26"/>
        <v>"C:\Program Files (x86)\AstroGrep\AstroGrep.exe" /spath="C:\Users\stu\Documents\Analysis\2016-02-23 RTDC Observations" /stypes="*4025*20160710*" /stext=" 16:.+((prompt.+disp)|(slice.+state.+chan)|(ment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413</v>
      </c>
      <c r="B65" s="7">
        <v>4026</v>
      </c>
      <c r="C65" s="28" t="s">
        <v>59</v>
      </c>
      <c r="D65" s="28" t="s">
        <v>510</v>
      </c>
      <c r="E65" s="17">
        <v>42561.454675925925</v>
      </c>
      <c r="F65" s="17">
        <v>42561.455937500003</v>
      </c>
      <c r="G65" s="7">
        <v>1</v>
      </c>
      <c r="H65" s="17" t="s">
        <v>82</v>
      </c>
      <c r="I65" s="17">
        <v>42561.484930555554</v>
      </c>
      <c r="J65" s="7">
        <v>1</v>
      </c>
      <c r="K65" s="28" t="str">
        <f t="shared" si="15"/>
        <v>4025/4026</v>
      </c>
      <c r="L65" s="28" t="str">
        <f>VLOOKUP(A65,'Trips&amp;Operators'!$C$1:$E$10000,3,FALSE)</f>
        <v>MALAVE</v>
      </c>
      <c r="M65" s="6">
        <f t="shared" si="16"/>
        <v>2.8993055551836733E-2</v>
      </c>
      <c r="N65" s="7">
        <f t="shared" si="2"/>
        <v>41.749999994644895</v>
      </c>
      <c r="O65" s="7"/>
      <c r="P65" s="7"/>
      <c r="Q65" s="29"/>
      <c r="R65" s="29"/>
      <c r="S65" s="47">
        <f t="shared" si="17"/>
        <v>1</v>
      </c>
      <c r="T65" s="73" t="str">
        <f t="shared" si="18"/>
        <v>Southbound</v>
      </c>
      <c r="U65" s="109">
        <f>COUNTIFS(Variables!$M$2:$M$19,IF(T65="NorthBound","&gt;=","&lt;=")&amp;Y65,Variables!$M$2:$M$19,IF(T65="NorthBound","&lt;=","&gt;=")&amp;Z65)</f>
        <v>12</v>
      </c>
      <c r="V6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78" t="str">
        <f t="shared" si="19"/>
        <v>N</v>
      </c>
      <c r="X65" s="104">
        <f t="shared" si="20"/>
        <v>1</v>
      </c>
      <c r="Y65" s="101">
        <f t="shared" si="21"/>
        <v>23.2944</v>
      </c>
      <c r="Z65" s="101">
        <f t="shared" si="22"/>
        <v>1.5800000000000002E-2</v>
      </c>
      <c r="AA65" s="101">
        <f t="shared" si="23"/>
        <v>23.278600000000001</v>
      </c>
      <c r="AB65" s="98" t="e">
        <f>VLOOKUP(A65,Enforcements!$C$7:$J$23,8,0)</f>
        <v>#N/A</v>
      </c>
      <c r="AC65" s="94" t="e">
        <f>VLOOKUP(A65,Enforcements!$C$7:$E$23,3,0)</f>
        <v>#N/A</v>
      </c>
      <c r="AD65" s="95" t="str">
        <f t="shared" si="24"/>
        <v>0152-10</v>
      </c>
      <c r="AE65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65" s="79" t="str">
        <f t="shared" si="26"/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511</v>
      </c>
      <c r="B66" s="7">
        <v>4020</v>
      </c>
      <c r="C66" s="28" t="s">
        <v>59</v>
      </c>
      <c r="D66" s="28" t="s">
        <v>321</v>
      </c>
      <c r="E66" s="17">
        <v>42561.420949074076</v>
      </c>
      <c r="F66" s="17">
        <v>42561.42224537037</v>
      </c>
      <c r="G66" s="7">
        <v>1</v>
      </c>
      <c r="H66" s="17" t="s">
        <v>323</v>
      </c>
      <c r="I66" s="17">
        <v>42561.452164351853</v>
      </c>
      <c r="J66" s="7">
        <v>0</v>
      </c>
      <c r="K66" s="28" t="str">
        <f t="shared" si="15"/>
        <v>4019/4020</v>
      </c>
      <c r="L66" s="28" t="str">
        <f>VLOOKUP(A66,'Trips&amp;Operators'!$C$1:$E$10000,3,FALSE)</f>
        <v>GEBRETEKLE</v>
      </c>
      <c r="M66" s="6">
        <f t="shared" si="16"/>
        <v>2.9918981483206153E-2</v>
      </c>
      <c r="N66" s="7">
        <f t="shared" si="2"/>
        <v>43.08333333581686</v>
      </c>
      <c r="O66" s="7"/>
      <c r="P66" s="7"/>
      <c r="Q66" s="29"/>
      <c r="R66" s="29"/>
      <c r="S66" s="47">
        <f t="shared" si="17"/>
        <v>1</v>
      </c>
      <c r="T66" s="73" t="str">
        <f t="shared" si="18"/>
        <v>NorthBound</v>
      </c>
      <c r="U66" s="109">
        <f>COUNTIFS(Variables!$M$2:$M$19,IF(T66="NorthBound","&gt;=","&lt;=")&amp;Y66,Variables!$M$2:$M$19,IF(T66="NorthBound","&lt;=","&gt;=")&amp;Z66)</f>
        <v>12</v>
      </c>
      <c r="V6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09:06:10-0600',mode:absolute,to:'2016-07-10 11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78" t="str">
        <f t="shared" si="19"/>
        <v>N</v>
      </c>
      <c r="X66" s="104">
        <f t="shared" si="20"/>
        <v>1</v>
      </c>
      <c r="Y66" s="101">
        <f t="shared" si="21"/>
        <v>4.5499999999999999E-2</v>
      </c>
      <c r="Z66" s="101">
        <f t="shared" si="22"/>
        <v>23.3293</v>
      </c>
      <c r="AA66" s="101">
        <f t="shared" si="23"/>
        <v>23.283799999999999</v>
      </c>
      <c r="AB66" s="98" t="e">
        <f>VLOOKUP(A66,Enforcements!$C$7:$J$23,8,0)</f>
        <v>#N/A</v>
      </c>
      <c r="AC66" s="94" t="e">
        <f>VLOOKUP(A66,Enforcements!$C$7:$E$23,3,0)</f>
        <v>#N/A</v>
      </c>
      <c r="AD66" s="95" t="str">
        <f t="shared" si="24"/>
        <v>0153-10</v>
      </c>
      <c r="AE66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66" s="79" t="str">
        <f t="shared" si="26"/>
        <v>"C:\Program Files (x86)\AstroGrep\AstroGrep.exe" /spath="C:\Users\stu\Documents\Analysis\2016-02-23 RTDC Observations" /stypes="*4020*20160710*"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414</v>
      </c>
      <c r="B67" s="7">
        <v>4019</v>
      </c>
      <c r="C67" s="28" t="s">
        <v>59</v>
      </c>
      <c r="D67" s="28" t="s">
        <v>224</v>
      </c>
      <c r="E67" s="17">
        <v>42561.461574074077</v>
      </c>
      <c r="F67" s="17">
        <v>42561.462743055556</v>
      </c>
      <c r="G67" s="7">
        <v>1</v>
      </c>
      <c r="H67" s="17" t="s">
        <v>71</v>
      </c>
      <c r="I67" s="17">
        <v>42561.491736111115</v>
      </c>
      <c r="J67" s="7">
        <v>1</v>
      </c>
      <c r="K67" s="28" t="str">
        <f t="shared" si="15"/>
        <v>4019/4020</v>
      </c>
      <c r="L67" s="28" t="str">
        <f>VLOOKUP(A67,'Trips&amp;Operators'!$C$1:$E$10000,3,FALSE)</f>
        <v>GEBRETEKLE</v>
      </c>
      <c r="M67" s="6">
        <f t="shared" si="16"/>
        <v>2.899305555911269E-2</v>
      </c>
      <c r="N67" s="7">
        <f t="shared" si="2"/>
        <v>41.750000005122274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09">
        <f>COUNTIFS(Variables!$M$2:$M$19,IF(T67="NorthBound","&gt;=","&lt;=")&amp;Y67,Variables!$M$2:$M$19,IF(T67="NorthBound","&lt;=","&gt;=")&amp;Z67)</f>
        <v>12</v>
      </c>
      <c r="V6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78" t="str">
        <f t="shared" si="19"/>
        <v>N</v>
      </c>
      <c r="X67" s="104">
        <f t="shared" si="20"/>
        <v>1</v>
      </c>
      <c r="Y67" s="101">
        <f t="shared" si="21"/>
        <v>23.297899999999998</v>
      </c>
      <c r="Z67" s="101">
        <f t="shared" si="22"/>
        <v>1.49E-2</v>
      </c>
      <c r="AA67" s="101">
        <f t="shared" si="23"/>
        <v>23.282999999999998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4"/>
        <v>0154-10</v>
      </c>
      <c r="AE67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67" s="79" t="str">
        <f t="shared" si="26"/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410</v>
      </c>
      <c r="B68" s="7">
        <v>4011</v>
      </c>
      <c r="C68" s="28" t="s">
        <v>59</v>
      </c>
      <c r="D68" s="28" t="s">
        <v>152</v>
      </c>
      <c r="E68" s="17">
        <v>42561.431655092594</v>
      </c>
      <c r="F68" s="17">
        <v>42561.432627314818</v>
      </c>
      <c r="G68" s="7">
        <v>1</v>
      </c>
      <c r="H68" s="17" t="s">
        <v>512</v>
      </c>
      <c r="I68" s="17">
        <v>42561.462314814817</v>
      </c>
      <c r="J68" s="7">
        <v>1</v>
      </c>
      <c r="K68" s="28" t="str">
        <f t="shared" si="15"/>
        <v>4011/4012</v>
      </c>
      <c r="L68" s="28" t="str">
        <f>VLOOKUP(A68,'Trips&amp;Operators'!$C$1:$E$10000,3,FALSE)</f>
        <v>MAYBERRY</v>
      </c>
      <c r="M68" s="6">
        <f t="shared" si="16"/>
        <v>2.9687499998544808E-2</v>
      </c>
      <c r="N68" s="7">
        <f t="shared" si="2"/>
        <v>42.749999997904524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09">
        <f>COUNTIFS(Variables!$M$2:$M$19,IF(T68="NorthBound","&gt;=","&lt;=")&amp;Y68,Variables!$M$2:$M$19,IF(T68="NorthBound","&lt;=","&gt;=")&amp;Z68)</f>
        <v>12</v>
      </c>
      <c r="V6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8" t="str">
        <f t="shared" si="19"/>
        <v>N</v>
      </c>
      <c r="X68" s="104">
        <f t="shared" si="20"/>
        <v>1</v>
      </c>
      <c r="Y68" s="101">
        <f t="shared" si="21"/>
        <v>4.4900000000000002E-2</v>
      </c>
      <c r="Z68" s="101">
        <f t="shared" si="22"/>
        <v>23.332999999999998</v>
      </c>
      <c r="AA68" s="101">
        <f t="shared" si="23"/>
        <v>23.2881</v>
      </c>
      <c r="AB68" s="98">
        <f>VLOOKUP(A68,Enforcements!$C$7:$J$23,8,0)</f>
        <v>110617</v>
      </c>
      <c r="AC68" s="94" t="str">
        <f>VLOOKUP(A68,Enforcements!$C$7:$E$23,3,0)</f>
        <v>EQUIPMENT RESTRICTION</v>
      </c>
      <c r="AD68" s="95" t="str">
        <f t="shared" si="24"/>
        <v>0155-10</v>
      </c>
      <c r="AE68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68" s="79" t="str">
        <f t="shared" si="26"/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513</v>
      </c>
      <c r="B69" s="7">
        <v>4012</v>
      </c>
      <c r="C69" s="28" t="s">
        <v>59</v>
      </c>
      <c r="D69" s="28" t="s">
        <v>514</v>
      </c>
      <c r="E69" s="17">
        <v>42561.464733796296</v>
      </c>
      <c r="F69" s="17">
        <v>42561.465983796297</v>
      </c>
      <c r="G69" s="7">
        <v>1</v>
      </c>
      <c r="H69" s="17" t="s">
        <v>452</v>
      </c>
      <c r="I69" s="17">
        <v>42561.502395833333</v>
      </c>
      <c r="J69" s="7">
        <v>0</v>
      </c>
      <c r="K69" s="28" t="str">
        <f t="shared" si="15"/>
        <v>4011/4012</v>
      </c>
      <c r="L69" s="28" t="str">
        <f>VLOOKUP(A69,'Trips&amp;Operators'!$C$1:$E$10000,3,FALSE)</f>
        <v>MAYBERRY</v>
      </c>
      <c r="M69" s="6">
        <f t="shared" si="16"/>
        <v>3.6412037035916001E-2</v>
      </c>
      <c r="N69" s="7">
        <f t="shared" si="2"/>
        <v>52.433333331719041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09">
        <f>COUNTIFS(Variables!$M$2:$M$19,IF(T69="NorthBound","&gt;=","&lt;=")&amp;Y69,Variables!$M$2:$M$19,IF(T69="NorthBound","&lt;=","&gt;=")&amp;Z69)</f>
        <v>12</v>
      </c>
      <c r="V6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10:09:13-0600',mode:absolute,to:'2016-07-10 13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8" t="str">
        <f t="shared" si="19"/>
        <v>N</v>
      </c>
      <c r="X69" s="104">
        <f t="shared" si="20"/>
        <v>1</v>
      </c>
      <c r="Y69" s="101">
        <f t="shared" si="21"/>
        <v>23.299399999999999</v>
      </c>
      <c r="Z69" s="101">
        <f t="shared" si="22"/>
        <v>1.34E-2</v>
      </c>
      <c r="AA69" s="101">
        <f t="shared" si="23"/>
        <v>23.285999999999998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4"/>
        <v>0156-10</v>
      </c>
      <c r="AE69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69" s="79" t="str">
        <f t="shared" si="26"/>
        <v>"C:\Program Files (x86)\AstroGrep\AstroGrep.exe" /spath="C:\Users\stu\Documents\Analysis\2016-02-23 RTDC Observations" /stypes="*4012*20160710*"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515</v>
      </c>
      <c r="B70" s="7">
        <v>4018</v>
      </c>
      <c r="C70" s="28" t="s">
        <v>59</v>
      </c>
      <c r="D70" s="28" t="s">
        <v>385</v>
      </c>
      <c r="E70" s="17">
        <v>42561.439583333333</v>
      </c>
      <c r="F70" s="17">
        <v>42561.440486111111</v>
      </c>
      <c r="G70" s="7">
        <v>1</v>
      </c>
      <c r="H70" s="17" t="s">
        <v>154</v>
      </c>
      <c r="I70" s="17">
        <v>42561.472500000003</v>
      </c>
      <c r="J70" s="7">
        <v>0</v>
      </c>
      <c r="K70" s="28" t="str">
        <f t="shared" si="15"/>
        <v>4017/4018</v>
      </c>
      <c r="L70" s="28" t="str">
        <f>VLOOKUP(A70,'Trips&amp;Operators'!$C$1:$E$10000,3,FALSE)</f>
        <v>YORK</v>
      </c>
      <c r="M70" s="6">
        <f t="shared" si="16"/>
        <v>3.2013888892834075E-2</v>
      </c>
      <c r="N70" s="7">
        <f t="shared" si="2"/>
        <v>46.100000005681068</v>
      </c>
      <c r="O70" s="7"/>
      <c r="P70" s="7"/>
      <c r="Q70" s="29"/>
      <c r="R70" s="29"/>
      <c r="S70" s="47">
        <f t="shared" si="17"/>
        <v>1</v>
      </c>
      <c r="T70" s="73" t="str">
        <f t="shared" si="18"/>
        <v>NorthBound</v>
      </c>
      <c r="U70" s="109">
        <f>COUNTIFS(Variables!$M$2:$M$19,IF(T70="NorthBound","&gt;=","&lt;=")&amp;Y70,Variables!$M$2:$M$19,IF(T70="NorthBound","&lt;=","&gt;=")&amp;Z70)</f>
        <v>12</v>
      </c>
      <c r="V7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09:33:00-0600',mode:absolute,to:'2016-07-10 12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8" t="str">
        <f t="shared" si="19"/>
        <v>N</v>
      </c>
      <c r="X70" s="104">
        <f t="shared" si="20"/>
        <v>1</v>
      </c>
      <c r="Y70" s="101">
        <f t="shared" si="21"/>
        <v>4.4600000000000001E-2</v>
      </c>
      <c r="Z70" s="101">
        <f t="shared" si="22"/>
        <v>23.33</v>
      </c>
      <c r="AA70" s="101">
        <f t="shared" si="23"/>
        <v>23.285399999999999</v>
      </c>
      <c r="AB70" s="98" t="e">
        <f>VLOOKUP(A70,Enforcements!$C$7:$J$23,8,0)</f>
        <v>#N/A</v>
      </c>
      <c r="AC70" s="94" t="e">
        <f>VLOOKUP(A70,Enforcements!$C$7:$E$23,3,0)</f>
        <v>#N/A</v>
      </c>
      <c r="AD70" s="95" t="str">
        <f t="shared" si="24"/>
        <v>0157-10</v>
      </c>
      <c r="AE70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70" s="79" t="str">
        <f t="shared" si="26"/>
        <v>"C:\Program Files (x86)\AstroGrep\AstroGrep.exe" /spath="C:\Users\stu\Documents\Analysis\2016-02-23 RTDC Observations" /stypes="*4018*20160710*"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516</v>
      </c>
      <c r="B71" s="7">
        <v>4017</v>
      </c>
      <c r="C71" s="28" t="s">
        <v>59</v>
      </c>
      <c r="D71" s="28" t="s">
        <v>517</v>
      </c>
      <c r="E71" s="17">
        <v>42561.473298611112</v>
      </c>
      <c r="F71" s="17">
        <v>42561.473981481482</v>
      </c>
      <c r="G71" s="7">
        <v>0</v>
      </c>
      <c r="H71" s="17" t="s">
        <v>342</v>
      </c>
      <c r="I71" s="17">
        <v>42561.511759259258</v>
      </c>
      <c r="J71" s="7">
        <v>0</v>
      </c>
      <c r="K71" s="28" t="str">
        <f t="shared" si="15"/>
        <v>4017/4018</v>
      </c>
      <c r="L71" s="28" t="str">
        <f>VLOOKUP(A71,'Trips&amp;Operators'!$C$1:$E$10000,3,FALSE)</f>
        <v>YORK</v>
      </c>
      <c r="M71" s="6">
        <f t="shared" si="16"/>
        <v>3.7777777775772847E-2</v>
      </c>
      <c r="N71" s="7">
        <f t="shared" si="2"/>
        <v>54.3999999971129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09">
        <f>COUNTIFS(Variables!$M$2:$M$19,IF(T71="NorthBound","&gt;=","&lt;=")&amp;Y71,Variables!$M$2:$M$19,IF(T71="NorthBound","&lt;=","&gt;=")&amp;Z71)</f>
        <v>12</v>
      </c>
      <c r="V7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10:21:33-0600',mode:absolute,to:'2016-07-10 13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78" t="str">
        <f t="shared" si="19"/>
        <v>N</v>
      </c>
      <c r="X71" s="104">
        <f t="shared" si="20"/>
        <v>1</v>
      </c>
      <c r="Y71" s="101">
        <f t="shared" si="21"/>
        <v>23.296800000000001</v>
      </c>
      <c r="Z71" s="101">
        <f t="shared" si="22"/>
        <v>1.3899999999999999E-2</v>
      </c>
      <c r="AA71" s="101">
        <f t="shared" si="23"/>
        <v>23.282900000000001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4"/>
        <v>0158-10</v>
      </c>
      <c r="AE71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71" s="79" t="str">
        <f t="shared" si="26"/>
        <v>"C:\Program Files (x86)\AstroGrep\AstroGrep.exe" /spath="C:\Users\stu\Documents\Analysis\2016-02-23 RTDC Observations" /stypes="*4017*20160710*"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518</v>
      </c>
      <c r="B72" s="7">
        <v>4031</v>
      </c>
      <c r="C72" s="28" t="s">
        <v>59</v>
      </c>
      <c r="D72" s="28" t="s">
        <v>385</v>
      </c>
      <c r="E72" s="17">
        <v>42561.452407407407</v>
      </c>
      <c r="F72" s="17">
        <v>42561.453703703701</v>
      </c>
      <c r="G72" s="7">
        <v>1</v>
      </c>
      <c r="H72" s="17" t="s">
        <v>337</v>
      </c>
      <c r="I72" s="17">
        <v>42561.483182870368</v>
      </c>
      <c r="J72" s="7">
        <v>0</v>
      </c>
      <c r="K72" s="28" t="str">
        <f t="shared" si="15"/>
        <v>4031/4032</v>
      </c>
      <c r="L72" s="28" t="str">
        <f>VLOOKUP(A72,'Trips&amp;Operators'!$C$1:$E$10000,3,FALSE)</f>
        <v>PELLITIER</v>
      </c>
      <c r="M72" s="6">
        <f t="shared" si="16"/>
        <v>2.9479166667442769E-2</v>
      </c>
      <c r="N72" s="7">
        <f t="shared" si="2"/>
        <v>42.450000001117587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09">
        <f>COUNTIFS(Variables!$M$2:$M$19,IF(T72="NorthBound","&gt;=","&lt;=")&amp;Y72,Variables!$M$2:$M$19,IF(T72="NorthBound","&lt;=","&gt;=")&amp;Z72)</f>
        <v>12</v>
      </c>
      <c r="V7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09:51:28-0600',mode:absolute,to:'2016-07-10 12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8" t="str">
        <f t="shared" si="19"/>
        <v>N</v>
      </c>
      <c r="X72" s="104">
        <f t="shared" si="20"/>
        <v>1</v>
      </c>
      <c r="Y72" s="101">
        <f t="shared" si="21"/>
        <v>4.4600000000000001E-2</v>
      </c>
      <c r="Z72" s="101">
        <f t="shared" si="22"/>
        <v>23.329499999999999</v>
      </c>
      <c r="AA72" s="101">
        <f t="shared" si="23"/>
        <v>23.2849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4"/>
        <v>0159-10</v>
      </c>
      <c r="AE72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72" s="79" t="str">
        <f t="shared" si="26"/>
        <v>"C:\Program Files (x86)\AstroGrep\AstroGrep.exe" /spath="C:\Users\stu\Documents\Analysis\2016-02-23 RTDC Observations" /stypes="*4031*20160710*"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416</v>
      </c>
      <c r="B73" s="7">
        <v>4032</v>
      </c>
      <c r="C73" s="28" t="s">
        <v>59</v>
      </c>
      <c r="D73" s="28" t="s">
        <v>68</v>
      </c>
      <c r="E73" s="17">
        <v>42561.486759259256</v>
      </c>
      <c r="F73" s="17">
        <v>42561.489062499997</v>
      </c>
      <c r="G73" s="7">
        <v>3</v>
      </c>
      <c r="H73" s="17" t="s">
        <v>519</v>
      </c>
      <c r="I73" s="17">
        <v>42561.584675925929</v>
      </c>
      <c r="J73" s="7">
        <v>1</v>
      </c>
      <c r="K73" s="28" t="str">
        <f t="shared" si="15"/>
        <v>4031/4032</v>
      </c>
      <c r="L73" s="28" t="str">
        <f>VLOOKUP(A73,'Trips&amp;Operators'!$C$1:$E$10000,3,FALSE)</f>
        <v>PELLITIER</v>
      </c>
      <c r="M73" s="6">
        <f t="shared" si="16"/>
        <v>9.5613425932242535E-2</v>
      </c>
      <c r="N73" s="7"/>
      <c r="O73" s="7"/>
      <c r="P73" s="7">
        <f t="shared" si="2"/>
        <v>137.68333334242925</v>
      </c>
      <c r="Q73" s="29"/>
      <c r="R73" s="29" t="s">
        <v>633</v>
      </c>
      <c r="S73" s="47">
        <f t="shared" si="17"/>
        <v>8.3333333333333329E-2</v>
      </c>
      <c r="T73" s="73" t="str">
        <f t="shared" si="18"/>
        <v>Southbound</v>
      </c>
      <c r="U73" s="109">
        <f>COUNTIFS(Variables!$M$2:$M$19,IF(T73="NorthBound","&gt;=","&lt;=")&amp;Y73,Variables!$M$2:$M$19,IF(T73="NorthBound","&lt;=","&gt;=")&amp;Z73)</f>
        <v>1</v>
      </c>
      <c r="V7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8" t="str">
        <f t="shared" si="19"/>
        <v>Y</v>
      </c>
      <c r="X73" s="104">
        <f t="shared" si="20"/>
        <v>1</v>
      </c>
      <c r="Y73" s="101">
        <f t="shared" si="21"/>
        <v>23.297699999999999</v>
      </c>
      <c r="Z73" s="101">
        <f t="shared" si="22"/>
        <v>10.8055</v>
      </c>
      <c r="AA73" s="101">
        <f t="shared" si="23"/>
        <v>12.492199999999999</v>
      </c>
      <c r="AB73" s="98">
        <f>VLOOKUP(A73,Enforcements!$C$7:$J$23,8,0)</f>
        <v>108954</v>
      </c>
      <c r="AC73" s="94" t="str">
        <f>VLOOKUP(A73,Enforcements!$C$7:$E$23,3,0)</f>
        <v>GRADE CROSSING</v>
      </c>
      <c r="AD73" s="95" t="str">
        <f t="shared" si="24"/>
        <v>0160-10</v>
      </c>
      <c r="AE73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73" s="79" t="str">
        <f t="shared" si="26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520</v>
      </c>
      <c r="B74" s="7">
        <v>4029</v>
      </c>
      <c r="C74" s="28" t="s">
        <v>59</v>
      </c>
      <c r="D74" s="28" t="s">
        <v>70</v>
      </c>
      <c r="E74" s="17">
        <v>42561.465231481481</v>
      </c>
      <c r="F74" s="17">
        <v>42561.466354166667</v>
      </c>
      <c r="G74" s="7">
        <v>1</v>
      </c>
      <c r="H74" s="17" t="s">
        <v>336</v>
      </c>
      <c r="I74" s="17">
        <v>42561.494375000002</v>
      </c>
      <c r="J74" s="7">
        <v>0</v>
      </c>
      <c r="K74" s="28" t="str">
        <f t="shared" si="15"/>
        <v>4029/4030</v>
      </c>
      <c r="L74" s="28" t="str">
        <f>VLOOKUP(A74,'Trips&amp;Operators'!$C$1:$E$10000,3,FALSE)</f>
        <v>BARTLETT</v>
      </c>
      <c r="M74" s="6">
        <f t="shared" si="16"/>
        <v>2.8020833335176576E-2</v>
      </c>
      <c r="N74" s="7">
        <f t="shared" si="2"/>
        <v>40.350000002654269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09">
        <f>COUNTIFS(Variables!$M$2:$M$19,IF(T74="NorthBound","&gt;=","&lt;=")&amp;Y74,Variables!$M$2:$M$19,IF(T74="NorthBound","&lt;=","&gt;=")&amp;Z74)</f>
        <v>12</v>
      </c>
      <c r="V7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10:09:56-0600',mode:absolute,to:'2016-07-10 12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4" s="78" t="str">
        <f t="shared" si="19"/>
        <v>N</v>
      </c>
      <c r="X74" s="104">
        <f t="shared" si="20"/>
        <v>1</v>
      </c>
      <c r="Y74" s="101">
        <f t="shared" si="21"/>
        <v>4.5699999999999998E-2</v>
      </c>
      <c r="Z74" s="101">
        <f t="shared" si="22"/>
        <v>23.331</v>
      </c>
      <c r="AA74" s="101">
        <f t="shared" si="23"/>
        <v>23.285299999999999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4"/>
        <v>0161-10</v>
      </c>
      <c r="AE74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74" s="79" t="str">
        <f t="shared" si="26"/>
        <v>"C:\Program Files (x86)\AstroGrep\AstroGrep.exe" /spath="C:\Users\stu\Documents\Analysis\2016-02-23 RTDC Observations" /stypes="*4029*20160710*"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521</v>
      </c>
      <c r="B75" s="7">
        <v>4030</v>
      </c>
      <c r="C75" s="28" t="s">
        <v>59</v>
      </c>
      <c r="D75" s="28" t="s">
        <v>380</v>
      </c>
      <c r="E75" s="17">
        <v>42561.501435185186</v>
      </c>
      <c r="F75" s="17">
        <v>42561.502743055556</v>
      </c>
      <c r="G75" s="7">
        <v>1</v>
      </c>
      <c r="H75" s="17" t="s">
        <v>522</v>
      </c>
      <c r="I75" s="17">
        <v>42561.534398148149</v>
      </c>
      <c r="J75" s="7">
        <v>0</v>
      </c>
      <c r="K75" s="28" t="str">
        <f t="shared" si="15"/>
        <v>4029/4030</v>
      </c>
      <c r="L75" s="28" t="str">
        <f>VLOOKUP(A75,'Trips&amp;Operators'!$C$1:$E$10000,3,FALSE)</f>
        <v>BARTLETT</v>
      </c>
      <c r="M75" s="6">
        <f t="shared" si="16"/>
        <v>3.1655092592700385E-2</v>
      </c>
      <c r="N75" s="7">
        <f t="shared" si="2"/>
        <v>45.583333333488554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09">
        <f>COUNTIFS(Variables!$M$2:$M$19,IF(T75="NorthBound","&gt;=","&lt;=")&amp;Y75,Variables!$M$2:$M$19,IF(T75="NorthBound","&lt;=","&gt;=")&amp;Z75)</f>
        <v>12</v>
      </c>
      <c r="V7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11:02:04-0600',mode:absolute,to:'2016-07-10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5" s="78" t="str">
        <f t="shared" si="19"/>
        <v>N</v>
      </c>
      <c r="X75" s="104">
        <f t="shared" si="20"/>
        <v>1</v>
      </c>
      <c r="Y75" s="101">
        <f t="shared" si="21"/>
        <v>23.2989</v>
      </c>
      <c r="Z75" s="101">
        <f t="shared" si="22"/>
        <v>1.67E-2</v>
      </c>
      <c r="AA75" s="101">
        <f t="shared" si="23"/>
        <v>23.2822</v>
      </c>
      <c r="AB75" s="98" t="e">
        <f>VLOOKUP(A75,Enforcements!$C$7:$J$23,8,0)</f>
        <v>#N/A</v>
      </c>
      <c r="AC75" s="94" t="e">
        <f>VLOOKUP(A75,Enforcements!$C$7:$E$23,3,0)</f>
        <v>#N/A</v>
      </c>
      <c r="AD75" s="95" t="str">
        <f t="shared" si="24"/>
        <v>0162-10</v>
      </c>
      <c r="AE75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75" s="79" t="str">
        <f t="shared" si="26"/>
        <v>"C:\Program Files (x86)\AstroGrep\AstroGrep.exe" /spath="C:\Users\stu\Documents\Analysis\2016-02-23 RTDC Observations" /stypes="*4030*20160710*"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4040</v>
      </c>
      <c r="C76" s="28" t="s">
        <v>59</v>
      </c>
      <c r="D76" s="28" t="s">
        <v>263</v>
      </c>
      <c r="E76" s="17">
        <v>42561.475208333337</v>
      </c>
      <c r="F76" s="17">
        <v>42561.477326388886</v>
      </c>
      <c r="G76" s="7">
        <v>3</v>
      </c>
      <c r="H76" s="17" t="s">
        <v>524</v>
      </c>
      <c r="I76" s="17">
        <v>42561.504606481481</v>
      </c>
      <c r="J76" s="7">
        <v>0</v>
      </c>
      <c r="K76" s="28" t="str">
        <f t="shared" si="15"/>
        <v>4039/4040</v>
      </c>
      <c r="L76" s="28" t="str">
        <f>VLOOKUP(A76,'Trips&amp;Operators'!$C$1:$E$10000,3,FALSE)</f>
        <v>STORY</v>
      </c>
      <c r="M76" s="6">
        <f t="shared" si="16"/>
        <v>2.7280092595901806E-2</v>
      </c>
      <c r="N76" s="7">
        <f t="shared" si="2"/>
        <v>39.283333338098601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09">
        <f>COUNTIFS(Variables!$M$2:$M$19,IF(T76="NorthBound","&gt;=","&lt;=")&amp;Y76,Variables!$M$2:$M$19,IF(T76="NorthBound","&lt;=","&gt;=")&amp;Z76)</f>
        <v>12</v>
      </c>
      <c r="V7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10:24:18-0600',mode:absolute,to:'2016-07-10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6" s="78" t="str">
        <f t="shared" si="19"/>
        <v>N</v>
      </c>
      <c r="X76" s="104">
        <f t="shared" si="20"/>
        <v>1</v>
      </c>
      <c r="Y76" s="101">
        <f t="shared" si="21"/>
        <v>4.8800000000000003E-2</v>
      </c>
      <c r="Z76" s="101">
        <f t="shared" si="22"/>
        <v>23.3339</v>
      </c>
      <c r="AA76" s="101">
        <f t="shared" si="23"/>
        <v>23.2851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4"/>
        <v>0163-10</v>
      </c>
      <c r="AE76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76" s="79" t="str">
        <f t="shared" si="26"/>
        <v>"C:\Program Files (x86)\AstroGrep\AstroGrep.exe" /spath="C:\Users\stu\Documents\Analysis\2016-02-23 RTDC Observations" /stypes="*4040*20160710*"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525</v>
      </c>
      <c r="B77" s="7">
        <v>4039</v>
      </c>
      <c r="C77" s="28" t="s">
        <v>59</v>
      </c>
      <c r="D77" s="28" t="s">
        <v>526</v>
      </c>
      <c r="E77" s="17">
        <v>42561.516238425924</v>
      </c>
      <c r="F77" s="17">
        <v>42561.517152777778</v>
      </c>
      <c r="G77" s="7">
        <v>1</v>
      </c>
      <c r="H77" s="17" t="s">
        <v>527</v>
      </c>
      <c r="I77" s="17">
        <v>42561.545358796298</v>
      </c>
      <c r="J77" s="7">
        <v>0</v>
      </c>
      <c r="K77" s="28" t="str">
        <f t="shared" si="15"/>
        <v>4039/4040</v>
      </c>
      <c r="L77" s="28" t="str">
        <f>VLOOKUP(A77,'Trips&amp;Operators'!$C$1:$E$10000,3,FALSE)</f>
        <v>STORY</v>
      </c>
      <c r="M77" s="6">
        <f t="shared" si="16"/>
        <v>2.8206018519995268E-2</v>
      </c>
      <c r="N77" s="7">
        <f t="shared" ref="N77:P140" si="28">24*60*SUM($M77:$M77)</f>
        <v>40.616666668793187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09">
        <f>COUNTIFS(Variables!$M$2:$M$19,IF(T77="NorthBound","&gt;=","&lt;=")&amp;Y77,Variables!$M$2:$M$19,IF(T77="NorthBound","&lt;=","&gt;=")&amp;Z77)</f>
        <v>12</v>
      </c>
      <c r="V7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11:23:23-0600',mode:absolute,to:'2016-07-10 14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7" s="78" t="str">
        <f t="shared" si="19"/>
        <v>N</v>
      </c>
      <c r="X77" s="104">
        <f t="shared" si="20"/>
        <v>1</v>
      </c>
      <c r="Y77" s="101">
        <f t="shared" si="21"/>
        <v>23.301100000000002</v>
      </c>
      <c r="Z77" s="101">
        <f t="shared" si="22"/>
        <v>1.1599999999999999E-2</v>
      </c>
      <c r="AA77" s="101">
        <f t="shared" si="23"/>
        <v>23.2895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4"/>
        <v>0164-10</v>
      </c>
      <c r="AE77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77" s="79" t="str">
        <f t="shared" si="26"/>
        <v>"C:\Program Files (x86)\AstroGrep\AstroGrep.exe" /spath="C:\Users\stu\Documents\Analysis\2016-02-23 RTDC Observations" /stypes="*4039*20160710*"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528</v>
      </c>
      <c r="B78" s="7">
        <v>4025</v>
      </c>
      <c r="C78" s="28" t="s">
        <v>59</v>
      </c>
      <c r="D78" s="28" t="s">
        <v>321</v>
      </c>
      <c r="E78" s="17">
        <v>42561.487997685188</v>
      </c>
      <c r="F78" s="17">
        <v>42561.489537037036</v>
      </c>
      <c r="G78" s="7">
        <v>2</v>
      </c>
      <c r="H78" s="17" t="s">
        <v>333</v>
      </c>
      <c r="I78" s="17">
        <v>42561.522650462961</v>
      </c>
      <c r="J78" s="7">
        <v>0</v>
      </c>
      <c r="K78" s="28" t="str">
        <f t="shared" si="15"/>
        <v>4025/4026</v>
      </c>
      <c r="L78" s="28" t="str">
        <f>VLOOKUP(A78,'Trips&amp;Operators'!$C$1:$E$10000,3,FALSE)</f>
        <v>SNYDER</v>
      </c>
      <c r="M78" s="6">
        <f t="shared" si="16"/>
        <v>3.3113425924966577E-2</v>
      </c>
      <c r="N78" s="7">
        <f t="shared" si="28"/>
        <v>47.683333331951872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09">
        <f>COUNTIFS(Variables!$M$2:$M$19,IF(T78="NorthBound","&gt;=","&lt;=")&amp;Y78,Variables!$M$2:$M$19,IF(T78="NorthBound","&lt;=","&gt;=")&amp;Z78)</f>
        <v>12</v>
      </c>
      <c r="V78" s="78" t="str">
        <f t="shared" ref="V78:V141" si="29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https://search-rtdc-monitor-bjffxe2xuh6vdkpspy63sjmuny.us-east-1.es.amazonaws.com/_plugin/kibana/#/discover/Steve-Slow-Train-Analysis-(2080s-and-2083s)?_g=(refreshInterval:(display:Off,section:0,value:0),time:(from:'2016-07-10 10:42:43-0600',mode:absolute,to:'2016-07-10 13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78" t="str">
        <f t="shared" si="19"/>
        <v>N</v>
      </c>
      <c r="X78" s="104">
        <f t="shared" si="20"/>
        <v>1</v>
      </c>
      <c r="Y78" s="101">
        <f t="shared" si="21"/>
        <v>4.5499999999999999E-2</v>
      </c>
      <c r="Z78" s="101">
        <f t="shared" si="22"/>
        <v>23.331700000000001</v>
      </c>
      <c r="AA78" s="101">
        <f t="shared" si="23"/>
        <v>23.286200000000001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4"/>
        <v>0165-10</v>
      </c>
      <c r="AE78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78" s="79" t="str">
        <f t="shared" si="26"/>
        <v>"C:\Program Files (x86)\AstroGrep\AstroGrep.exe" /spath="C:\Users\stu\Documents\Analysis\2016-02-23 RTDC Observations" /stypes="*4025*20160710*"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529</v>
      </c>
      <c r="B79" s="7">
        <v>4026</v>
      </c>
      <c r="C79" s="28" t="s">
        <v>59</v>
      </c>
      <c r="D79" s="28" t="s">
        <v>382</v>
      </c>
      <c r="E79" s="17">
        <v>42561.525879629633</v>
      </c>
      <c r="F79" s="17">
        <v>42561.527395833335</v>
      </c>
      <c r="G79" s="7">
        <v>2</v>
      </c>
      <c r="H79" s="17" t="s">
        <v>522</v>
      </c>
      <c r="I79" s="17">
        <v>42561.55872685185</v>
      </c>
      <c r="J79" s="7">
        <v>0</v>
      </c>
      <c r="K79" s="28" t="str">
        <f t="shared" ref="K79:K142" si="30">IF(ISEVEN(B79),(B79-1)&amp;"/"&amp;B79,B79&amp;"/"&amp;(B79+1))</f>
        <v>4025/4026</v>
      </c>
      <c r="L79" s="28" t="str">
        <f>VLOOKUP(A79,'Trips&amp;Operators'!$C$1:$E$10000,3,FALSE)</f>
        <v>SNYDER</v>
      </c>
      <c r="M79" s="6">
        <f t="shared" ref="M79:M142" si="31">I79-F79</f>
        <v>3.1331018515629694E-2</v>
      </c>
      <c r="N79" s="7">
        <f t="shared" si="28"/>
        <v>45.116666662506759</v>
      </c>
      <c r="O79" s="7"/>
      <c r="P79" s="7"/>
      <c r="Q79" s="29"/>
      <c r="R79" s="29"/>
      <c r="S79" s="47">
        <f t="shared" ref="S79:S142" si="32">SUM(U79:U79)/12</f>
        <v>1</v>
      </c>
      <c r="T79" s="73" t="str">
        <f t="shared" ref="T79:T142" si="33">IF(ISEVEN(LEFT(A79,3)),"Southbound","NorthBound")</f>
        <v>Southbound</v>
      </c>
      <c r="U79" s="109">
        <f>COUNTIFS(Variables!$M$2:$M$19,IF(T79="NorthBound","&gt;=","&lt;=")&amp;Y79,Variables!$M$2:$M$19,IF(T79="NorthBound","&lt;=","&gt;=")&amp;Z79)</f>
        <v>12</v>
      </c>
      <c r="V7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11:37:16-0600',mode:absolute,to:'2016-07-10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78" t="str">
        <f t="shared" ref="W79:W142" si="34">IF(AA79&lt;23,"Y","N")</f>
        <v>N</v>
      </c>
      <c r="X79" s="104">
        <f t="shared" ref="X79:X142" si="35">VALUE(LEFT(A79,3))-VALUE(LEFT(A78,3))</f>
        <v>1</v>
      </c>
      <c r="Y79" s="101">
        <f t="shared" ref="Y79:Y142" si="36">RIGHT(D79,LEN(D79)-4)/10000</f>
        <v>23.3002</v>
      </c>
      <c r="Z79" s="101">
        <f t="shared" ref="Z79:Z142" si="37">RIGHT(H79,LEN(H79)-4)/10000</f>
        <v>1.67E-2</v>
      </c>
      <c r="AA79" s="101">
        <f t="shared" ref="AA79:AA142" si="38">ABS(Z79-Y79)</f>
        <v>23.2835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2" si="39">IF(LEN(A79)=6,"0"&amp;A79,A79)</f>
        <v>0166-10</v>
      </c>
      <c r="AE79" s="79" t="str">
        <f t="shared" ref="AE79:AE142" si="40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79" s="79" t="str">
        <f t="shared" ref="AF79:AF142" si="41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/stypes="*4026*20160710*" /stext=" 19:.+((prompt.+disp)|(slice.+state.+chan)|(ment ac)|(system.+state.+chan)|(\|lc)|(penalty)|(\[timeout))" /e /r /s</v>
      </c>
      <c r="AG79" s="1" t="str">
        <f t="shared" ref="AG79:AG142" si="42">IF(VALUE(LEFT(A79,3))&lt;300,"EC","NWGL")</f>
        <v>EC</v>
      </c>
    </row>
    <row r="80" spans="1:33" x14ac:dyDescent="0.25">
      <c r="A80" s="51" t="s">
        <v>415</v>
      </c>
      <c r="B80" s="7">
        <v>4020</v>
      </c>
      <c r="C80" s="28" t="s">
        <v>59</v>
      </c>
      <c r="D80" s="28" t="s">
        <v>264</v>
      </c>
      <c r="E80" s="17">
        <v>42561.497407407405</v>
      </c>
      <c r="F80" s="17">
        <v>42561.498495370368</v>
      </c>
      <c r="G80" s="7">
        <v>1</v>
      </c>
      <c r="H80" s="17" t="s">
        <v>530</v>
      </c>
      <c r="I80" s="17">
        <v>42561.527372685188</v>
      </c>
      <c r="J80" s="7">
        <v>2</v>
      </c>
      <c r="K80" s="28" t="str">
        <f t="shared" si="30"/>
        <v>4019/4020</v>
      </c>
      <c r="L80" s="28" t="str">
        <f>VLOOKUP(A80,'Trips&amp;Operators'!$C$1:$E$10000,3,FALSE)</f>
        <v>YOUNG</v>
      </c>
      <c r="M80" s="6">
        <f t="shared" si="31"/>
        <v>2.8877314820419997E-2</v>
      </c>
      <c r="N80" s="7">
        <f t="shared" si="28"/>
        <v>41.583333341404796</v>
      </c>
      <c r="O80" s="7"/>
      <c r="P80" s="7"/>
      <c r="Q80" s="29"/>
      <c r="R80" s="29"/>
      <c r="S80" s="47">
        <f t="shared" si="32"/>
        <v>1</v>
      </c>
      <c r="T80" s="73" t="str">
        <f t="shared" si="33"/>
        <v>NorthBound</v>
      </c>
      <c r="U80" s="109">
        <f>COUNTIFS(Variables!$M$2:$M$19,IF(T80="NorthBound","&gt;=","&lt;=")&amp;Y80,Variables!$M$2:$M$19,IF(T80="NorthBound","&lt;=","&gt;=")&amp;Z80)</f>
        <v>12</v>
      </c>
      <c r="V8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8" t="str">
        <f t="shared" si="34"/>
        <v>N</v>
      </c>
      <c r="X80" s="104">
        <f t="shared" si="35"/>
        <v>1</v>
      </c>
      <c r="Y80" s="101">
        <f t="shared" si="36"/>
        <v>4.53E-2</v>
      </c>
      <c r="Z80" s="101">
        <f t="shared" si="37"/>
        <v>23.333200000000001</v>
      </c>
      <c r="AA80" s="101">
        <f t="shared" si="38"/>
        <v>23.2879</v>
      </c>
      <c r="AB80" s="98">
        <f>VLOOKUP(A80,Enforcements!$C$7:$J$23,8,0)</f>
        <v>228668</v>
      </c>
      <c r="AC80" s="94" t="str">
        <f>VLOOKUP(A80,Enforcements!$C$7:$E$23,3,0)</f>
        <v>PERMANENT SPEED RESTRICTION</v>
      </c>
      <c r="AD80" s="95" t="str">
        <f t="shared" si="39"/>
        <v>0167-10</v>
      </c>
      <c r="AE80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80" s="79" t="str">
        <f t="shared" si="41"/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AG80" s="1" t="str">
        <f t="shared" si="42"/>
        <v>EC</v>
      </c>
    </row>
    <row r="81" spans="1:33" x14ac:dyDescent="0.25">
      <c r="A81" s="51" t="s">
        <v>531</v>
      </c>
      <c r="B81" s="7">
        <v>4019</v>
      </c>
      <c r="C81" s="28" t="s">
        <v>59</v>
      </c>
      <c r="D81" s="28" t="s">
        <v>466</v>
      </c>
      <c r="E81" s="17">
        <v>42561.529432870368</v>
      </c>
      <c r="F81" s="17">
        <v>42561.531423611108</v>
      </c>
      <c r="G81" s="7">
        <v>2</v>
      </c>
      <c r="H81" s="17" t="s">
        <v>532</v>
      </c>
      <c r="I81" s="17">
        <v>42561.552662037036</v>
      </c>
      <c r="J81" s="7">
        <v>0</v>
      </c>
      <c r="K81" s="28" t="str">
        <f t="shared" si="30"/>
        <v>4019/4020</v>
      </c>
      <c r="L81" s="28" t="str">
        <f>VLOOKUP(A81,'Trips&amp;Operators'!$C$1:$E$10000,3,FALSE)</f>
        <v>YOUNG</v>
      </c>
      <c r="M81" s="6">
        <f t="shared" si="31"/>
        <v>2.1238425928459037E-2</v>
      </c>
      <c r="N81" s="7"/>
      <c r="O81" s="7"/>
      <c r="P81" s="7">
        <f t="shared" si="28"/>
        <v>30.583333336981013</v>
      </c>
      <c r="Q81" s="29"/>
      <c r="R81" s="29" t="s">
        <v>634</v>
      </c>
      <c r="S81" s="47">
        <f t="shared" si="32"/>
        <v>8.3333333333333329E-2</v>
      </c>
      <c r="T81" s="73" t="str">
        <f t="shared" si="33"/>
        <v>Southbound</v>
      </c>
      <c r="U81" s="109">
        <f>COUNTIFS(Variables!$M$2:$M$19,IF(T81="NorthBound","&gt;=","&lt;=")&amp;Y81,Variables!$M$2:$M$19,IF(T81="NorthBound","&lt;=","&gt;=")&amp;Z81)</f>
        <v>1</v>
      </c>
      <c r="V8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11:42:23-0600',mode:absolute,to:'2016-07-10 14:15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8" t="str">
        <f t="shared" si="34"/>
        <v>Y</v>
      </c>
      <c r="X81" s="104">
        <f t="shared" si="35"/>
        <v>1</v>
      </c>
      <c r="Y81" s="101">
        <f t="shared" si="36"/>
        <v>23.298999999999999</v>
      </c>
      <c r="Z81" s="101">
        <f t="shared" si="37"/>
        <v>10.759499999999999</v>
      </c>
      <c r="AA81" s="101">
        <f t="shared" si="38"/>
        <v>12.5395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39"/>
        <v>0168-10</v>
      </c>
      <c r="AE81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81" s="79" t="str">
        <f t="shared" si="41"/>
        <v>"C:\Program Files (x86)\AstroGrep\AstroGrep.exe" /spath="C:\Users\stu\Documents\Analysis\2016-02-23 RTDC Observations" /stypes="*4019*20160710*" /stext=" 19:.+((prompt.+disp)|(slice.+state.+chan)|(ment ac)|(system.+state.+chan)|(\|lc)|(penalty)|(\[timeout))" /e /r /s</v>
      </c>
      <c r="AG81" s="1" t="str">
        <f t="shared" si="42"/>
        <v>EC</v>
      </c>
    </row>
    <row r="82" spans="1:33" x14ac:dyDescent="0.25">
      <c r="A82" s="51" t="s">
        <v>533</v>
      </c>
      <c r="B82" s="7">
        <v>4011</v>
      </c>
      <c r="C82" s="28" t="s">
        <v>59</v>
      </c>
      <c r="D82" s="28" t="s">
        <v>321</v>
      </c>
      <c r="E82" s="17">
        <v>42561.504652777781</v>
      </c>
      <c r="F82" s="17">
        <v>42561.509016203701</v>
      </c>
      <c r="G82" s="7">
        <v>6</v>
      </c>
      <c r="H82" s="17" t="s">
        <v>336</v>
      </c>
      <c r="I82" s="17">
        <v>42561.53533564815</v>
      </c>
      <c r="J82" s="7">
        <v>0</v>
      </c>
      <c r="K82" s="28" t="str">
        <f t="shared" si="30"/>
        <v>4011/4012</v>
      </c>
      <c r="L82" s="28" t="str">
        <f>VLOOKUP(A82,'Trips&amp;Operators'!$C$1:$E$10000,3,FALSE)</f>
        <v>MAYBERRY</v>
      </c>
      <c r="M82" s="6">
        <f t="shared" si="31"/>
        <v>2.6319444448745344E-2</v>
      </c>
      <c r="N82" s="7">
        <f t="shared" si="28"/>
        <v>37.900000006193295</v>
      </c>
      <c r="O82" s="7"/>
      <c r="P82" s="7"/>
      <c r="Q82" s="29"/>
      <c r="R82" s="29"/>
      <c r="S82" s="47">
        <f t="shared" si="32"/>
        <v>1</v>
      </c>
      <c r="T82" s="73" t="str">
        <f t="shared" si="33"/>
        <v>NorthBound</v>
      </c>
      <c r="U82" s="109">
        <f>COUNTIFS(Variables!$M$2:$M$19,IF(T82="NorthBound","&gt;=","&lt;=")&amp;Y82,Variables!$M$2:$M$19,IF(T82="NorthBound","&lt;=","&gt;=")&amp;Z82)</f>
        <v>12</v>
      </c>
      <c r="V8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11:06:42-0600',mode:absolute,to:'2016-07-10 13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78" t="str">
        <f t="shared" si="34"/>
        <v>N</v>
      </c>
      <c r="X82" s="104">
        <f t="shared" si="35"/>
        <v>1</v>
      </c>
      <c r="Y82" s="101">
        <f t="shared" si="36"/>
        <v>4.5499999999999999E-2</v>
      </c>
      <c r="Z82" s="101">
        <f t="shared" si="37"/>
        <v>23.331</v>
      </c>
      <c r="AA82" s="101">
        <f t="shared" si="38"/>
        <v>23.285499999999999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39"/>
        <v>0169-10</v>
      </c>
      <c r="AE82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82" s="79" t="str">
        <f t="shared" si="41"/>
        <v>"C:\Program Files (x86)\AstroGrep\AstroGrep.exe" /spath="C:\Users\stu\Documents\Analysis\2016-02-23 RTDC Observations" /stypes="*4011*20160710*" /stext=" 18:.+((prompt.+disp)|(slice.+state.+chan)|(ment ac)|(system.+state.+chan)|(\|lc)|(penalty)|(\[timeout))" /e /r /s</v>
      </c>
      <c r="AG82" s="1" t="str">
        <f t="shared" si="42"/>
        <v>EC</v>
      </c>
    </row>
    <row r="83" spans="1:33" x14ac:dyDescent="0.25">
      <c r="A83" s="51" t="s">
        <v>417</v>
      </c>
      <c r="B83" s="7">
        <v>4012</v>
      </c>
      <c r="C83" s="28" t="s">
        <v>59</v>
      </c>
      <c r="D83" s="28" t="s">
        <v>514</v>
      </c>
      <c r="E83" s="17">
        <v>42561.540659722225</v>
      </c>
      <c r="F83" s="17">
        <v>42561.541631944441</v>
      </c>
      <c r="G83" s="7">
        <v>1</v>
      </c>
      <c r="H83" s="17" t="s">
        <v>534</v>
      </c>
      <c r="I83" s="17">
        <v>42561.562777777777</v>
      </c>
      <c r="J83" s="7">
        <v>1</v>
      </c>
      <c r="K83" s="28" t="str">
        <f t="shared" si="30"/>
        <v>4011/4012</v>
      </c>
      <c r="L83" s="28" t="str">
        <f>VLOOKUP(A83,'Trips&amp;Operators'!$C$1:$E$10000,3,FALSE)</f>
        <v>MAYBERRY</v>
      </c>
      <c r="M83" s="6">
        <f t="shared" si="31"/>
        <v>2.1145833336049691E-2</v>
      </c>
      <c r="N83" s="7"/>
      <c r="O83" s="7"/>
      <c r="P83" s="7">
        <f t="shared" si="28"/>
        <v>30.450000003911555</v>
      </c>
      <c r="Q83" s="29"/>
      <c r="R83" s="29" t="s">
        <v>634</v>
      </c>
      <c r="S83" s="47">
        <f t="shared" si="32"/>
        <v>8.3333333333333329E-2</v>
      </c>
      <c r="T83" s="73" t="str">
        <f t="shared" si="33"/>
        <v>Southbound</v>
      </c>
      <c r="U83" s="109">
        <f>COUNTIFS(Variables!$M$2:$M$19,IF(T83="NorthBound","&gt;=","&lt;=")&amp;Y83,Variables!$M$2:$M$19,IF(T83="NorthBound","&lt;=","&gt;=")&amp;Z83)</f>
        <v>1</v>
      </c>
      <c r="V8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78" t="str">
        <f t="shared" si="34"/>
        <v>Y</v>
      </c>
      <c r="X83" s="104">
        <f t="shared" si="35"/>
        <v>1</v>
      </c>
      <c r="Y83" s="101">
        <f t="shared" si="36"/>
        <v>23.299399999999999</v>
      </c>
      <c r="Z83" s="101">
        <f t="shared" si="37"/>
        <v>10.611000000000001</v>
      </c>
      <c r="AA83" s="101">
        <f t="shared" si="38"/>
        <v>12.688399999999998</v>
      </c>
      <c r="AB83" s="98">
        <f>VLOOKUP(A83,Enforcements!$C$7:$J$23,8,0)</f>
        <v>127587</v>
      </c>
      <c r="AC83" s="94" t="str">
        <f>VLOOKUP(A83,Enforcements!$C$7:$E$23,3,0)</f>
        <v>SIGNAL</v>
      </c>
      <c r="AD83" s="95" t="str">
        <f t="shared" si="39"/>
        <v>0170-10</v>
      </c>
      <c r="AE83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83" s="79" t="str">
        <f t="shared" si="41"/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AG83" s="1" t="str">
        <f t="shared" si="42"/>
        <v>EC</v>
      </c>
    </row>
    <row r="84" spans="1:33" x14ac:dyDescent="0.25">
      <c r="A84" s="51" t="s">
        <v>535</v>
      </c>
      <c r="B84" s="7">
        <v>4018</v>
      </c>
      <c r="C84" s="28" t="s">
        <v>59</v>
      </c>
      <c r="D84" s="28" t="s">
        <v>332</v>
      </c>
      <c r="E84" s="17">
        <v>42561.513784722221</v>
      </c>
      <c r="F84" s="17">
        <v>42561.518148148149</v>
      </c>
      <c r="G84" s="7">
        <v>6</v>
      </c>
      <c r="H84" s="17" t="s">
        <v>340</v>
      </c>
      <c r="I84" s="17">
        <v>42561.545520833337</v>
      </c>
      <c r="J84" s="7">
        <v>0</v>
      </c>
      <c r="K84" s="28" t="str">
        <f t="shared" si="30"/>
        <v>4017/4018</v>
      </c>
      <c r="L84" s="28" t="str">
        <f>VLOOKUP(A84,'Trips&amp;Operators'!$C$1:$E$10000,3,FALSE)</f>
        <v>ARNOLD</v>
      </c>
      <c r="M84" s="6">
        <f t="shared" si="31"/>
        <v>2.7372685188311152E-2</v>
      </c>
      <c r="N84" s="7">
        <f t="shared" si="28"/>
        <v>39.416666671168059</v>
      </c>
      <c r="O84" s="7"/>
      <c r="P84" s="7"/>
      <c r="Q84" s="29"/>
      <c r="R84" s="29"/>
      <c r="S84" s="47">
        <f t="shared" si="32"/>
        <v>1</v>
      </c>
      <c r="T84" s="73" t="str">
        <f t="shared" si="33"/>
        <v>NorthBound</v>
      </c>
      <c r="U84" s="109">
        <f>COUNTIFS(Variables!$M$2:$M$19,IF(T84="NorthBound","&gt;=","&lt;=")&amp;Y84,Variables!$M$2:$M$19,IF(T84="NorthBound","&lt;=","&gt;=")&amp;Z84)</f>
        <v>12</v>
      </c>
      <c r="V8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11:19:51-0600',mode:absolute,to:'2016-07-10 14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78" t="str">
        <f t="shared" si="34"/>
        <v>N</v>
      </c>
      <c r="X84" s="104">
        <f t="shared" si="35"/>
        <v>1</v>
      </c>
      <c r="Y84" s="101">
        <f t="shared" si="36"/>
        <v>4.6399999999999997E-2</v>
      </c>
      <c r="Z84" s="101">
        <f t="shared" si="37"/>
        <v>23.329699999999999</v>
      </c>
      <c r="AA84" s="101">
        <f t="shared" si="38"/>
        <v>23.283300000000001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39"/>
        <v>0171-10</v>
      </c>
      <c r="AE84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84" s="79" t="str">
        <f t="shared" si="41"/>
        <v>"C:\Program Files (x86)\AstroGrep\AstroGrep.exe" /spath="C:\Users\stu\Documents\Analysis\2016-02-23 RTDC Observations" /stypes="*4018*20160710*" /stext=" 19:.+((prompt.+disp)|(slice.+state.+chan)|(ment ac)|(system.+state.+chan)|(\|lc)|(penalty)|(\[timeout))" /e /r /s</v>
      </c>
      <c r="AG84" s="1" t="str">
        <f t="shared" si="42"/>
        <v>EC</v>
      </c>
    </row>
    <row r="85" spans="1:33" x14ac:dyDescent="0.25">
      <c r="A85" s="51" t="s">
        <v>536</v>
      </c>
      <c r="B85" s="7">
        <v>4017</v>
      </c>
      <c r="C85" s="28" t="s">
        <v>59</v>
      </c>
      <c r="D85" s="28" t="s">
        <v>339</v>
      </c>
      <c r="E85" s="17">
        <v>42561.553981481484</v>
      </c>
      <c r="F85" s="17">
        <v>42561.555266203701</v>
      </c>
      <c r="G85" s="7">
        <v>1</v>
      </c>
      <c r="H85" s="17" t="s">
        <v>537</v>
      </c>
      <c r="I85" s="17">
        <v>42561.573483796295</v>
      </c>
      <c r="J85" s="7">
        <v>0</v>
      </c>
      <c r="K85" s="28" t="str">
        <f t="shared" si="30"/>
        <v>4017/4018</v>
      </c>
      <c r="L85" s="28" t="str">
        <f>VLOOKUP(A85,'Trips&amp;Operators'!$C$1:$E$10000,3,FALSE)</f>
        <v>ARNOLD</v>
      </c>
      <c r="M85" s="6">
        <f t="shared" si="31"/>
        <v>1.8217592594737653E-2</v>
      </c>
      <c r="N85" s="7"/>
      <c r="O85" s="7"/>
      <c r="P85" s="7">
        <f t="shared" si="28"/>
        <v>26.23333333642222</v>
      </c>
      <c r="Q85" s="29"/>
      <c r="R85" s="29" t="s">
        <v>634</v>
      </c>
      <c r="S85" s="47">
        <f t="shared" si="32"/>
        <v>8.3333333333333329E-2</v>
      </c>
      <c r="T85" s="73" t="str">
        <f t="shared" si="33"/>
        <v>Southbound</v>
      </c>
      <c r="U85" s="109">
        <f>COUNTIFS(Variables!$M$2:$M$19,IF(T85="NorthBound","&gt;=","&lt;=")&amp;Y85,Variables!$M$2:$M$19,IF(T85="NorthBound","&lt;=","&gt;=")&amp;Z85)</f>
        <v>1</v>
      </c>
      <c r="V8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12:17:44-0600',mode:absolute,to:'2016-07-10 14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78" t="str">
        <f t="shared" si="34"/>
        <v>Y</v>
      </c>
      <c r="X85" s="104">
        <f t="shared" si="35"/>
        <v>1</v>
      </c>
      <c r="Y85" s="101">
        <f t="shared" si="36"/>
        <v>23.2973</v>
      </c>
      <c r="Z85" s="101">
        <f t="shared" si="37"/>
        <v>10.5044</v>
      </c>
      <c r="AA85" s="101">
        <f t="shared" si="38"/>
        <v>12.792899999999999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39"/>
        <v>0172-10</v>
      </c>
      <c r="AE85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85" s="79" t="str">
        <f t="shared" si="41"/>
        <v>"C:\Program Files (x86)\AstroGrep\AstroGrep.exe" /spath="C:\Users\stu\Documents\Analysis\2016-02-23 RTDC Observations" /stypes="*4017*20160710*" /stext=" 19:.+((prompt.+disp)|(slice.+state.+chan)|(ment ac)|(system.+state.+chan)|(\|lc)|(penalty)|(\[timeout))" /e /r /s</v>
      </c>
      <c r="AG85" s="1" t="str">
        <f t="shared" si="42"/>
        <v>EC</v>
      </c>
    </row>
    <row r="86" spans="1:33" x14ac:dyDescent="0.25">
      <c r="A86" s="51" t="s">
        <v>538</v>
      </c>
      <c r="B86" s="7">
        <v>4031</v>
      </c>
      <c r="C86" s="28" t="s">
        <v>59</v>
      </c>
      <c r="D86" s="28" t="s">
        <v>539</v>
      </c>
      <c r="E86" s="17">
        <v>42561.528657407405</v>
      </c>
      <c r="F86" s="17">
        <v>42561.530763888892</v>
      </c>
      <c r="G86" s="7">
        <v>3</v>
      </c>
      <c r="H86" s="17" t="s">
        <v>540</v>
      </c>
      <c r="I86" s="17">
        <v>42561.556539351855</v>
      </c>
      <c r="J86" s="7">
        <v>0</v>
      </c>
      <c r="K86" s="28" t="str">
        <f t="shared" si="30"/>
        <v>4031/4032</v>
      </c>
      <c r="L86" s="28" t="str">
        <f>VLOOKUP(A86,'Trips&amp;Operators'!$C$1:$E$10000,3,FALSE)</f>
        <v>STEWART</v>
      </c>
      <c r="M86" s="6">
        <f t="shared" si="31"/>
        <v>2.5775462963792961E-2</v>
      </c>
      <c r="N86" s="7">
        <f t="shared" si="28"/>
        <v>37.116666667861864</v>
      </c>
      <c r="O86" s="7"/>
      <c r="P86" s="7"/>
      <c r="Q86" s="29"/>
      <c r="R86" s="29"/>
      <c r="S86" s="47">
        <f t="shared" si="32"/>
        <v>1</v>
      </c>
      <c r="T86" s="73" t="str">
        <f t="shared" si="33"/>
        <v>NorthBound</v>
      </c>
      <c r="U86" s="109">
        <f>COUNTIFS(Variables!$M$2:$M$19,IF(T86="NorthBound","&gt;=","&lt;=")&amp;Y86,Variables!$M$2:$M$19,IF(T86="NorthBound","&lt;=","&gt;=")&amp;Z86)</f>
        <v>12</v>
      </c>
      <c r="V8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11:41:16-0600',mode:absolute,to:'2016-07-10 14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8" t="str">
        <f t="shared" si="34"/>
        <v>N</v>
      </c>
      <c r="X86" s="104">
        <f t="shared" si="35"/>
        <v>1</v>
      </c>
      <c r="Y86" s="101">
        <f t="shared" si="36"/>
        <v>4.4400000000000002E-2</v>
      </c>
      <c r="Z86" s="101">
        <f t="shared" si="37"/>
        <v>23.334399999999999</v>
      </c>
      <c r="AA86" s="101">
        <f t="shared" si="38"/>
        <v>23.29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39"/>
        <v>0173-10</v>
      </c>
      <c r="AE86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86" s="79" t="str">
        <f t="shared" si="41"/>
        <v>"C:\Program Files (x86)\AstroGrep\AstroGrep.exe" /spath="C:\Users\stu\Documents\Analysis\2016-02-23 RTDC Observations" /stypes="*4031*20160710*" /stext=" 19:.+((prompt.+disp)|(slice.+state.+chan)|(ment ac)|(system.+state.+chan)|(\|lc)|(penalty)|(\[timeout))" /e /r /s</v>
      </c>
      <c r="AG86" s="1" t="str">
        <f t="shared" si="42"/>
        <v>EC</v>
      </c>
    </row>
    <row r="87" spans="1:33" x14ac:dyDescent="0.25">
      <c r="A87" s="51" t="s">
        <v>541</v>
      </c>
      <c r="B87" s="7">
        <v>4032</v>
      </c>
      <c r="C87" s="28" t="s">
        <v>59</v>
      </c>
      <c r="D87" s="28" t="s">
        <v>542</v>
      </c>
      <c r="E87" s="17">
        <v>42561.564479166664</v>
      </c>
      <c r="F87" s="17">
        <v>42561.56559027778</v>
      </c>
      <c r="G87" s="7">
        <v>1</v>
      </c>
      <c r="H87" s="17" t="s">
        <v>519</v>
      </c>
      <c r="I87" s="17">
        <v>42561.584675925929</v>
      </c>
      <c r="J87" s="7">
        <v>0</v>
      </c>
      <c r="K87" s="28" t="str">
        <f t="shared" si="30"/>
        <v>4031/4032</v>
      </c>
      <c r="L87" s="28" t="str">
        <f>VLOOKUP(A87,'Trips&amp;Operators'!$C$1:$E$10000,3,FALSE)</f>
        <v>STEWART</v>
      </c>
      <c r="M87" s="6">
        <f t="shared" si="31"/>
        <v>1.9085648149484769E-2</v>
      </c>
      <c r="N87" s="7"/>
      <c r="O87" s="7"/>
      <c r="P87" s="7">
        <f>24*60*SUM($M87:$M88)</f>
        <v>46.683333328692243</v>
      </c>
      <c r="Q87" s="29"/>
      <c r="R87" s="29" t="s">
        <v>633</v>
      </c>
      <c r="S87" s="47">
        <f>SUM(U87:U88)/12</f>
        <v>0.91666666666666663</v>
      </c>
      <c r="T87" s="73" t="str">
        <f t="shared" si="33"/>
        <v>Southbound</v>
      </c>
      <c r="U87" s="109">
        <f>COUNTIFS(Variables!$M$2:$M$19,IF(T87="NorthBound","&gt;=","&lt;=")&amp;Y87,Variables!$M$2:$M$19,IF(T87="NorthBound","&lt;=","&gt;=")&amp;Z87)</f>
        <v>1</v>
      </c>
      <c r="V8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12:32:51-0600',mode:absolute,to:'2016-07-10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8" t="str">
        <f t="shared" si="34"/>
        <v>Y</v>
      </c>
      <c r="X87" s="104">
        <f t="shared" si="35"/>
        <v>1</v>
      </c>
      <c r="Y87" s="101">
        <f t="shared" si="36"/>
        <v>23.303799999999999</v>
      </c>
      <c r="Z87" s="101">
        <f t="shared" si="37"/>
        <v>10.8055</v>
      </c>
      <c r="AA87" s="101">
        <f t="shared" si="38"/>
        <v>12.498299999999999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39"/>
        <v>0174-10</v>
      </c>
      <c r="AE87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7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7" s="1" t="str">
        <f t="shared" si="42"/>
        <v>EC</v>
      </c>
    </row>
    <row r="88" spans="1:33" x14ac:dyDescent="0.25">
      <c r="A88" s="51" t="s">
        <v>541</v>
      </c>
      <c r="B88" s="7">
        <v>4032</v>
      </c>
      <c r="C88" s="28" t="s">
        <v>59</v>
      </c>
      <c r="D88" s="28" t="s">
        <v>543</v>
      </c>
      <c r="E88" s="17">
        <v>42561.587222222224</v>
      </c>
      <c r="F88" s="17">
        <v>42561.587905092594</v>
      </c>
      <c r="G88" s="7">
        <v>0</v>
      </c>
      <c r="H88" s="17" t="s">
        <v>153</v>
      </c>
      <c r="I88" s="17">
        <v>42561.601238425923</v>
      </c>
      <c r="J88" s="7">
        <v>0</v>
      </c>
      <c r="K88" s="28" t="str">
        <f t="shared" si="30"/>
        <v>4031/4032</v>
      </c>
      <c r="L88" s="28" t="str">
        <f>VLOOKUP(A88,'Trips&amp;Operators'!$C$1:$E$10000,3,FALSE)</f>
        <v>STEWART</v>
      </c>
      <c r="M88" s="6">
        <f t="shared" si="31"/>
        <v>1.3333333328773733E-2</v>
      </c>
      <c r="N88" s="7"/>
      <c r="O88" s="7"/>
      <c r="P88" s="7"/>
      <c r="Q88" s="29"/>
      <c r="R88" s="29"/>
      <c r="S88" s="47"/>
      <c r="T88" s="73" t="str">
        <f t="shared" si="33"/>
        <v>Southbound</v>
      </c>
      <c r="U88" s="109">
        <f>COUNTIFS(Variables!$M$2:$M$19,IF(T88="NorthBound","&gt;=","&lt;=")&amp;Y88,Variables!$M$2:$M$19,IF(T88="NorthBound","&lt;=","&gt;=")&amp;Z88)</f>
        <v>10</v>
      </c>
      <c r="V8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13:05:36-0600',mode:absolute,to:'2016-07-10 15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8" s="78" t="str">
        <f t="shared" si="34"/>
        <v>Y</v>
      </c>
      <c r="X88" s="104">
        <f t="shared" si="35"/>
        <v>0</v>
      </c>
      <c r="Y88" s="101">
        <f t="shared" si="36"/>
        <v>8.6351999999999993</v>
      </c>
      <c r="Z88" s="101">
        <f t="shared" si="37"/>
        <v>1.61E-2</v>
      </c>
      <c r="AA88" s="101">
        <f t="shared" si="38"/>
        <v>8.6190999999999995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39"/>
        <v>0174-10</v>
      </c>
      <c r="AE8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8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8" s="1" t="str">
        <f t="shared" si="42"/>
        <v>EC</v>
      </c>
    </row>
    <row r="89" spans="1:33" x14ac:dyDescent="0.25">
      <c r="A89" s="51" t="s">
        <v>544</v>
      </c>
      <c r="B89" s="7">
        <v>4029</v>
      </c>
      <c r="C89" s="28" t="s">
        <v>59</v>
      </c>
      <c r="D89" s="28" t="s">
        <v>277</v>
      </c>
      <c r="E89" s="17">
        <v>42561.537476851852</v>
      </c>
      <c r="F89" s="17">
        <v>42561.538495370369</v>
      </c>
      <c r="G89" s="7">
        <v>1</v>
      </c>
      <c r="H89" s="17" t="s">
        <v>545</v>
      </c>
      <c r="I89" s="17">
        <v>42561.567175925928</v>
      </c>
      <c r="J89" s="7">
        <v>0</v>
      </c>
      <c r="K89" s="28" t="str">
        <f t="shared" si="30"/>
        <v>4029/4030</v>
      </c>
      <c r="L89" s="28" t="str">
        <f>VLOOKUP(A89,'Trips&amp;Operators'!$C$1:$E$10000,3,FALSE)</f>
        <v>BARTLETT</v>
      </c>
      <c r="M89" s="6">
        <f t="shared" si="31"/>
        <v>2.8680555558821652E-2</v>
      </c>
      <c r="N89" s="7">
        <f t="shared" si="28"/>
        <v>41.300000004703179</v>
      </c>
      <c r="O89" s="7"/>
      <c r="P89" s="7"/>
      <c r="Q89" s="29"/>
      <c r="R89" s="29"/>
      <c r="S89" s="47">
        <f t="shared" si="32"/>
        <v>1</v>
      </c>
      <c r="T89" s="73" t="str">
        <f t="shared" si="33"/>
        <v>NorthBound</v>
      </c>
      <c r="U89" s="109">
        <f>COUNTIFS(Variables!$M$2:$M$19,IF(T89="NorthBound","&gt;=","&lt;=")&amp;Y89,Variables!$M$2:$M$19,IF(T89="NorthBound","&lt;=","&gt;=")&amp;Z89)</f>
        <v>12</v>
      </c>
      <c r="V8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11:53:58-0600',mode:absolute,to:'2016-07-10 14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78" t="str">
        <f t="shared" si="34"/>
        <v>N</v>
      </c>
      <c r="X89" s="104">
        <f t="shared" si="35"/>
        <v>1</v>
      </c>
      <c r="Y89" s="101">
        <f t="shared" si="36"/>
        <v>4.7300000000000002E-2</v>
      </c>
      <c r="Z89" s="101">
        <f t="shared" si="37"/>
        <v>23.331600000000002</v>
      </c>
      <c r="AA89" s="101">
        <f t="shared" si="38"/>
        <v>23.284300000000002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39"/>
        <v>0175-10</v>
      </c>
      <c r="AE8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89" s="79" t="str">
        <f t="shared" si="41"/>
        <v>"C:\Program Files (x86)\AstroGrep\AstroGrep.exe" /spath="C:\Users\stu\Documents\Analysis\2016-02-23 RTDC Observations" /stypes="*4029*20160710*" /stext=" 19:.+((prompt.+disp)|(slice.+state.+chan)|(ment ac)|(system.+state.+chan)|(\|lc)|(penalty)|(\[timeout))" /e /r /s</v>
      </c>
      <c r="AG89" s="1" t="str">
        <f t="shared" si="42"/>
        <v>EC</v>
      </c>
    </row>
    <row r="90" spans="1:33" x14ac:dyDescent="0.25">
      <c r="A90" s="51" t="s">
        <v>546</v>
      </c>
      <c r="B90" s="7">
        <v>4030</v>
      </c>
      <c r="C90" s="28" t="s">
        <v>59</v>
      </c>
      <c r="D90" s="28" t="s">
        <v>374</v>
      </c>
      <c r="E90" s="17">
        <v>42561.569201388891</v>
      </c>
      <c r="F90" s="17">
        <v>42561.569895833331</v>
      </c>
      <c r="G90" s="7">
        <v>0</v>
      </c>
      <c r="H90" s="17" t="s">
        <v>330</v>
      </c>
      <c r="I90" s="17">
        <v>42561.611608796295</v>
      </c>
      <c r="J90" s="7">
        <v>0</v>
      </c>
      <c r="K90" s="28" t="str">
        <f t="shared" si="30"/>
        <v>4029/4030</v>
      </c>
      <c r="L90" s="28" t="str">
        <f>VLOOKUP(A90,'Trips&amp;Operators'!$C$1:$E$10000,3,FALSE)</f>
        <v>BARTLETT</v>
      </c>
      <c r="M90" s="6">
        <f t="shared" si="31"/>
        <v>4.1712962964083999E-2</v>
      </c>
      <c r="N90" s="7">
        <f t="shared" si="28"/>
        <v>60.066666668280959</v>
      </c>
      <c r="O90" s="7"/>
      <c r="P90" s="7"/>
      <c r="Q90" s="29"/>
      <c r="R90" s="29"/>
      <c r="S90" s="47">
        <f t="shared" si="32"/>
        <v>1</v>
      </c>
      <c r="T90" s="73" t="str">
        <f t="shared" si="33"/>
        <v>Southbound</v>
      </c>
      <c r="U90" s="109">
        <f>COUNTIFS(Variables!$M$2:$M$19,IF(T90="NorthBound","&gt;=","&lt;=")&amp;Y90,Variables!$M$2:$M$19,IF(T90="NorthBound","&lt;=","&gt;=")&amp;Z90)</f>
        <v>12</v>
      </c>
      <c r="V9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12:39:39-0600',mode:absolute,to:'2016-07-10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78" t="str">
        <f t="shared" si="34"/>
        <v>N</v>
      </c>
      <c r="X90" s="104">
        <f t="shared" si="35"/>
        <v>1</v>
      </c>
      <c r="Y90" s="101">
        <f t="shared" si="36"/>
        <v>23.3</v>
      </c>
      <c r="Z90" s="101">
        <f t="shared" si="37"/>
        <v>1.54E-2</v>
      </c>
      <c r="AA90" s="101">
        <f t="shared" si="38"/>
        <v>23.284600000000001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39"/>
        <v>0176-10</v>
      </c>
      <c r="AE9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90" s="79" t="str">
        <f t="shared" si="41"/>
        <v>"C:\Program Files (x86)\AstroGrep\AstroGrep.exe" /spath="C:\Users\stu\Documents\Analysis\2016-02-23 RTDC Observations" /stypes="*4030*20160710*" /stext=" 20:.+((prompt.+disp)|(slice.+state.+chan)|(ment ac)|(system.+state.+chan)|(\|lc)|(penalty)|(\[timeout))" /e /r /s</v>
      </c>
      <c r="AG90" s="1" t="str">
        <f t="shared" si="42"/>
        <v>EC</v>
      </c>
    </row>
    <row r="91" spans="1:33" x14ac:dyDescent="0.25">
      <c r="A91" s="51" t="s">
        <v>418</v>
      </c>
      <c r="B91" s="7">
        <v>4040</v>
      </c>
      <c r="C91" s="28" t="s">
        <v>59</v>
      </c>
      <c r="D91" s="28" t="s">
        <v>547</v>
      </c>
      <c r="E91" s="17">
        <v>42561.548738425925</v>
      </c>
      <c r="F91" s="17">
        <v>42561.549745370372</v>
      </c>
      <c r="G91" s="7">
        <v>1</v>
      </c>
      <c r="H91" s="17" t="s">
        <v>499</v>
      </c>
      <c r="I91" s="17">
        <v>42561.578125</v>
      </c>
      <c r="J91" s="7">
        <v>1</v>
      </c>
      <c r="K91" s="28" t="str">
        <f t="shared" si="30"/>
        <v>4039/4040</v>
      </c>
      <c r="L91" s="28" t="str">
        <f>VLOOKUP(A91,'Trips&amp;Operators'!$C$1:$E$10000,3,FALSE)</f>
        <v>STORY</v>
      </c>
      <c r="M91" s="6">
        <f t="shared" si="31"/>
        <v>2.8379629628034309E-2</v>
      </c>
      <c r="N91" s="7">
        <f t="shared" si="28"/>
        <v>40.866666664369404</v>
      </c>
      <c r="O91" s="7"/>
      <c r="P91" s="7"/>
      <c r="Q91" s="29"/>
      <c r="R91" s="29"/>
      <c r="S91" s="47">
        <f t="shared" si="32"/>
        <v>1</v>
      </c>
      <c r="T91" s="73" t="str">
        <f t="shared" si="33"/>
        <v>NorthBound</v>
      </c>
      <c r="U91" s="109">
        <f>COUNTIFS(Variables!$M$2:$M$19,IF(T91="NorthBound","&gt;=","&lt;=")&amp;Y91,Variables!$M$2:$M$19,IF(T91="NorthBound","&lt;=","&gt;=")&amp;Z91)</f>
        <v>12</v>
      </c>
      <c r="V9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8" t="str">
        <f t="shared" si="34"/>
        <v>N</v>
      </c>
      <c r="X91" s="104">
        <f t="shared" si="35"/>
        <v>1</v>
      </c>
      <c r="Y91" s="101">
        <f t="shared" si="36"/>
        <v>4.1599999999999998E-2</v>
      </c>
      <c r="Z91" s="101">
        <f t="shared" si="37"/>
        <v>23.331199999999999</v>
      </c>
      <c r="AA91" s="101">
        <f t="shared" si="38"/>
        <v>23.2896</v>
      </c>
      <c r="AB91" s="98">
        <f>VLOOKUP(A91,Enforcements!$C$7:$J$23,8,0)</f>
        <v>224578</v>
      </c>
      <c r="AC91" s="94" t="str">
        <f>VLOOKUP(A91,Enforcements!$C$7:$E$23,3,0)</f>
        <v>PERMANENT SPEED RESTRICTION</v>
      </c>
      <c r="AD91" s="95" t="str">
        <f t="shared" si="39"/>
        <v>0177-10</v>
      </c>
      <c r="AE9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91" s="79" t="str">
        <f t="shared" si="41"/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AG91" s="1" t="str">
        <f t="shared" si="42"/>
        <v>EC</v>
      </c>
    </row>
    <row r="92" spans="1:33" x14ac:dyDescent="0.25">
      <c r="A92" s="51" t="s">
        <v>548</v>
      </c>
      <c r="B92" s="7">
        <v>4039</v>
      </c>
      <c r="C92" s="28" t="s">
        <v>59</v>
      </c>
      <c r="D92" s="28" t="s">
        <v>353</v>
      </c>
      <c r="E92" s="17">
        <v>42561.586493055554</v>
      </c>
      <c r="F92" s="17">
        <v>42561.587569444448</v>
      </c>
      <c r="G92" s="7">
        <v>1</v>
      </c>
      <c r="H92" s="17" t="s">
        <v>549</v>
      </c>
      <c r="I92" s="17">
        <v>42561.62295138889</v>
      </c>
      <c r="J92" s="7">
        <v>0</v>
      </c>
      <c r="K92" s="28" t="str">
        <f t="shared" si="30"/>
        <v>4039/4040</v>
      </c>
      <c r="L92" s="28" t="str">
        <f>VLOOKUP(A92,'Trips&amp;Operators'!$C$1:$E$10000,3,FALSE)</f>
        <v>STORY</v>
      </c>
      <c r="M92" s="6">
        <f t="shared" si="31"/>
        <v>3.5381944442633539E-2</v>
      </c>
      <c r="N92" s="7">
        <f t="shared" si="28"/>
        <v>50.949999997392297</v>
      </c>
      <c r="O92" s="7"/>
      <c r="P92" s="7"/>
      <c r="Q92" s="29"/>
      <c r="R92" s="29"/>
      <c r="S92" s="47">
        <f t="shared" si="32"/>
        <v>1</v>
      </c>
      <c r="T92" s="73" t="str">
        <f t="shared" si="33"/>
        <v>Southbound</v>
      </c>
      <c r="U92" s="109">
        <f>COUNTIFS(Variables!$M$2:$M$19,IF(T92="NorthBound","&gt;=","&lt;=")&amp;Y92,Variables!$M$2:$M$19,IF(T92="NorthBound","&lt;=","&gt;=")&amp;Z92)</f>
        <v>12</v>
      </c>
      <c r="V9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13:04:33-0600',mode:absolute,to:'2016-07-10 15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8" t="str">
        <f t="shared" si="34"/>
        <v>N</v>
      </c>
      <c r="X92" s="104">
        <f t="shared" si="35"/>
        <v>1</v>
      </c>
      <c r="Y92" s="101">
        <f t="shared" si="36"/>
        <v>23.299800000000001</v>
      </c>
      <c r="Z92" s="101">
        <f t="shared" si="37"/>
        <v>1.2500000000000001E-2</v>
      </c>
      <c r="AA92" s="101">
        <f t="shared" si="38"/>
        <v>23.287300000000002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39"/>
        <v>0178-10</v>
      </c>
      <c r="AE9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92" s="79" t="str">
        <f t="shared" si="41"/>
        <v>"C:\Program Files (x86)\AstroGrep\AstroGrep.exe" /spath="C:\Users\stu\Documents\Analysis\2016-02-23 RTDC Observations" /stypes="*4039*20160710*" /stext=" 20:.+((prompt.+disp)|(slice.+state.+chan)|(ment ac)|(system.+state.+chan)|(\|lc)|(penalty)|(\[timeout))" /e /r /s</v>
      </c>
      <c r="AG92" s="1" t="str">
        <f t="shared" si="42"/>
        <v>EC</v>
      </c>
    </row>
    <row r="93" spans="1:33" x14ac:dyDescent="0.25">
      <c r="A93" s="51" t="s">
        <v>550</v>
      </c>
      <c r="B93" s="7">
        <v>4025</v>
      </c>
      <c r="C93" s="28" t="s">
        <v>59</v>
      </c>
      <c r="D93" s="28" t="s">
        <v>385</v>
      </c>
      <c r="E93" s="17">
        <v>42561.561157407406</v>
      </c>
      <c r="F93" s="17">
        <v>42561.5624537037</v>
      </c>
      <c r="G93" s="7">
        <v>1</v>
      </c>
      <c r="H93" s="17" t="s">
        <v>389</v>
      </c>
      <c r="I93" s="17">
        <v>42561.591446759259</v>
      </c>
      <c r="J93" s="7">
        <v>0</v>
      </c>
      <c r="K93" s="28" t="str">
        <f t="shared" si="30"/>
        <v>4025/4026</v>
      </c>
      <c r="L93" s="28" t="str">
        <f>VLOOKUP(A93,'Trips&amp;Operators'!$C$1:$E$10000,3,FALSE)</f>
        <v>SNYDER</v>
      </c>
      <c r="M93" s="6">
        <f t="shared" si="31"/>
        <v>2.899305555911269E-2</v>
      </c>
      <c r="N93" s="7">
        <f t="shared" si="28"/>
        <v>41.750000005122274</v>
      </c>
      <c r="O93" s="7"/>
      <c r="P93" s="7"/>
      <c r="Q93" s="29"/>
      <c r="R93" s="29"/>
      <c r="S93" s="47">
        <f t="shared" si="32"/>
        <v>1</v>
      </c>
      <c r="T93" s="73" t="str">
        <f t="shared" si="33"/>
        <v>NorthBound</v>
      </c>
      <c r="U93" s="109">
        <f>COUNTIFS(Variables!$M$2:$M$19,IF(T93="NorthBound","&gt;=","&lt;=")&amp;Y93,Variables!$M$2:$M$19,IF(T93="NorthBound","&lt;=","&gt;=")&amp;Z93)</f>
        <v>12</v>
      </c>
      <c r="V9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12:28:04-0600',mode:absolute,to:'2016-07-10 15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78" t="str">
        <f t="shared" si="34"/>
        <v>N</v>
      </c>
      <c r="X93" s="104">
        <f t="shared" si="35"/>
        <v>1</v>
      </c>
      <c r="Y93" s="101">
        <f t="shared" si="36"/>
        <v>4.4600000000000001E-2</v>
      </c>
      <c r="Z93" s="101">
        <f t="shared" si="37"/>
        <v>23.328199999999999</v>
      </c>
      <c r="AA93" s="101">
        <f t="shared" si="38"/>
        <v>23.2836</v>
      </c>
      <c r="AB93" s="98" t="e">
        <f>VLOOKUP(A93,Enforcements!$C$7:$J$23,8,0)</f>
        <v>#N/A</v>
      </c>
      <c r="AC93" s="94" t="e">
        <f>VLOOKUP(A93,Enforcements!$C$7:$E$23,3,0)</f>
        <v>#N/A</v>
      </c>
      <c r="AD93" s="95" t="str">
        <f t="shared" si="39"/>
        <v>0179-10</v>
      </c>
      <c r="AE93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93" s="79" t="str">
        <f t="shared" si="41"/>
        <v>"C:\Program Files (x86)\AstroGrep\AstroGrep.exe" /spath="C:\Users\stu\Documents\Analysis\2016-02-23 RTDC Observations" /stypes="*4025*20160710*" /stext=" 20:.+((prompt.+disp)|(slice.+state.+chan)|(ment ac)|(system.+state.+chan)|(\|lc)|(penalty)|(\[timeout))" /e /r /s</v>
      </c>
      <c r="AG93" s="1" t="str">
        <f t="shared" si="42"/>
        <v>EC</v>
      </c>
    </row>
    <row r="94" spans="1:33" x14ac:dyDescent="0.25">
      <c r="A94" s="51" t="s">
        <v>551</v>
      </c>
      <c r="B94" s="7">
        <v>4026</v>
      </c>
      <c r="C94" s="28" t="s">
        <v>59</v>
      </c>
      <c r="D94" s="28" t="s">
        <v>552</v>
      </c>
      <c r="E94" s="17">
        <v>42561.600787037038</v>
      </c>
      <c r="F94" s="17">
        <v>42561.602349537039</v>
      </c>
      <c r="G94" s="7">
        <v>2</v>
      </c>
      <c r="H94" s="17" t="s">
        <v>61</v>
      </c>
      <c r="I94" s="17">
        <v>42561.633796296293</v>
      </c>
      <c r="J94" s="7">
        <v>0</v>
      </c>
      <c r="K94" s="28" t="str">
        <f t="shared" si="30"/>
        <v>4025/4026</v>
      </c>
      <c r="L94" s="28" t="str">
        <f>VLOOKUP(A94,'Trips&amp;Operators'!$C$1:$E$10000,3,FALSE)</f>
        <v>SNYDER</v>
      </c>
      <c r="M94" s="6">
        <f t="shared" si="31"/>
        <v>3.1446759254322387E-2</v>
      </c>
      <c r="N94" s="7">
        <f t="shared" si="28"/>
        <v>45.283333326224238</v>
      </c>
      <c r="O94" s="7"/>
      <c r="P94" s="7"/>
      <c r="Q94" s="29"/>
      <c r="R94" s="29"/>
      <c r="S94" s="47">
        <f t="shared" si="32"/>
        <v>1</v>
      </c>
      <c r="T94" s="73" t="str">
        <f t="shared" si="33"/>
        <v>Southbound</v>
      </c>
      <c r="U94" s="109">
        <f>COUNTIFS(Variables!$M$2:$M$19,IF(T94="NorthBound","&gt;=","&lt;=")&amp;Y94,Variables!$M$2:$M$19,IF(T94="NorthBound","&lt;=","&gt;=")&amp;Z94)</f>
        <v>12</v>
      </c>
      <c r="V9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13:25:08-0600',mode:absolute,to:'2016-07-10 16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78" t="str">
        <f t="shared" si="34"/>
        <v>N</v>
      </c>
      <c r="X94" s="104">
        <f t="shared" si="35"/>
        <v>1</v>
      </c>
      <c r="Y94" s="101">
        <f t="shared" si="36"/>
        <v>23.2957</v>
      </c>
      <c r="Z94" s="101">
        <f t="shared" si="37"/>
        <v>1.52E-2</v>
      </c>
      <c r="AA94" s="101">
        <f t="shared" si="38"/>
        <v>23.2805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39"/>
        <v>0180-10</v>
      </c>
      <c r="AE94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94" s="79" t="str">
        <f t="shared" si="41"/>
        <v>"C:\Program Files (x86)\AstroGrep\AstroGrep.exe" /spath="C:\Users\stu\Documents\Analysis\2016-02-23 RTDC Observations" /stypes="*4026*20160710*" /stext=" 21:.+((prompt.+disp)|(slice.+state.+chan)|(ment ac)|(system.+state.+chan)|(\|lc)|(penalty)|(\[timeout))" /e /r /s</v>
      </c>
      <c r="AG94" s="1" t="str">
        <f t="shared" si="42"/>
        <v>EC</v>
      </c>
    </row>
    <row r="95" spans="1:33" x14ac:dyDescent="0.25">
      <c r="A95" s="51" t="s">
        <v>419</v>
      </c>
      <c r="B95" s="7">
        <v>4027</v>
      </c>
      <c r="C95" s="28" t="s">
        <v>59</v>
      </c>
      <c r="D95" s="28" t="s">
        <v>553</v>
      </c>
      <c r="E95" s="17">
        <v>42561.572395833333</v>
      </c>
      <c r="F95" s="17">
        <v>42561.573958333334</v>
      </c>
      <c r="G95" s="7">
        <v>2</v>
      </c>
      <c r="H95" s="17" t="s">
        <v>554</v>
      </c>
      <c r="I95" s="17">
        <v>42561.599131944444</v>
      </c>
      <c r="J95" s="7">
        <v>2</v>
      </c>
      <c r="K95" s="28" t="str">
        <f t="shared" si="30"/>
        <v>4027/4028</v>
      </c>
      <c r="L95" s="28" t="str">
        <f>VLOOKUP(A95,'Trips&amp;Operators'!$C$1:$E$10000,3,FALSE)</f>
        <v>PELLITIER</v>
      </c>
      <c r="M95" s="6">
        <f t="shared" si="31"/>
        <v>2.5173611109494232E-2</v>
      </c>
      <c r="N95" s="7">
        <f t="shared" si="28"/>
        <v>36.249999997671694</v>
      </c>
      <c r="O95" s="7"/>
      <c r="P95" s="7"/>
      <c r="Q95" s="29"/>
      <c r="R95" s="29" t="s">
        <v>631</v>
      </c>
      <c r="S95" s="47">
        <f t="shared" si="32"/>
        <v>1</v>
      </c>
      <c r="T95" s="73" t="str">
        <f t="shared" si="33"/>
        <v>NorthBound</v>
      </c>
      <c r="U95" s="109">
        <f>COUNTIFS(Variables!$M$2:$M$19,IF(T95="NorthBound","&gt;=","&lt;=")&amp;Y95,Variables!$M$2:$M$19,IF(T95="NorthBound","&lt;=","&gt;=")&amp;Z95)</f>
        <v>12</v>
      </c>
      <c r="V9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5" s="78" t="str">
        <f t="shared" si="34"/>
        <v>N</v>
      </c>
      <c r="X95" s="104">
        <f t="shared" si="35"/>
        <v>1</v>
      </c>
      <c r="Y95" s="101">
        <f t="shared" si="36"/>
        <v>0.14810000000000001</v>
      </c>
      <c r="Z95" s="101">
        <v>23.32</v>
      </c>
      <c r="AA95" s="101">
        <f t="shared" si="38"/>
        <v>23.171900000000001</v>
      </c>
      <c r="AB95" s="98">
        <f>VLOOKUP(A95,Enforcements!$C$7:$J$23,8,0)</f>
        <v>63309</v>
      </c>
      <c r="AC95" s="94" t="str">
        <f>VLOOKUP(A95,Enforcements!$C$7:$E$23,3,0)</f>
        <v>GRADE CROSSING</v>
      </c>
      <c r="AD95" s="95" t="str">
        <f t="shared" si="39"/>
        <v>0181-10</v>
      </c>
      <c r="AE95" s="79" t="str">
        <f t="shared" si="40"/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AF95" s="79" t="str">
        <f t="shared" si="41"/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AG95" s="1" t="str">
        <f t="shared" si="42"/>
        <v>EC</v>
      </c>
    </row>
    <row r="96" spans="1:33" x14ac:dyDescent="0.25">
      <c r="A96" s="51" t="s">
        <v>555</v>
      </c>
      <c r="B96" s="7">
        <v>4020</v>
      </c>
      <c r="C96" s="28" t="s">
        <v>59</v>
      </c>
      <c r="D96" s="28" t="s">
        <v>556</v>
      </c>
      <c r="E96" s="17">
        <v>42561.582719907405</v>
      </c>
      <c r="F96" s="17">
        <v>42561.583668981482</v>
      </c>
      <c r="G96" s="7">
        <v>1</v>
      </c>
      <c r="H96" s="17" t="s">
        <v>557</v>
      </c>
      <c r="I96" s="17">
        <v>42561.610138888886</v>
      </c>
      <c r="J96" s="7">
        <v>0</v>
      </c>
      <c r="K96" s="28" t="str">
        <f t="shared" si="30"/>
        <v>4019/4020</v>
      </c>
      <c r="L96" s="28" t="str">
        <f>VLOOKUP(A96,'Trips&amp;Operators'!$C$1:$E$10000,3,FALSE)</f>
        <v>YOUNG</v>
      </c>
      <c r="M96" s="6">
        <f t="shared" si="31"/>
        <v>2.6469907403225079E-2</v>
      </c>
      <c r="N96" s="7">
        <f t="shared" si="28"/>
        <v>38.116666660644114</v>
      </c>
      <c r="O96" s="7"/>
      <c r="P96" s="7"/>
      <c r="Q96" s="29"/>
      <c r="R96" s="29"/>
      <c r="S96" s="47">
        <f t="shared" si="32"/>
        <v>1</v>
      </c>
      <c r="T96" s="73" t="str">
        <f t="shared" si="33"/>
        <v>NorthBound</v>
      </c>
      <c r="U96" s="109">
        <f>COUNTIFS(Variables!$M$2:$M$19,IF(T96="NorthBound","&gt;=","&lt;=")&amp;Y96,Variables!$M$2:$M$19,IF(T96="NorthBound","&lt;=","&gt;=")&amp;Z96)</f>
        <v>12</v>
      </c>
      <c r="V9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12:59:07-0600',mode:absolute,to:'2016-07-10 15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6" s="78" t="str">
        <f t="shared" si="34"/>
        <v>N</v>
      </c>
      <c r="X96" s="104">
        <f t="shared" si="35"/>
        <v>2</v>
      </c>
      <c r="Y96" s="101">
        <f t="shared" si="36"/>
        <v>5.0900000000000001E-2</v>
      </c>
      <c r="Z96" s="101">
        <f t="shared" si="37"/>
        <v>23.330500000000001</v>
      </c>
      <c r="AA96" s="101">
        <f t="shared" si="38"/>
        <v>23.279600000000002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39"/>
        <v>0183-10</v>
      </c>
      <c r="AE96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96" s="79" t="str">
        <f t="shared" si="41"/>
        <v>"C:\Program Files (x86)\AstroGrep\AstroGrep.exe" /spath="C:\Users\stu\Documents\Analysis\2016-02-23 RTDC Observations" /stypes="*4020*20160710*" /stext=" 20:.+((prompt.+disp)|(slice.+state.+chan)|(ment ac)|(system.+state.+chan)|(\|lc)|(penalty)|(\[timeout))" /e /r /s</v>
      </c>
      <c r="AG96" s="1" t="str">
        <f t="shared" si="42"/>
        <v>EC</v>
      </c>
    </row>
    <row r="97" spans="1:33" x14ac:dyDescent="0.25">
      <c r="A97" s="51" t="s">
        <v>421</v>
      </c>
      <c r="B97" s="7">
        <v>4012</v>
      </c>
      <c r="C97" s="28" t="s">
        <v>59</v>
      </c>
      <c r="D97" s="28" t="s">
        <v>335</v>
      </c>
      <c r="E97" s="17">
        <v>42561.622337962966</v>
      </c>
      <c r="F97" s="17">
        <v>42561.623472222222</v>
      </c>
      <c r="G97" s="7">
        <v>1</v>
      </c>
      <c r="H97" s="17" t="s">
        <v>558</v>
      </c>
      <c r="I97" s="17">
        <v>42561.650752314818</v>
      </c>
      <c r="J97" s="7">
        <v>1</v>
      </c>
      <c r="K97" s="28" t="str">
        <f t="shared" si="30"/>
        <v>4011/4012</v>
      </c>
      <c r="L97" s="28" t="str">
        <f>VLOOKUP(A97,'Trips&amp;Operators'!$C$1:$E$10000,3,FALSE)</f>
        <v>MAYBERRY</v>
      </c>
      <c r="M97" s="6">
        <f t="shared" si="31"/>
        <v>2.7280092595901806E-2</v>
      </c>
      <c r="N97" s="7">
        <f t="shared" si="28"/>
        <v>39.283333338098601</v>
      </c>
      <c r="O97" s="7"/>
      <c r="P97" s="7"/>
      <c r="Q97" s="29"/>
      <c r="R97" s="29"/>
      <c r="S97" s="47">
        <f t="shared" si="32"/>
        <v>1</v>
      </c>
      <c r="T97" s="73" t="str">
        <f t="shared" si="33"/>
        <v>Southbound</v>
      </c>
      <c r="U97" s="109">
        <f>COUNTIFS(Variables!$M$2:$M$19,IF(T97="NorthBound","&gt;=","&lt;=")&amp;Y97,Variables!$M$2:$M$19,IF(T97="NorthBound","&lt;=","&gt;=")&amp;Z97)</f>
        <v>12</v>
      </c>
      <c r="V9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78" t="str">
        <f t="shared" si="34"/>
        <v>N</v>
      </c>
      <c r="X97" s="104">
        <f t="shared" si="35"/>
        <v>1</v>
      </c>
      <c r="Y97" s="101">
        <f t="shared" si="36"/>
        <v>23.297799999999999</v>
      </c>
      <c r="Z97" s="101">
        <f t="shared" si="37"/>
        <v>1.7600000000000001E-2</v>
      </c>
      <c r="AA97" s="101">
        <f t="shared" si="38"/>
        <v>23.280199999999997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39"/>
        <v>0184-10</v>
      </c>
      <c r="AE97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97" s="79" t="str">
        <f t="shared" si="41"/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AG97" s="1" t="str">
        <f t="shared" si="42"/>
        <v>EC</v>
      </c>
    </row>
    <row r="98" spans="1:33" x14ac:dyDescent="0.25">
      <c r="A98" s="51" t="s">
        <v>559</v>
      </c>
      <c r="B98" s="7">
        <v>4011</v>
      </c>
      <c r="C98" s="28" t="s">
        <v>59</v>
      </c>
      <c r="D98" s="28" t="s">
        <v>473</v>
      </c>
      <c r="E98" s="17">
        <v>42561.590370370373</v>
      </c>
      <c r="F98" s="17">
        <v>42561.591504629629</v>
      </c>
      <c r="G98" s="7">
        <v>1</v>
      </c>
      <c r="H98" s="17" t="s">
        <v>560</v>
      </c>
      <c r="I98" s="17">
        <v>42561.621354166666</v>
      </c>
      <c r="J98" s="7">
        <v>0</v>
      </c>
      <c r="K98" s="28" t="str">
        <f t="shared" si="30"/>
        <v>4011/4012</v>
      </c>
      <c r="L98" s="28" t="str">
        <f>VLOOKUP(A98,'Trips&amp;Operators'!$C$1:$E$10000,3,FALSE)</f>
        <v>MAYBERRY</v>
      </c>
      <c r="M98" s="6">
        <f t="shared" si="31"/>
        <v>2.9849537037080154E-2</v>
      </c>
      <c r="N98" s="7">
        <f t="shared" si="28"/>
        <v>42.983333333395422</v>
      </c>
      <c r="O98" s="7"/>
      <c r="P98" s="7"/>
      <c r="Q98" s="29"/>
      <c r="R98" s="29"/>
      <c r="S98" s="47">
        <f t="shared" si="32"/>
        <v>1</v>
      </c>
      <c r="T98" s="73" t="str">
        <f t="shared" si="33"/>
        <v>NorthBound</v>
      </c>
      <c r="U98" s="109">
        <f>COUNTIFS(Variables!$M$2:$M$19,IF(T98="NorthBound","&gt;=","&lt;=")&amp;Y98,Variables!$M$2:$M$19,IF(T98="NorthBound","&lt;=","&gt;=")&amp;Z98)</f>
        <v>12</v>
      </c>
      <c r="V9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13:10:08-0600',mode:absolute,to:'2016-07-10 15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8" s="78" t="str">
        <f t="shared" si="34"/>
        <v>N</v>
      </c>
      <c r="X98" s="104">
        <f t="shared" si="35"/>
        <v>1</v>
      </c>
      <c r="Y98" s="101">
        <f t="shared" si="36"/>
        <v>4.4699999999999997E-2</v>
      </c>
      <c r="Z98" s="101">
        <f t="shared" si="37"/>
        <v>23.327200000000001</v>
      </c>
      <c r="AA98" s="101">
        <f t="shared" si="38"/>
        <v>23.282500000000002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39"/>
        <v>0185-10</v>
      </c>
      <c r="AE98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98" s="79" t="str">
        <f t="shared" si="41"/>
        <v>"C:\Program Files (x86)\AstroGrep\AstroGrep.exe" /spath="C:\Users\stu\Documents\Analysis\2016-02-23 RTDC Observations" /stypes="*4011*20160710*" /stext=" 20:.+((prompt.+disp)|(slice.+state.+chan)|(ment ac)|(system.+state.+chan)|(\|lc)|(penalty)|(\[timeout))" /e /r /s</v>
      </c>
      <c r="AG98" s="1" t="str">
        <f t="shared" si="42"/>
        <v>EC</v>
      </c>
    </row>
    <row r="99" spans="1:33" x14ac:dyDescent="0.25">
      <c r="A99" s="51" t="s">
        <v>561</v>
      </c>
      <c r="B99" s="7">
        <v>4017</v>
      </c>
      <c r="C99" s="28" t="s">
        <v>59</v>
      </c>
      <c r="D99" s="28" t="s">
        <v>341</v>
      </c>
      <c r="E99" s="17">
        <v>42561.632453703707</v>
      </c>
      <c r="F99" s="17">
        <v>42561.633761574078</v>
      </c>
      <c r="G99" s="7">
        <v>1</v>
      </c>
      <c r="H99" s="17" t="s">
        <v>562</v>
      </c>
      <c r="I99" s="17">
        <v>42561.662615740737</v>
      </c>
      <c r="J99" s="7">
        <v>0</v>
      </c>
      <c r="K99" s="28" t="str">
        <f t="shared" si="30"/>
        <v>4017/4018</v>
      </c>
      <c r="L99" s="28" t="str">
        <f>VLOOKUP(A99,'Trips&amp;Operators'!$C$1:$E$10000,3,FALSE)</f>
        <v>ARNOLD</v>
      </c>
      <c r="M99" s="6">
        <f t="shared" si="31"/>
        <v>2.8854166659584735E-2</v>
      </c>
      <c r="N99" s="7">
        <f t="shared" si="28"/>
        <v>41.549999989802018</v>
      </c>
      <c r="O99" s="7"/>
      <c r="P99" s="7"/>
      <c r="Q99" s="29"/>
      <c r="R99" s="29"/>
      <c r="S99" s="47">
        <f t="shared" si="32"/>
        <v>1</v>
      </c>
      <c r="T99" s="73" t="str">
        <f t="shared" si="33"/>
        <v>Southbound</v>
      </c>
      <c r="U99" s="109">
        <f>COUNTIFS(Variables!$M$2:$M$19,IF(T99="NorthBound","&gt;=","&lt;=")&amp;Y99,Variables!$M$2:$M$19,IF(T99="NorthBound","&lt;=","&gt;=")&amp;Z99)</f>
        <v>12</v>
      </c>
      <c r="V9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14:10:44-0600',mode:absolute,to:'2016-07-10 16:54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9" s="78" t="str">
        <f t="shared" si="34"/>
        <v>N</v>
      </c>
      <c r="X99" s="104">
        <f t="shared" si="35"/>
        <v>1</v>
      </c>
      <c r="Y99" s="101">
        <f t="shared" si="36"/>
        <v>23.297599999999999</v>
      </c>
      <c r="Z99" s="101">
        <f t="shared" si="37"/>
        <v>6.1899999999999997E-2</v>
      </c>
      <c r="AA99" s="101">
        <f t="shared" si="38"/>
        <v>23.235699999999998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39"/>
        <v>0186-10</v>
      </c>
      <c r="AE99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99" s="79" t="str">
        <f t="shared" si="41"/>
        <v>"C:\Program Files (x86)\AstroGrep\AstroGrep.exe" /spath="C:\Users\stu\Documents\Analysis\2016-02-23 RTDC Observations" /stypes="*4017*20160710*" /stext=" 21:.+((prompt.+disp)|(slice.+state.+chan)|(ment ac)|(system.+state.+chan)|(\|lc)|(penalty)|(\[timeout))" /e /r /s</v>
      </c>
      <c r="AG99" s="1" t="str">
        <f t="shared" si="42"/>
        <v>EC</v>
      </c>
    </row>
    <row r="100" spans="1:33" x14ac:dyDescent="0.25">
      <c r="A100" s="51" t="s">
        <v>563</v>
      </c>
      <c r="B100" s="7">
        <v>4018</v>
      </c>
      <c r="C100" s="28" t="s">
        <v>59</v>
      </c>
      <c r="D100" s="28" t="s">
        <v>473</v>
      </c>
      <c r="E100" s="17">
        <v>42561.601782407408</v>
      </c>
      <c r="F100" s="17">
        <v>42561.60292824074</v>
      </c>
      <c r="G100" s="7">
        <v>1</v>
      </c>
      <c r="H100" s="17" t="s">
        <v>340</v>
      </c>
      <c r="I100" s="17">
        <v>42561.631388888891</v>
      </c>
      <c r="J100" s="7">
        <v>0</v>
      </c>
      <c r="K100" s="28" t="str">
        <f t="shared" si="30"/>
        <v>4017/4018</v>
      </c>
      <c r="L100" s="28" t="str">
        <f>VLOOKUP(A100,'Trips&amp;Operators'!$C$1:$E$10000,3,FALSE)</f>
        <v>ARNOLD</v>
      </c>
      <c r="M100" s="6">
        <f t="shared" si="31"/>
        <v>2.846064815093996E-2</v>
      </c>
      <c r="N100" s="7">
        <f t="shared" si="28"/>
        <v>40.983333337353542</v>
      </c>
      <c r="O100" s="7"/>
      <c r="P100" s="7"/>
      <c r="Q100" s="29"/>
      <c r="R100" s="29"/>
      <c r="S100" s="47">
        <f t="shared" si="32"/>
        <v>1</v>
      </c>
      <c r="T100" s="73" t="str">
        <f t="shared" si="33"/>
        <v>NorthBound</v>
      </c>
      <c r="U100" s="109">
        <f>COUNTIFS(Variables!$M$2:$M$19,IF(T100="NorthBound","&gt;=","&lt;=")&amp;Y100,Variables!$M$2:$M$19,IF(T100="NorthBound","&lt;=","&gt;=")&amp;Z100)</f>
        <v>12</v>
      </c>
      <c r="V10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13:26:34-0600',mode:absolute,to:'2016-07-10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4"/>
        <v>N</v>
      </c>
      <c r="X100" s="104">
        <f t="shared" si="35"/>
        <v>1</v>
      </c>
      <c r="Y100" s="101">
        <f t="shared" si="36"/>
        <v>4.4699999999999997E-2</v>
      </c>
      <c r="Z100" s="101">
        <f t="shared" si="37"/>
        <v>23.329699999999999</v>
      </c>
      <c r="AA100" s="101">
        <f t="shared" si="38"/>
        <v>23.285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39"/>
        <v>0187-10</v>
      </c>
      <c r="AE100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00" s="79" t="str">
        <f t="shared" si="41"/>
        <v>"C:\Program Files (x86)\AstroGrep\AstroGrep.exe" /spath="C:\Users\stu\Documents\Analysis\2016-02-23 RTDC Observations" /stypes="*4018*20160710*" /stext=" 21:.+((prompt.+disp)|(slice.+state.+chan)|(ment ac)|(system.+state.+chan)|(\|lc)|(penalty)|(\[timeout))" /e /r /s</v>
      </c>
      <c r="AG100" s="1" t="str">
        <f t="shared" si="42"/>
        <v>EC</v>
      </c>
    </row>
    <row r="101" spans="1:33" x14ac:dyDescent="0.25">
      <c r="A101" s="51" t="s">
        <v>420</v>
      </c>
      <c r="B101" s="7">
        <v>4032</v>
      </c>
      <c r="C101" s="28" t="s">
        <v>59</v>
      </c>
      <c r="D101" s="28" t="s">
        <v>564</v>
      </c>
      <c r="E101" s="17">
        <v>42561.643750000003</v>
      </c>
      <c r="F101" s="17">
        <v>42561.644513888888</v>
      </c>
      <c r="G101" s="7">
        <v>1</v>
      </c>
      <c r="H101" s="17" t="s">
        <v>331</v>
      </c>
      <c r="I101" s="17">
        <v>42561.671689814815</v>
      </c>
      <c r="J101" s="7">
        <v>1</v>
      </c>
      <c r="K101" s="28" t="str">
        <f t="shared" si="30"/>
        <v>4031/4032</v>
      </c>
      <c r="L101" s="28" t="str">
        <f>VLOOKUP(A101,'Trips&amp;Operators'!$C$1:$E$10000,3,FALSE)</f>
        <v>STEWART</v>
      </c>
      <c r="M101" s="6">
        <f t="shared" si="31"/>
        <v>2.7175925926712807E-2</v>
      </c>
      <c r="N101" s="7">
        <f t="shared" si="28"/>
        <v>39.133333334466442</v>
      </c>
      <c r="O101" s="7"/>
      <c r="P101" s="7"/>
      <c r="Q101" s="29"/>
      <c r="R101" s="29"/>
      <c r="S101" s="47">
        <f t="shared" si="32"/>
        <v>1</v>
      </c>
      <c r="T101" s="73" t="str">
        <f t="shared" si="33"/>
        <v>Southbound</v>
      </c>
      <c r="U101" s="109">
        <f>COUNTIFS(Variables!$M$2:$M$19,IF(T101="NorthBound","&gt;=","&lt;=")&amp;Y101,Variables!$M$2:$M$19,IF(T101="NorthBound","&lt;=","&gt;=")&amp;Z101)</f>
        <v>12</v>
      </c>
      <c r="V10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8" t="str">
        <f t="shared" si="34"/>
        <v>N</v>
      </c>
      <c r="X101" s="104">
        <f t="shared" si="35"/>
        <v>1</v>
      </c>
      <c r="Y101" s="101">
        <f t="shared" si="36"/>
        <v>23.3005</v>
      </c>
      <c r="Z101" s="101">
        <f t="shared" si="37"/>
        <v>1.4999999999999999E-2</v>
      </c>
      <c r="AA101" s="101">
        <f t="shared" si="38"/>
        <v>23.285499999999999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39"/>
        <v>0188-10</v>
      </c>
      <c r="AE101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01" s="79" t="str">
        <f t="shared" si="41"/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AG101" s="1" t="str">
        <f t="shared" si="42"/>
        <v>EC</v>
      </c>
    </row>
    <row r="102" spans="1:33" x14ac:dyDescent="0.25">
      <c r="A102" s="51" t="s">
        <v>565</v>
      </c>
      <c r="B102" s="7">
        <v>4031</v>
      </c>
      <c r="C102" s="28" t="s">
        <v>59</v>
      </c>
      <c r="D102" s="28" t="s">
        <v>66</v>
      </c>
      <c r="E102" s="17">
        <v>42561.61</v>
      </c>
      <c r="F102" s="17">
        <v>42561.611145833333</v>
      </c>
      <c r="G102" s="7">
        <v>1</v>
      </c>
      <c r="H102" s="17" t="s">
        <v>566</v>
      </c>
      <c r="I102" s="17">
        <v>42561.641377314816</v>
      </c>
      <c r="J102" s="7">
        <v>0</v>
      </c>
      <c r="K102" s="28" t="str">
        <f t="shared" si="30"/>
        <v>4031/4032</v>
      </c>
      <c r="L102" s="28" t="str">
        <f>VLOOKUP(A102,'Trips&amp;Operators'!$C$1:$E$10000,3,FALSE)</f>
        <v>STEWART</v>
      </c>
      <c r="M102" s="6">
        <f t="shared" si="31"/>
        <v>3.0231481483497191E-2</v>
      </c>
      <c r="N102" s="7">
        <f t="shared" si="28"/>
        <v>43.533333336235955</v>
      </c>
      <c r="O102" s="7"/>
      <c r="P102" s="7"/>
      <c r="Q102" s="29"/>
      <c r="R102" s="29"/>
      <c r="S102" s="47">
        <f t="shared" si="32"/>
        <v>1</v>
      </c>
      <c r="T102" s="73" t="str">
        <f t="shared" si="33"/>
        <v>NorthBound</v>
      </c>
      <c r="U102" s="109">
        <f>COUNTIFS(Variables!$M$2:$M$19,IF(T102="NorthBound","&gt;=","&lt;=")&amp;Y102,Variables!$M$2:$M$19,IF(T102="NorthBound","&lt;=","&gt;=")&amp;Z102)</f>
        <v>12</v>
      </c>
      <c r="V10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13:38:24-0600',mode:absolute,to:'2016-07-10 16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4"/>
        <v>N</v>
      </c>
      <c r="X102" s="104">
        <f t="shared" si="35"/>
        <v>1</v>
      </c>
      <c r="Y102" s="101">
        <f t="shared" si="36"/>
        <v>4.5999999999999999E-2</v>
      </c>
      <c r="Z102" s="101">
        <f t="shared" si="37"/>
        <v>23.3322</v>
      </c>
      <c r="AA102" s="101">
        <f t="shared" si="38"/>
        <v>23.286200000000001</v>
      </c>
      <c r="AB102" s="98" t="e">
        <f>VLOOKUP(A102,Enforcements!$C$7:$J$23,8,0)</f>
        <v>#N/A</v>
      </c>
      <c r="AC102" s="94" t="e">
        <f>VLOOKUP(A102,Enforcements!$C$7:$E$23,3,0)</f>
        <v>#N/A</v>
      </c>
      <c r="AD102" s="95" t="str">
        <f t="shared" si="39"/>
        <v>0189-10</v>
      </c>
      <c r="AE102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02" s="79" t="str">
        <f t="shared" si="41"/>
        <v>"C:\Program Files (x86)\AstroGrep\AstroGrep.exe" /spath="C:\Users\stu\Documents\Analysis\2016-02-23 RTDC Observations" /stypes="*4031*20160710*" /stext=" 21:.+((prompt.+disp)|(slice.+state.+chan)|(ment ac)|(system.+state.+chan)|(\|lc)|(penalty)|(\[timeout))" /e /r /s</v>
      </c>
      <c r="AG102" s="1" t="str">
        <f t="shared" si="42"/>
        <v>EC</v>
      </c>
    </row>
    <row r="103" spans="1:33" x14ac:dyDescent="0.25">
      <c r="A103" s="51" t="s">
        <v>567</v>
      </c>
      <c r="B103" s="7">
        <v>4030</v>
      </c>
      <c r="C103" s="28" t="s">
        <v>59</v>
      </c>
      <c r="D103" s="28" t="s">
        <v>568</v>
      </c>
      <c r="E103" s="17">
        <v>42561.652569444443</v>
      </c>
      <c r="F103" s="17">
        <v>42561.653252314813</v>
      </c>
      <c r="G103" s="7">
        <v>0</v>
      </c>
      <c r="H103" s="17" t="s">
        <v>318</v>
      </c>
      <c r="I103" s="17">
        <v>42561.680694444447</v>
      </c>
      <c r="J103" s="7">
        <v>0</v>
      </c>
      <c r="K103" s="28" t="str">
        <f t="shared" si="30"/>
        <v>4029/4030</v>
      </c>
      <c r="L103" s="28" t="str">
        <f>VLOOKUP(A103,'Trips&amp;Operators'!$C$1:$E$10000,3,FALSE)</f>
        <v>BARTLETT</v>
      </c>
      <c r="M103" s="6">
        <f t="shared" si="31"/>
        <v>2.7442129634437151E-2</v>
      </c>
      <c r="N103" s="7">
        <f t="shared" si="28"/>
        <v>39.516666673589498</v>
      </c>
      <c r="O103" s="7"/>
      <c r="P103" s="7"/>
      <c r="Q103" s="29"/>
      <c r="R103" s="29"/>
      <c r="S103" s="47">
        <f t="shared" si="32"/>
        <v>1</v>
      </c>
      <c r="T103" s="73" t="str">
        <f t="shared" si="33"/>
        <v>Southbound</v>
      </c>
      <c r="U103" s="109">
        <f>COUNTIFS(Variables!$M$2:$M$19,IF(T103="NorthBound","&gt;=","&lt;=")&amp;Y103,Variables!$M$2:$M$19,IF(T103="NorthBound","&lt;=","&gt;=")&amp;Z103)</f>
        <v>12</v>
      </c>
      <c r="V10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14:39:42-0600',mode:absolute,to:'2016-07-10 17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8" t="str">
        <f t="shared" si="34"/>
        <v>N</v>
      </c>
      <c r="X103" s="104">
        <f t="shared" si="35"/>
        <v>1</v>
      </c>
      <c r="Y103" s="101">
        <f t="shared" si="36"/>
        <v>23.292999999999999</v>
      </c>
      <c r="Z103" s="101">
        <f t="shared" si="37"/>
        <v>1.7399999999999999E-2</v>
      </c>
      <c r="AA103" s="101">
        <f t="shared" si="38"/>
        <v>23.275600000000001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39"/>
        <v>0190-10</v>
      </c>
      <c r="AE103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03" s="79" t="str">
        <f t="shared" si="41"/>
        <v>"C:\Program Files (x86)\AstroGrep\AstroGrep.exe" /spath="C:\Users\stu\Documents\Analysis\2016-02-23 RTDC Observations" /stypes="*4030*20160710*" /stext=" 22:.+((prompt.+disp)|(slice.+state.+chan)|(ment ac)|(system.+state.+chan)|(\|lc)|(penalty)|(\[timeout))" /e /r /s</v>
      </c>
      <c r="AG103" s="1" t="str">
        <f t="shared" si="42"/>
        <v>EC</v>
      </c>
    </row>
    <row r="104" spans="1:33" x14ac:dyDescent="0.25">
      <c r="A104" s="51" t="s">
        <v>422</v>
      </c>
      <c r="B104" s="7">
        <v>4029</v>
      </c>
      <c r="C104" s="28" t="s">
        <v>59</v>
      </c>
      <c r="D104" s="28" t="s">
        <v>185</v>
      </c>
      <c r="E104" s="17">
        <v>42561.615787037037</v>
      </c>
      <c r="F104" s="17">
        <v>42561.61917824074</v>
      </c>
      <c r="G104" s="7">
        <v>4</v>
      </c>
      <c r="H104" s="17" t="s">
        <v>569</v>
      </c>
      <c r="I104" s="17">
        <v>42561.651620370372</v>
      </c>
      <c r="J104" s="7">
        <v>1</v>
      </c>
      <c r="K104" s="28" t="str">
        <f t="shared" si="30"/>
        <v>4029/4030</v>
      </c>
      <c r="L104" s="28" t="str">
        <f>VLOOKUP(A104,'Trips&amp;Operators'!$C$1:$E$10000,3,FALSE)</f>
        <v>BARTLETT</v>
      </c>
      <c r="M104" s="6">
        <f t="shared" si="31"/>
        <v>3.2442129631817807E-2</v>
      </c>
      <c r="N104" s="7">
        <f t="shared" si="28"/>
        <v>46.716666669817641</v>
      </c>
      <c r="O104" s="7"/>
      <c r="P104" s="7"/>
      <c r="Q104" s="29"/>
      <c r="R104" s="29"/>
      <c r="S104" s="47">
        <f t="shared" si="32"/>
        <v>1</v>
      </c>
      <c r="T104" s="73" t="str">
        <f t="shared" si="33"/>
        <v>NorthBound</v>
      </c>
      <c r="U104" s="109">
        <f>COUNTIFS(Variables!$M$2:$M$19,IF(T104="NorthBound","&gt;=","&lt;=")&amp;Y104,Variables!$M$2:$M$19,IF(T104="NorthBound","&lt;=","&gt;=")&amp;Z104)</f>
        <v>12</v>
      </c>
      <c r="V10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78" t="str">
        <f t="shared" si="34"/>
        <v>N</v>
      </c>
      <c r="X104" s="104">
        <f t="shared" si="35"/>
        <v>1</v>
      </c>
      <c r="Y104" s="101">
        <f t="shared" si="36"/>
        <v>4.58E-2</v>
      </c>
      <c r="Z104" s="101">
        <f t="shared" si="37"/>
        <v>23.324200000000001</v>
      </c>
      <c r="AA104" s="101">
        <f t="shared" si="38"/>
        <v>23.278400000000001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39"/>
        <v>0191-10</v>
      </c>
      <c r="AE104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04" s="79" t="str">
        <f t="shared" si="41"/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AG104" s="1" t="str">
        <f t="shared" si="42"/>
        <v>EC</v>
      </c>
    </row>
    <row r="105" spans="1:33" x14ac:dyDescent="0.25">
      <c r="A105" s="51" t="s">
        <v>424</v>
      </c>
      <c r="B105" s="7">
        <v>4039</v>
      </c>
      <c r="C105" s="28" t="s">
        <v>59</v>
      </c>
      <c r="D105" s="28" t="s">
        <v>570</v>
      </c>
      <c r="E105" s="17">
        <v>42561.662303240744</v>
      </c>
      <c r="F105" s="17">
        <v>42561.663194444445</v>
      </c>
      <c r="G105" s="7">
        <v>1</v>
      </c>
      <c r="H105" s="17" t="s">
        <v>318</v>
      </c>
      <c r="I105" s="17">
        <v>42561.692939814813</v>
      </c>
      <c r="J105" s="7">
        <v>2</v>
      </c>
      <c r="K105" s="28" t="str">
        <f t="shared" si="30"/>
        <v>4039/4040</v>
      </c>
      <c r="L105" s="28" t="str">
        <f>VLOOKUP(A105,'Trips&amp;Operators'!$C$1:$E$10000,3,FALSE)</f>
        <v>STORY</v>
      </c>
      <c r="M105" s="6">
        <f t="shared" si="31"/>
        <v>2.9745370367891155E-2</v>
      </c>
      <c r="N105" s="7">
        <f t="shared" si="28"/>
        <v>42.833333329763263</v>
      </c>
      <c r="O105" s="7"/>
      <c r="P105" s="7"/>
      <c r="Q105" s="29"/>
      <c r="R105" s="29"/>
      <c r="S105" s="47">
        <f t="shared" si="32"/>
        <v>1</v>
      </c>
      <c r="T105" s="73" t="str">
        <f t="shared" si="33"/>
        <v>Southbound</v>
      </c>
      <c r="U105" s="109">
        <f>COUNTIFS(Variables!$M$2:$M$19,IF(T105="NorthBound","&gt;=","&lt;=")&amp;Y105,Variables!$M$2:$M$19,IF(T105="NorthBound","&lt;=","&gt;=")&amp;Z105)</f>
        <v>12</v>
      </c>
      <c r="V10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5" s="78" t="str">
        <f t="shared" si="34"/>
        <v>N</v>
      </c>
      <c r="X105" s="104">
        <f t="shared" si="35"/>
        <v>1</v>
      </c>
      <c r="Y105" s="101">
        <f t="shared" si="36"/>
        <v>23.296299999999999</v>
      </c>
      <c r="Z105" s="101">
        <f t="shared" si="37"/>
        <v>1.7399999999999999E-2</v>
      </c>
      <c r="AA105" s="101">
        <f t="shared" si="38"/>
        <v>23.2789</v>
      </c>
      <c r="AB105" s="98">
        <f>VLOOKUP(A105,Enforcements!$C$7:$J$23,8,0)</f>
        <v>190834</v>
      </c>
      <c r="AC105" s="94" t="str">
        <f>VLOOKUP(A105,Enforcements!$C$7:$E$23,3,0)</f>
        <v>PERMANENT SPEED RESTRICTION</v>
      </c>
      <c r="AD105" s="95" t="str">
        <f t="shared" si="39"/>
        <v>0192-10</v>
      </c>
      <c r="AE105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05" s="79" t="str">
        <f t="shared" si="41"/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AG105" s="1" t="str">
        <f t="shared" si="42"/>
        <v>EC</v>
      </c>
    </row>
    <row r="106" spans="1:33" x14ac:dyDescent="0.25">
      <c r="A106" s="51" t="s">
        <v>423</v>
      </c>
      <c r="B106" s="7">
        <v>4040</v>
      </c>
      <c r="C106" s="28" t="s">
        <v>59</v>
      </c>
      <c r="D106" s="28" t="s">
        <v>571</v>
      </c>
      <c r="E106" s="17">
        <v>42561.630891203706</v>
      </c>
      <c r="F106" s="17">
        <v>42561.631886574076</v>
      </c>
      <c r="G106" s="7">
        <v>1</v>
      </c>
      <c r="H106" s="17" t="s">
        <v>323</v>
      </c>
      <c r="I106" s="17">
        <v>42561.66134259259</v>
      </c>
      <c r="J106" s="7">
        <v>2</v>
      </c>
      <c r="K106" s="28" t="str">
        <f t="shared" si="30"/>
        <v>4039/4040</v>
      </c>
      <c r="L106" s="28" t="str">
        <f>VLOOKUP(A106,'Trips&amp;Operators'!$C$1:$E$10000,3,FALSE)</f>
        <v>STORY</v>
      </c>
      <c r="M106" s="6">
        <f t="shared" si="31"/>
        <v>2.9456018513883464E-2</v>
      </c>
      <c r="N106" s="7">
        <f t="shared" si="28"/>
        <v>42.416666659992188</v>
      </c>
      <c r="O106" s="7"/>
      <c r="P106" s="7"/>
      <c r="Q106" s="29"/>
      <c r="R106" s="29"/>
      <c r="S106" s="47">
        <f t="shared" si="32"/>
        <v>1</v>
      </c>
      <c r="T106" s="73" t="str">
        <f t="shared" si="33"/>
        <v>NorthBound</v>
      </c>
      <c r="U106" s="109">
        <f>COUNTIFS(Variables!$M$2:$M$19,IF(T106="NorthBound","&gt;=","&lt;=")&amp;Y106,Variables!$M$2:$M$19,IF(T106="NorthBound","&lt;=","&gt;=")&amp;Z106)</f>
        <v>12</v>
      </c>
      <c r="V10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6" s="78" t="str">
        <f t="shared" si="34"/>
        <v>N</v>
      </c>
      <c r="X106" s="104">
        <f t="shared" si="35"/>
        <v>1</v>
      </c>
      <c r="Y106" s="101">
        <f t="shared" si="36"/>
        <v>4.3099999999999999E-2</v>
      </c>
      <c r="Z106" s="101">
        <f t="shared" si="37"/>
        <v>23.3293</v>
      </c>
      <c r="AA106" s="101">
        <f t="shared" si="38"/>
        <v>23.286200000000001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39"/>
        <v>0193-10</v>
      </c>
      <c r="AE106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06" s="79" t="str">
        <f t="shared" si="41"/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AG106" s="1" t="str">
        <f t="shared" si="42"/>
        <v>EC</v>
      </c>
    </row>
    <row r="107" spans="1:33" x14ac:dyDescent="0.25">
      <c r="A107" s="51" t="s">
        <v>429</v>
      </c>
      <c r="B107" s="7">
        <v>4026</v>
      </c>
      <c r="C107" s="28" t="s">
        <v>59</v>
      </c>
      <c r="D107" s="28" t="s">
        <v>317</v>
      </c>
      <c r="E107" s="17">
        <v>42561.674814814818</v>
      </c>
      <c r="F107" s="17">
        <v>42561.675937499997</v>
      </c>
      <c r="G107" s="7">
        <v>1</v>
      </c>
      <c r="H107" s="17" t="s">
        <v>330</v>
      </c>
      <c r="I107" s="17">
        <v>42561.706273148149</v>
      </c>
      <c r="J107" s="7">
        <v>2</v>
      </c>
      <c r="K107" s="28" t="str">
        <f t="shared" si="30"/>
        <v>4025/4026</v>
      </c>
      <c r="L107" s="28" t="str">
        <f>VLOOKUP(A107,'Trips&amp;Operators'!$C$1:$E$10000,3,FALSE)</f>
        <v>SNYDER</v>
      </c>
      <c r="M107" s="6">
        <f t="shared" si="31"/>
        <v>3.033564815268619E-2</v>
      </c>
      <c r="N107" s="7">
        <f t="shared" si="28"/>
        <v>43.683333339868113</v>
      </c>
      <c r="O107" s="7"/>
      <c r="P107" s="7"/>
      <c r="Q107" s="29"/>
      <c r="R107" s="29"/>
      <c r="S107" s="47">
        <f t="shared" si="32"/>
        <v>1</v>
      </c>
      <c r="T107" s="73" t="str">
        <f t="shared" si="33"/>
        <v>Southbound</v>
      </c>
      <c r="U107" s="109">
        <f>COUNTIFS(Variables!$M$2:$M$19,IF(T107="NorthBound","&gt;=","&lt;=")&amp;Y107,Variables!$M$2:$M$19,IF(T107="NorthBound","&lt;=","&gt;=")&amp;Z107)</f>
        <v>12</v>
      </c>
      <c r="V10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8" t="str">
        <f t="shared" si="34"/>
        <v>N</v>
      </c>
      <c r="X107" s="104">
        <f t="shared" si="35"/>
        <v>1</v>
      </c>
      <c r="Y107" s="101">
        <f t="shared" si="36"/>
        <v>23.2959</v>
      </c>
      <c r="Z107" s="101">
        <f t="shared" si="37"/>
        <v>1.54E-2</v>
      </c>
      <c r="AA107" s="101">
        <f t="shared" si="38"/>
        <v>23.2805</v>
      </c>
      <c r="AB107" s="98">
        <f>VLOOKUP(A107,Enforcements!$C$7:$J$23,8,0)</f>
        <v>4677</v>
      </c>
      <c r="AC107" s="94" t="str">
        <f>VLOOKUP(A107,Enforcements!$C$7:$E$23,3,0)</f>
        <v>PERMANENT SPEED RESTRICTION</v>
      </c>
      <c r="AD107" s="95" t="str">
        <f t="shared" si="39"/>
        <v>0194-10</v>
      </c>
      <c r="AE107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07" s="79" t="str">
        <f t="shared" si="41"/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AG107" s="1" t="str">
        <f t="shared" si="42"/>
        <v>EC</v>
      </c>
    </row>
    <row r="108" spans="1:33" x14ac:dyDescent="0.25">
      <c r="A108" s="51" t="s">
        <v>425</v>
      </c>
      <c r="B108" s="7">
        <v>4025</v>
      </c>
      <c r="C108" s="28" t="s">
        <v>59</v>
      </c>
      <c r="D108" s="28" t="s">
        <v>387</v>
      </c>
      <c r="E108" s="17">
        <v>42561.637442129628</v>
      </c>
      <c r="F108" s="17">
        <v>42561.638657407406</v>
      </c>
      <c r="G108" s="7">
        <v>1</v>
      </c>
      <c r="H108" s="17" t="s">
        <v>560</v>
      </c>
      <c r="I108" s="17">
        <v>42561.672951388886</v>
      </c>
      <c r="J108" s="7">
        <v>1</v>
      </c>
      <c r="K108" s="28" t="str">
        <f t="shared" si="30"/>
        <v>4025/4026</v>
      </c>
      <c r="L108" s="28" t="str">
        <f>VLOOKUP(A108,'Trips&amp;Operators'!$C$1:$E$10000,3,FALSE)</f>
        <v>SNYDER</v>
      </c>
      <c r="M108" s="6">
        <f t="shared" si="31"/>
        <v>3.4293981480004732E-2</v>
      </c>
      <c r="N108" s="7">
        <f t="shared" si="28"/>
        <v>49.383333331206813</v>
      </c>
      <c r="O108" s="7"/>
      <c r="P108" s="7"/>
      <c r="Q108" s="29"/>
      <c r="R108" s="29"/>
      <c r="S108" s="47">
        <f t="shared" si="32"/>
        <v>1</v>
      </c>
      <c r="T108" s="73" t="str">
        <f t="shared" si="33"/>
        <v>NorthBound</v>
      </c>
      <c r="U108" s="109">
        <f>COUNTIFS(Variables!$M$2:$M$19,IF(T108="NorthBound","&gt;=","&lt;=")&amp;Y108,Variables!$M$2:$M$19,IF(T108="NorthBound","&lt;=","&gt;=")&amp;Z108)</f>
        <v>12</v>
      </c>
      <c r="V10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78" t="str">
        <f t="shared" si="34"/>
        <v>N</v>
      </c>
      <c r="X108" s="104">
        <f t="shared" si="35"/>
        <v>1</v>
      </c>
      <c r="Y108" s="101">
        <f t="shared" si="36"/>
        <v>4.7800000000000002E-2</v>
      </c>
      <c r="Z108" s="101">
        <f t="shared" si="37"/>
        <v>23.327200000000001</v>
      </c>
      <c r="AA108" s="101">
        <f t="shared" si="38"/>
        <v>23.279400000000003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39"/>
        <v>0195-10</v>
      </c>
      <c r="AE108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08" s="79" t="str">
        <f t="shared" si="41"/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AG108" s="1" t="str">
        <f t="shared" si="42"/>
        <v>EC</v>
      </c>
    </row>
    <row r="109" spans="1:33" x14ac:dyDescent="0.25">
      <c r="A109" s="51" t="s">
        <v>572</v>
      </c>
      <c r="B109" s="7">
        <v>4020</v>
      </c>
      <c r="C109" s="28" t="s">
        <v>59</v>
      </c>
      <c r="D109" s="28" t="s">
        <v>322</v>
      </c>
      <c r="E109" s="17">
        <v>42561.648761574077</v>
      </c>
      <c r="F109" s="17">
        <v>42561.649745370371</v>
      </c>
      <c r="G109" s="7">
        <v>1</v>
      </c>
      <c r="H109" s="17" t="s">
        <v>356</v>
      </c>
      <c r="I109" s="17">
        <v>42561.684050925927</v>
      </c>
      <c r="J109" s="7">
        <v>0</v>
      </c>
      <c r="K109" s="28" t="str">
        <f t="shared" si="30"/>
        <v>4019/4020</v>
      </c>
      <c r="L109" s="28" t="str">
        <f>VLOOKUP(A109,'Trips&amp;Operators'!$C$1:$E$10000,3,FALSE)</f>
        <v>YOUNG</v>
      </c>
      <c r="M109" s="6">
        <f t="shared" si="31"/>
        <v>3.4305555556784384E-2</v>
      </c>
      <c r="N109" s="7">
        <f t="shared" si="28"/>
        <v>49.400000001769513</v>
      </c>
      <c r="O109" s="7"/>
      <c r="P109" s="7"/>
      <c r="Q109" s="29"/>
      <c r="R109" s="29"/>
      <c r="S109" s="47">
        <f t="shared" si="32"/>
        <v>1</v>
      </c>
      <c r="T109" s="73" t="str">
        <f t="shared" si="33"/>
        <v>NorthBound</v>
      </c>
      <c r="U109" s="109">
        <f>COUNTIFS(Variables!$M$2:$M$19,IF(T109="NorthBound","&gt;=","&lt;=")&amp;Y109,Variables!$M$2:$M$19,IF(T109="NorthBound","&lt;=","&gt;=")&amp;Z109)</f>
        <v>12</v>
      </c>
      <c r="V10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14:34:13-0600',mode:absolute,to:'2016-07-10 17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9" s="78" t="str">
        <f t="shared" si="34"/>
        <v>N</v>
      </c>
      <c r="X109" s="104">
        <f t="shared" si="35"/>
        <v>2</v>
      </c>
      <c r="Y109" s="101">
        <f t="shared" si="36"/>
        <v>4.6899999999999997E-2</v>
      </c>
      <c r="Z109" s="101">
        <f t="shared" si="37"/>
        <v>23.331399999999999</v>
      </c>
      <c r="AA109" s="101">
        <f t="shared" si="38"/>
        <v>23.284499999999998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39"/>
        <v>0197-10</v>
      </c>
      <c r="AE109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09" s="79" t="str">
        <f t="shared" si="41"/>
        <v>"C:\Program Files (x86)\AstroGrep\AstroGrep.exe" /spath="C:\Users\stu\Documents\Analysis\2016-02-23 RTDC Observations" /stypes="*4020*20160710*" /stext=" 22:.+((prompt.+disp)|(slice.+state.+chan)|(ment ac)|(system.+state.+chan)|(\|lc)|(penalty)|(\[timeout))" /e /r /s</v>
      </c>
      <c r="AG109" s="1" t="str">
        <f t="shared" si="42"/>
        <v>EC</v>
      </c>
    </row>
    <row r="110" spans="1:33" x14ac:dyDescent="0.25">
      <c r="A110" s="51" t="s">
        <v>426</v>
      </c>
      <c r="B110" s="7">
        <v>4012</v>
      </c>
      <c r="C110" s="28" t="s">
        <v>59</v>
      </c>
      <c r="D110" s="28" t="s">
        <v>573</v>
      </c>
      <c r="E110" s="17">
        <v>42561.693576388891</v>
      </c>
      <c r="F110" s="17">
        <v>42561.69458333333</v>
      </c>
      <c r="G110" s="7">
        <v>1</v>
      </c>
      <c r="H110" s="17" t="s">
        <v>331</v>
      </c>
      <c r="I110" s="17">
        <v>42561.722905092596</v>
      </c>
      <c r="J110" s="7">
        <v>1</v>
      </c>
      <c r="K110" s="28" t="str">
        <f t="shared" si="30"/>
        <v>4011/4012</v>
      </c>
      <c r="L110" s="28" t="str">
        <f>VLOOKUP(A110,'Trips&amp;Operators'!$C$1:$E$10000,3,FALSE)</f>
        <v>MAYBERRY</v>
      </c>
      <c r="M110" s="6">
        <f t="shared" si="31"/>
        <v>2.8321759265963919E-2</v>
      </c>
      <c r="N110" s="7">
        <f t="shared" si="28"/>
        <v>40.783333342988044</v>
      </c>
      <c r="O110" s="7"/>
      <c r="P110" s="7"/>
      <c r="Q110" s="29"/>
      <c r="R110" s="29"/>
      <c r="S110" s="47">
        <f t="shared" si="32"/>
        <v>1</v>
      </c>
      <c r="T110" s="73" t="str">
        <f t="shared" si="33"/>
        <v>Southbound</v>
      </c>
      <c r="U110" s="109">
        <f>COUNTIFS(Variables!$M$2:$M$19,IF(T110="NorthBound","&gt;=","&lt;=")&amp;Y110,Variables!$M$2:$M$19,IF(T110="NorthBound","&lt;=","&gt;=")&amp;Z110)</f>
        <v>12</v>
      </c>
      <c r="V11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78" t="str">
        <f t="shared" si="34"/>
        <v>N</v>
      </c>
      <c r="X110" s="104">
        <f t="shared" si="35"/>
        <v>1</v>
      </c>
      <c r="Y110" s="101">
        <f t="shared" si="36"/>
        <v>23.2652</v>
      </c>
      <c r="Z110" s="101">
        <f t="shared" si="37"/>
        <v>1.4999999999999999E-2</v>
      </c>
      <c r="AA110" s="101">
        <f t="shared" si="38"/>
        <v>23.2502</v>
      </c>
      <c r="AB110" s="98">
        <f>VLOOKUP(A110,Enforcements!$C$7:$J$23,8,0)</f>
        <v>229055</v>
      </c>
      <c r="AC110" s="94" t="str">
        <f>VLOOKUP(A110,Enforcements!$C$7:$E$23,3,0)</f>
        <v>PERMANENT SPEED RESTRICTION</v>
      </c>
      <c r="AD110" s="95" t="str">
        <f t="shared" si="39"/>
        <v>0198-10</v>
      </c>
      <c r="AE110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10" s="79" t="str">
        <f t="shared" si="41"/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AG110" s="1" t="str">
        <f t="shared" si="42"/>
        <v>EC</v>
      </c>
    </row>
    <row r="111" spans="1:33" x14ac:dyDescent="0.25">
      <c r="A111" s="51" t="s">
        <v>574</v>
      </c>
      <c r="B111" s="7">
        <v>4018</v>
      </c>
      <c r="C111" s="28" t="s">
        <v>59</v>
      </c>
      <c r="D111" s="28" t="s">
        <v>575</v>
      </c>
      <c r="E111" s="17">
        <v>42561.665277777778</v>
      </c>
      <c r="F111" s="17">
        <v>42561.666284722225</v>
      </c>
      <c r="G111" s="7">
        <v>1</v>
      </c>
      <c r="H111" s="17" t="s">
        <v>323</v>
      </c>
      <c r="I111" s="17">
        <v>42561.69226851852</v>
      </c>
      <c r="J111" s="7">
        <v>0</v>
      </c>
      <c r="K111" s="28" t="str">
        <f t="shared" si="30"/>
        <v>4017/4018</v>
      </c>
      <c r="L111" s="28" t="str">
        <f>VLOOKUP(A111,'Trips&amp;Operators'!$C$1:$E$10000,3,FALSE)</f>
        <v>ARNOLD</v>
      </c>
      <c r="M111" s="6">
        <f t="shared" si="31"/>
        <v>2.5983796294895001E-2</v>
      </c>
      <c r="N111" s="7">
        <f t="shared" si="28"/>
        <v>37.416666664648801</v>
      </c>
      <c r="O111" s="7"/>
      <c r="P111" s="7"/>
      <c r="Q111" s="29"/>
      <c r="R111" s="29"/>
      <c r="S111" s="47">
        <f t="shared" si="32"/>
        <v>1</v>
      </c>
      <c r="T111" s="73" t="str">
        <f t="shared" si="33"/>
        <v>NorthBound</v>
      </c>
      <c r="U111" s="109">
        <f>COUNTIFS(Variables!$M$2:$M$19,IF(T111="NorthBound","&gt;=","&lt;=")&amp;Y111,Variables!$M$2:$M$19,IF(T111="NorthBound","&lt;=","&gt;=")&amp;Z111)</f>
        <v>12</v>
      </c>
      <c r="V11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14:58:00-0600',mode:absolute,to:'2016-07-10 17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78" t="str">
        <f t="shared" si="34"/>
        <v>N</v>
      </c>
      <c r="X111" s="104">
        <f t="shared" si="35"/>
        <v>1</v>
      </c>
      <c r="Y111" s="101">
        <f t="shared" si="36"/>
        <v>7.4300000000000005E-2</v>
      </c>
      <c r="Z111" s="101">
        <f t="shared" si="37"/>
        <v>23.3293</v>
      </c>
      <c r="AA111" s="101">
        <f t="shared" si="38"/>
        <v>23.254999999999999</v>
      </c>
      <c r="AB111" s="98" t="e">
        <f>VLOOKUP(A111,Enforcements!$C$7:$J$23,8,0)</f>
        <v>#N/A</v>
      </c>
      <c r="AC111" s="94" t="e">
        <f>VLOOKUP(A111,Enforcements!$C$7:$E$23,3,0)</f>
        <v>#N/A</v>
      </c>
      <c r="AD111" s="95" t="str">
        <f t="shared" si="39"/>
        <v>0199-10</v>
      </c>
      <c r="AE111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11" s="79" t="str">
        <f t="shared" si="41"/>
        <v>"C:\Program Files (x86)\AstroGrep\AstroGrep.exe" /spath="C:\Users\stu\Documents\Analysis\2016-02-23 RTDC Observations" /stypes="*4018*20160710*" /stext=" 22:.+((prompt.+disp)|(slice.+state.+chan)|(ment ac)|(system.+state.+chan)|(\|lc)|(penalty)|(\[timeout))" /e /r /s</v>
      </c>
      <c r="AG111" s="1" t="str">
        <f t="shared" si="42"/>
        <v>EC</v>
      </c>
    </row>
    <row r="112" spans="1:33" x14ac:dyDescent="0.25">
      <c r="A112" s="51" t="s">
        <v>576</v>
      </c>
      <c r="B112" s="7">
        <v>4017</v>
      </c>
      <c r="C112" s="28" t="s">
        <v>59</v>
      </c>
      <c r="D112" s="28" t="s">
        <v>68</v>
      </c>
      <c r="E112" s="17">
        <v>42561.702407407407</v>
      </c>
      <c r="F112" s="17">
        <v>42561.703726851854</v>
      </c>
      <c r="G112" s="7">
        <v>1</v>
      </c>
      <c r="H112" s="17" t="s">
        <v>330</v>
      </c>
      <c r="I112" s="17">
        <v>42561.732094907406</v>
      </c>
      <c r="J112" s="7">
        <v>0</v>
      </c>
      <c r="K112" s="28" t="str">
        <f t="shared" si="30"/>
        <v>4017/4018</v>
      </c>
      <c r="L112" s="28" t="str">
        <f>VLOOKUP(A112,'Trips&amp;Operators'!$C$1:$E$10000,3,FALSE)</f>
        <v>ARNOLD</v>
      </c>
      <c r="M112" s="6">
        <f t="shared" si="31"/>
        <v>2.8368055551254656E-2</v>
      </c>
      <c r="N112" s="7">
        <f t="shared" si="28"/>
        <v>40.849999993806705</v>
      </c>
      <c r="O112" s="7"/>
      <c r="P112" s="7"/>
      <c r="Q112" s="29"/>
      <c r="R112" s="29"/>
      <c r="S112" s="47">
        <f t="shared" si="32"/>
        <v>1</v>
      </c>
      <c r="T112" s="73" t="str">
        <f t="shared" si="33"/>
        <v>Southbound</v>
      </c>
      <c r="U112" s="109">
        <f>COUNTIFS(Variables!$M$2:$M$19,IF(T112="NorthBound","&gt;=","&lt;=")&amp;Y112,Variables!$M$2:$M$19,IF(T112="NorthBound","&lt;=","&gt;=")&amp;Z112)</f>
        <v>12</v>
      </c>
      <c r="V11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15:51:28-0600',mode:absolute,to:'2016-07-10 18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78" t="str">
        <f t="shared" si="34"/>
        <v>N</v>
      </c>
      <c r="X112" s="104">
        <f t="shared" si="35"/>
        <v>1</v>
      </c>
      <c r="Y112" s="101">
        <f t="shared" si="36"/>
        <v>23.297699999999999</v>
      </c>
      <c r="Z112" s="101">
        <f t="shared" si="37"/>
        <v>1.54E-2</v>
      </c>
      <c r="AA112" s="101">
        <f t="shared" si="38"/>
        <v>23.282299999999999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39"/>
        <v>0200-10</v>
      </c>
      <c r="AE112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12" s="79" t="str">
        <f t="shared" si="41"/>
        <v>"C:\Program Files (x86)\AstroGrep\AstroGrep.exe" /spath="C:\Users\stu\Documents\Analysis\2016-02-23 RTDC Observations" /stypes="*4017*20160710*" /stext=" 23:.+((prompt.+disp)|(slice.+state.+chan)|(ment ac)|(system.+state.+chan)|(\|lc)|(penalty)|(\[timeout))" /e /r /s</v>
      </c>
      <c r="AG112" s="1" t="str">
        <f t="shared" si="42"/>
        <v>EC</v>
      </c>
    </row>
    <row r="113" spans="1:33" x14ac:dyDescent="0.25">
      <c r="A113" s="51" t="s">
        <v>428</v>
      </c>
      <c r="B113" s="7">
        <v>4031</v>
      </c>
      <c r="C113" s="28" t="s">
        <v>59</v>
      </c>
      <c r="D113" s="28" t="s">
        <v>473</v>
      </c>
      <c r="E113" s="17">
        <v>42561.675717592596</v>
      </c>
      <c r="F113" s="17">
        <v>42561.676574074074</v>
      </c>
      <c r="G113" s="7">
        <v>1</v>
      </c>
      <c r="H113" s="17" t="s">
        <v>340</v>
      </c>
      <c r="I113" s="17">
        <v>42561.70349537037</v>
      </c>
      <c r="J113" s="7">
        <v>1</v>
      </c>
      <c r="K113" s="28" t="str">
        <f t="shared" si="30"/>
        <v>4031/4032</v>
      </c>
      <c r="L113" s="28" t="str">
        <f>VLOOKUP(A113,'Trips&amp;Operators'!$C$1:$E$10000,3,FALSE)</f>
        <v>STEWART</v>
      </c>
      <c r="M113" s="6">
        <f t="shared" si="31"/>
        <v>2.6921296295768116E-2</v>
      </c>
      <c r="N113" s="7">
        <f t="shared" si="28"/>
        <v>38.766666665906087</v>
      </c>
      <c r="O113" s="7"/>
      <c r="P113" s="7"/>
      <c r="Q113" s="29"/>
      <c r="R113" s="29"/>
      <c r="S113" s="47">
        <f t="shared" si="32"/>
        <v>1</v>
      </c>
      <c r="T113" s="73" t="str">
        <f t="shared" si="33"/>
        <v>NorthBound</v>
      </c>
      <c r="U113" s="109">
        <f>COUNTIFS(Variables!$M$2:$M$19,IF(T113="NorthBound","&gt;=","&lt;=")&amp;Y113,Variables!$M$2:$M$19,IF(T113="NorthBound","&lt;=","&gt;=")&amp;Z113)</f>
        <v>12</v>
      </c>
      <c r="V11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8" t="str">
        <f t="shared" si="34"/>
        <v>N</v>
      </c>
      <c r="X113" s="104">
        <f t="shared" si="35"/>
        <v>1</v>
      </c>
      <c r="Y113" s="101">
        <f t="shared" si="36"/>
        <v>4.4699999999999997E-2</v>
      </c>
      <c r="Z113" s="101">
        <f t="shared" si="37"/>
        <v>23.329699999999999</v>
      </c>
      <c r="AA113" s="101">
        <f t="shared" si="38"/>
        <v>23.285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39"/>
        <v>0201-10</v>
      </c>
      <c r="AE113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13" s="79" t="str">
        <f t="shared" si="41"/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AG113" s="1" t="str">
        <f t="shared" si="42"/>
        <v>EC</v>
      </c>
    </row>
    <row r="114" spans="1:33" x14ac:dyDescent="0.25">
      <c r="A114" s="51" t="s">
        <v>430</v>
      </c>
      <c r="B114" s="7">
        <v>4032</v>
      </c>
      <c r="C114" s="28" t="s">
        <v>59</v>
      </c>
      <c r="D114" s="28" t="s">
        <v>341</v>
      </c>
      <c r="E114" s="17">
        <v>42561.71365740741</v>
      </c>
      <c r="F114" s="17">
        <v>42561.714432870373</v>
      </c>
      <c r="G114" s="7">
        <v>1</v>
      </c>
      <c r="H114" s="17" t="s">
        <v>577</v>
      </c>
      <c r="I114" s="17">
        <v>42561.744537037041</v>
      </c>
      <c r="J114" s="7">
        <v>1</v>
      </c>
      <c r="K114" s="28" t="str">
        <f t="shared" si="30"/>
        <v>4031/4032</v>
      </c>
      <c r="L114" s="28" t="str">
        <f>VLOOKUP(A114,'Trips&amp;Operators'!$C$1:$E$10000,3,FALSE)</f>
        <v>STEWART</v>
      </c>
      <c r="M114" s="6">
        <f t="shared" si="31"/>
        <v>3.0104166668024845E-2</v>
      </c>
      <c r="N114" s="7">
        <f t="shared" si="28"/>
        <v>43.350000001955777</v>
      </c>
      <c r="O114" s="7"/>
      <c r="P114" s="7"/>
      <c r="Q114" s="29"/>
      <c r="R114" s="29"/>
      <c r="S114" s="47">
        <f t="shared" si="32"/>
        <v>1</v>
      </c>
      <c r="T114" s="73" t="str">
        <f t="shared" si="33"/>
        <v>Southbound</v>
      </c>
      <c r="U114" s="109">
        <f>COUNTIFS(Variables!$M$2:$M$19,IF(T114="NorthBound","&gt;=","&lt;=")&amp;Y114,Variables!$M$2:$M$19,IF(T114="NorthBound","&lt;=","&gt;=")&amp;Z114)</f>
        <v>12</v>
      </c>
      <c r="V11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8" t="str">
        <f t="shared" si="34"/>
        <v>N</v>
      </c>
      <c r="X114" s="104">
        <f t="shared" si="35"/>
        <v>1</v>
      </c>
      <c r="Y114" s="101">
        <f t="shared" si="36"/>
        <v>23.297599999999999</v>
      </c>
      <c r="Z114" s="101">
        <f t="shared" si="37"/>
        <v>1.8100000000000002E-2</v>
      </c>
      <c r="AA114" s="101">
        <f t="shared" si="38"/>
        <v>23.279499999999999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39"/>
        <v>0202-10</v>
      </c>
      <c r="AE114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14" s="79" t="str">
        <f t="shared" si="41"/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AG114" s="1" t="str">
        <f t="shared" si="42"/>
        <v>EC</v>
      </c>
    </row>
    <row r="115" spans="1:33" x14ac:dyDescent="0.25">
      <c r="A115" s="51" t="s">
        <v>578</v>
      </c>
      <c r="B115" s="7">
        <v>4029</v>
      </c>
      <c r="C115" s="28" t="s">
        <v>59</v>
      </c>
      <c r="D115" s="28" t="s">
        <v>387</v>
      </c>
      <c r="E115" s="17">
        <v>42561.687743055554</v>
      </c>
      <c r="F115" s="17">
        <v>42561.68855324074</v>
      </c>
      <c r="G115" s="7">
        <v>1</v>
      </c>
      <c r="H115" s="17" t="s">
        <v>579</v>
      </c>
      <c r="I115" s="17">
        <v>42561.714328703703</v>
      </c>
      <c r="J115" s="7">
        <v>0</v>
      </c>
      <c r="K115" s="28" t="str">
        <f t="shared" si="30"/>
        <v>4029/4030</v>
      </c>
      <c r="L115" s="28" t="str">
        <f>VLOOKUP(A115,'Trips&amp;Operators'!$C$1:$E$10000,3,FALSE)</f>
        <v>BARTLETT</v>
      </c>
      <c r="M115" s="6">
        <f t="shared" si="31"/>
        <v>2.5775462963792961E-2</v>
      </c>
      <c r="N115" s="7">
        <f t="shared" si="28"/>
        <v>37.116666667861864</v>
      </c>
      <c r="O115" s="7"/>
      <c r="P115" s="7"/>
      <c r="Q115" s="29"/>
      <c r="R115" s="29"/>
      <c r="S115" s="47">
        <f t="shared" si="32"/>
        <v>1</v>
      </c>
      <c r="T115" s="73" t="str">
        <f t="shared" si="33"/>
        <v>NorthBound</v>
      </c>
      <c r="U115" s="109">
        <f>COUNTIFS(Variables!$M$2:$M$19,IF(T115="NorthBound","&gt;=","&lt;=")&amp;Y115,Variables!$M$2:$M$19,IF(T115="NorthBound","&lt;=","&gt;=")&amp;Z115)</f>
        <v>12</v>
      </c>
      <c r="V11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15:30:21-0600',mode:absolute,to:'2016-07-10 18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5" s="78" t="str">
        <f t="shared" si="34"/>
        <v>N</v>
      </c>
      <c r="X115" s="104">
        <f t="shared" si="35"/>
        <v>1</v>
      </c>
      <c r="Y115" s="101">
        <f t="shared" si="36"/>
        <v>4.7800000000000002E-2</v>
      </c>
      <c r="Z115" s="101">
        <f t="shared" si="37"/>
        <v>23.331099999999999</v>
      </c>
      <c r="AA115" s="101">
        <f t="shared" si="38"/>
        <v>23.283300000000001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39"/>
        <v>0203-10</v>
      </c>
      <c r="AE115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15" s="79" t="str">
        <f t="shared" si="41"/>
        <v>"C:\Program Files (x86)\AstroGrep\AstroGrep.exe" /spath="C:\Users\stu\Documents\Analysis\2016-02-23 RTDC Observations" /stypes="*4029*20160710*" /stext=" 23:.+((prompt.+disp)|(slice.+state.+chan)|(ment ac)|(system.+state.+chan)|(\|lc)|(penalty)|(\[timeout))" /e /r /s</v>
      </c>
      <c r="AG115" s="1" t="str">
        <f t="shared" si="42"/>
        <v>EC</v>
      </c>
    </row>
    <row r="116" spans="1:33" x14ac:dyDescent="0.25">
      <c r="A116" s="51" t="s">
        <v>580</v>
      </c>
      <c r="B116" s="7">
        <v>4030</v>
      </c>
      <c r="C116" s="28" t="s">
        <v>59</v>
      </c>
      <c r="D116" s="28" t="s">
        <v>335</v>
      </c>
      <c r="E116" s="17">
        <v>42561.720266203702</v>
      </c>
      <c r="F116" s="17">
        <v>42561.721203703702</v>
      </c>
      <c r="G116" s="7">
        <v>1</v>
      </c>
      <c r="H116" s="17" t="s">
        <v>82</v>
      </c>
      <c r="I116" s="17">
        <v>42561.75576388889</v>
      </c>
      <c r="J116" s="7">
        <v>0</v>
      </c>
      <c r="K116" s="28" t="str">
        <f t="shared" si="30"/>
        <v>4029/4030</v>
      </c>
      <c r="L116" s="28" t="str">
        <f>VLOOKUP(A116,'Trips&amp;Operators'!$C$1:$E$10000,3,FALSE)</f>
        <v>BARTLETT</v>
      </c>
      <c r="M116" s="6">
        <f t="shared" si="31"/>
        <v>3.4560185187729076E-2</v>
      </c>
      <c r="N116" s="7">
        <f t="shared" si="28"/>
        <v>49.766666670329869</v>
      </c>
      <c r="O116" s="7"/>
      <c r="P116" s="7"/>
      <c r="Q116" s="29"/>
      <c r="R116" s="29"/>
      <c r="S116" s="47">
        <f t="shared" si="32"/>
        <v>1</v>
      </c>
      <c r="T116" s="73" t="str">
        <f t="shared" si="33"/>
        <v>Southbound</v>
      </c>
      <c r="U116" s="109">
        <f>COUNTIFS(Variables!$M$2:$M$19,IF(T116="NorthBound","&gt;=","&lt;=")&amp;Y116,Variables!$M$2:$M$19,IF(T116="NorthBound","&lt;=","&gt;=")&amp;Z116)</f>
        <v>12</v>
      </c>
      <c r="V11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16:17:11-0600',mode:absolute,to:'2016-07-10 19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6" s="78" t="str">
        <f t="shared" si="34"/>
        <v>N</v>
      </c>
      <c r="X116" s="104">
        <f t="shared" si="35"/>
        <v>1</v>
      </c>
      <c r="Y116" s="101">
        <f t="shared" si="36"/>
        <v>23.297799999999999</v>
      </c>
      <c r="Z116" s="101">
        <f t="shared" si="37"/>
        <v>1.5800000000000002E-2</v>
      </c>
      <c r="AA116" s="101">
        <f t="shared" si="38"/>
        <v>23.282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39"/>
        <v>0204-10</v>
      </c>
      <c r="AE116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16" s="79" t="str">
        <f t="shared" si="41"/>
        <v>"C:\Program Files (x86)\AstroGrep\AstroGrep.exe" /spath="C:\Users\stu\Documents\Analysis\2016-02-23 RTDC Observations" /stypes="*4030*20160711*" /stext=" 00:.+((prompt.+disp)|(slice.+state.+chan)|(ment ac)|(system.+state.+chan)|(\|lc)|(penalty)|(\[timeout))" /e /r /s</v>
      </c>
      <c r="AG116" s="1" t="str">
        <f t="shared" si="42"/>
        <v>EC</v>
      </c>
    </row>
    <row r="117" spans="1:33" x14ac:dyDescent="0.25">
      <c r="A117" s="51" t="s">
        <v>427</v>
      </c>
      <c r="B117" s="7">
        <v>4040</v>
      </c>
      <c r="C117" s="28" t="s">
        <v>59</v>
      </c>
      <c r="D117" s="28" t="s">
        <v>581</v>
      </c>
      <c r="E117" s="17">
        <v>42561.69431712963</v>
      </c>
      <c r="F117" s="17">
        <v>42561.695104166669</v>
      </c>
      <c r="G117" s="7">
        <v>1</v>
      </c>
      <c r="H117" s="17" t="s">
        <v>582</v>
      </c>
      <c r="I117" s="17">
        <v>42561.723414351851</v>
      </c>
      <c r="J117" s="7">
        <v>1</v>
      </c>
      <c r="K117" s="28" t="str">
        <f t="shared" si="30"/>
        <v>4039/4040</v>
      </c>
      <c r="L117" s="28" t="str">
        <f>VLOOKUP(A117,'Trips&amp;Operators'!$C$1:$E$10000,3,FALSE)</f>
        <v>STORY</v>
      </c>
      <c r="M117" s="6">
        <f t="shared" si="31"/>
        <v>2.8310185181908309E-2</v>
      </c>
      <c r="N117" s="7">
        <f t="shared" si="28"/>
        <v>40.766666661947966</v>
      </c>
      <c r="O117" s="7"/>
      <c r="P117" s="7"/>
      <c r="Q117" s="29"/>
      <c r="R117" s="29"/>
      <c r="S117" s="47">
        <f t="shared" si="32"/>
        <v>1</v>
      </c>
      <c r="T117" s="73" t="str">
        <f t="shared" si="33"/>
        <v>NorthBound</v>
      </c>
      <c r="U117" s="109">
        <f>COUNTIFS(Variables!$M$2:$M$19,IF(T117="NorthBound","&gt;=","&lt;=")&amp;Y117,Variables!$M$2:$M$19,IF(T117="NorthBound","&lt;=","&gt;=")&amp;Z117)</f>
        <v>12</v>
      </c>
      <c r="V11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7" s="78" t="str">
        <f t="shared" si="34"/>
        <v>N</v>
      </c>
      <c r="X117" s="104">
        <f t="shared" si="35"/>
        <v>1</v>
      </c>
      <c r="Y117" s="101">
        <f t="shared" si="36"/>
        <v>4.3799999999999999E-2</v>
      </c>
      <c r="Z117" s="101">
        <f t="shared" si="37"/>
        <v>23.3323</v>
      </c>
      <c r="AA117" s="101">
        <f t="shared" si="38"/>
        <v>23.288499999999999</v>
      </c>
      <c r="AB117" s="98">
        <f>VLOOKUP(A117,Enforcements!$C$7:$J$23,8,0)</f>
        <v>17867</v>
      </c>
      <c r="AC117" s="94" t="str">
        <f>VLOOKUP(A117,Enforcements!$C$7:$E$23,3,0)</f>
        <v>PERMANENT SPEED RESTRICTION</v>
      </c>
      <c r="AD117" s="95" t="str">
        <f t="shared" si="39"/>
        <v>0205-10</v>
      </c>
      <c r="AE117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17" s="79" t="str">
        <f t="shared" si="41"/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AG117" s="1" t="str">
        <f t="shared" si="42"/>
        <v>EC</v>
      </c>
    </row>
    <row r="118" spans="1:33" x14ac:dyDescent="0.25">
      <c r="A118" s="51" t="s">
        <v>432</v>
      </c>
      <c r="B118" s="7">
        <v>4039</v>
      </c>
      <c r="C118" s="28" t="s">
        <v>59</v>
      </c>
      <c r="D118" s="28" t="s">
        <v>583</v>
      </c>
      <c r="E118" s="17">
        <v>42561.728136574071</v>
      </c>
      <c r="F118" s="17">
        <v>42561.729201388887</v>
      </c>
      <c r="G118" s="7">
        <v>1</v>
      </c>
      <c r="H118" s="17" t="s">
        <v>331</v>
      </c>
      <c r="I118" s="17">
        <v>42561.763865740744</v>
      </c>
      <c r="J118" s="7">
        <v>1</v>
      </c>
      <c r="K118" s="28" t="str">
        <f t="shared" si="30"/>
        <v>4039/4040</v>
      </c>
      <c r="L118" s="28" t="str">
        <f>VLOOKUP(A118,'Trips&amp;Operators'!$C$1:$E$10000,3,FALSE)</f>
        <v>STORY</v>
      </c>
      <c r="M118" s="6">
        <f t="shared" si="31"/>
        <v>3.4664351856918074E-2</v>
      </c>
      <c r="N118" s="7">
        <f t="shared" si="28"/>
        <v>49.916666673962027</v>
      </c>
      <c r="O118" s="7"/>
      <c r="P118" s="7"/>
      <c r="Q118" s="29"/>
      <c r="R118" s="29"/>
      <c r="S118" s="47">
        <f t="shared" si="32"/>
        <v>1</v>
      </c>
      <c r="T118" s="73" t="str">
        <f t="shared" si="33"/>
        <v>Southbound</v>
      </c>
      <c r="U118" s="109">
        <f>COUNTIFS(Variables!$M$2:$M$19,IF(T118="NorthBound","&gt;=","&lt;=")&amp;Y118,Variables!$M$2:$M$19,IF(T118="NorthBound","&lt;=","&gt;=")&amp;Z118)</f>
        <v>12</v>
      </c>
      <c r="V11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8" s="78" t="str">
        <f t="shared" si="34"/>
        <v>N</v>
      </c>
      <c r="X118" s="104">
        <f t="shared" si="35"/>
        <v>1</v>
      </c>
      <c r="Y118" s="101">
        <f t="shared" si="36"/>
        <v>23.3032</v>
      </c>
      <c r="Z118" s="101">
        <f t="shared" si="37"/>
        <v>1.4999999999999999E-2</v>
      </c>
      <c r="AA118" s="101">
        <f t="shared" si="38"/>
        <v>23.2882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39"/>
        <v>0206-10</v>
      </c>
      <c r="AE118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18" s="79" t="str">
        <f t="shared" si="41"/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AG118" s="1" t="str">
        <f t="shared" si="42"/>
        <v>EC</v>
      </c>
    </row>
    <row r="119" spans="1:33" x14ac:dyDescent="0.25">
      <c r="A119" s="51" t="s">
        <v>584</v>
      </c>
      <c r="B119" s="7">
        <v>4025</v>
      </c>
      <c r="C119" s="28" t="s">
        <v>59</v>
      </c>
      <c r="D119" s="28" t="s">
        <v>581</v>
      </c>
      <c r="E119" s="17">
        <v>42561.708356481482</v>
      </c>
      <c r="F119" s="17">
        <v>42561.709351851852</v>
      </c>
      <c r="G119" s="7">
        <v>1</v>
      </c>
      <c r="H119" s="17" t="s">
        <v>560</v>
      </c>
      <c r="I119" s="17">
        <v>42561.737650462965</v>
      </c>
      <c r="J119" s="7">
        <v>0</v>
      </c>
      <c r="K119" s="28" t="str">
        <f t="shared" si="30"/>
        <v>4025/4026</v>
      </c>
      <c r="L119" s="28" t="str">
        <f>VLOOKUP(A119,'Trips&amp;Operators'!$C$1:$E$10000,3,FALSE)</f>
        <v>SNYDER</v>
      </c>
      <c r="M119" s="6">
        <f t="shared" si="31"/>
        <v>2.8298611112404615E-2</v>
      </c>
      <c r="N119" s="7">
        <f t="shared" si="28"/>
        <v>40.750000001862645</v>
      </c>
      <c r="O119" s="7"/>
      <c r="P119" s="7"/>
      <c r="Q119" s="29"/>
      <c r="R119" s="29"/>
      <c r="S119" s="47">
        <f t="shared" si="32"/>
        <v>1</v>
      </c>
      <c r="T119" s="73" t="str">
        <f t="shared" si="33"/>
        <v>NorthBound</v>
      </c>
      <c r="U119" s="109">
        <f>COUNTIFS(Variables!$M$2:$M$19,IF(T119="NorthBound","&gt;=","&lt;=")&amp;Y119,Variables!$M$2:$M$19,IF(T119="NorthBound","&lt;=","&gt;=")&amp;Z119)</f>
        <v>12</v>
      </c>
      <c r="V11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16:00:02-0600',mode:absolute,to:'2016-07-10 18:42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9" s="78" t="str">
        <f t="shared" si="34"/>
        <v>N</v>
      </c>
      <c r="X119" s="104">
        <f t="shared" si="35"/>
        <v>1</v>
      </c>
      <c r="Y119" s="101">
        <f t="shared" si="36"/>
        <v>4.3799999999999999E-2</v>
      </c>
      <c r="Z119" s="101">
        <f t="shared" si="37"/>
        <v>23.327200000000001</v>
      </c>
      <c r="AA119" s="101">
        <f t="shared" si="38"/>
        <v>23.2834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39"/>
        <v>0207-10</v>
      </c>
      <c r="AE119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19" s="79" t="str">
        <f t="shared" si="41"/>
        <v>"C:\Program Files (x86)\AstroGrep\AstroGrep.exe" /spath="C:\Users\stu\Documents\Analysis\2016-02-23 RTDC Observations" /stypes="*4025*20160710*" /stext=" 23:.+((prompt.+disp)|(slice.+state.+chan)|(ment ac)|(system.+state.+chan)|(\|lc)|(penalty)|(\[timeout))" /e /r /s</v>
      </c>
      <c r="AG119" s="1" t="str">
        <f t="shared" si="42"/>
        <v>EC</v>
      </c>
    </row>
    <row r="120" spans="1:33" x14ac:dyDescent="0.25">
      <c r="A120" s="51" t="s">
        <v>431</v>
      </c>
      <c r="B120" s="7">
        <v>4026</v>
      </c>
      <c r="C120" s="28" t="s">
        <v>59</v>
      </c>
      <c r="D120" s="28" t="s">
        <v>317</v>
      </c>
      <c r="E120" s="17">
        <v>42561.743807870371</v>
      </c>
      <c r="F120" s="17">
        <v>42561.744733796295</v>
      </c>
      <c r="G120" s="7">
        <v>1</v>
      </c>
      <c r="H120" s="17" t="s">
        <v>483</v>
      </c>
      <c r="I120" s="17">
        <v>42561.779363425929</v>
      </c>
      <c r="J120" s="7">
        <v>2</v>
      </c>
      <c r="K120" s="28" t="str">
        <f t="shared" si="30"/>
        <v>4025/4026</v>
      </c>
      <c r="L120" s="28" t="str">
        <f>VLOOKUP(A120,'Trips&amp;Operators'!$C$1:$E$10000,3,FALSE)</f>
        <v>SNYDER</v>
      </c>
      <c r="M120" s="6">
        <f t="shared" si="31"/>
        <v>3.4629629633855075E-2</v>
      </c>
      <c r="N120" s="7">
        <f t="shared" si="28"/>
        <v>49.866666672751307</v>
      </c>
      <c r="O120" s="7"/>
      <c r="P120" s="7"/>
      <c r="Q120" s="29"/>
      <c r="R120" s="29"/>
      <c r="S120" s="47">
        <f t="shared" si="32"/>
        <v>1</v>
      </c>
      <c r="T120" s="73" t="str">
        <f t="shared" si="33"/>
        <v>Southbound</v>
      </c>
      <c r="U120" s="109">
        <f>COUNTIFS(Variables!$M$2:$M$19,IF(T120="NorthBound","&gt;=","&lt;=")&amp;Y120,Variables!$M$2:$M$19,IF(T120="NorthBound","&lt;=","&gt;=")&amp;Z120)</f>
        <v>12</v>
      </c>
      <c r="V12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0" s="78" t="str">
        <f t="shared" si="34"/>
        <v>N</v>
      </c>
      <c r="X120" s="104">
        <f t="shared" si="35"/>
        <v>1</v>
      </c>
      <c r="Y120" s="101">
        <f t="shared" si="36"/>
        <v>23.2959</v>
      </c>
      <c r="Z120" s="101">
        <f t="shared" si="37"/>
        <v>1.3599999999999999E-2</v>
      </c>
      <c r="AA120" s="101">
        <f t="shared" si="38"/>
        <v>23.282299999999999</v>
      </c>
      <c r="AB120" s="98">
        <f>VLOOKUP(A120,Enforcements!$C$7:$J$23,8,0)</f>
        <v>30562</v>
      </c>
      <c r="AC120" s="94" t="str">
        <f>VLOOKUP(A120,Enforcements!$C$7:$E$23,3,0)</f>
        <v>PERMANENT SPEED RESTRICTION</v>
      </c>
      <c r="AD120" s="95" t="str">
        <f t="shared" si="39"/>
        <v>0208-10</v>
      </c>
      <c r="AE120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20" s="79" t="str">
        <f t="shared" si="41"/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AG120" s="1" t="str">
        <f t="shared" si="42"/>
        <v>EC</v>
      </c>
    </row>
    <row r="121" spans="1:33" x14ac:dyDescent="0.25">
      <c r="A121" s="51" t="s">
        <v>585</v>
      </c>
      <c r="B121" s="7">
        <v>4020</v>
      </c>
      <c r="C121" s="28" t="s">
        <v>59</v>
      </c>
      <c r="D121" s="28" t="s">
        <v>586</v>
      </c>
      <c r="E121" s="17">
        <v>42561.716585648152</v>
      </c>
      <c r="F121" s="17">
        <v>42561.71738425926</v>
      </c>
      <c r="G121" s="7">
        <v>1</v>
      </c>
      <c r="H121" s="17" t="s">
        <v>587</v>
      </c>
      <c r="I121" s="17">
        <v>42561.74454861111</v>
      </c>
      <c r="J121" s="7">
        <v>0</v>
      </c>
      <c r="K121" s="28" t="str">
        <f t="shared" si="30"/>
        <v>4019/4020</v>
      </c>
      <c r="L121" s="28" t="str">
        <f>VLOOKUP(A121,'Trips&amp;Operators'!$C$1:$E$10000,3,FALSE)</f>
        <v>LEVERE</v>
      </c>
      <c r="M121" s="6">
        <f t="shared" si="31"/>
        <v>2.7164351849933155E-2</v>
      </c>
      <c r="N121" s="7">
        <f t="shared" si="28"/>
        <v>39.116666663903743</v>
      </c>
      <c r="O121" s="7"/>
      <c r="P121" s="7"/>
      <c r="Q121" s="29"/>
      <c r="R121" s="29"/>
      <c r="S121" s="47">
        <f t="shared" si="32"/>
        <v>1</v>
      </c>
      <c r="T121" s="73" t="str">
        <f t="shared" si="33"/>
        <v>NorthBound</v>
      </c>
      <c r="U121" s="109">
        <f>COUNTIFS(Variables!$M$2:$M$19,IF(T121="NorthBound","&gt;=","&lt;=")&amp;Y121,Variables!$M$2:$M$19,IF(T121="NorthBound","&lt;=","&gt;=")&amp;Z121)</f>
        <v>12</v>
      </c>
      <c r="V12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16:11:53-0600',mode:absolute,to:'2016-07-10 18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1" s="78" t="str">
        <f t="shared" si="34"/>
        <v>N</v>
      </c>
      <c r="X121" s="104">
        <f t="shared" si="35"/>
        <v>1</v>
      </c>
      <c r="Y121" s="101">
        <f t="shared" si="36"/>
        <v>4.3299999999999998E-2</v>
      </c>
      <c r="Z121" s="101">
        <f t="shared" si="37"/>
        <v>23.328499999999998</v>
      </c>
      <c r="AA121" s="101">
        <f t="shared" si="38"/>
        <v>23.2852</v>
      </c>
      <c r="AB121" s="98" t="e">
        <f>VLOOKUP(A121,Enforcements!$C$7:$J$23,8,0)</f>
        <v>#N/A</v>
      </c>
      <c r="AC121" s="94" t="e">
        <f>VLOOKUP(A121,Enforcements!$C$7:$E$23,3,0)</f>
        <v>#N/A</v>
      </c>
      <c r="AD121" s="95" t="str">
        <f t="shared" si="39"/>
        <v>0209-10</v>
      </c>
      <c r="AE12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21" s="79" t="str">
        <f t="shared" si="41"/>
        <v>"C:\Program Files (x86)\AstroGrep\AstroGrep.exe" /spath="C:\Users\stu\Documents\Analysis\2016-02-23 RTDC Observations" /stypes="*4020*20160710*" /stext=" 23:.+((prompt.+disp)|(slice.+state.+chan)|(ment ac)|(system.+state.+chan)|(\|lc)|(penalty)|(\[timeout))" /e /r /s</v>
      </c>
      <c r="AG121" s="1" t="str">
        <f t="shared" si="42"/>
        <v>EC</v>
      </c>
    </row>
    <row r="122" spans="1:33" x14ac:dyDescent="0.25">
      <c r="A122" s="51" t="s">
        <v>433</v>
      </c>
      <c r="B122" s="7">
        <v>4019</v>
      </c>
      <c r="C122" s="28" t="s">
        <v>59</v>
      </c>
      <c r="D122" s="28" t="s">
        <v>588</v>
      </c>
      <c r="E122" s="17">
        <v>42561.749062499999</v>
      </c>
      <c r="F122" s="17">
        <v>42561.750115740739</v>
      </c>
      <c r="G122" s="7">
        <v>1</v>
      </c>
      <c r="H122" s="17" t="s">
        <v>373</v>
      </c>
      <c r="I122" s="17">
        <v>42561.783877314818</v>
      </c>
      <c r="J122" s="7">
        <v>1</v>
      </c>
      <c r="K122" s="28" t="str">
        <f t="shared" si="30"/>
        <v>4019/4020</v>
      </c>
      <c r="L122" s="28" t="str">
        <f>VLOOKUP(A122,'Trips&amp;Operators'!$C$1:$E$10000,3,FALSE)</f>
        <v>LEVERE</v>
      </c>
      <c r="M122" s="6">
        <f t="shared" si="31"/>
        <v>3.3761574079107959E-2</v>
      </c>
      <c r="N122" s="7">
        <f t="shared" si="28"/>
        <v>48.616666673915461</v>
      </c>
      <c r="O122" s="7"/>
      <c r="P122" s="7"/>
      <c r="Q122" s="29"/>
      <c r="R122" s="29"/>
      <c r="S122" s="47">
        <f t="shared" si="32"/>
        <v>1</v>
      </c>
      <c r="T122" s="73" t="str">
        <f t="shared" si="33"/>
        <v>Southbound</v>
      </c>
      <c r="U122" s="109">
        <f>COUNTIFS(Variables!$M$2:$M$19,IF(T122="NorthBound","&gt;=","&lt;=")&amp;Y122,Variables!$M$2:$M$19,IF(T122="NorthBound","&lt;=","&gt;=")&amp;Z122)</f>
        <v>12</v>
      </c>
      <c r="V12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2" s="78" t="str">
        <f t="shared" si="34"/>
        <v>N</v>
      </c>
      <c r="X122" s="104">
        <f t="shared" si="35"/>
        <v>1</v>
      </c>
      <c r="Y122" s="101">
        <f t="shared" si="36"/>
        <v>23.297000000000001</v>
      </c>
      <c r="Z122" s="101">
        <f t="shared" si="37"/>
        <v>1.38E-2</v>
      </c>
      <c r="AA122" s="101">
        <f t="shared" si="38"/>
        <v>23.283200000000001</v>
      </c>
      <c r="AB122" s="98" t="e">
        <f>VLOOKUP(A122,Enforcements!$C$7:$J$23,8,0)</f>
        <v>#N/A</v>
      </c>
      <c r="AC122" s="94" t="e">
        <f>VLOOKUP(A122,Enforcements!$C$7:$E$23,3,0)</f>
        <v>#N/A</v>
      </c>
      <c r="AD122" s="95" t="str">
        <f t="shared" si="39"/>
        <v>0210-10</v>
      </c>
      <c r="AE12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22" s="79" t="str">
        <f t="shared" si="41"/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AG122" s="1" t="str">
        <f t="shared" si="42"/>
        <v>EC</v>
      </c>
    </row>
    <row r="123" spans="1:33" x14ac:dyDescent="0.25">
      <c r="A123" s="51" t="s">
        <v>589</v>
      </c>
      <c r="B123" s="7">
        <v>4011</v>
      </c>
      <c r="C123" s="28" t="s">
        <v>59</v>
      </c>
      <c r="D123" s="28" t="s">
        <v>346</v>
      </c>
      <c r="E123" s="17">
        <v>42561.725972222222</v>
      </c>
      <c r="F123" s="17">
        <v>42561.727268518516</v>
      </c>
      <c r="G123" s="7">
        <v>1</v>
      </c>
      <c r="H123" s="17" t="s">
        <v>499</v>
      </c>
      <c r="I123" s="17">
        <v>42561.755300925928</v>
      </c>
      <c r="J123" s="7">
        <v>0</v>
      </c>
      <c r="K123" s="28" t="str">
        <f t="shared" si="30"/>
        <v>4011/4012</v>
      </c>
      <c r="L123" s="28" t="str">
        <f>VLOOKUP(A123,'Trips&amp;Operators'!$C$1:$E$10000,3,FALSE)</f>
        <v>YOUNG</v>
      </c>
      <c r="M123" s="6">
        <f t="shared" si="31"/>
        <v>2.8032407411956228E-2</v>
      </c>
      <c r="N123" s="7">
        <f t="shared" si="28"/>
        <v>40.366666673216969</v>
      </c>
      <c r="O123" s="7"/>
      <c r="P123" s="7"/>
      <c r="Q123" s="29"/>
      <c r="R123" s="29"/>
      <c r="S123" s="47">
        <f t="shared" si="32"/>
        <v>1</v>
      </c>
      <c r="T123" s="73" t="str">
        <f t="shared" si="33"/>
        <v>NorthBound</v>
      </c>
      <c r="U123" s="109">
        <f>COUNTIFS(Variables!$M$2:$M$19,IF(T123="NorthBound","&gt;=","&lt;=")&amp;Y123,Variables!$M$2:$M$19,IF(T123="NorthBound","&lt;=","&gt;=")&amp;Z123)</f>
        <v>12</v>
      </c>
      <c r="V12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16:25:24-0600',mode:absolute,to:'2016-07-10 19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3" s="78" t="str">
        <f t="shared" si="34"/>
        <v>N</v>
      </c>
      <c r="X123" s="104">
        <f t="shared" si="35"/>
        <v>1</v>
      </c>
      <c r="Y123" s="101">
        <f t="shared" si="36"/>
        <v>4.6600000000000003E-2</v>
      </c>
      <c r="Z123" s="101">
        <f t="shared" si="37"/>
        <v>23.331199999999999</v>
      </c>
      <c r="AA123" s="101">
        <f t="shared" si="38"/>
        <v>23.284599999999998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39"/>
        <v>0211-10</v>
      </c>
      <c r="AE123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123" s="79" t="str">
        <f t="shared" si="41"/>
        <v>"C:\Program Files (x86)\AstroGrep\AstroGrep.exe" /spath="C:\Users\stu\Documents\Analysis\2016-02-23 RTDC Observations" /stypes="*4011*20160711*" /stext=" 00:.+((prompt.+disp)|(slice.+state.+chan)|(ment ac)|(system.+state.+chan)|(\|lc)|(penalty)|(\[timeout))" /e /r /s</v>
      </c>
      <c r="AG123" s="1" t="str">
        <f t="shared" si="42"/>
        <v>EC</v>
      </c>
    </row>
    <row r="124" spans="1:33" x14ac:dyDescent="0.25">
      <c r="A124" s="51" t="s">
        <v>435</v>
      </c>
      <c r="B124" s="7">
        <v>4012</v>
      </c>
      <c r="C124" s="28" t="s">
        <v>59</v>
      </c>
      <c r="D124" s="28" t="s">
        <v>383</v>
      </c>
      <c r="E124" s="17">
        <v>42561.759293981479</v>
      </c>
      <c r="F124" s="17">
        <v>42561.760312500002</v>
      </c>
      <c r="G124" s="7">
        <v>1</v>
      </c>
      <c r="H124" s="17" t="s">
        <v>130</v>
      </c>
      <c r="I124" s="17">
        <v>42561.796203703707</v>
      </c>
      <c r="J124" s="7">
        <v>1</v>
      </c>
      <c r="K124" s="28" t="str">
        <f t="shared" si="30"/>
        <v>4011/4012</v>
      </c>
      <c r="L124" s="28" t="str">
        <f>VLOOKUP(A124,'Trips&amp;Operators'!$C$1:$E$10000,3,FALSE)</f>
        <v>YOUNG</v>
      </c>
      <c r="M124" s="6">
        <f t="shared" si="31"/>
        <v>3.5891203704522923E-2</v>
      </c>
      <c r="N124" s="7">
        <f t="shared" si="28"/>
        <v>51.683333334513009</v>
      </c>
      <c r="O124" s="7"/>
      <c r="P124" s="7"/>
      <c r="Q124" s="29"/>
      <c r="R124" s="29"/>
      <c r="S124" s="47">
        <f t="shared" si="32"/>
        <v>1</v>
      </c>
      <c r="T124" s="73" t="str">
        <f t="shared" si="33"/>
        <v>Southbound</v>
      </c>
      <c r="U124" s="109">
        <f>COUNTIFS(Variables!$M$2:$M$19,IF(T124="NorthBound","&gt;=","&lt;=")&amp;Y124,Variables!$M$2:$M$19,IF(T124="NorthBound","&lt;=","&gt;=")&amp;Z124)</f>
        <v>12</v>
      </c>
      <c r="V12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4" s="78" t="str">
        <f t="shared" si="34"/>
        <v>N</v>
      </c>
      <c r="X124" s="104">
        <f t="shared" si="35"/>
        <v>1</v>
      </c>
      <c r="Y124" s="101">
        <f t="shared" si="36"/>
        <v>23.297499999999999</v>
      </c>
      <c r="Z124" s="101">
        <f t="shared" si="37"/>
        <v>1.5599999999999999E-2</v>
      </c>
      <c r="AA124" s="101">
        <f t="shared" si="38"/>
        <v>23.2819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39"/>
        <v>0212-10</v>
      </c>
      <c r="AE124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24" s="79" t="str">
        <f t="shared" si="41"/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AG124" s="1" t="str">
        <f t="shared" si="42"/>
        <v>EC</v>
      </c>
    </row>
    <row r="125" spans="1:33" x14ac:dyDescent="0.25">
      <c r="A125" s="51" t="s">
        <v>590</v>
      </c>
      <c r="B125" s="7">
        <v>4018</v>
      </c>
      <c r="C125" s="28" t="s">
        <v>59</v>
      </c>
      <c r="D125" s="28" t="s">
        <v>66</v>
      </c>
      <c r="E125" s="17">
        <v>42561.734386574077</v>
      </c>
      <c r="F125" s="17">
        <v>42561.735810185186</v>
      </c>
      <c r="G125" s="7">
        <v>2</v>
      </c>
      <c r="H125" s="17" t="s">
        <v>591</v>
      </c>
      <c r="I125" s="17">
        <v>42561.764965277776</v>
      </c>
      <c r="J125" s="7">
        <v>0</v>
      </c>
      <c r="K125" s="28" t="str">
        <f t="shared" si="30"/>
        <v>4017/4018</v>
      </c>
      <c r="L125" s="28" t="str">
        <f>VLOOKUP(A125,'Trips&amp;Operators'!$C$1:$E$10000,3,FALSE)</f>
        <v>COOLAHAN</v>
      </c>
      <c r="M125" s="6">
        <f t="shared" si="31"/>
        <v>2.9155092590372078E-2</v>
      </c>
      <c r="N125" s="7">
        <f t="shared" si="28"/>
        <v>41.983333330135792</v>
      </c>
      <c r="O125" s="7"/>
      <c r="P125" s="7"/>
      <c r="Q125" s="29"/>
      <c r="R125" s="29"/>
      <c r="S125" s="47">
        <f t="shared" si="32"/>
        <v>1</v>
      </c>
      <c r="T125" s="73" t="str">
        <f t="shared" si="33"/>
        <v>NorthBound</v>
      </c>
      <c r="U125" s="109">
        <f>COUNTIFS(Variables!$M$2:$M$19,IF(T125="NorthBound","&gt;=","&lt;=")&amp;Y125,Variables!$M$2:$M$19,IF(T125="NorthBound","&lt;=","&gt;=")&amp;Z125)</f>
        <v>12</v>
      </c>
      <c r="V12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16:37:31-0600',mode:absolute,to:'2016-07-10 19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5" s="78" t="str">
        <f t="shared" si="34"/>
        <v>N</v>
      </c>
      <c r="X125" s="104">
        <f t="shared" si="35"/>
        <v>1</v>
      </c>
      <c r="Y125" s="101">
        <f t="shared" si="36"/>
        <v>4.5999999999999999E-2</v>
      </c>
      <c r="Z125" s="101">
        <f t="shared" si="37"/>
        <v>23.3308</v>
      </c>
      <c r="AA125" s="101">
        <f t="shared" si="38"/>
        <v>23.284800000000001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39"/>
        <v>0213-10</v>
      </c>
      <c r="AE12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25" s="79" t="str">
        <f t="shared" si="41"/>
        <v>"C:\Program Files (x86)\AstroGrep\AstroGrep.exe" /spath="C:\Users\stu\Documents\Analysis\2016-02-23 RTDC Observations" /stypes="*4018*20160711*" /stext=" 00:.+((prompt.+disp)|(slice.+state.+chan)|(ment ac)|(system.+state.+chan)|(\|lc)|(penalty)|(\[timeout))" /e /r /s</v>
      </c>
      <c r="AG125" s="1" t="str">
        <f t="shared" si="42"/>
        <v>EC</v>
      </c>
    </row>
    <row r="126" spans="1:33" x14ac:dyDescent="0.25">
      <c r="A126" s="51" t="s">
        <v>592</v>
      </c>
      <c r="B126" s="7">
        <v>4017</v>
      </c>
      <c r="C126" s="28" t="s">
        <v>59</v>
      </c>
      <c r="D126" s="28" t="s">
        <v>593</v>
      </c>
      <c r="E126" s="17">
        <v>42561.77542824074</v>
      </c>
      <c r="F126" s="17">
        <v>42561.776099537034</v>
      </c>
      <c r="G126" s="7">
        <v>0</v>
      </c>
      <c r="H126" s="17" t="s">
        <v>130</v>
      </c>
      <c r="I126" s="17">
        <v>42561.804166666669</v>
      </c>
      <c r="J126" s="7">
        <v>0</v>
      </c>
      <c r="K126" s="28" t="str">
        <f t="shared" si="30"/>
        <v>4017/4018</v>
      </c>
      <c r="L126" s="28" t="str">
        <f>VLOOKUP(A126,'Trips&amp;Operators'!$C$1:$E$10000,3,FALSE)</f>
        <v>COOLAHAN</v>
      </c>
      <c r="M126" s="6">
        <f t="shared" si="31"/>
        <v>2.8067129635019228E-2</v>
      </c>
      <c r="N126" s="7">
        <f t="shared" si="28"/>
        <v>40.416666674427688</v>
      </c>
      <c r="O126" s="7"/>
      <c r="P126" s="7"/>
      <c r="Q126" s="29"/>
      <c r="R126" s="29"/>
      <c r="S126" s="47">
        <f t="shared" si="32"/>
        <v>1</v>
      </c>
      <c r="T126" s="73" t="str">
        <f t="shared" si="33"/>
        <v>Southbound</v>
      </c>
      <c r="U126" s="109">
        <f>COUNTIFS(Variables!$M$2:$M$19,IF(T126="NorthBound","&gt;=","&lt;=")&amp;Y126,Variables!$M$2:$M$19,IF(T126="NorthBound","&lt;=","&gt;=")&amp;Z126)</f>
        <v>12</v>
      </c>
      <c r="V12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17:36:37-0600',mode:absolute,to:'2016-07-10 20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6" s="78" t="str">
        <f t="shared" si="34"/>
        <v>N</v>
      </c>
      <c r="X126" s="104">
        <f t="shared" si="35"/>
        <v>1</v>
      </c>
      <c r="Y126" s="101">
        <f t="shared" si="36"/>
        <v>23.299099999999999</v>
      </c>
      <c r="Z126" s="101">
        <f t="shared" si="37"/>
        <v>1.5599999999999999E-2</v>
      </c>
      <c r="AA126" s="101">
        <f t="shared" si="38"/>
        <v>23.2835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39"/>
        <v>0214-10</v>
      </c>
      <c r="AE12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26" s="79" t="str">
        <f t="shared" si="41"/>
        <v>"C:\Program Files (x86)\AstroGrep\AstroGrep.exe" /spath="C:\Users\stu\Documents\Analysis\2016-02-23 RTDC Observations" /stypes="*4017*20160711*" /stext=" 01:.+((prompt.+disp)|(slice.+state.+chan)|(ment ac)|(system.+state.+chan)|(\|lc)|(penalty)|(\[timeout))" /e /r /s</v>
      </c>
      <c r="AG126" s="1" t="str">
        <f t="shared" si="42"/>
        <v>EC</v>
      </c>
    </row>
    <row r="127" spans="1:33" x14ac:dyDescent="0.25">
      <c r="A127" s="51" t="s">
        <v>594</v>
      </c>
      <c r="B127" s="7">
        <v>4031</v>
      </c>
      <c r="C127" s="28" t="s">
        <v>59</v>
      </c>
      <c r="D127" s="28" t="s">
        <v>344</v>
      </c>
      <c r="E127" s="17">
        <v>42561.746296296296</v>
      </c>
      <c r="F127" s="17">
        <v>42561.747465277775</v>
      </c>
      <c r="G127" s="7">
        <v>1</v>
      </c>
      <c r="H127" s="17" t="s">
        <v>319</v>
      </c>
      <c r="I127" s="17">
        <v>42561.775185185186</v>
      </c>
      <c r="J127" s="7">
        <v>0</v>
      </c>
      <c r="K127" s="28" t="str">
        <f t="shared" si="30"/>
        <v>4031/4032</v>
      </c>
      <c r="L127" s="28" t="str">
        <f>VLOOKUP(A127,'Trips&amp;Operators'!$C$1:$E$10000,3,FALSE)</f>
        <v>ARNOLD</v>
      </c>
      <c r="M127" s="6">
        <f t="shared" si="31"/>
        <v>2.771990741166519E-2</v>
      </c>
      <c r="N127" s="7">
        <f t="shared" si="28"/>
        <v>39.916666672797874</v>
      </c>
      <c r="O127" s="7"/>
      <c r="P127" s="7"/>
      <c r="Q127" s="29"/>
      <c r="R127" s="29"/>
      <c r="S127" s="47">
        <f t="shared" si="32"/>
        <v>1</v>
      </c>
      <c r="T127" s="73" t="str">
        <f t="shared" si="33"/>
        <v>NorthBound</v>
      </c>
      <c r="U127" s="109">
        <f>COUNTIFS(Variables!$M$2:$M$19,IF(T127="NorthBound","&gt;=","&lt;=")&amp;Y127,Variables!$M$2:$M$19,IF(T127="NorthBound","&lt;=","&gt;=")&amp;Z127)</f>
        <v>12</v>
      </c>
      <c r="V12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16:54:40-0600',mode:absolute,to:'2016-07-10 19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8" t="str">
        <f t="shared" si="34"/>
        <v>N</v>
      </c>
      <c r="X127" s="104">
        <f t="shared" si="35"/>
        <v>1</v>
      </c>
      <c r="Y127" s="101">
        <f t="shared" si="36"/>
        <v>4.6199999999999998E-2</v>
      </c>
      <c r="Z127" s="101">
        <f t="shared" si="37"/>
        <v>23.329899999999999</v>
      </c>
      <c r="AA127" s="101">
        <f t="shared" si="38"/>
        <v>23.2837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39"/>
        <v>0215-10</v>
      </c>
      <c r="AE127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27" s="79" t="str">
        <f t="shared" si="41"/>
        <v>"C:\Program Files (x86)\AstroGrep\AstroGrep.exe" /spath="C:\Users\stu\Documents\Analysis\2016-02-23 RTDC Observations" /stypes="*4031*20160711*" /stext=" 00:.+((prompt.+disp)|(slice.+state.+chan)|(ment ac)|(system.+state.+chan)|(\|lc)|(penalty)|(\[timeout))" /e /r /s</v>
      </c>
      <c r="AG127" s="1" t="str">
        <f t="shared" si="42"/>
        <v>EC</v>
      </c>
    </row>
    <row r="128" spans="1:33" x14ac:dyDescent="0.25">
      <c r="A128" s="51" t="s">
        <v>436</v>
      </c>
      <c r="B128" s="7">
        <v>4032</v>
      </c>
      <c r="C128" s="28" t="s">
        <v>59</v>
      </c>
      <c r="D128" s="28" t="s">
        <v>357</v>
      </c>
      <c r="E128" s="17">
        <v>42561.780613425923</v>
      </c>
      <c r="F128" s="17">
        <v>42561.781770833331</v>
      </c>
      <c r="G128" s="7">
        <v>1</v>
      </c>
      <c r="H128" s="17" t="s">
        <v>595</v>
      </c>
      <c r="I128" s="17">
        <v>42561.81554398148</v>
      </c>
      <c r="J128" s="7">
        <v>1</v>
      </c>
      <c r="K128" s="28" t="str">
        <f t="shared" si="30"/>
        <v>4031/4032</v>
      </c>
      <c r="L128" s="28" t="str">
        <f>VLOOKUP(A128,'Trips&amp;Operators'!$C$1:$E$10000,3,FALSE)</f>
        <v>ARNOLD</v>
      </c>
      <c r="M128" s="6">
        <f t="shared" si="31"/>
        <v>3.3773148148611654E-2</v>
      </c>
      <c r="N128" s="7">
        <f t="shared" si="28"/>
        <v>48.633333334000781</v>
      </c>
      <c r="O128" s="7"/>
      <c r="P128" s="7"/>
      <c r="Q128" s="29"/>
      <c r="R128" s="29"/>
      <c r="S128" s="47">
        <f t="shared" si="32"/>
        <v>1</v>
      </c>
      <c r="T128" s="73" t="str">
        <f t="shared" si="33"/>
        <v>Southbound</v>
      </c>
      <c r="U128" s="109">
        <f>COUNTIFS(Variables!$M$2:$M$19,IF(T128="NorthBound","&gt;=","&lt;=")&amp;Y128,Variables!$M$2:$M$19,IF(T128="NorthBound","&lt;=","&gt;=")&amp;Z128)</f>
        <v>12</v>
      </c>
      <c r="V12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8" s="78" t="str">
        <f t="shared" si="34"/>
        <v>N</v>
      </c>
      <c r="X128" s="104">
        <f t="shared" si="35"/>
        <v>1</v>
      </c>
      <c r="Y128" s="101">
        <f t="shared" si="36"/>
        <v>23.298200000000001</v>
      </c>
      <c r="Z128" s="101">
        <f t="shared" si="37"/>
        <v>3.6200000000000003E-2</v>
      </c>
      <c r="AA128" s="101">
        <f t="shared" si="38"/>
        <v>23.262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39"/>
        <v>0216-10</v>
      </c>
      <c r="AE12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28" s="79" t="str">
        <f t="shared" si="41"/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AG128" s="1" t="str">
        <f t="shared" si="42"/>
        <v>EC</v>
      </c>
    </row>
    <row r="129" spans="1:33" x14ac:dyDescent="0.25">
      <c r="A129" s="51" t="s">
        <v>434</v>
      </c>
      <c r="B129" s="7">
        <v>4029</v>
      </c>
      <c r="C129" s="28" t="s">
        <v>59</v>
      </c>
      <c r="D129" s="28" t="s">
        <v>226</v>
      </c>
      <c r="E129" s="17">
        <v>42561.759120370371</v>
      </c>
      <c r="F129" s="17">
        <v>42561.760069444441</v>
      </c>
      <c r="G129" s="7">
        <v>1</v>
      </c>
      <c r="H129" s="17" t="s">
        <v>333</v>
      </c>
      <c r="I129" s="17">
        <v>42561.785243055558</v>
      </c>
      <c r="J129" s="7">
        <v>1</v>
      </c>
      <c r="K129" s="28" t="str">
        <f t="shared" si="30"/>
        <v>4029/4030</v>
      </c>
      <c r="L129" s="28" t="str">
        <f>VLOOKUP(A129,'Trips&amp;Operators'!$C$1:$E$10000,3,FALSE)</f>
        <v>NEWELL</v>
      </c>
      <c r="M129" s="6">
        <f t="shared" si="31"/>
        <v>2.5173611116770189E-2</v>
      </c>
      <c r="N129" s="7">
        <f t="shared" si="28"/>
        <v>36.250000008149073</v>
      </c>
      <c r="O129" s="7"/>
      <c r="P129" s="7"/>
      <c r="Q129" s="29"/>
      <c r="R129" s="29"/>
      <c r="S129" s="47">
        <f t="shared" si="32"/>
        <v>1</v>
      </c>
      <c r="T129" s="73" t="str">
        <f t="shared" si="33"/>
        <v>NorthBound</v>
      </c>
      <c r="U129" s="109">
        <f>COUNTIFS(Variables!$M$2:$M$19,IF(T129="NorthBound","&gt;=","&lt;=")&amp;Y129,Variables!$M$2:$M$19,IF(T129="NorthBound","&lt;=","&gt;=")&amp;Z129)</f>
        <v>12</v>
      </c>
      <c r="V12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78" t="str">
        <f t="shared" si="34"/>
        <v>N</v>
      </c>
      <c r="X129" s="104">
        <f t="shared" si="35"/>
        <v>1</v>
      </c>
      <c r="Y129" s="101">
        <f t="shared" si="36"/>
        <v>4.6699999999999998E-2</v>
      </c>
      <c r="Z129" s="101">
        <f t="shared" si="37"/>
        <v>23.331700000000001</v>
      </c>
      <c r="AA129" s="101">
        <f t="shared" si="38"/>
        <v>23.285</v>
      </c>
      <c r="AB129" s="98" t="e">
        <f>VLOOKUP(A129,Enforcements!$C$7:$J$23,8,0)</f>
        <v>#N/A</v>
      </c>
      <c r="AC129" s="94" t="e">
        <f>VLOOKUP(A129,Enforcements!$C$7:$E$23,3,0)</f>
        <v>#N/A</v>
      </c>
      <c r="AD129" s="95" t="str">
        <f t="shared" si="39"/>
        <v>0217-10</v>
      </c>
      <c r="AE12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29" s="79" t="str">
        <f t="shared" si="41"/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AG129" s="1" t="str">
        <f t="shared" si="42"/>
        <v>EC</v>
      </c>
    </row>
    <row r="130" spans="1:33" x14ac:dyDescent="0.25">
      <c r="A130" s="51" t="s">
        <v>596</v>
      </c>
      <c r="B130" s="7">
        <v>4030</v>
      </c>
      <c r="C130" s="28" t="s">
        <v>59</v>
      </c>
      <c r="D130" s="28" t="s">
        <v>225</v>
      </c>
      <c r="E130" s="17">
        <v>42561.790196759262</v>
      </c>
      <c r="F130" s="17">
        <v>42561.791215277779</v>
      </c>
      <c r="G130" s="7">
        <v>1</v>
      </c>
      <c r="H130" s="17" t="s">
        <v>373</v>
      </c>
      <c r="I130" s="17">
        <v>42561.824849537035</v>
      </c>
      <c r="J130" s="7">
        <v>0</v>
      </c>
      <c r="K130" s="28" t="str">
        <f t="shared" si="30"/>
        <v>4029/4030</v>
      </c>
      <c r="L130" s="28" t="str">
        <f>VLOOKUP(A130,'Trips&amp;Operators'!$C$1:$E$10000,3,FALSE)</f>
        <v>NEWELL</v>
      </c>
      <c r="M130" s="6">
        <f t="shared" si="31"/>
        <v>3.3634259256359655E-2</v>
      </c>
      <c r="N130" s="7">
        <f t="shared" si="28"/>
        <v>48.433333329157904</v>
      </c>
      <c r="O130" s="7"/>
      <c r="P130" s="7"/>
      <c r="Q130" s="29"/>
      <c r="R130" s="29"/>
      <c r="S130" s="47">
        <f t="shared" si="32"/>
        <v>1</v>
      </c>
      <c r="T130" s="73" t="str">
        <f t="shared" si="33"/>
        <v>Southbound</v>
      </c>
      <c r="U130" s="109">
        <f>COUNTIFS(Variables!$M$2:$M$19,IF(T130="NorthBound","&gt;=","&lt;=")&amp;Y130,Variables!$M$2:$M$19,IF(T130="NorthBound","&lt;=","&gt;=")&amp;Z130)</f>
        <v>12</v>
      </c>
      <c r="V13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17:57:53-0600',mode:absolute,to:'2016-07-10 20:47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78" t="str">
        <f t="shared" si="34"/>
        <v>N</v>
      </c>
      <c r="X130" s="104">
        <f t="shared" si="35"/>
        <v>1</v>
      </c>
      <c r="Y130" s="101">
        <f t="shared" si="36"/>
        <v>23.299600000000002</v>
      </c>
      <c r="Z130" s="101">
        <f t="shared" si="37"/>
        <v>1.38E-2</v>
      </c>
      <c r="AA130" s="101">
        <f t="shared" si="38"/>
        <v>23.285800000000002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39"/>
        <v>0218-10</v>
      </c>
      <c r="AE13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0" s="79" t="str">
        <f t="shared" si="41"/>
        <v>"C:\Program Files (x86)\AstroGrep\AstroGrep.exe" /spath="C:\Users\stu\Documents\Analysis\2016-02-23 RTDC Observations" /stypes="*4030*20160711*" /stext=" 01:.+((prompt.+disp)|(slice.+state.+chan)|(ment ac)|(system.+state.+chan)|(\|lc)|(penalty)|(\[timeout))" /e /r /s</v>
      </c>
      <c r="AG130" s="1" t="str">
        <f t="shared" si="42"/>
        <v>EC</v>
      </c>
    </row>
    <row r="131" spans="1:33" x14ac:dyDescent="0.25">
      <c r="A131" s="51" t="s">
        <v>597</v>
      </c>
      <c r="B131" s="7">
        <v>4040</v>
      </c>
      <c r="C131" s="28" t="s">
        <v>59</v>
      </c>
      <c r="D131" s="28" t="s">
        <v>598</v>
      </c>
      <c r="E131" s="17">
        <v>42561.768113425926</v>
      </c>
      <c r="F131" s="17">
        <v>42561.769432870373</v>
      </c>
      <c r="G131" s="7">
        <v>1</v>
      </c>
      <c r="H131" s="17" t="s">
        <v>244</v>
      </c>
      <c r="I131" s="17">
        <v>42561.796574074076</v>
      </c>
      <c r="J131" s="7">
        <v>0</v>
      </c>
      <c r="K131" s="28" t="str">
        <f t="shared" si="30"/>
        <v>4039/4040</v>
      </c>
      <c r="L131" s="28" t="str">
        <f>VLOOKUP(A131,'Trips&amp;Operators'!$C$1:$E$10000,3,FALSE)</f>
        <v>CHANDLER</v>
      </c>
      <c r="M131" s="6">
        <f t="shared" si="31"/>
        <v>2.7141203703649808E-2</v>
      </c>
      <c r="N131" s="7">
        <f t="shared" si="28"/>
        <v>39.083333333255723</v>
      </c>
      <c r="O131" s="7"/>
      <c r="P131" s="7"/>
      <c r="Q131" s="29"/>
      <c r="R131" s="29"/>
      <c r="S131" s="47">
        <f t="shared" si="32"/>
        <v>1</v>
      </c>
      <c r="T131" s="73" t="str">
        <f t="shared" si="33"/>
        <v>NorthBound</v>
      </c>
      <c r="U131" s="109">
        <f>COUNTIFS(Variables!$M$2:$M$19,IF(T131="NorthBound","&gt;=","&lt;=")&amp;Y131,Variables!$M$2:$M$19,IF(T131="NorthBound","&lt;=","&gt;=")&amp;Z131)</f>
        <v>12</v>
      </c>
      <c r="V13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17:26:05-0600',mode:absolute,to:'2016-07-10 20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8" t="str">
        <f t="shared" si="34"/>
        <v>N</v>
      </c>
      <c r="X131" s="104">
        <f t="shared" si="35"/>
        <v>1</v>
      </c>
      <c r="Y131" s="101">
        <f t="shared" si="36"/>
        <v>4.4200000000000003E-2</v>
      </c>
      <c r="Z131" s="101">
        <f t="shared" si="37"/>
        <v>23.330300000000001</v>
      </c>
      <c r="AA131" s="101">
        <f t="shared" si="38"/>
        <v>23.286100000000001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39"/>
        <v>0219-10</v>
      </c>
      <c r="AE13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1" s="79" t="str">
        <f t="shared" si="41"/>
        <v>"C:\Program Files (x86)\AstroGrep\AstroGrep.exe" /spath="C:\Users\stu\Documents\Analysis\2016-02-23 RTDC Observations" /stypes="*4040*20160711*" /stext=" 01:.+((prompt.+disp)|(slice.+state.+chan)|(ment ac)|(system.+state.+chan)|(\|lc)|(penalty)|(\[timeout))" /e /r /s</v>
      </c>
      <c r="AG131" s="1" t="str">
        <f t="shared" si="42"/>
        <v>EC</v>
      </c>
    </row>
    <row r="132" spans="1:33" x14ac:dyDescent="0.25">
      <c r="A132" s="51" t="s">
        <v>599</v>
      </c>
      <c r="B132" s="7">
        <v>4039</v>
      </c>
      <c r="C132" s="28" t="s">
        <v>59</v>
      </c>
      <c r="D132" s="28" t="s">
        <v>343</v>
      </c>
      <c r="E132" s="17">
        <v>42561.80736111111</v>
      </c>
      <c r="F132" s="17">
        <v>42561.808622685188</v>
      </c>
      <c r="G132" s="7">
        <v>1</v>
      </c>
      <c r="H132" s="17" t="s">
        <v>330</v>
      </c>
      <c r="I132" s="17">
        <v>42561.837002314816</v>
      </c>
      <c r="J132" s="7">
        <v>0</v>
      </c>
      <c r="K132" s="28" t="str">
        <f t="shared" si="30"/>
        <v>4039/4040</v>
      </c>
      <c r="L132" s="28" t="str">
        <f>VLOOKUP(A132,'Trips&amp;Operators'!$C$1:$E$10000,3,FALSE)</f>
        <v>CHANDLER</v>
      </c>
      <c r="M132" s="6">
        <f t="shared" si="31"/>
        <v>2.8379629628034309E-2</v>
      </c>
      <c r="N132" s="7">
        <f t="shared" si="28"/>
        <v>40.866666664369404</v>
      </c>
      <c r="O132" s="7"/>
      <c r="P132" s="7"/>
      <c r="Q132" s="29"/>
      <c r="R132" s="29"/>
      <c r="S132" s="47">
        <f t="shared" si="32"/>
        <v>1</v>
      </c>
      <c r="T132" s="73" t="str">
        <f t="shared" si="33"/>
        <v>Southbound</v>
      </c>
      <c r="U132" s="109">
        <f>COUNTIFS(Variables!$M$2:$M$19,IF(T132="NorthBound","&gt;=","&lt;=")&amp;Y132,Variables!$M$2:$M$19,IF(T132="NorthBound","&lt;=","&gt;=")&amp;Z132)</f>
        <v>12</v>
      </c>
      <c r="V13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18:22:36-0600',mode:absolute,to:'2016-07-10 21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8" t="str">
        <f t="shared" si="34"/>
        <v>N</v>
      </c>
      <c r="X132" s="104">
        <f t="shared" si="35"/>
        <v>1</v>
      </c>
      <c r="Y132" s="101">
        <f t="shared" si="36"/>
        <v>23.2986</v>
      </c>
      <c r="Z132" s="101">
        <f t="shared" si="37"/>
        <v>1.54E-2</v>
      </c>
      <c r="AA132" s="101">
        <f t="shared" si="38"/>
        <v>23.283200000000001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39"/>
        <v>0220-10</v>
      </c>
      <c r="AE13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32" s="79" t="str">
        <f t="shared" si="41"/>
        <v>"C:\Program Files (x86)\AstroGrep\AstroGrep.exe" /spath="C:\Users\stu\Documents\Analysis\2016-02-23 RTDC Observations" /stypes="*4039*20160711*" /stext=" 02:.+((prompt.+disp)|(slice.+state.+chan)|(ment ac)|(system.+state.+chan)|(\|lc)|(penalty)|(\[timeout))" /e /r /s</v>
      </c>
      <c r="AG132" s="1" t="str">
        <f t="shared" si="42"/>
        <v>EC</v>
      </c>
    </row>
    <row r="133" spans="1:33" x14ac:dyDescent="0.25">
      <c r="A133" s="51" t="s">
        <v>600</v>
      </c>
      <c r="B133" s="7">
        <v>4020</v>
      </c>
      <c r="C133" s="28" t="s">
        <v>59</v>
      </c>
      <c r="D133" s="28" t="s">
        <v>381</v>
      </c>
      <c r="E133" s="17">
        <v>42561.78634259259</v>
      </c>
      <c r="F133" s="17">
        <v>42561.787164351852</v>
      </c>
      <c r="G133" s="7">
        <v>1</v>
      </c>
      <c r="H133" s="17" t="s">
        <v>337</v>
      </c>
      <c r="I133" s="17">
        <v>42561.816562499997</v>
      </c>
      <c r="J133" s="7">
        <v>0</v>
      </c>
      <c r="K133" s="28" t="str">
        <f t="shared" si="30"/>
        <v>4019/4020</v>
      </c>
      <c r="L133" s="28" t="str">
        <f>VLOOKUP(A133,'Trips&amp;Operators'!$C$1:$E$10000,3,FALSE)</f>
        <v>LEVERE</v>
      </c>
      <c r="M133" s="6">
        <f t="shared" si="31"/>
        <v>2.9398148144537117E-2</v>
      </c>
      <c r="N133" s="7">
        <f t="shared" si="28"/>
        <v>42.333333328133449</v>
      </c>
      <c r="O133" s="7"/>
      <c r="P133" s="7"/>
      <c r="Q133" s="29"/>
      <c r="R133" s="29"/>
      <c r="S133" s="47">
        <f t="shared" si="32"/>
        <v>1</v>
      </c>
      <c r="T133" s="73" t="str">
        <f t="shared" si="33"/>
        <v>NorthBound</v>
      </c>
      <c r="U133" s="109">
        <f>COUNTIFS(Variables!$M$2:$M$19,IF(T133="NorthBound","&gt;=","&lt;=")&amp;Y133,Variables!$M$2:$M$19,IF(T133="NorthBound","&lt;=","&gt;=")&amp;Z133)</f>
        <v>12</v>
      </c>
      <c r="V13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17:52:20-0600',mode:absolute,to:'2016-07-10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8" t="str">
        <f t="shared" si="34"/>
        <v>N</v>
      </c>
      <c r="X133" s="104">
        <f t="shared" si="35"/>
        <v>1</v>
      </c>
      <c r="Y133" s="101">
        <f t="shared" si="36"/>
        <v>4.3999999999999997E-2</v>
      </c>
      <c r="Z133" s="101">
        <f t="shared" si="37"/>
        <v>23.329499999999999</v>
      </c>
      <c r="AA133" s="101">
        <f t="shared" si="38"/>
        <v>23.285499999999999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39"/>
        <v>0221-10</v>
      </c>
      <c r="AE133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3" s="79" t="str">
        <f t="shared" si="41"/>
        <v>"C:\Program Files (x86)\AstroGrep\AstroGrep.exe" /spath="C:\Users\stu\Documents\Analysis\2016-02-23 RTDC Observations" /stypes="*4020*20160711*" /stext=" 01:.+((prompt.+disp)|(slice.+state.+chan)|(ment ac)|(system.+state.+chan)|(\|lc)|(penalty)|(\[timeout))" /e /r /s</v>
      </c>
      <c r="AG133" s="1" t="str">
        <f t="shared" si="42"/>
        <v>EC</v>
      </c>
    </row>
    <row r="134" spans="1:33" x14ac:dyDescent="0.25">
      <c r="A134" s="51" t="s">
        <v>601</v>
      </c>
      <c r="B134" s="7">
        <v>4019</v>
      </c>
      <c r="C134" s="28" t="s">
        <v>59</v>
      </c>
      <c r="D134" s="28" t="s">
        <v>341</v>
      </c>
      <c r="E134" s="17">
        <v>42561.822164351855</v>
      </c>
      <c r="F134" s="17">
        <v>42561.823067129626</v>
      </c>
      <c r="G134" s="7">
        <v>1</v>
      </c>
      <c r="H134" s="17" t="s">
        <v>351</v>
      </c>
      <c r="I134" s="17">
        <v>42561.85664351852</v>
      </c>
      <c r="J134" s="7">
        <v>0</v>
      </c>
      <c r="K134" s="28" t="str">
        <f t="shared" si="30"/>
        <v>4019/4020</v>
      </c>
      <c r="L134" s="28" t="str">
        <f>VLOOKUP(A134,'Trips&amp;Operators'!$C$1:$E$10000,3,FALSE)</f>
        <v>LEVERE</v>
      </c>
      <c r="M134" s="6">
        <f t="shared" si="31"/>
        <v>3.3576388894289266E-2</v>
      </c>
      <c r="N134" s="7">
        <f t="shared" si="28"/>
        <v>48.350000007776543</v>
      </c>
      <c r="O134" s="7"/>
      <c r="P134" s="7"/>
      <c r="Q134" s="29"/>
      <c r="R134" s="29"/>
      <c r="S134" s="47">
        <f t="shared" si="32"/>
        <v>1</v>
      </c>
      <c r="T134" s="73" t="str">
        <f t="shared" si="33"/>
        <v>Southbound</v>
      </c>
      <c r="U134" s="109">
        <f>COUNTIFS(Variables!$M$2:$M$19,IF(T134="NorthBound","&gt;=","&lt;=")&amp;Y134,Variables!$M$2:$M$19,IF(T134="NorthBound","&lt;=","&gt;=")&amp;Z134)</f>
        <v>12</v>
      </c>
      <c r="V13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18:43:55-0600',mode:absolute,to:'2016-07-10 21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8" t="str">
        <f t="shared" si="34"/>
        <v>N</v>
      </c>
      <c r="X134" s="104">
        <f t="shared" si="35"/>
        <v>1</v>
      </c>
      <c r="Y134" s="101">
        <f t="shared" si="36"/>
        <v>23.297599999999999</v>
      </c>
      <c r="Z134" s="101">
        <f t="shared" si="37"/>
        <v>1.47E-2</v>
      </c>
      <c r="AA134" s="101">
        <f t="shared" si="38"/>
        <v>23.282899999999998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39"/>
        <v>0222-10</v>
      </c>
      <c r="AE134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34" s="79" t="str">
        <f t="shared" si="41"/>
        <v>"C:\Program Files (x86)\AstroGrep\AstroGrep.exe" /spath="C:\Users\stu\Documents\Analysis\2016-02-23 RTDC Observations" /stypes="*4019*20160711*" /stext=" 02:.+((prompt.+disp)|(slice.+state.+chan)|(ment ac)|(system.+state.+chan)|(\|lc)|(penalty)|(\[timeout))" /e /r /s</v>
      </c>
      <c r="AG134" s="1" t="str">
        <f t="shared" si="42"/>
        <v>EC</v>
      </c>
    </row>
    <row r="135" spans="1:33" s="27" customFormat="1" x14ac:dyDescent="0.25">
      <c r="A135" s="51" t="s">
        <v>602</v>
      </c>
      <c r="B135" s="7">
        <v>4018</v>
      </c>
      <c r="C135" s="28" t="s">
        <v>59</v>
      </c>
      <c r="D135" s="28" t="s">
        <v>603</v>
      </c>
      <c r="E135" s="17">
        <v>42561.808078703703</v>
      </c>
      <c r="F135" s="17">
        <v>42561.810196759259</v>
      </c>
      <c r="G135" s="7">
        <v>3</v>
      </c>
      <c r="H135" s="17" t="s">
        <v>384</v>
      </c>
      <c r="I135" s="17">
        <v>42561.838541666664</v>
      </c>
      <c r="J135" s="7">
        <v>0</v>
      </c>
      <c r="K135" s="28" t="str">
        <f t="shared" si="30"/>
        <v>4017/4018</v>
      </c>
      <c r="L135" s="28" t="str">
        <f>VLOOKUP(A135,'Trips&amp;Operators'!$C$1:$E$10000,3,FALSE)</f>
        <v>COOLAHAN</v>
      </c>
      <c r="M135" s="6">
        <f t="shared" si="31"/>
        <v>2.8344907404971309E-2</v>
      </c>
      <c r="N135" s="7">
        <f t="shared" si="28"/>
        <v>40.816666663158685</v>
      </c>
      <c r="O135" s="7"/>
      <c r="P135" s="7"/>
      <c r="Q135" s="29"/>
      <c r="R135" s="29"/>
      <c r="S135" s="47">
        <f t="shared" si="32"/>
        <v>1</v>
      </c>
      <c r="T135" s="73" t="str">
        <f t="shared" si="33"/>
        <v>NorthBound</v>
      </c>
      <c r="U135" s="109">
        <f>COUNTIFS(Variables!$M$2:$M$19,IF(T135="NorthBound","&gt;=","&lt;=")&amp;Y135,Variables!$M$2:$M$19,IF(T135="NorthBound","&lt;=","&gt;=")&amp;Z135)</f>
        <v>12</v>
      </c>
      <c r="V13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18:23:38-0600',mode:absolute,to:'2016-07-10 21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78" t="str">
        <f t="shared" si="34"/>
        <v>N</v>
      </c>
      <c r="X135" s="104">
        <f t="shared" si="35"/>
        <v>1</v>
      </c>
      <c r="Y135" s="101">
        <f t="shared" si="36"/>
        <v>4.82E-2</v>
      </c>
      <c r="Z135" s="101">
        <f t="shared" si="37"/>
        <v>23.331900000000001</v>
      </c>
      <c r="AA135" s="101">
        <f t="shared" si="38"/>
        <v>23.2837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39"/>
        <v>0223-10</v>
      </c>
      <c r="AE13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35" s="79" t="str">
        <f t="shared" si="41"/>
        <v>"C:\Program Files (x86)\AstroGrep\AstroGrep.exe" /spath="C:\Users\stu\Documents\Analysis\2016-02-23 RTDC Observations" /stypes="*4018*20160711*" /stext=" 02:.+((prompt.+disp)|(slice.+state.+chan)|(ment ac)|(system.+state.+chan)|(\|lc)|(penalty)|(\[timeout))" /e /r /s</v>
      </c>
      <c r="AG135" s="1" t="str">
        <f t="shared" si="42"/>
        <v>EC</v>
      </c>
    </row>
    <row r="136" spans="1:33" x14ac:dyDescent="0.25">
      <c r="A136" s="51" t="s">
        <v>604</v>
      </c>
      <c r="B136" s="7">
        <v>4017</v>
      </c>
      <c r="C136" s="28" t="s">
        <v>59</v>
      </c>
      <c r="D136" s="28" t="s">
        <v>593</v>
      </c>
      <c r="E136" s="17">
        <v>42561.849965277775</v>
      </c>
      <c r="F136" s="17">
        <v>42561.851041666669</v>
      </c>
      <c r="G136" s="7">
        <v>1</v>
      </c>
      <c r="H136" s="17" t="s">
        <v>71</v>
      </c>
      <c r="I136" s="17">
        <v>42561.878680555557</v>
      </c>
      <c r="J136" s="7">
        <v>0</v>
      </c>
      <c r="K136" s="28" t="str">
        <f t="shared" si="30"/>
        <v>4017/4018</v>
      </c>
      <c r="L136" s="28" t="str">
        <f>VLOOKUP(A136,'Trips&amp;Operators'!$C$1:$E$10000,3,FALSE)</f>
        <v>COOLAHAN</v>
      </c>
      <c r="M136" s="6">
        <f t="shared" si="31"/>
        <v>2.7638888888759539E-2</v>
      </c>
      <c r="N136" s="7">
        <f t="shared" si="28"/>
        <v>39.799999999813735</v>
      </c>
      <c r="O136" s="7"/>
      <c r="P136" s="7"/>
      <c r="Q136" s="29"/>
      <c r="R136" s="29"/>
      <c r="S136" s="47">
        <f t="shared" si="32"/>
        <v>1</v>
      </c>
      <c r="T136" s="73" t="str">
        <f t="shared" si="33"/>
        <v>Southbound</v>
      </c>
      <c r="U136" s="109">
        <f>COUNTIFS(Variables!$M$2:$M$19,IF(T136="NorthBound","&gt;=","&lt;=")&amp;Y136,Variables!$M$2:$M$19,IF(T136="NorthBound","&lt;=","&gt;=")&amp;Z136)</f>
        <v>12</v>
      </c>
      <c r="V13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19:23:57-0600',mode:absolute,to:'2016-07-10 22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78" t="str">
        <f t="shared" si="34"/>
        <v>N</v>
      </c>
      <c r="X136" s="104">
        <f t="shared" si="35"/>
        <v>1</v>
      </c>
      <c r="Y136" s="101">
        <f t="shared" si="36"/>
        <v>23.299099999999999</v>
      </c>
      <c r="Z136" s="101">
        <f t="shared" si="37"/>
        <v>1.49E-2</v>
      </c>
      <c r="AA136" s="101">
        <f t="shared" si="38"/>
        <v>23.284199999999998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39"/>
        <v>0224-10</v>
      </c>
      <c r="AE13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36" s="79" t="str">
        <f t="shared" si="41"/>
        <v>"C:\Program Files (x86)\AstroGrep\AstroGrep.exe" /spath="C:\Users\stu\Documents\Analysis\2016-02-23 RTDC Observations" /stypes="*4017*20160711*" /stext=" 03:.+((prompt.+disp)|(slice.+state.+chan)|(ment ac)|(system.+state.+chan)|(\|lc)|(penalty)|(\[timeout))" /e /r /s</v>
      </c>
      <c r="AG136" s="1" t="str">
        <f t="shared" si="42"/>
        <v>EC</v>
      </c>
    </row>
    <row r="137" spans="1:33" s="27" customFormat="1" x14ac:dyDescent="0.25">
      <c r="A137" s="51" t="s">
        <v>437</v>
      </c>
      <c r="B137" s="7">
        <v>4029</v>
      </c>
      <c r="C137" s="28" t="s">
        <v>59</v>
      </c>
      <c r="D137" s="28" t="s">
        <v>277</v>
      </c>
      <c r="E137" s="17">
        <v>42561.828090277777</v>
      </c>
      <c r="F137" s="17">
        <v>42561.829050925924</v>
      </c>
      <c r="G137" s="7">
        <v>1</v>
      </c>
      <c r="H137" s="17" t="s">
        <v>545</v>
      </c>
      <c r="I137" s="17">
        <v>42561.86005787037</v>
      </c>
      <c r="J137" s="7">
        <v>1</v>
      </c>
      <c r="K137" s="28" t="str">
        <f t="shared" si="30"/>
        <v>4029/4030</v>
      </c>
      <c r="L137" s="28" t="str">
        <f>VLOOKUP(A137,'Trips&amp;Operators'!$C$1:$E$10000,3,FALSE)</f>
        <v>NEWELL</v>
      </c>
      <c r="M137" s="6">
        <f t="shared" si="31"/>
        <v>3.1006944445834961E-2</v>
      </c>
      <c r="N137" s="7">
        <f t="shared" si="28"/>
        <v>44.650000002002344</v>
      </c>
      <c r="O137" s="7"/>
      <c r="P137" s="7"/>
      <c r="Q137" s="29"/>
      <c r="R137" s="29"/>
      <c r="S137" s="47">
        <f t="shared" si="32"/>
        <v>1</v>
      </c>
      <c r="T137" s="73" t="str">
        <f t="shared" si="33"/>
        <v>NorthBound</v>
      </c>
      <c r="U137" s="109">
        <f>COUNTIFS(Variables!$M$2:$M$19,IF(T137="NorthBound","&gt;=","&lt;=")&amp;Y137,Variables!$M$2:$M$19,IF(T137="NorthBound","&lt;=","&gt;=")&amp;Z137)</f>
        <v>12</v>
      </c>
      <c r="V13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8" t="str">
        <f t="shared" si="34"/>
        <v>N</v>
      </c>
      <c r="X137" s="104">
        <f t="shared" si="35"/>
        <v>1</v>
      </c>
      <c r="Y137" s="101">
        <f t="shared" si="36"/>
        <v>4.7300000000000002E-2</v>
      </c>
      <c r="Z137" s="101">
        <f t="shared" si="37"/>
        <v>23.331600000000002</v>
      </c>
      <c r="AA137" s="101">
        <f t="shared" si="38"/>
        <v>23.284300000000002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39"/>
        <v>0225-10</v>
      </c>
      <c r="AE137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37" s="79" t="str">
        <f t="shared" si="41"/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AG137" s="1" t="str">
        <f t="shared" si="42"/>
        <v>EC</v>
      </c>
    </row>
    <row r="138" spans="1:33" s="27" customFormat="1" x14ac:dyDescent="0.25">
      <c r="A138" s="51" t="s">
        <v>605</v>
      </c>
      <c r="B138" s="7">
        <v>4030</v>
      </c>
      <c r="C138" s="28" t="s">
        <v>59</v>
      </c>
      <c r="D138" s="28" t="s">
        <v>466</v>
      </c>
      <c r="E138" s="17">
        <v>42561.862847222219</v>
      </c>
      <c r="F138" s="17">
        <v>42561.863796296297</v>
      </c>
      <c r="G138" s="7">
        <v>1</v>
      </c>
      <c r="H138" s="17" t="s">
        <v>130</v>
      </c>
      <c r="I138" s="17">
        <v>42561.897986111115</v>
      </c>
      <c r="J138" s="7">
        <v>0</v>
      </c>
      <c r="K138" s="28" t="str">
        <f t="shared" si="30"/>
        <v>4029/4030</v>
      </c>
      <c r="L138" s="28" t="str">
        <f>VLOOKUP(A138,'Trips&amp;Operators'!$C$1:$E$10000,3,FALSE)</f>
        <v>NEWELL</v>
      </c>
      <c r="M138" s="6">
        <f t="shared" si="31"/>
        <v>3.4189814818091691E-2</v>
      </c>
      <c r="N138" s="7">
        <f t="shared" si="28"/>
        <v>49.233333338052034</v>
      </c>
      <c r="O138" s="7"/>
      <c r="P138" s="7"/>
      <c r="Q138" s="29"/>
      <c r="R138" s="29"/>
      <c r="S138" s="47">
        <f t="shared" si="32"/>
        <v>1</v>
      </c>
      <c r="T138" s="73" t="str">
        <f t="shared" si="33"/>
        <v>Southbound</v>
      </c>
      <c r="U138" s="109">
        <f>COUNTIFS(Variables!$M$2:$M$19,IF(T138="NorthBound","&gt;=","&lt;=")&amp;Y138,Variables!$M$2:$M$19,IF(T138="NorthBound","&lt;=","&gt;=")&amp;Z138)</f>
        <v>12</v>
      </c>
      <c r="V13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19:42:30-0600',mode:absolute,to:'2016-07-10 22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78" t="str">
        <f t="shared" si="34"/>
        <v>N</v>
      </c>
      <c r="X138" s="104">
        <f t="shared" si="35"/>
        <v>1</v>
      </c>
      <c r="Y138" s="101">
        <f t="shared" si="36"/>
        <v>23.298999999999999</v>
      </c>
      <c r="Z138" s="101">
        <f t="shared" si="37"/>
        <v>1.5599999999999999E-2</v>
      </c>
      <c r="AA138" s="101">
        <f t="shared" si="38"/>
        <v>23.2834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39"/>
        <v>0226-10</v>
      </c>
      <c r="AE138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8" s="79" t="str">
        <f t="shared" si="41"/>
        <v>"C:\Program Files (x86)\AstroGrep\AstroGrep.exe" /spath="C:\Users\stu\Documents\Analysis\2016-02-23 RTDC Observations" /stypes="*4030*20160711*" /stext=" 03:.+((prompt.+disp)|(slice.+state.+chan)|(ment ac)|(system.+state.+chan)|(\|lc)|(penalty)|(\[timeout))" /e /r /s</v>
      </c>
      <c r="AG138" s="1" t="str">
        <f t="shared" si="42"/>
        <v>EC</v>
      </c>
    </row>
    <row r="139" spans="1:33" s="27" customFormat="1" x14ac:dyDescent="0.25">
      <c r="A139" s="51" t="s">
        <v>606</v>
      </c>
      <c r="B139" s="7">
        <v>4040</v>
      </c>
      <c r="C139" s="28" t="s">
        <v>59</v>
      </c>
      <c r="D139" s="28" t="s">
        <v>539</v>
      </c>
      <c r="E139" s="17">
        <v>42561.851354166669</v>
      </c>
      <c r="F139" s="17">
        <v>42561.852256944447</v>
      </c>
      <c r="G139" s="7">
        <v>1</v>
      </c>
      <c r="H139" s="17" t="s">
        <v>591</v>
      </c>
      <c r="I139" s="17">
        <v>42561.879953703705</v>
      </c>
      <c r="J139" s="7">
        <v>0</v>
      </c>
      <c r="K139" s="28" t="str">
        <f t="shared" si="30"/>
        <v>4039/4040</v>
      </c>
      <c r="L139" s="28" t="str">
        <f>VLOOKUP(A139,'Trips&amp;Operators'!$C$1:$E$10000,3,FALSE)</f>
        <v>CHANDLER</v>
      </c>
      <c r="M139" s="6">
        <f t="shared" si="31"/>
        <v>2.7696759258105885E-2</v>
      </c>
      <c r="N139" s="7">
        <f t="shared" si="28"/>
        <v>39.883333331672475</v>
      </c>
      <c r="O139" s="7"/>
      <c r="P139" s="7"/>
      <c r="Q139" s="29"/>
      <c r="R139" s="29"/>
      <c r="S139" s="47">
        <f t="shared" si="32"/>
        <v>1</v>
      </c>
      <c r="T139" s="73" t="str">
        <f t="shared" si="33"/>
        <v>NorthBound</v>
      </c>
      <c r="U139" s="109">
        <f>COUNTIFS(Variables!$M$2:$M$19,IF(T139="NorthBound","&gt;=","&lt;=")&amp;Y139,Variables!$M$2:$M$19,IF(T139="NorthBound","&lt;=","&gt;=")&amp;Z139)</f>
        <v>12</v>
      </c>
      <c r="V13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19:25:57-0600',mode:absolute,to:'2016-07-10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78" t="str">
        <f t="shared" si="34"/>
        <v>N</v>
      </c>
      <c r="X139" s="104">
        <f t="shared" si="35"/>
        <v>1</v>
      </c>
      <c r="Y139" s="101">
        <f t="shared" si="36"/>
        <v>4.4400000000000002E-2</v>
      </c>
      <c r="Z139" s="101">
        <f t="shared" si="37"/>
        <v>23.3308</v>
      </c>
      <c r="AA139" s="101">
        <f t="shared" si="38"/>
        <v>23.2864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39"/>
        <v>0227-10</v>
      </c>
      <c r="AE139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9" s="79" t="str">
        <f t="shared" si="41"/>
        <v>"C:\Program Files (x86)\AstroGrep\AstroGrep.exe" /spath="C:\Users\stu\Documents\Analysis\2016-02-23 RTDC Observations" /stypes="*4040*20160711*" /stext=" 03:.+((prompt.+disp)|(slice.+state.+chan)|(ment ac)|(system.+state.+chan)|(\|lc)|(penalty)|(\[timeout))" /e /r /s</v>
      </c>
      <c r="AG139" s="1" t="str">
        <f t="shared" si="42"/>
        <v>EC</v>
      </c>
    </row>
    <row r="140" spans="1:33" s="27" customFormat="1" x14ac:dyDescent="0.25">
      <c r="A140" s="51" t="s">
        <v>439</v>
      </c>
      <c r="B140" s="7">
        <v>4039</v>
      </c>
      <c r="C140" s="28" t="s">
        <v>59</v>
      </c>
      <c r="D140" s="28" t="s">
        <v>514</v>
      </c>
      <c r="E140" s="17">
        <v>42561.890659722223</v>
      </c>
      <c r="F140" s="17">
        <v>42561.891539351855</v>
      </c>
      <c r="G140" s="7">
        <v>1</v>
      </c>
      <c r="H140" s="17" t="s">
        <v>61</v>
      </c>
      <c r="I140" s="17">
        <v>42561.920381944445</v>
      </c>
      <c r="J140" s="7">
        <v>1</v>
      </c>
      <c r="K140" s="28" t="str">
        <f t="shared" si="30"/>
        <v>4039/4040</v>
      </c>
      <c r="L140" s="28" t="str">
        <f>VLOOKUP(A140,'Trips&amp;Operators'!$C$1:$E$10000,3,FALSE)</f>
        <v>CHANDLER</v>
      </c>
      <c r="M140" s="6">
        <f t="shared" si="31"/>
        <v>2.884259259008104E-2</v>
      </c>
      <c r="N140" s="7">
        <f t="shared" si="28"/>
        <v>41.533333329716697</v>
      </c>
      <c r="O140" s="7"/>
      <c r="P140" s="7"/>
      <c r="Q140" s="29"/>
      <c r="R140" s="29"/>
      <c r="S140" s="47">
        <f t="shared" si="32"/>
        <v>1</v>
      </c>
      <c r="T140" s="73" t="str">
        <f t="shared" si="33"/>
        <v>Southbound</v>
      </c>
      <c r="U140" s="109">
        <f>COUNTIFS(Variables!$M$2:$M$19,IF(T140="NorthBound","&gt;=","&lt;=")&amp;Y140,Variables!$M$2:$M$19,IF(T140="NorthBound","&lt;=","&gt;=")&amp;Z140)</f>
        <v>12</v>
      </c>
      <c r="V14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78" t="str">
        <f t="shared" si="34"/>
        <v>N</v>
      </c>
      <c r="X140" s="104">
        <f t="shared" si="35"/>
        <v>1</v>
      </c>
      <c r="Y140" s="101">
        <f t="shared" si="36"/>
        <v>23.299399999999999</v>
      </c>
      <c r="Z140" s="101">
        <f t="shared" si="37"/>
        <v>1.52E-2</v>
      </c>
      <c r="AA140" s="101">
        <f t="shared" si="38"/>
        <v>23.284199999999998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39"/>
        <v>0228-10</v>
      </c>
      <c r="AE140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0" s="79" t="str">
        <f t="shared" si="41"/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AG140" s="1" t="str">
        <f t="shared" si="42"/>
        <v>EC</v>
      </c>
    </row>
    <row r="141" spans="1:33" s="27" customFormat="1" x14ac:dyDescent="0.25">
      <c r="A141" s="51" t="s">
        <v>438</v>
      </c>
      <c r="B141" s="7">
        <v>4020</v>
      </c>
      <c r="C141" s="28" t="s">
        <v>59</v>
      </c>
      <c r="D141" s="28" t="s">
        <v>70</v>
      </c>
      <c r="E141" s="17">
        <v>42561.86681712963</v>
      </c>
      <c r="F141" s="17">
        <v>42561.867696759262</v>
      </c>
      <c r="G141" s="7">
        <v>1</v>
      </c>
      <c r="H141" s="17" t="s">
        <v>607</v>
      </c>
      <c r="I141" s="17">
        <v>42561.901273148149</v>
      </c>
      <c r="J141" s="7">
        <v>1</v>
      </c>
      <c r="K141" s="28" t="str">
        <f t="shared" si="30"/>
        <v>4019/4020</v>
      </c>
      <c r="L141" s="28" t="str">
        <f>VLOOKUP(A141,'Trips&amp;Operators'!$C$1:$E$10000,3,FALSE)</f>
        <v>LEVERE</v>
      </c>
      <c r="M141" s="6">
        <f t="shared" si="31"/>
        <v>3.3576388887013309E-2</v>
      </c>
      <c r="N141" s="7">
        <f t="shared" ref="N141:P156" si="43">24*60*SUM($M141:$M141)</f>
        <v>48.349999997299165</v>
      </c>
      <c r="O141" s="7"/>
      <c r="P141" s="7"/>
      <c r="Q141" s="29"/>
      <c r="R141" s="29"/>
      <c r="S141" s="47">
        <f t="shared" si="32"/>
        <v>1</v>
      </c>
      <c r="T141" s="73" t="str">
        <f t="shared" si="33"/>
        <v>NorthBound</v>
      </c>
      <c r="U141" s="109">
        <f>COUNTIFS(Variables!$M$2:$M$19,IF(T141="NorthBound","&gt;=","&lt;=")&amp;Y141,Variables!$M$2:$M$19,IF(T141="NorthBound","&lt;=","&gt;=")&amp;Z141)</f>
        <v>12</v>
      </c>
      <c r="V14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8" t="str">
        <f t="shared" si="34"/>
        <v>N</v>
      </c>
      <c r="X141" s="104">
        <f t="shared" si="35"/>
        <v>1</v>
      </c>
      <c r="Y141" s="101">
        <f t="shared" si="36"/>
        <v>4.5699999999999998E-2</v>
      </c>
      <c r="Z141" s="101">
        <f t="shared" si="37"/>
        <v>23.3249</v>
      </c>
      <c r="AA141" s="101">
        <f t="shared" si="38"/>
        <v>23.279199999999999</v>
      </c>
      <c r="AB141" s="98" t="e">
        <f>VLOOKUP(A141,Enforcements!$C$7:$J$23,8,0)</f>
        <v>#N/A</v>
      </c>
      <c r="AC141" s="94" t="e">
        <f>VLOOKUP(A141,Enforcements!$C$7:$E$23,3,0)</f>
        <v>#N/A</v>
      </c>
      <c r="AD141" s="95" t="str">
        <f t="shared" si="39"/>
        <v>0229-10</v>
      </c>
      <c r="AE14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1" s="79" t="str">
        <f t="shared" si="41"/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AG141" s="1" t="str">
        <f t="shared" si="42"/>
        <v>EC</v>
      </c>
    </row>
    <row r="142" spans="1:33" s="27" customFormat="1" x14ac:dyDescent="0.25">
      <c r="A142" s="51" t="s">
        <v>440</v>
      </c>
      <c r="B142" s="7">
        <v>4019</v>
      </c>
      <c r="C142" s="28" t="s">
        <v>59</v>
      </c>
      <c r="D142" s="28" t="s">
        <v>493</v>
      </c>
      <c r="E142" s="17">
        <v>42561.907071759262</v>
      </c>
      <c r="F142" s="17">
        <v>42561.911180555559</v>
      </c>
      <c r="G142" s="7">
        <v>5</v>
      </c>
      <c r="H142" s="17" t="s">
        <v>61</v>
      </c>
      <c r="I142" s="17">
        <v>42561.940300925926</v>
      </c>
      <c r="J142" s="7">
        <v>1</v>
      </c>
      <c r="K142" s="28" t="str">
        <f t="shared" si="30"/>
        <v>4019/4020</v>
      </c>
      <c r="L142" s="28" t="str">
        <f>VLOOKUP(A142,'Trips&amp;Operators'!$C$1:$E$10000,3,FALSE)</f>
        <v>LEVERE</v>
      </c>
      <c r="M142" s="6">
        <f t="shared" si="31"/>
        <v>2.9120370367309079E-2</v>
      </c>
      <c r="N142" s="7">
        <f t="shared" si="43"/>
        <v>41.933333328925073</v>
      </c>
      <c r="O142" s="7"/>
      <c r="P142" s="7"/>
      <c r="Q142" s="29"/>
      <c r="R142" s="29"/>
      <c r="S142" s="47">
        <f t="shared" si="32"/>
        <v>1</v>
      </c>
      <c r="T142" s="73" t="str">
        <f t="shared" si="33"/>
        <v>Southbound</v>
      </c>
      <c r="U142" s="109">
        <f>COUNTIFS(Variables!$M$2:$M$19,IF(T142="NorthBound","&gt;=","&lt;=")&amp;Y142,Variables!$M$2:$M$19,IF(T142="NorthBound","&lt;=","&gt;=")&amp;Z142)</f>
        <v>12</v>
      </c>
      <c r="V142" s="78" t="str">
        <f t="shared" ref="V142:V156" si="44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8" t="str">
        <f t="shared" si="34"/>
        <v>N</v>
      </c>
      <c r="X142" s="104">
        <f t="shared" si="35"/>
        <v>1</v>
      </c>
      <c r="Y142" s="101">
        <f t="shared" si="36"/>
        <v>23.294599999999999</v>
      </c>
      <c r="Z142" s="101">
        <f t="shared" si="37"/>
        <v>1.52E-2</v>
      </c>
      <c r="AA142" s="101">
        <f t="shared" si="38"/>
        <v>23.279399999999999</v>
      </c>
      <c r="AB142" s="98" t="e">
        <f>VLOOKUP(A142,Enforcements!$C$7:$J$23,8,0)</f>
        <v>#N/A</v>
      </c>
      <c r="AC142" s="94" t="e">
        <f>VLOOKUP(A142,Enforcements!$C$7:$E$23,3,0)</f>
        <v>#N/A</v>
      </c>
      <c r="AD142" s="95" t="str">
        <f t="shared" si="39"/>
        <v>0230-10</v>
      </c>
      <c r="AE14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42" s="79" t="str">
        <f t="shared" si="41"/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AG142" s="1" t="str">
        <f t="shared" si="42"/>
        <v>EC</v>
      </c>
    </row>
    <row r="143" spans="1:33" s="27" customFormat="1" x14ac:dyDescent="0.25">
      <c r="A143" s="51" t="s">
        <v>608</v>
      </c>
      <c r="B143" s="7">
        <v>4018</v>
      </c>
      <c r="C143" s="28" t="s">
        <v>59</v>
      </c>
      <c r="D143" s="28" t="s">
        <v>227</v>
      </c>
      <c r="E143" s="17">
        <v>42561.892511574071</v>
      </c>
      <c r="F143" s="17">
        <v>42561.893900462965</v>
      </c>
      <c r="G143" s="7">
        <v>1</v>
      </c>
      <c r="H143" s="17" t="s">
        <v>356</v>
      </c>
      <c r="I143" s="17">
        <v>42561.921400462961</v>
      </c>
      <c r="J143" s="7">
        <v>0</v>
      </c>
      <c r="K143" s="28" t="str">
        <f t="shared" ref="K143:K156" si="45">IF(ISEVEN(B143),(B143-1)&amp;"/"&amp;B143,B143&amp;"/"&amp;(B143+1))</f>
        <v>4017/4018</v>
      </c>
      <c r="L143" s="28" t="str">
        <f>VLOOKUP(A143,'Trips&amp;Operators'!$C$1:$E$10000,3,FALSE)</f>
        <v>COOLAHAN</v>
      </c>
      <c r="M143" s="6">
        <f t="shared" ref="M143:M156" si="46">I143-F143</f>
        <v>2.749999999650754E-2</v>
      </c>
      <c r="N143" s="7">
        <f t="shared" si="43"/>
        <v>39.599999994970858</v>
      </c>
      <c r="O143" s="7"/>
      <c r="P143" s="7"/>
      <c r="Q143" s="29"/>
      <c r="R143" s="29"/>
      <c r="S143" s="47">
        <f t="shared" ref="S143:S156" si="47">SUM(U143:U143)/12</f>
        <v>1</v>
      </c>
      <c r="T143" s="73" t="str">
        <f t="shared" ref="T143:T156" si="48">IF(ISEVEN(LEFT(A143,3)),"Southbound","NorthBound")</f>
        <v>NorthBound</v>
      </c>
      <c r="U143" s="109">
        <f>COUNTIFS(Variables!$M$2:$M$19,IF(T143="NorthBound","&gt;=","&lt;=")&amp;Y143,Variables!$M$2:$M$19,IF(T143="NorthBound","&lt;=","&gt;=")&amp;Z143)</f>
        <v>12</v>
      </c>
      <c r="V14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20:25:13-0600',mode:absolute,to:'2016-07-10 23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78" t="str">
        <f t="shared" ref="W143:W156" si="49">IF(AA143&lt;23,"Y","N")</f>
        <v>N</v>
      </c>
      <c r="X143" s="104">
        <f t="shared" ref="X143:X156" si="50">VALUE(LEFT(A143,3))-VALUE(LEFT(A142,3))</f>
        <v>1</v>
      </c>
      <c r="Y143" s="101">
        <f t="shared" ref="Y143:Y156" si="51">RIGHT(D143,LEN(D143)-4)/10000</f>
        <v>4.8000000000000001E-2</v>
      </c>
      <c r="Z143" s="101">
        <f t="shared" ref="Z143:Z156" si="52">RIGHT(H143,LEN(H143)-4)/10000</f>
        <v>23.331399999999999</v>
      </c>
      <c r="AA143" s="101">
        <f t="shared" ref="AA143:AA156" si="53">ABS(Z143-Y143)</f>
        <v>23.2834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ref="AD143:AD156" si="54">IF(LEN(A143)=6,"0"&amp;A143,A143)</f>
        <v>0231-10</v>
      </c>
      <c r="AE143" s="79" t="str">
        <f t="shared" ref="AE143:AE156" si="55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43" s="79" t="str">
        <f t="shared" ref="AF143:AF156" si="56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/stypes="*4018*20160711*" /stext=" 04:.+((prompt.+disp)|(slice.+state.+chan)|(ment ac)|(system.+state.+chan)|(\|lc)|(penalty)|(\[timeout))" /e /r /s</v>
      </c>
      <c r="AG143" s="1" t="str">
        <f t="shared" ref="AG143:AG156" si="57">IF(VALUE(LEFT(A143,3))&lt;300,"EC","NWGL")</f>
        <v>EC</v>
      </c>
    </row>
    <row r="144" spans="1:33" s="27" customFormat="1" x14ac:dyDescent="0.25">
      <c r="A144" s="51" t="s">
        <v>609</v>
      </c>
      <c r="B144" s="7">
        <v>4017</v>
      </c>
      <c r="C144" s="28" t="s">
        <v>59</v>
      </c>
      <c r="D144" s="28" t="s">
        <v>334</v>
      </c>
      <c r="E144" s="17">
        <v>42561.930960648147</v>
      </c>
      <c r="F144" s="17">
        <v>42561.93178240741</v>
      </c>
      <c r="G144" s="7">
        <v>1</v>
      </c>
      <c r="H144" s="17" t="s">
        <v>130</v>
      </c>
      <c r="I144" s="17">
        <v>42561.961747685185</v>
      </c>
      <c r="J144" s="7">
        <v>0</v>
      </c>
      <c r="K144" s="28" t="str">
        <f t="shared" si="45"/>
        <v>4017/4018</v>
      </c>
      <c r="L144" s="28" t="str">
        <f>VLOOKUP(A144,'Trips&amp;Operators'!$C$1:$E$10000,3,FALSE)</f>
        <v>COOLAHAN</v>
      </c>
      <c r="M144" s="6">
        <f t="shared" si="46"/>
        <v>2.9965277775772847E-2</v>
      </c>
      <c r="N144" s="7">
        <f t="shared" si="43"/>
        <v>43.1499999971129</v>
      </c>
      <c r="O144" s="7"/>
      <c r="P144" s="7"/>
      <c r="Q144" s="29"/>
      <c r="R144" s="29"/>
      <c r="S144" s="47">
        <f t="shared" si="47"/>
        <v>1</v>
      </c>
      <c r="T144" s="73" t="str">
        <f t="shared" si="48"/>
        <v>Southbound</v>
      </c>
      <c r="U144" s="109">
        <f>COUNTIFS(Variables!$M$2:$M$19,IF(T144="NorthBound","&gt;=","&lt;=")&amp;Y144,Variables!$M$2:$M$19,IF(T144="NorthBound","&lt;=","&gt;=")&amp;Z144)</f>
        <v>12</v>
      </c>
      <c r="V14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21:20:35-0600',mode:absolute,to:'2016-07-11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78" t="str">
        <f t="shared" si="49"/>
        <v>N</v>
      </c>
      <c r="X144" s="104">
        <f t="shared" si="50"/>
        <v>1</v>
      </c>
      <c r="Y144" s="101">
        <f t="shared" si="51"/>
        <v>23.2987</v>
      </c>
      <c r="Z144" s="101">
        <f t="shared" si="52"/>
        <v>1.5599999999999999E-2</v>
      </c>
      <c r="AA144" s="101">
        <f t="shared" si="53"/>
        <v>23.283100000000001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4"/>
        <v>0232-10</v>
      </c>
      <c r="AE144" s="79" t="str">
        <f t="shared" si="5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44" s="79" t="str">
        <f t="shared" si="56"/>
        <v>"C:\Program Files (x86)\AstroGrep\AstroGrep.exe" /spath="C:\Users\stu\Documents\Analysis\2016-02-23 RTDC Observations" /stypes="*4017*20160711*" /stext=" 05:.+((prompt.+disp)|(slice.+state.+chan)|(ment ac)|(system.+state.+chan)|(\|lc)|(penalty)|(\[timeout))" /e /r /s</v>
      </c>
      <c r="AG144" s="1" t="str">
        <f t="shared" si="57"/>
        <v>EC</v>
      </c>
    </row>
    <row r="145" spans="1:33" s="27" customFormat="1" x14ac:dyDescent="0.25">
      <c r="A145" s="51" t="s">
        <v>441</v>
      </c>
      <c r="B145" s="7">
        <v>4029</v>
      </c>
      <c r="C145" s="28" t="s">
        <v>59</v>
      </c>
      <c r="D145" s="28" t="s">
        <v>226</v>
      </c>
      <c r="E145" s="17">
        <v>42561.908807870372</v>
      </c>
      <c r="F145" s="17">
        <v>42561.909421296295</v>
      </c>
      <c r="G145" s="7">
        <v>0</v>
      </c>
      <c r="H145" s="17" t="s">
        <v>557</v>
      </c>
      <c r="I145" s="17">
        <v>42561.941377314812</v>
      </c>
      <c r="J145" s="7">
        <v>1</v>
      </c>
      <c r="K145" s="28" t="str">
        <f t="shared" si="45"/>
        <v>4029/4030</v>
      </c>
      <c r="L145" s="28" t="str">
        <f>VLOOKUP(A145,'Trips&amp;Operators'!$C$1:$E$10000,3,FALSE)</f>
        <v>NEWELL</v>
      </c>
      <c r="M145" s="6">
        <f t="shared" si="46"/>
        <v>3.195601851621177E-2</v>
      </c>
      <c r="N145" s="7">
        <f t="shared" si="43"/>
        <v>46.016666663344949</v>
      </c>
      <c r="O145" s="7"/>
      <c r="P145" s="7"/>
      <c r="Q145" s="29"/>
      <c r="R145" s="29"/>
      <c r="S145" s="47">
        <f t="shared" si="47"/>
        <v>1</v>
      </c>
      <c r="T145" s="73" t="str">
        <f t="shared" si="48"/>
        <v>NorthBound</v>
      </c>
      <c r="U145" s="109">
        <f>COUNTIFS(Variables!$M$2:$M$19,IF(T145="NorthBound","&gt;=","&lt;=")&amp;Y145,Variables!$M$2:$M$19,IF(T145="NorthBound","&lt;=","&gt;=")&amp;Z145)</f>
        <v>12</v>
      </c>
      <c r="V14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8" t="str">
        <f t="shared" si="49"/>
        <v>N</v>
      </c>
      <c r="X145" s="104">
        <f t="shared" si="50"/>
        <v>1</v>
      </c>
      <c r="Y145" s="101">
        <f t="shared" si="51"/>
        <v>4.6699999999999998E-2</v>
      </c>
      <c r="Z145" s="101">
        <f t="shared" si="52"/>
        <v>23.330500000000001</v>
      </c>
      <c r="AA145" s="101">
        <f t="shared" si="53"/>
        <v>23.283799999999999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4"/>
        <v>0233-10</v>
      </c>
      <c r="AE145" s="79" t="str">
        <f t="shared" si="5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45" s="79" t="str">
        <f t="shared" si="56"/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AG145" s="1" t="str">
        <f t="shared" si="57"/>
        <v>EC</v>
      </c>
    </row>
    <row r="146" spans="1:33" s="27" customFormat="1" x14ac:dyDescent="0.25">
      <c r="A146" s="51" t="s">
        <v>626</v>
      </c>
      <c r="B146" s="7">
        <v>4030</v>
      </c>
      <c r="C146" s="28" t="s">
        <v>59</v>
      </c>
      <c r="D146" s="28" t="s">
        <v>226</v>
      </c>
      <c r="E146" s="17">
        <v>42561.908807870372</v>
      </c>
      <c r="F146" s="17">
        <v>42561.955717592595</v>
      </c>
      <c r="G146" s="7">
        <v>0</v>
      </c>
      <c r="H146" s="17" t="s">
        <v>557</v>
      </c>
      <c r="I146" s="17">
        <v>42561.984201388892</v>
      </c>
      <c r="J146" s="7">
        <v>1</v>
      </c>
      <c r="K146" s="28" t="str">
        <f t="shared" ref="K146" si="58">IF(ISEVEN(B146),(B146-1)&amp;"/"&amp;B146,B146&amp;"/"&amp;(B146+1))</f>
        <v>4029/4030</v>
      </c>
      <c r="L146" s="28" t="str">
        <f>VLOOKUP(A146,'Trips&amp;Operators'!$C$1:$E$10000,3,FALSE)</f>
        <v>NEWELL</v>
      </c>
      <c r="M146" s="6">
        <f t="shared" ref="M146" si="59">I146-F146</f>
        <v>2.8483796297223307E-2</v>
      </c>
      <c r="N146" s="7"/>
      <c r="O146" s="7"/>
      <c r="P146" s="7">
        <f t="shared" si="43"/>
        <v>41.016666668001562</v>
      </c>
      <c r="Q146" s="29"/>
      <c r="R146" s="29" t="s">
        <v>636</v>
      </c>
      <c r="S146" s="47">
        <f t="shared" ref="S146" si="60">SUM(U146:U146)/12</f>
        <v>0.75</v>
      </c>
      <c r="T146" s="73" t="str">
        <f t="shared" ref="T146" si="61">IF(ISEVEN(LEFT(A146,3)),"Southbound","NorthBound")</f>
        <v>Southbound</v>
      </c>
      <c r="U146" s="109">
        <f>COUNTIFS(Variables!$M$2:$M$19,IF(T146="NorthBound","&gt;=","&lt;=")&amp;Y146,Variables!$M$2:$M$19,IF(T146="NorthBound","&lt;=","&gt;=")&amp;Z146)</f>
        <v>9</v>
      </c>
      <c r="V146" s="78" t="str">
        <f t="shared" ref="V146" si="62">"https://search-rtdc-monitor-bjffxe2xuh6vdkpspy63sjmuny.us-east-1.es.amazonaws.com/_plugin/kibana/#/discover/Steve-Slow-Train-Analysis-(2080s-and-2083s)?_g=(refreshInterval:(display:Off,section:0,value:0),time:(from:'"&amp;TEXT(E146-1/24,"yyyy-MM-DD hh:mm:ss")&amp;"-0600',mode:absolute,to:'"&amp;TEXT(I146+1/24,"yyyy-MM-DD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20:48:41-0600',mode:absolute,to:'2016-07-11 00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78" t="str">
        <f t="shared" si="49"/>
        <v>Y</v>
      </c>
      <c r="X146" s="104">
        <f t="shared" ref="X146" si="63">VALUE(LEFT(A146,3))-VALUE(LEFT(A145,3))</f>
        <v>1</v>
      </c>
      <c r="Y146" s="101">
        <v>23.3</v>
      </c>
      <c r="Z146" s="101">
        <v>3.63</v>
      </c>
      <c r="AA146" s="101">
        <f t="shared" ref="AA146" si="64">ABS(Z146-Y146)</f>
        <v>19.670000000000002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ref="AD146" si="65">IF(LEN(A146)=6,"0"&amp;A146,A146)</f>
        <v>0234-10</v>
      </c>
      <c r="AE146" s="79" t="str">
        <f t="shared" ref="AE146" si="66"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46" s="79" t="str">
        <f t="shared" ref="AF146" si="67">astrogrep_path&amp;" /spath="&amp;search_path&amp;" /stypes=""*"&amp;B146&amp;"*"&amp;TEXT(I146-utc_offset/24,"YYYYMMDD")&amp;"*"" /stext="" "&amp;TEXT(I146-utc_offset/24,"HH")&amp;search_regexp&amp;""" /e /r /s"</f>
        <v>"C:\Program Files (x86)\AstroGrep\AstroGrep.exe" /spath="C:\Users\stu\Documents\Analysis\2016-02-23 RTDC Observations" /stypes="*4030*20160711*" /stext=" 05:.+((prompt.+disp)|(slice.+state.+chan)|(ment ac)|(system.+state.+chan)|(\|lc)|(penalty)|(\[timeout))" /e /r /s</v>
      </c>
      <c r="AG146" s="1" t="str">
        <f t="shared" ref="AG146" si="68">IF(VALUE(LEFT(A146,3))&lt;300,"EC","NWGL")</f>
        <v>EC</v>
      </c>
    </row>
    <row r="147" spans="1:33" s="27" customFormat="1" x14ac:dyDescent="0.25">
      <c r="A147" s="51" t="s">
        <v>442</v>
      </c>
      <c r="B147" s="7">
        <v>4040</v>
      </c>
      <c r="C147" s="28" t="s">
        <v>59</v>
      </c>
      <c r="D147" s="28" t="s">
        <v>322</v>
      </c>
      <c r="E147" s="17">
        <v>42561.935254629629</v>
      </c>
      <c r="F147" s="17">
        <v>42561.936319444445</v>
      </c>
      <c r="G147" s="7">
        <v>1</v>
      </c>
      <c r="H147" s="17" t="s">
        <v>337</v>
      </c>
      <c r="I147" s="17">
        <v>42561.963923611111</v>
      </c>
      <c r="J147" s="7">
        <v>1</v>
      </c>
      <c r="K147" s="28" t="str">
        <f t="shared" si="45"/>
        <v>4039/4040</v>
      </c>
      <c r="L147" s="28" t="str">
        <f>VLOOKUP(A147,'Trips&amp;Operators'!$C$1:$E$10000,3,FALSE)</f>
        <v>CHANDLER</v>
      </c>
      <c r="M147" s="6">
        <f t="shared" si="46"/>
        <v>2.7604166665696539E-2</v>
      </c>
      <c r="N147" s="7">
        <f t="shared" si="43"/>
        <v>39.749999998603016</v>
      </c>
      <c r="O147" s="7"/>
      <c r="P147" s="7"/>
      <c r="Q147" s="29"/>
      <c r="R147" s="29"/>
      <c r="S147" s="47">
        <f t="shared" si="47"/>
        <v>1</v>
      </c>
      <c r="T147" s="73" t="str">
        <f t="shared" si="48"/>
        <v>NorthBound</v>
      </c>
      <c r="U147" s="109">
        <f>COUNTIFS(Variables!$M$2:$M$19,IF(T147="NorthBound","&gt;=","&lt;=")&amp;Y147,Variables!$M$2:$M$19,IF(T147="NorthBound","&lt;=","&gt;=")&amp;Z147)</f>
        <v>12</v>
      </c>
      <c r="V147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78" t="str">
        <f t="shared" si="49"/>
        <v>N</v>
      </c>
      <c r="X147" s="104">
        <f>VALUE(LEFT(A147,3))-VALUE(LEFT(A145,3))</f>
        <v>2</v>
      </c>
      <c r="Y147" s="101">
        <f t="shared" si="51"/>
        <v>4.6899999999999997E-2</v>
      </c>
      <c r="Z147" s="101">
        <f t="shared" si="52"/>
        <v>23.329499999999999</v>
      </c>
      <c r="AA147" s="101">
        <f t="shared" si="53"/>
        <v>23.282599999999999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4"/>
        <v>0235-10</v>
      </c>
      <c r="AE147" s="79" t="str">
        <f t="shared" si="5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47" s="79" t="str">
        <f t="shared" si="56"/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AG147" s="1" t="str">
        <f t="shared" si="57"/>
        <v>EC</v>
      </c>
    </row>
    <row r="148" spans="1:33" s="27" customFormat="1" x14ac:dyDescent="0.25">
      <c r="A148" s="51" t="s">
        <v>610</v>
      </c>
      <c r="B148" s="7">
        <v>4039</v>
      </c>
      <c r="C148" s="28" t="s">
        <v>59</v>
      </c>
      <c r="D148" s="28" t="s">
        <v>357</v>
      </c>
      <c r="E148" s="17">
        <v>42561.973275462966</v>
      </c>
      <c r="F148" s="17">
        <v>42561.974351851852</v>
      </c>
      <c r="G148" s="7">
        <v>1</v>
      </c>
      <c r="H148" s="17" t="s">
        <v>331</v>
      </c>
      <c r="I148" s="17">
        <v>42562.005659722221</v>
      </c>
      <c r="J148" s="7">
        <v>0</v>
      </c>
      <c r="K148" s="28" t="str">
        <f t="shared" si="45"/>
        <v>4039/4040</v>
      </c>
      <c r="L148" s="28" t="str">
        <f>VLOOKUP(A148,'Trips&amp;Operators'!$C$1:$E$10000,3,FALSE)</f>
        <v>CHANDLER</v>
      </c>
      <c r="M148" s="6">
        <f t="shared" si="46"/>
        <v>3.1307870369346347E-2</v>
      </c>
      <c r="N148" s="7">
        <f t="shared" si="43"/>
        <v>45.083333331858739</v>
      </c>
      <c r="O148" s="7"/>
      <c r="P148" s="7"/>
      <c r="Q148" s="29"/>
      <c r="R148" s="29"/>
      <c r="S148" s="47">
        <f t="shared" si="47"/>
        <v>1</v>
      </c>
      <c r="T148" s="73" t="str">
        <f t="shared" si="48"/>
        <v>Southbound</v>
      </c>
      <c r="U148" s="109">
        <f>COUNTIFS(Variables!$M$2:$M$19,IF(T148="NorthBound","&gt;=","&lt;=")&amp;Y148,Variables!$M$2:$M$19,IF(T148="NorthBound","&lt;=","&gt;=")&amp;Z148)</f>
        <v>12</v>
      </c>
      <c r="V148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22:21:31-0600',mode:absolute,to:'2016-07-11 01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78" t="str">
        <f t="shared" si="49"/>
        <v>N</v>
      </c>
      <c r="X148" s="104">
        <f t="shared" si="50"/>
        <v>1</v>
      </c>
      <c r="Y148" s="101">
        <f t="shared" si="51"/>
        <v>23.298200000000001</v>
      </c>
      <c r="Z148" s="101">
        <f t="shared" si="52"/>
        <v>1.4999999999999999E-2</v>
      </c>
      <c r="AA148" s="101">
        <f t="shared" si="53"/>
        <v>23.283200000000001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4"/>
        <v>0236-10</v>
      </c>
      <c r="AE148" s="79" t="str">
        <f t="shared" si="5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8" s="79" t="str">
        <f t="shared" si="56"/>
        <v>"C:\Program Files (x86)\AstroGrep\AstroGrep.exe" /spath="C:\Users\stu\Documents\Analysis\2016-02-23 RTDC Observations" /stypes="*4039*20160711*" /stext=" 06:.+((prompt.+disp)|(slice.+state.+chan)|(ment ac)|(system.+state.+chan)|(\|lc)|(penalty)|(\[timeout))" /e /r /s</v>
      </c>
      <c r="AG148" s="1" t="str">
        <f t="shared" si="57"/>
        <v>EC</v>
      </c>
    </row>
    <row r="149" spans="1:33" s="27" customFormat="1" x14ac:dyDescent="0.25">
      <c r="A149" s="51" t="s">
        <v>611</v>
      </c>
      <c r="B149" s="7">
        <v>4020</v>
      </c>
      <c r="C149" s="28" t="s">
        <v>59</v>
      </c>
      <c r="D149" s="28" t="s">
        <v>321</v>
      </c>
      <c r="E149" s="17">
        <v>42561.953969907408</v>
      </c>
      <c r="F149" s="17">
        <v>42561.954942129632</v>
      </c>
      <c r="G149" s="7">
        <v>1</v>
      </c>
      <c r="H149" s="17" t="s">
        <v>557</v>
      </c>
      <c r="I149" s="17">
        <v>42561.983553240738</v>
      </c>
      <c r="J149" s="7">
        <v>0</v>
      </c>
      <c r="K149" s="28" t="str">
        <f t="shared" si="45"/>
        <v>4019/4020</v>
      </c>
      <c r="L149" s="28" t="str">
        <f>VLOOKUP(A149,'Trips&amp;Operators'!$C$1:$E$10000,3,FALSE)</f>
        <v>LEVERE</v>
      </c>
      <c r="M149" s="6">
        <f t="shared" si="46"/>
        <v>2.8611111105419695E-2</v>
      </c>
      <c r="N149" s="7">
        <f t="shared" si="43"/>
        <v>41.199999991804361</v>
      </c>
      <c r="O149" s="7"/>
      <c r="P149" s="7"/>
      <c r="Q149" s="29"/>
      <c r="R149" s="29"/>
      <c r="S149" s="47">
        <f t="shared" si="47"/>
        <v>1</v>
      </c>
      <c r="T149" s="73" t="str">
        <f t="shared" si="48"/>
        <v>NorthBound</v>
      </c>
      <c r="U149" s="109">
        <f>COUNTIFS(Variables!$M$2:$M$19,IF(T149="NorthBound","&gt;=","&lt;=")&amp;Y149,Variables!$M$2:$M$19,IF(T149="NorthBound","&lt;=","&gt;=")&amp;Z149)</f>
        <v>12</v>
      </c>
      <c r="V149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21:53:43-0600',mode:absolute,to:'2016-07-11 00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8" t="str">
        <f t="shared" si="49"/>
        <v>N</v>
      </c>
      <c r="X149" s="104">
        <f t="shared" si="50"/>
        <v>1</v>
      </c>
      <c r="Y149" s="101">
        <f t="shared" si="51"/>
        <v>4.5499999999999999E-2</v>
      </c>
      <c r="Z149" s="101">
        <f t="shared" si="52"/>
        <v>23.330500000000001</v>
      </c>
      <c r="AA149" s="101">
        <f t="shared" si="53"/>
        <v>23.285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4"/>
        <v>0237-10</v>
      </c>
      <c r="AE149" s="79" t="str">
        <f t="shared" si="5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9" s="79" t="str">
        <f t="shared" si="56"/>
        <v>"C:\Program Files (x86)\AstroGrep\AstroGrep.exe" /spath="C:\Users\stu\Documents\Analysis\2016-02-23 RTDC Observations" /stypes="*4020*20160711*" /stext=" 05:.+((prompt.+disp)|(slice.+state.+chan)|(ment ac)|(system.+state.+chan)|(\|lc)|(penalty)|(\[timeout))" /e /r /s</v>
      </c>
      <c r="AG149" s="1" t="str">
        <f t="shared" si="57"/>
        <v>EC</v>
      </c>
    </row>
    <row r="150" spans="1:33" s="27" customFormat="1" x14ac:dyDescent="0.25">
      <c r="A150" s="51" t="s">
        <v>612</v>
      </c>
      <c r="B150" s="7">
        <v>4019</v>
      </c>
      <c r="C150" s="28" t="s">
        <v>59</v>
      </c>
      <c r="D150" s="28" t="s">
        <v>552</v>
      </c>
      <c r="E150" s="17">
        <v>42561.989918981482</v>
      </c>
      <c r="F150" s="17">
        <v>42561.991018518522</v>
      </c>
      <c r="G150" s="7">
        <v>1</v>
      </c>
      <c r="H150" s="17" t="s">
        <v>613</v>
      </c>
      <c r="I150" s="17">
        <v>42562.024965277778</v>
      </c>
      <c r="J150" s="7">
        <v>0</v>
      </c>
      <c r="K150" s="28" t="str">
        <f t="shared" si="45"/>
        <v>4019/4020</v>
      </c>
      <c r="L150" s="28" t="str">
        <f>VLOOKUP(A150,'Trips&amp;Operators'!$C$1:$E$10000,3,FALSE)</f>
        <v>LEVERE</v>
      </c>
      <c r="M150" s="6">
        <f t="shared" si="46"/>
        <v>3.3946759256650694E-2</v>
      </c>
      <c r="N150" s="7">
        <f t="shared" si="43"/>
        <v>48.883333329576999</v>
      </c>
      <c r="O150" s="7"/>
      <c r="P150" s="7"/>
      <c r="Q150" s="29"/>
      <c r="R150" s="29"/>
      <c r="S150" s="47">
        <f t="shared" si="47"/>
        <v>1</v>
      </c>
      <c r="T150" s="73" t="str">
        <f t="shared" si="48"/>
        <v>Southbound</v>
      </c>
      <c r="U150" s="109">
        <f>COUNTIFS(Variables!$M$2:$M$19,IF(T150="NorthBound","&gt;=","&lt;=")&amp;Y150,Variables!$M$2:$M$19,IF(T150="NorthBound","&lt;=","&gt;=")&amp;Z150)</f>
        <v>12</v>
      </c>
      <c r="V150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22:45:29-0600',mode:absolute,to:'2016-07-11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8" t="str">
        <f t="shared" si="49"/>
        <v>N</v>
      </c>
      <c r="X150" s="104">
        <f t="shared" si="50"/>
        <v>1</v>
      </c>
      <c r="Y150" s="101">
        <f t="shared" si="51"/>
        <v>23.2957</v>
      </c>
      <c r="Z150" s="101">
        <f t="shared" si="52"/>
        <v>3.73E-2</v>
      </c>
      <c r="AA150" s="101">
        <f t="shared" si="53"/>
        <v>23.258400000000002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4"/>
        <v>0238-10</v>
      </c>
      <c r="AE150" s="79" t="str">
        <f t="shared" si="5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50" s="79" t="str">
        <f t="shared" si="56"/>
        <v>"C:\Program Files (x86)\AstroGrep\AstroGrep.exe" /spath="C:\Users\stu\Documents\Analysis\2016-02-23 RTDC Observations" /stypes="*4019*20160711*" /stext=" 06:.+((prompt.+disp)|(slice.+state.+chan)|(ment ac)|(system.+state.+chan)|(\|lc)|(penalty)|(\[timeout))" /e /r /s</v>
      </c>
      <c r="AG150" s="1" t="str">
        <f t="shared" si="57"/>
        <v>EC</v>
      </c>
    </row>
    <row r="151" spans="1:33" s="27" customFormat="1" x14ac:dyDescent="0.25">
      <c r="A151" s="51" t="s">
        <v>614</v>
      </c>
      <c r="B151" s="7">
        <v>4018</v>
      </c>
      <c r="C151" s="28" t="s">
        <v>59</v>
      </c>
      <c r="D151" s="28" t="s">
        <v>70</v>
      </c>
      <c r="E151" s="17">
        <v>42561.975775462961</v>
      </c>
      <c r="F151" s="17">
        <v>42561.976712962962</v>
      </c>
      <c r="G151" s="7">
        <v>1</v>
      </c>
      <c r="H151" s="17" t="s">
        <v>557</v>
      </c>
      <c r="I151" s="17">
        <v>42562.004502314812</v>
      </c>
      <c r="J151" s="7">
        <v>0</v>
      </c>
      <c r="K151" s="28" t="str">
        <f t="shared" si="45"/>
        <v>4017/4018</v>
      </c>
      <c r="L151" s="28" t="str">
        <f>VLOOKUP(A151,'Trips&amp;Operators'!$C$1:$E$10000,3,FALSE)</f>
        <v>COOLAHAN</v>
      </c>
      <c r="M151" s="6">
        <f t="shared" si="46"/>
        <v>2.7789351850515231E-2</v>
      </c>
      <c r="N151" s="7">
        <f t="shared" si="43"/>
        <v>40.016666664741933</v>
      </c>
      <c r="O151" s="7"/>
      <c r="P151" s="7"/>
      <c r="Q151" s="29"/>
      <c r="R151" s="29"/>
      <c r="S151" s="47">
        <f t="shared" si="47"/>
        <v>1</v>
      </c>
      <c r="T151" s="73" t="str">
        <f t="shared" si="48"/>
        <v>NorthBound</v>
      </c>
      <c r="U151" s="109">
        <f>COUNTIFS(Variables!$M$2:$M$19,IF(T151="NorthBound","&gt;=","&lt;=")&amp;Y151,Variables!$M$2:$M$19,IF(T151="NorthBound","&lt;=","&gt;=")&amp;Z151)</f>
        <v>12</v>
      </c>
      <c r="V151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22:25:07-0600',mode:absolute,to:'2016-07-11 01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78" t="str">
        <f t="shared" si="49"/>
        <v>N</v>
      </c>
      <c r="X151" s="104">
        <f t="shared" si="50"/>
        <v>1</v>
      </c>
      <c r="Y151" s="101">
        <f t="shared" si="51"/>
        <v>4.5699999999999998E-2</v>
      </c>
      <c r="Z151" s="101">
        <f t="shared" si="52"/>
        <v>23.330500000000001</v>
      </c>
      <c r="AA151" s="101">
        <f t="shared" si="53"/>
        <v>23.284800000000001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4"/>
        <v>0239-10</v>
      </c>
      <c r="AE151" s="79" t="str">
        <f t="shared" si="5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1" s="79" t="str">
        <f t="shared" si="56"/>
        <v>"C:\Program Files (x86)\AstroGrep\AstroGrep.exe" /spath="C:\Users\stu\Documents\Analysis\2016-02-23 RTDC Observations" /stypes="*4018*20160711*" /stext=" 06:.+((prompt.+disp)|(slice.+state.+chan)|(ment ac)|(system.+state.+chan)|(\|lc)|(penalty)|(\[timeout))" /e /r /s</v>
      </c>
      <c r="AG151" s="1" t="str">
        <f t="shared" si="57"/>
        <v>EC</v>
      </c>
    </row>
    <row r="152" spans="1:33" s="27" customFormat="1" x14ac:dyDescent="0.25">
      <c r="A152" s="51" t="s">
        <v>615</v>
      </c>
      <c r="B152" s="7">
        <v>4017</v>
      </c>
      <c r="C152" s="28" t="s">
        <v>59</v>
      </c>
      <c r="D152" s="28" t="s">
        <v>338</v>
      </c>
      <c r="E152" s="17">
        <v>42562.015486111108</v>
      </c>
      <c r="F152" s="17">
        <v>42562.016284722224</v>
      </c>
      <c r="G152" s="7">
        <v>1</v>
      </c>
      <c r="H152" s="17" t="s">
        <v>616</v>
      </c>
      <c r="I152" s="17">
        <v>42562.044895833336</v>
      </c>
      <c r="J152" s="7">
        <v>0</v>
      </c>
      <c r="K152" s="28" t="str">
        <f t="shared" si="45"/>
        <v>4017/4018</v>
      </c>
      <c r="L152" s="28" t="str">
        <f>VLOOKUP(A152,'Trips&amp;Operators'!$C$1:$E$10000,3,FALSE)</f>
        <v>COOLAHAN</v>
      </c>
      <c r="M152" s="6">
        <f t="shared" si="46"/>
        <v>2.8611111112695653E-2</v>
      </c>
      <c r="N152" s="7">
        <f t="shared" si="43"/>
        <v>41.20000000228174</v>
      </c>
      <c r="O152" s="7"/>
      <c r="P152" s="7"/>
      <c r="Q152" s="29"/>
      <c r="R152" s="29"/>
      <c r="S152" s="47">
        <f t="shared" si="47"/>
        <v>1</v>
      </c>
      <c r="T152" s="73" t="str">
        <f t="shared" si="48"/>
        <v>Southbound</v>
      </c>
      <c r="U152" s="109">
        <f>COUNTIFS(Variables!$M$2:$M$19,IF(T152="NorthBound","&gt;=","&lt;=")&amp;Y152,Variables!$M$2:$M$19,IF(T152="NorthBound","&lt;=","&gt;=")&amp;Z152)</f>
        <v>12</v>
      </c>
      <c r="V152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23:22:18-0600',mode:absolute,to:'2016-07-11 02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78" t="str">
        <f t="shared" si="49"/>
        <v>N</v>
      </c>
      <c r="X152" s="104">
        <f t="shared" si="50"/>
        <v>1</v>
      </c>
      <c r="Y152" s="101">
        <f t="shared" si="51"/>
        <v>23.296900000000001</v>
      </c>
      <c r="Z152" s="101">
        <f t="shared" si="52"/>
        <v>3.5999999999999997E-2</v>
      </c>
      <c r="AA152" s="101">
        <f t="shared" si="53"/>
        <v>23.260899999999999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4"/>
        <v>0240-10</v>
      </c>
      <c r="AE152" s="79" t="str">
        <f t="shared" si="55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52" s="79" t="str">
        <f t="shared" si="56"/>
        <v>"C:\Program Files (x86)\AstroGrep\AstroGrep.exe" /spath="C:\Users\stu\Documents\Analysis\2016-02-23 RTDC Observations" /stypes="*4017*20160711*" /stext=" 07:.+((prompt.+disp)|(slice.+state.+chan)|(ment ac)|(system.+state.+chan)|(\|lc)|(penalty)|(\[timeout))" /e /r /s</v>
      </c>
      <c r="AG152" s="1" t="str">
        <f t="shared" si="57"/>
        <v>EC</v>
      </c>
    </row>
    <row r="153" spans="1:33" s="27" customFormat="1" x14ac:dyDescent="0.25">
      <c r="A153" s="51" t="s">
        <v>443</v>
      </c>
      <c r="B153" s="7">
        <v>4007</v>
      </c>
      <c r="C153" s="28" t="s">
        <v>59</v>
      </c>
      <c r="D153" s="28" t="s">
        <v>617</v>
      </c>
      <c r="E153" s="17">
        <v>42561.994143518517</v>
      </c>
      <c r="F153" s="17">
        <v>42561.995185185187</v>
      </c>
      <c r="G153" s="7">
        <v>1</v>
      </c>
      <c r="H153" s="17" t="s">
        <v>545</v>
      </c>
      <c r="I153" s="17">
        <v>42562.025879629633</v>
      </c>
      <c r="J153" s="7">
        <v>2</v>
      </c>
      <c r="K153" s="28" t="str">
        <f t="shared" si="45"/>
        <v>4007/4008</v>
      </c>
      <c r="L153" s="28" t="str">
        <f>VLOOKUP(A153,'Trips&amp;Operators'!$C$1:$E$10000,3,FALSE)</f>
        <v>NEWELL</v>
      </c>
      <c r="M153" s="6">
        <f t="shared" si="46"/>
        <v>3.0694444445543922E-2</v>
      </c>
      <c r="N153" s="7">
        <f t="shared" si="43"/>
        <v>44.200000001583248</v>
      </c>
      <c r="O153" s="7"/>
      <c r="P153" s="7"/>
      <c r="Q153" s="29"/>
      <c r="R153" s="29"/>
      <c r="S153" s="47">
        <f t="shared" si="47"/>
        <v>1</v>
      </c>
      <c r="T153" s="73" t="str">
        <f t="shared" si="48"/>
        <v>NorthBound</v>
      </c>
      <c r="U153" s="109">
        <f>COUNTIFS(Variables!$M$2:$M$19,IF(T153="NorthBound","&gt;=","&lt;=")&amp;Y153,Variables!$M$2:$M$19,IF(T153="NorthBound","&lt;=","&gt;=")&amp;Z153)</f>
        <v>12</v>
      </c>
      <c r="V15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3" s="78" t="str">
        <f t="shared" si="49"/>
        <v>N</v>
      </c>
      <c r="X153" s="104">
        <f t="shared" si="50"/>
        <v>1</v>
      </c>
      <c r="Y153" s="101">
        <f t="shared" si="51"/>
        <v>0.1152</v>
      </c>
      <c r="Z153" s="101">
        <f t="shared" si="52"/>
        <v>23.331600000000002</v>
      </c>
      <c r="AA153" s="101">
        <f t="shared" si="53"/>
        <v>23.2164</v>
      </c>
      <c r="AB153" s="98">
        <f>VLOOKUP(A153,Enforcements!$C$7:$J$23,8,0)</f>
        <v>2096</v>
      </c>
      <c r="AC153" s="94" t="str">
        <f>VLOOKUP(A153,Enforcements!$C$7:$E$23,3,0)</f>
        <v>PERMANENT SPEED RESTRICTION</v>
      </c>
      <c r="AD153" s="95" t="str">
        <f t="shared" si="54"/>
        <v>0241-10</v>
      </c>
      <c r="AE153" s="79" t="str">
        <f t="shared" si="55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3" s="79" t="str">
        <f t="shared" si="56"/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AG153" s="1" t="str">
        <f t="shared" si="57"/>
        <v>EC</v>
      </c>
    </row>
    <row r="154" spans="1:33" s="27" customFormat="1" x14ac:dyDescent="0.25">
      <c r="A154" s="51" t="s">
        <v>444</v>
      </c>
      <c r="B154" s="7">
        <v>4008</v>
      </c>
      <c r="C154" s="28" t="s">
        <v>59</v>
      </c>
      <c r="D154" s="28" t="s">
        <v>343</v>
      </c>
      <c r="E154" s="17">
        <v>42562.033877314818</v>
      </c>
      <c r="F154" s="17">
        <v>42562.034699074073</v>
      </c>
      <c r="G154" s="7">
        <v>1</v>
      </c>
      <c r="H154" s="17" t="s">
        <v>618</v>
      </c>
      <c r="I154" s="17">
        <v>42562.063750000001</v>
      </c>
      <c r="J154" s="7">
        <v>1</v>
      </c>
      <c r="K154" s="28" t="str">
        <f t="shared" si="45"/>
        <v>4007/4008</v>
      </c>
      <c r="L154" s="28" t="str">
        <f>VLOOKUP(A154,'Trips&amp;Operators'!$C$1:$E$10000,3,FALSE)</f>
        <v>NEWELL</v>
      </c>
      <c r="M154" s="6">
        <f t="shared" si="46"/>
        <v>2.9050925928459037E-2</v>
      </c>
      <c r="N154" s="7">
        <f t="shared" si="43"/>
        <v>41.833333336981013</v>
      </c>
      <c r="O154" s="7"/>
      <c r="P154" s="7"/>
      <c r="Q154" s="29"/>
      <c r="R154" s="29"/>
      <c r="S154" s="47">
        <f t="shared" si="47"/>
        <v>1</v>
      </c>
      <c r="T154" s="73" t="str">
        <f t="shared" si="48"/>
        <v>Southbound</v>
      </c>
      <c r="U154" s="109">
        <f>COUNTIFS(Variables!$M$2:$M$19,IF(T154="NorthBound","&gt;=","&lt;=")&amp;Y154,Variables!$M$2:$M$19,IF(T154="NorthBound","&lt;=","&gt;=")&amp;Z154)</f>
        <v>12</v>
      </c>
      <c r="V15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4" s="78" t="str">
        <f t="shared" si="49"/>
        <v>N</v>
      </c>
      <c r="X154" s="104">
        <f t="shared" si="50"/>
        <v>1</v>
      </c>
      <c r="Y154" s="101">
        <f t="shared" si="51"/>
        <v>23.2986</v>
      </c>
      <c r="Z154" s="101">
        <f t="shared" si="52"/>
        <v>0.15770000000000001</v>
      </c>
      <c r="AA154" s="101">
        <f t="shared" si="53"/>
        <v>23.140900000000002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4"/>
        <v>0242-10</v>
      </c>
      <c r="AE154" s="79" t="str">
        <f t="shared" si="55"/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AF154" s="79" t="str">
        <f t="shared" si="56"/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AG154" s="1" t="str">
        <f t="shared" si="57"/>
        <v>EC</v>
      </c>
    </row>
    <row r="155" spans="1:33" s="27" customFormat="1" x14ac:dyDescent="0.25">
      <c r="A155" s="51" t="s">
        <v>369</v>
      </c>
      <c r="B155" s="7">
        <v>4008</v>
      </c>
      <c r="C155" s="28" t="s">
        <v>59</v>
      </c>
      <c r="D155" s="28" t="s">
        <v>390</v>
      </c>
      <c r="E155" s="17">
        <v>42561.080150462964</v>
      </c>
      <c r="F155" s="17">
        <v>42561.081377314818</v>
      </c>
      <c r="G155" s="7">
        <v>1</v>
      </c>
      <c r="H155" s="17" t="s">
        <v>391</v>
      </c>
      <c r="I155" s="17">
        <v>42561.090821759259</v>
      </c>
      <c r="J155" s="7">
        <v>2</v>
      </c>
      <c r="K155" s="28" t="str">
        <f t="shared" si="45"/>
        <v>4007/4008</v>
      </c>
      <c r="L155" s="28" t="str">
        <f>VLOOKUP(A155,'Trips&amp;Operators'!$C$1:$E$10000,3,FALSE)</f>
        <v>ADANE</v>
      </c>
      <c r="M155" s="6">
        <f t="shared" si="46"/>
        <v>9.444444440305233E-3</v>
      </c>
      <c r="N155" s="7"/>
      <c r="O155" s="7"/>
      <c r="P155" s="7">
        <f>24*60*SUM($M155:$M156)</f>
        <v>14.899999994086102</v>
      </c>
      <c r="Q155" s="29"/>
      <c r="R155" s="29" t="s">
        <v>134</v>
      </c>
      <c r="S155" s="47">
        <f t="shared" si="47"/>
        <v>0</v>
      </c>
      <c r="T155" s="73" t="str">
        <f t="shared" si="48"/>
        <v>Southbound</v>
      </c>
      <c r="U155" s="109">
        <f>COUNTIFS(Variables!$M$2:$M$19,IF(T155="NorthBound","&gt;=","&lt;=")&amp;Y155,Variables!$M$2:$M$19,IF(T155="NorthBound","&lt;=","&gt;=")&amp;Z155)</f>
        <v>0</v>
      </c>
      <c r="V15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00:55:25-0600',mode:absolute,to:'2016-07-10 03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5" s="78" t="str">
        <f t="shared" si="49"/>
        <v>Y</v>
      </c>
      <c r="X155" s="104">
        <f t="shared" si="50"/>
        <v>4</v>
      </c>
      <c r="Y155" s="101">
        <f t="shared" si="51"/>
        <v>23.293199999999999</v>
      </c>
      <c r="Z155" s="101">
        <f t="shared" si="52"/>
        <v>13.197100000000001</v>
      </c>
      <c r="AA155" s="101">
        <f t="shared" si="53"/>
        <v>10.096099999999998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4"/>
        <v>0246-09</v>
      </c>
      <c r="AE155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5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5" s="1" t="str">
        <f t="shared" si="57"/>
        <v>EC</v>
      </c>
    </row>
    <row r="156" spans="1:33" s="27" customFormat="1" x14ac:dyDescent="0.25">
      <c r="A156" s="51" t="s">
        <v>369</v>
      </c>
      <c r="B156" s="7">
        <v>4008</v>
      </c>
      <c r="C156" s="28" t="s">
        <v>59</v>
      </c>
      <c r="D156" s="28" t="s">
        <v>392</v>
      </c>
      <c r="E156" s="17">
        <v>42561.096145833333</v>
      </c>
      <c r="F156" s="17">
        <v>42561.096851851849</v>
      </c>
      <c r="G156" s="7">
        <v>1</v>
      </c>
      <c r="H156" s="17" t="s">
        <v>393</v>
      </c>
      <c r="I156" s="17">
        <v>42561.097754629627</v>
      </c>
      <c r="J156" s="7">
        <v>0</v>
      </c>
      <c r="K156" s="28" t="str">
        <f t="shared" si="45"/>
        <v>4007/4008</v>
      </c>
      <c r="L156" s="28" t="str">
        <f>VLOOKUP(A156,'Trips&amp;Operators'!$C$1:$E$10000,3,FALSE)</f>
        <v>ADANE</v>
      </c>
      <c r="M156" s="6">
        <f t="shared" si="46"/>
        <v>9.0277777781011537E-4</v>
      </c>
      <c r="N156" s="7"/>
      <c r="O156" s="7"/>
      <c r="P156" s="7"/>
      <c r="Q156" s="29"/>
      <c r="R156" s="29"/>
      <c r="S156" s="47"/>
      <c r="T156" s="73" t="str">
        <f t="shared" si="48"/>
        <v>Southbound</v>
      </c>
      <c r="U156" s="109">
        <f>COUNTIFS(Variables!$M$2:$M$19,IF(T156="NorthBound","&gt;=","&lt;=")&amp;Y156,Variables!$M$2:$M$19,IF(T156="NorthBound","&lt;=","&gt;=")&amp;Z156)</f>
        <v>0</v>
      </c>
      <c r="V156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01:18:27-0600',mode:absolute,to:'2016-07-10 03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6" s="78" t="str">
        <f t="shared" si="49"/>
        <v>Y</v>
      </c>
      <c r="X156" s="104">
        <f t="shared" si="50"/>
        <v>0</v>
      </c>
      <c r="Y156" s="101">
        <f t="shared" si="51"/>
        <v>8.6354000000000006</v>
      </c>
      <c r="Z156" s="101">
        <f t="shared" si="52"/>
        <v>8.4669000000000008</v>
      </c>
      <c r="AA156" s="101">
        <f t="shared" si="53"/>
        <v>0.16849999999999987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4"/>
        <v>0246-09</v>
      </c>
      <c r="AE156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6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6" s="1" t="str">
        <f t="shared" si="57"/>
        <v>EC</v>
      </c>
    </row>
  </sheetData>
  <autoFilter ref="A12:AD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9" priority="76" operator="equal">
      <formula>"Y"</formula>
    </cfRule>
  </conditionalFormatting>
  <conditionalFormatting sqref="X13:X1048576">
    <cfRule type="cellIs" dxfId="18" priority="59" operator="greaterThan">
      <formula>1</formula>
    </cfRule>
  </conditionalFormatting>
  <conditionalFormatting sqref="X12:X1048576">
    <cfRule type="cellIs" dxfId="17" priority="56" operator="equal">
      <formula>0</formula>
    </cfRule>
  </conditionalFormatting>
  <conditionalFormatting sqref="A13:S156">
    <cfRule type="expression" dxfId="16" priority="52">
      <formula>$O13&gt;0</formula>
    </cfRule>
  </conditionalFormatting>
  <conditionalFormatting sqref="A13:S156">
    <cfRule type="expression" dxfId="15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4"/>
  <sheetViews>
    <sheetView tabSelected="1" zoomScale="85" zoomScaleNormal="85" workbookViewId="0">
      <selection activeCell="N22" sqref="N2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2" s="27" customFormat="1" ht="30" x14ac:dyDescent="0.25">
      <c r="A2" s="8"/>
      <c r="F2" s="2"/>
      <c r="G2" s="2"/>
      <c r="H2" s="2"/>
      <c r="J2" s="2"/>
      <c r="K2" s="48" t="s">
        <v>109</v>
      </c>
      <c r="L2" s="111"/>
      <c r="M2" s="114">
        <f>COUNTIF($M$7:$M$672,"=Y")</f>
        <v>4</v>
      </c>
      <c r="Q2" s="33"/>
      <c r="T2" s="71"/>
    </row>
    <row r="3" spans="1:22" s="27" customFormat="1" ht="15.75" thickBot="1" x14ac:dyDescent="0.3">
      <c r="A3" s="8"/>
      <c r="F3" s="2"/>
      <c r="G3" s="2"/>
      <c r="H3" s="2"/>
      <c r="J3" s="2"/>
      <c r="K3" s="49" t="s">
        <v>110</v>
      </c>
      <c r="L3" s="112"/>
      <c r="M3" s="115">
        <f>COUNTA($M$7:$M$672)-M2</f>
        <v>43</v>
      </c>
      <c r="Q3" s="33"/>
      <c r="T3" s="71"/>
    </row>
    <row r="4" spans="1:22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2" s="13" customFormat="1" ht="15" customHeight="1" x14ac:dyDescent="0.25">
      <c r="A5" s="124" t="str">
        <f>"Eagle P3 Braking Events - "&amp;TEXT(Variables!$A$2,"YYYY-mm-dd")</f>
        <v>Eagle P3 Braking Events - 2016-07-10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4"/>
      <c r="Q5" s="32"/>
      <c r="T5" s="72"/>
    </row>
    <row r="6" spans="1:22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3" t="s">
        <v>48</v>
      </c>
      <c r="M6" s="83" t="s">
        <v>27</v>
      </c>
      <c r="N6" s="83" t="s">
        <v>24</v>
      </c>
      <c r="P6" s="85" t="s">
        <v>236</v>
      </c>
      <c r="Q6" s="85" t="s">
        <v>69</v>
      </c>
      <c r="R6" s="86" t="s">
        <v>235</v>
      </c>
      <c r="S6" s="83" t="s">
        <v>229</v>
      </c>
      <c r="T6" s="87" t="s">
        <v>230</v>
      </c>
      <c r="U6" s="88" t="s">
        <v>310</v>
      </c>
      <c r="V6" s="73" t="s">
        <v>394</v>
      </c>
    </row>
    <row r="7" spans="1:22" s="1" customFormat="1" x14ac:dyDescent="0.25">
      <c r="A7" s="81">
        <v>42561.45417824074</v>
      </c>
      <c r="B7" s="67" t="s">
        <v>117</v>
      </c>
      <c r="C7" s="43" t="s">
        <v>410</v>
      </c>
      <c r="D7" s="43" t="s">
        <v>399</v>
      </c>
      <c r="E7" s="67" t="s">
        <v>411</v>
      </c>
      <c r="F7" s="69">
        <v>790</v>
      </c>
      <c r="G7" s="69">
        <v>842</v>
      </c>
      <c r="H7" s="69">
        <v>140510</v>
      </c>
      <c r="I7" s="67" t="s">
        <v>58</v>
      </c>
      <c r="J7" s="69">
        <v>110617</v>
      </c>
      <c r="K7" s="43" t="s">
        <v>53</v>
      </c>
      <c r="L7" s="105" t="str">
        <f>VLOOKUP(C7,'Trips&amp;Operators'!$C$1:$E$9999,3,0)</f>
        <v>MAYBERRY</v>
      </c>
      <c r="M7" s="9" t="s">
        <v>108</v>
      </c>
      <c r="N7" s="10" t="s">
        <v>445</v>
      </c>
      <c r="O7" s="43"/>
      <c r="P7" s="76" t="str">
        <f>VLOOKUP(C7,'Train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7" s="74" t="str">
        <f>VLOOKUP(C7,'Train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75" t="str">
        <f>VLOOKUP(C7,'Train Runs'!$A$13:$AF$894,32,0)</f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S7" s="9" t="str">
        <f>MID(B7,13,4)</f>
        <v>4011</v>
      </c>
      <c r="T7" s="50">
        <f>A7+6/24</f>
        <v>42561.70417824074</v>
      </c>
      <c r="U7" s="73" t="str">
        <f>IF(VALUE(LEFT(C7,3))&lt;300,"EC","NWGL")</f>
        <v>EC</v>
      </c>
      <c r="V7" s="73" t="str">
        <f>IF(AND(E7="TRACK WARRANT AUTHORITY",G7&lt;10),"OMIT","KEEP")</f>
        <v>KEEP</v>
      </c>
    </row>
    <row r="8" spans="1:22" s="1" customFormat="1" x14ac:dyDescent="0.25">
      <c r="A8" s="81">
        <v>42561.628275462965</v>
      </c>
      <c r="B8" s="43" t="s">
        <v>129</v>
      </c>
      <c r="C8" s="43" t="s">
        <v>419</v>
      </c>
      <c r="D8" s="43" t="s">
        <v>50</v>
      </c>
      <c r="E8" s="43" t="s">
        <v>293</v>
      </c>
      <c r="F8" s="69">
        <v>50</v>
      </c>
      <c r="G8" s="69">
        <v>160</v>
      </c>
      <c r="H8" s="69">
        <v>63892</v>
      </c>
      <c r="I8" s="43" t="s">
        <v>294</v>
      </c>
      <c r="J8" s="69">
        <v>63309</v>
      </c>
      <c r="K8" s="43" t="s">
        <v>54</v>
      </c>
      <c r="L8" s="105" t="str">
        <f>VLOOKUP(C8,'Trips&amp;Operators'!$C$1:$E$9999,3,0)</f>
        <v>PELLITIER</v>
      </c>
      <c r="M8" s="9" t="s">
        <v>108</v>
      </c>
      <c r="N8" s="10" t="s">
        <v>630</v>
      </c>
      <c r="O8" s="43"/>
      <c r="P8" s="76" t="str">
        <f>VLOOKUP(C8,'Train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8" s="74" t="str">
        <f>VLOOKUP(C8,'Train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5" t="str">
        <f>VLOOKUP(C8,'Train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8" s="9" t="str">
        <f>MID(B8,13,4)</f>
        <v>4027</v>
      </c>
      <c r="T8" s="50">
        <f>A8+6/24</f>
        <v>42561.878275462965</v>
      </c>
      <c r="U8" s="73" t="str">
        <f>IF(VALUE(LEFT(C8,3))&lt;300,"EC","NWGL")</f>
        <v>EC</v>
      </c>
      <c r="V8" s="73" t="str">
        <f>IF(AND(E8="TRACK WARRANT AUTHORITY",G8&lt;10),"OMIT","KEEP")</f>
        <v>KEEP</v>
      </c>
    </row>
    <row r="9" spans="1:22" s="1" customFormat="1" x14ac:dyDescent="0.25">
      <c r="A9" s="81">
        <v>42561.547002314815</v>
      </c>
      <c r="B9" s="67" t="s">
        <v>67</v>
      </c>
      <c r="C9" s="43" t="s">
        <v>416</v>
      </c>
      <c r="D9" s="43" t="s">
        <v>50</v>
      </c>
      <c r="E9" s="67" t="s">
        <v>293</v>
      </c>
      <c r="F9" s="69">
        <v>620</v>
      </c>
      <c r="G9" s="69">
        <v>764</v>
      </c>
      <c r="H9" s="69">
        <v>105852</v>
      </c>
      <c r="I9" s="67" t="s">
        <v>294</v>
      </c>
      <c r="J9" s="69">
        <v>108954</v>
      </c>
      <c r="K9" s="43" t="s">
        <v>53</v>
      </c>
      <c r="L9" s="105" t="str">
        <f>VLOOKUP(C9,'Trips&amp;Operators'!$C$1:$E$9999,3,0)</f>
        <v>PELLITIER</v>
      </c>
      <c r="M9" s="9" t="s">
        <v>108</v>
      </c>
      <c r="N9" s="10" t="s">
        <v>630</v>
      </c>
      <c r="O9" s="43"/>
      <c r="P9" s="76" t="str">
        <f>VLOOKUP(C9,'Train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9" s="74" t="str">
        <f>VLOOKUP(C9,'Train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9" s="75" t="str">
        <f>VLOOKUP(C9,'Train Runs'!$A$13:$AF$894,32,0)</f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S9" s="9" t="str">
        <f>MID(B9,13,4)</f>
        <v>4032</v>
      </c>
      <c r="T9" s="50">
        <f>A9+6/24</f>
        <v>42561.797002314815</v>
      </c>
      <c r="U9" s="73" t="str">
        <f>IF(VALUE(LEFT(C9,3))&lt;300,"EC","NWGL")</f>
        <v>EC</v>
      </c>
      <c r="V9" s="73" t="str">
        <f>IF(AND(E9="TRACK WARRANT AUTHORITY",G9&lt;10),"OMIT","KEEP")</f>
        <v>KEEP</v>
      </c>
    </row>
    <row r="10" spans="1:22" s="1" customFormat="1" x14ac:dyDescent="0.25">
      <c r="A10" s="81">
        <v>42562.000520833331</v>
      </c>
      <c r="B10" s="67" t="s">
        <v>147</v>
      </c>
      <c r="C10" s="43" t="s">
        <v>443</v>
      </c>
      <c r="D10" s="43" t="s">
        <v>50</v>
      </c>
      <c r="E10" s="67" t="s">
        <v>57</v>
      </c>
      <c r="F10" s="69">
        <v>150</v>
      </c>
      <c r="G10" s="69">
        <v>126</v>
      </c>
      <c r="H10" s="69">
        <v>1734</v>
      </c>
      <c r="I10" s="67" t="s">
        <v>58</v>
      </c>
      <c r="J10" s="69">
        <v>2096</v>
      </c>
      <c r="K10" s="43" t="s">
        <v>53</v>
      </c>
      <c r="L10" s="105" t="str">
        <f>VLOOKUP(C10,'Trips&amp;Operators'!$C$1:$E$9999,3,0)</f>
        <v>NEWELL</v>
      </c>
      <c r="M10" s="9" t="s">
        <v>108</v>
      </c>
      <c r="N10" s="10"/>
      <c r="O10" s="43"/>
      <c r="P10" s="76" t="str">
        <f>VLOOKUP(C10,'Train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10" s="74" t="str">
        <f>VLOOKUP(C10,'Train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0" s="75" t="str">
        <f>VLOOKUP(C10,'Train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10" s="9" t="str">
        <f>MID(B10,13,4)</f>
        <v>4007</v>
      </c>
      <c r="T10" s="50">
        <f>A10+6/24</f>
        <v>42562.250520833331</v>
      </c>
      <c r="U10" s="73" t="str">
        <f>IF(VALUE(LEFT(C10,3))&lt;300,"EC","NWGL")</f>
        <v>EC</v>
      </c>
      <c r="V10" s="73" t="str">
        <f>IF(AND(E10="TRACK WARRANT AUTHORITY",G10&lt;10),"OMIT","KEEP")</f>
        <v>KEEP</v>
      </c>
    </row>
    <row r="11" spans="1:22" s="1" customFormat="1" x14ac:dyDescent="0.25">
      <c r="A11" s="81">
        <v>42561.704027777778</v>
      </c>
      <c r="B11" s="67" t="s">
        <v>120</v>
      </c>
      <c r="C11" s="43" t="s">
        <v>429</v>
      </c>
      <c r="D11" s="43" t="s">
        <v>50</v>
      </c>
      <c r="E11" s="67" t="s">
        <v>57</v>
      </c>
      <c r="F11" s="69">
        <v>150</v>
      </c>
      <c r="G11" s="69">
        <v>182</v>
      </c>
      <c r="H11" s="69">
        <v>4910</v>
      </c>
      <c r="I11" s="67" t="s">
        <v>58</v>
      </c>
      <c r="J11" s="69">
        <v>4677</v>
      </c>
      <c r="K11" s="43" t="s">
        <v>54</v>
      </c>
      <c r="L11" s="105" t="str">
        <f>VLOOKUP(C11,'Trips&amp;Operators'!$C$1:$E$9999,3,0)</f>
        <v>SNYDER</v>
      </c>
      <c r="M11" s="9" t="s">
        <v>108</v>
      </c>
      <c r="N11" s="10"/>
      <c r="O11" s="73"/>
      <c r="P11" s="76" t="str">
        <f>VLOOKUP(C11,'Train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1" s="74" t="str">
        <f>VLOOKUP(C11,'Train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1" s="75" t="str">
        <f>VLOOKUP(C11,'Train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11" s="9" t="str">
        <f>MID(B11,13,4)</f>
        <v>4026</v>
      </c>
      <c r="T11" s="50">
        <f>A11+6/24</f>
        <v>42561.954027777778</v>
      </c>
      <c r="U11" s="73" t="str">
        <f>IF(VALUE(LEFT(C11,3))&lt;300,"EC","NWGL")</f>
        <v>EC</v>
      </c>
      <c r="V11" s="73" t="str">
        <f>IF(AND(E11="TRACK WARRANT AUTHORITY",G11&lt;10),"OMIT","KEEP")</f>
        <v>KEEP</v>
      </c>
    </row>
    <row r="12" spans="1:22" s="1" customFormat="1" x14ac:dyDescent="0.25">
      <c r="A12" s="81">
        <v>42561.700868055559</v>
      </c>
      <c r="B12" s="67" t="s">
        <v>149</v>
      </c>
      <c r="C12" s="43" t="s">
        <v>427</v>
      </c>
      <c r="D12" s="43" t="s">
        <v>50</v>
      </c>
      <c r="E12" s="43" t="s">
        <v>57</v>
      </c>
      <c r="F12" s="69">
        <v>400</v>
      </c>
      <c r="G12" s="69">
        <v>486</v>
      </c>
      <c r="H12" s="69">
        <v>17261</v>
      </c>
      <c r="I12" s="43" t="s">
        <v>58</v>
      </c>
      <c r="J12" s="69">
        <v>17867</v>
      </c>
      <c r="K12" s="43" t="s">
        <v>53</v>
      </c>
      <c r="L12" s="105" t="str">
        <f>VLOOKUP(C12,'Trips&amp;Operators'!$C$1:$E$9999,3,0)</f>
        <v>STORY</v>
      </c>
      <c r="M12" s="9" t="s">
        <v>108</v>
      </c>
      <c r="N12" s="10"/>
      <c r="O12" s="43"/>
      <c r="P12" s="76" t="str">
        <f>VLOOKUP(C12,'Train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2" s="74" t="str">
        <f>VLOOKUP(C12,'Train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2" s="75" t="str">
        <f>VLOOKUP(C12,'Train Runs'!$A$13:$AF$894,32,0)</f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S12" s="9" t="str">
        <f>MID(B12,13,4)</f>
        <v>4040</v>
      </c>
      <c r="T12" s="50">
        <f>A12+6/24</f>
        <v>42561.950868055559</v>
      </c>
      <c r="U12" s="73" t="str">
        <f>IF(VALUE(LEFT(C12,3))&lt;300,"EC","NWGL")</f>
        <v>EC</v>
      </c>
      <c r="V12" s="73" t="str">
        <f>IF(AND(E12="TRACK WARRANT AUTHORITY",G12&lt;10),"OMIT","KEEP")</f>
        <v>KEEP</v>
      </c>
    </row>
    <row r="13" spans="1:22" s="1" customFormat="1" x14ac:dyDescent="0.25">
      <c r="A13" s="81">
        <v>42561.275659722225</v>
      </c>
      <c r="B13" s="67" t="s">
        <v>123</v>
      </c>
      <c r="C13" s="43" t="s">
        <v>403</v>
      </c>
      <c r="D13" s="43" t="s">
        <v>50</v>
      </c>
      <c r="E13" s="67" t="s">
        <v>57</v>
      </c>
      <c r="F13" s="69">
        <v>200</v>
      </c>
      <c r="G13" s="69">
        <v>239</v>
      </c>
      <c r="H13" s="69">
        <v>27231</v>
      </c>
      <c r="I13" s="67" t="s">
        <v>58</v>
      </c>
      <c r="J13" s="69">
        <v>27333</v>
      </c>
      <c r="K13" s="43" t="s">
        <v>53</v>
      </c>
      <c r="L13" s="105" t="str">
        <f>VLOOKUP(C13,'Trips&amp;Operators'!$C$1:$E$9999,3,0)</f>
        <v>MALAVE</v>
      </c>
      <c r="M13" s="9" t="s">
        <v>108</v>
      </c>
      <c r="N13" s="10"/>
      <c r="O13" s="43"/>
      <c r="P13" s="76" t="str">
        <f>VLOOKUP(C13,'Train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13" s="74" t="str">
        <f>VLOOKUP(C13,'Train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3" s="75" t="str">
        <f>VLOOKUP(C13,'Train Runs'!$A$13:$AF$894,32,0)</f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S13" s="9" t="str">
        <f>MID(B13,13,4)</f>
        <v>4025</v>
      </c>
      <c r="T13" s="50">
        <f>A13+6/24</f>
        <v>42561.525659722225</v>
      </c>
      <c r="U13" s="73" t="str">
        <f>IF(VALUE(LEFT(C13,3))&lt;300,"EC","NWGL")</f>
        <v>EC</v>
      </c>
      <c r="V13" s="73" t="str">
        <f>IF(AND(E13="TRACK WARRANT AUTHORITY",G13&lt;10),"OMIT","KEEP")</f>
        <v>KEEP</v>
      </c>
    </row>
    <row r="14" spans="1:22" s="1" customFormat="1" x14ac:dyDescent="0.25">
      <c r="A14" s="81">
        <v>42561.769733796296</v>
      </c>
      <c r="B14" s="68" t="s">
        <v>120</v>
      </c>
      <c r="C14" s="11" t="s">
        <v>431</v>
      </c>
      <c r="D14" s="11" t="s">
        <v>50</v>
      </c>
      <c r="E14" s="68" t="s">
        <v>57</v>
      </c>
      <c r="F14" s="70">
        <v>200</v>
      </c>
      <c r="G14" s="70">
        <v>242</v>
      </c>
      <c r="H14" s="70">
        <v>30922</v>
      </c>
      <c r="I14" s="68" t="s">
        <v>58</v>
      </c>
      <c r="J14" s="70">
        <v>30562</v>
      </c>
      <c r="K14" s="10" t="s">
        <v>54</v>
      </c>
      <c r="L14" s="105" t="str">
        <f>VLOOKUP(C14,'Trips&amp;Operators'!$C$1:$E$9999,3,0)</f>
        <v>SNYDER</v>
      </c>
      <c r="M14" s="9" t="s">
        <v>108</v>
      </c>
      <c r="N14" s="10"/>
      <c r="O14" s="73"/>
      <c r="P14" s="76" t="str">
        <f>VLOOKUP(C14,'Train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4" s="74" t="str">
        <f>VLOOKUP(C14,'Train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4" s="75" t="str">
        <f>VLOOKUP(C14,'Train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4" s="9" t="str">
        <f>MID(B14,13,4)</f>
        <v>4026</v>
      </c>
      <c r="T14" s="50">
        <f>A14+6/24</f>
        <v>42562.019733796296</v>
      </c>
      <c r="U14" s="73" t="str">
        <f>IF(VALUE(LEFT(C14,3))&lt;300,"EC","NWGL")</f>
        <v>EC</v>
      </c>
      <c r="V14" s="73" t="str">
        <f>IF(AND(E14="TRACK WARRANT AUTHORITY",G14&lt;10),"OMIT","KEEP")</f>
        <v>KEEP</v>
      </c>
    </row>
    <row r="15" spans="1:22" s="1" customFormat="1" x14ac:dyDescent="0.25">
      <c r="A15" s="81">
        <v>42561.670023148145</v>
      </c>
      <c r="B15" s="67" t="s">
        <v>169</v>
      </c>
      <c r="C15" s="43" t="s">
        <v>424</v>
      </c>
      <c r="D15" s="43" t="s">
        <v>399</v>
      </c>
      <c r="E15" s="67" t="s">
        <v>57</v>
      </c>
      <c r="F15" s="69">
        <v>600</v>
      </c>
      <c r="G15" s="69">
        <v>659</v>
      </c>
      <c r="H15" s="69">
        <v>184061</v>
      </c>
      <c r="I15" s="67" t="s">
        <v>58</v>
      </c>
      <c r="J15" s="69">
        <v>190834</v>
      </c>
      <c r="K15" s="43" t="s">
        <v>54</v>
      </c>
      <c r="L15" s="105" t="str">
        <f>VLOOKUP(C15,'Trips&amp;Operators'!$C$1:$E$9999,3,0)</f>
        <v>STORY</v>
      </c>
      <c r="M15" s="9" t="s">
        <v>108</v>
      </c>
      <c r="N15" s="10"/>
      <c r="O15" s="73"/>
      <c r="P15" s="76" t="str">
        <f>VLOOKUP(C15,'Train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15" s="74" t="str">
        <f>VLOOKUP(C15,'Train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5" t="str">
        <f>VLOOKUP(C15,'Train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15" s="9" t="str">
        <f>MID(B15,13,4)</f>
        <v>4039</v>
      </c>
      <c r="T15" s="50">
        <f>A15+6/24</f>
        <v>42561.920023148145</v>
      </c>
      <c r="U15" s="73" t="str">
        <f>IF(VALUE(LEFT(C15,3))&lt;300,"EC","NWGL")</f>
        <v>EC</v>
      </c>
      <c r="V15" s="73" t="str">
        <f>IF(AND(E15="TRACK WARRANT AUTHORITY",G15&lt;10),"OMIT","KEEP")</f>
        <v>KEEP</v>
      </c>
    </row>
    <row r="16" spans="1:22" s="1" customFormat="1" x14ac:dyDescent="0.25">
      <c r="A16" s="81">
        <v>42561.575694444444</v>
      </c>
      <c r="B16" s="67" t="s">
        <v>149</v>
      </c>
      <c r="C16" s="43" t="s">
        <v>418</v>
      </c>
      <c r="D16" s="43" t="s">
        <v>50</v>
      </c>
      <c r="E16" s="67" t="s">
        <v>57</v>
      </c>
      <c r="F16" s="69">
        <v>350</v>
      </c>
      <c r="G16" s="69">
        <v>534</v>
      </c>
      <c r="H16" s="69">
        <v>222916</v>
      </c>
      <c r="I16" s="67" t="s">
        <v>58</v>
      </c>
      <c r="J16" s="69">
        <v>224578</v>
      </c>
      <c r="K16" s="43" t="s">
        <v>53</v>
      </c>
      <c r="L16" s="105" t="str">
        <f>VLOOKUP(C16,'Trips&amp;Operators'!$C$1:$E$9999,3,0)</f>
        <v>STORY</v>
      </c>
      <c r="M16" s="9" t="s">
        <v>108</v>
      </c>
      <c r="N16" s="10"/>
      <c r="O16" s="43"/>
      <c r="P16" s="76" t="str">
        <f>VLOOKUP(C16,'Train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6" s="74" t="str">
        <f>VLOOKUP(C16,'Train Runs'!$A$13:$AE$894,22,0)</f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6" s="75" t="str">
        <f>VLOOKUP(C16,'Train Runs'!$A$13:$AF$894,32,0)</f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S16" s="9" t="str">
        <f>MID(B16,13,4)</f>
        <v>4040</v>
      </c>
      <c r="T16" s="50">
        <f>A16+6/24</f>
        <v>42561.825694444444</v>
      </c>
      <c r="U16" s="73" t="str">
        <f>IF(VALUE(LEFT(C16,3))&lt;300,"EC","NWGL")</f>
        <v>EC</v>
      </c>
      <c r="V16" s="73" t="str">
        <f>IF(AND(E16="TRACK WARRANT AUTHORITY",G16&lt;10),"OMIT","KEEP")</f>
        <v>KEEP</v>
      </c>
    </row>
    <row r="17" spans="1:22" s="1" customFormat="1" x14ac:dyDescent="0.25">
      <c r="A17" s="81">
        <v>42561.525509259256</v>
      </c>
      <c r="B17" s="67" t="s">
        <v>73</v>
      </c>
      <c r="C17" s="43" t="s">
        <v>415</v>
      </c>
      <c r="D17" s="43" t="s">
        <v>50</v>
      </c>
      <c r="E17" s="67" t="s">
        <v>57</v>
      </c>
      <c r="F17" s="69">
        <v>150</v>
      </c>
      <c r="G17" s="69">
        <v>209</v>
      </c>
      <c r="H17" s="69">
        <v>228532</v>
      </c>
      <c r="I17" s="67" t="s">
        <v>58</v>
      </c>
      <c r="J17" s="69">
        <v>228668</v>
      </c>
      <c r="K17" s="43" t="s">
        <v>53</v>
      </c>
      <c r="L17" s="105" t="str">
        <f>VLOOKUP(C17,'Trips&amp;Operators'!$C$1:$E$9999,3,0)</f>
        <v>YOUNG</v>
      </c>
      <c r="M17" s="9" t="s">
        <v>108</v>
      </c>
      <c r="N17" s="10"/>
      <c r="O17" s="43"/>
      <c r="P17" s="76" t="str">
        <f>VLOOKUP(C17,'Train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17" s="74" t="str">
        <f>VLOOKUP(C17,'Train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7" s="75" t="str">
        <f>VLOOKUP(C17,'Train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17" s="9" t="str">
        <f>MID(B17,13,4)</f>
        <v>4020</v>
      </c>
      <c r="T17" s="50">
        <f>A17+6/24</f>
        <v>42561.775509259256</v>
      </c>
      <c r="U17" s="73" t="str">
        <f>IF(VALUE(LEFT(C17,3))&lt;300,"EC","NWGL")</f>
        <v>EC</v>
      </c>
      <c r="V17" s="73" t="str">
        <f>IF(AND(E17="TRACK WARRANT AUTHORITY",G17&lt;10),"OMIT","KEEP")</f>
        <v>KEEP</v>
      </c>
    </row>
    <row r="18" spans="1:22" s="1" customFormat="1" x14ac:dyDescent="0.25">
      <c r="A18" s="81">
        <v>42561.698854166665</v>
      </c>
      <c r="B18" s="67" t="s">
        <v>118</v>
      </c>
      <c r="C18" s="43" t="s">
        <v>426</v>
      </c>
      <c r="D18" s="43" t="s">
        <v>50</v>
      </c>
      <c r="E18" s="67" t="s">
        <v>57</v>
      </c>
      <c r="F18" s="69">
        <v>150</v>
      </c>
      <c r="G18" s="69">
        <v>181</v>
      </c>
      <c r="H18" s="69">
        <v>229210</v>
      </c>
      <c r="I18" s="67" t="s">
        <v>58</v>
      </c>
      <c r="J18" s="69">
        <v>229055</v>
      </c>
      <c r="K18" s="43" t="s">
        <v>54</v>
      </c>
      <c r="L18" s="105" t="str">
        <f>VLOOKUP(C18,'Trips&amp;Operators'!$C$1:$E$9999,3,0)</f>
        <v>MAYBERRY</v>
      </c>
      <c r="M18" s="9" t="s">
        <v>108</v>
      </c>
      <c r="N18" s="10"/>
      <c r="O18" s="43"/>
      <c r="P18" s="76" t="str">
        <f>VLOOKUP(C18,'Train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18" s="74" t="str">
        <f>VLOOKUP(C18,'Train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18" s="75" t="str">
        <f>VLOOKUP(C18,'Train Runs'!$A$13:$AF$894,32,0)</f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S18" s="9" t="str">
        <f>MID(B18,13,4)</f>
        <v>4012</v>
      </c>
      <c r="T18" s="50">
        <f>A18+6/24</f>
        <v>42561.948854166665</v>
      </c>
      <c r="U18" s="73" t="str">
        <f>IF(VALUE(LEFT(C18,3))&lt;300,"EC","NWGL")</f>
        <v>EC</v>
      </c>
      <c r="V18" s="73" t="str">
        <f>IF(AND(E18="TRACK WARRANT AUTHORITY",G18&lt;10),"OMIT","KEEP")</f>
        <v>KEEP</v>
      </c>
    </row>
    <row r="19" spans="1:22" s="1" customFormat="1" x14ac:dyDescent="0.25">
      <c r="A19" s="81">
        <v>42561.748807870368</v>
      </c>
      <c r="B19" s="43" t="s">
        <v>120</v>
      </c>
      <c r="C19" s="43" t="s">
        <v>431</v>
      </c>
      <c r="D19" s="43" t="s">
        <v>50</v>
      </c>
      <c r="E19" s="43" t="s">
        <v>57</v>
      </c>
      <c r="F19" s="69">
        <v>150</v>
      </c>
      <c r="G19" s="69">
        <v>185</v>
      </c>
      <c r="H19" s="69">
        <v>229339</v>
      </c>
      <c r="I19" s="43" t="s">
        <v>58</v>
      </c>
      <c r="J19" s="69">
        <v>229055</v>
      </c>
      <c r="K19" s="43" t="s">
        <v>54</v>
      </c>
      <c r="L19" s="105" t="str">
        <f>VLOOKUP(C19,'Trips&amp;Operators'!$C$1:$E$9999,3,0)</f>
        <v>SNYDER</v>
      </c>
      <c r="M19" s="9" t="s">
        <v>108</v>
      </c>
      <c r="N19" s="10"/>
      <c r="O19" s="43"/>
      <c r="P19" s="76" t="str">
        <f>VLOOKUP(C19,'Train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9" s="74" t="str">
        <f>VLOOKUP(C19,'Train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9" s="75" t="str">
        <f>VLOOKUP(C19,'Train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9" s="9" t="str">
        <f>MID(B19,13,4)</f>
        <v>4026</v>
      </c>
      <c r="T19" s="50">
        <f>A19+6/24</f>
        <v>42561.998807870368</v>
      </c>
      <c r="U19" s="73" t="str">
        <f>IF(VALUE(LEFT(C19,3))&lt;300,"EC","NWGL")</f>
        <v>EC</v>
      </c>
      <c r="V19" s="73" t="str">
        <f>IF(AND(E19="TRACK WARRANT AUTHORITY",G19&lt;10),"OMIT","KEEP")</f>
        <v>KEEP</v>
      </c>
    </row>
    <row r="20" spans="1:22" s="1" customFormat="1" x14ac:dyDescent="0.25">
      <c r="A20" s="81">
        <v>42561.409131944441</v>
      </c>
      <c r="B20" s="67" t="s">
        <v>76</v>
      </c>
      <c r="C20" s="43" t="s">
        <v>407</v>
      </c>
      <c r="D20" s="43" t="s">
        <v>50</v>
      </c>
      <c r="E20" s="67" t="s">
        <v>57</v>
      </c>
      <c r="F20" s="69">
        <v>150</v>
      </c>
      <c r="G20" s="69">
        <v>162</v>
      </c>
      <c r="H20" s="69">
        <v>229619</v>
      </c>
      <c r="I20" s="67" t="s">
        <v>58</v>
      </c>
      <c r="J20" s="69">
        <v>230436</v>
      </c>
      <c r="K20" s="43" t="s">
        <v>53</v>
      </c>
      <c r="L20" s="105" t="str">
        <f>VLOOKUP(C20,'Trips&amp;Operators'!$C$1:$E$9999,3,0)</f>
        <v>ACKERMAN</v>
      </c>
      <c r="M20" s="9" t="s">
        <v>108</v>
      </c>
      <c r="N20" s="10"/>
      <c r="O20" s="43"/>
      <c r="P20" s="76" t="str">
        <f>VLOOKUP(C20,'Train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20" s="74" t="str">
        <f>VLOOKUP(C20,'Train Runs'!$A$13:$AE$894,22,0)</f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0" s="75" t="str">
        <f>VLOOKUP(C20,'Train Runs'!$A$13:$AF$894,32,0)</f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S20" s="9" t="str">
        <f>MID(B20,13,4)</f>
        <v>4031</v>
      </c>
      <c r="T20" s="50">
        <f>A20+6/24</f>
        <v>42561.659131944441</v>
      </c>
      <c r="U20" s="73" t="str">
        <f>IF(VALUE(LEFT(C20,3))&lt;300,"EC","NWGL")</f>
        <v>EC</v>
      </c>
      <c r="V20" s="73" t="str">
        <f>IF(AND(E20="TRACK WARRANT AUTHORITY",G20&lt;10),"OMIT","KEEP")</f>
        <v>KEEP</v>
      </c>
    </row>
    <row r="21" spans="1:22" s="1" customFormat="1" x14ac:dyDescent="0.25">
      <c r="A21" s="81">
        <v>42561.26699074074</v>
      </c>
      <c r="B21" s="67" t="s">
        <v>124</v>
      </c>
      <c r="C21" s="43" t="s">
        <v>402</v>
      </c>
      <c r="D21" s="43" t="s">
        <v>50</v>
      </c>
      <c r="E21" s="67" t="s">
        <v>55</v>
      </c>
      <c r="F21" s="69">
        <v>0</v>
      </c>
      <c r="G21" s="69">
        <v>67</v>
      </c>
      <c r="H21" s="69">
        <v>861</v>
      </c>
      <c r="I21" s="67" t="s">
        <v>56</v>
      </c>
      <c r="J21" s="69">
        <v>1692</v>
      </c>
      <c r="K21" s="43" t="s">
        <v>53</v>
      </c>
      <c r="L21" s="105" t="b">
        <f>VLOOKUP(C21,'Trips&amp;Operators'!$C$1:$E$9999,3,0)</f>
        <v>1</v>
      </c>
      <c r="M21" s="9" t="s">
        <v>108</v>
      </c>
      <c r="N21" s="10" t="s">
        <v>637</v>
      </c>
      <c r="O21" s="43"/>
      <c r="P21" s="76" t="str">
        <f>VLOOKUP(C21,'Train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21" s="74" t="str">
        <f>VLOOKUP(C21,'Train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75" t="str">
        <f>VLOOKUP(C21,'Train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21" s="9" t="str">
        <f>MID(B21,13,4)</f>
        <v>4028</v>
      </c>
      <c r="T21" s="50">
        <f>A21+6/24</f>
        <v>42561.51699074074</v>
      </c>
      <c r="U21" s="73" t="str">
        <f>IF(VALUE(LEFT(C21,3))&lt;300,"EC","NWGL")</f>
        <v>EC</v>
      </c>
      <c r="V21" s="73" t="str">
        <f>IF(AND(E21="TRACK WARRANT AUTHORITY",G21&lt;10),"OMIT","KEEP")</f>
        <v>KEEP</v>
      </c>
    </row>
    <row r="22" spans="1:22" s="1" customFormat="1" x14ac:dyDescent="0.25">
      <c r="A22" s="81">
        <v>42561.213287037041</v>
      </c>
      <c r="B22" s="67" t="s">
        <v>123</v>
      </c>
      <c r="C22" s="43" t="s">
        <v>396</v>
      </c>
      <c r="D22" s="43" t="s">
        <v>50</v>
      </c>
      <c r="E22" s="67" t="s">
        <v>55</v>
      </c>
      <c r="F22" s="69">
        <v>0</v>
      </c>
      <c r="G22" s="69">
        <v>436</v>
      </c>
      <c r="H22" s="69">
        <v>123996</v>
      </c>
      <c r="I22" s="67" t="s">
        <v>56</v>
      </c>
      <c r="J22" s="69">
        <v>126585</v>
      </c>
      <c r="K22" s="43" t="s">
        <v>53</v>
      </c>
      <c r="L22" s="105" t="str">
        <f>VLOOKUP(C22,'Trips&amp;Operators'!$C$1:$E$9999,3,0)</f>
        <v>MALAVE</v>
      </c>
      <c r="M22" s="9" t="s">
        <v>108</v>
      </c>
      <c r="N22" s="10" t="s">
        <v>642</v>
      </c>
      <c r="O22" s="43"/>
      <c r="P22" s="76" t="str">
        <f>VLOOKUP(C22,'Train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22" s="74" t="str">
        <f>VLOOKUP(C22,'Train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2" s="75" t="str">
        <f>VLOOKUP(C22,'Train Runs'!$A$13:$AF$894,32,0)</f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S22" s="9" t="str">
        <f>MID(B22,13,4)</f>
        <v>4025</v>
      </c>
      <c r="T22" s="50">
        <f>A22+6/24</f>
        <v>42561.463287037041</v>
      </c>
      <c r="U22" s="73" t="str">
        <f>IF(VALUE(LEFT(C22,3))&lt;300,"EC","NWGL")</f>
        <v>EC</v>
      </c>
      <c r="V22" s="73" t="str">
        <f>IF(AND(E22="TRACK WARRANT AUTHORITY",G22&lt;10),"OMIT","KEEP")</f>
        <v>KEEP</v>
      </c>
    </row>
    <row r="23" spans="1:22" s="1" customFormat="1" x14ac:dyDescent="0.25">
      <c r="A23" s="81">
        <v>42561.558935185189</v>
      </c>
      <c r="B23" s="67" t="s">
        <v>118</v>
      </c>
      <c r="C23" s="43" t="s">
        <v>417</v>
      </c>
      <c r="D23" s="43" t="s">
        <v>50</v>
      </c>
      <c r="E23" s="67" t="s">
        <v>55</v>
      </c>
      <c r="F23" s="69">
        <v>0</v>
      </c>
      <c r="G23" s="69">
        <v>407</v>
      </c>
      <c r="H23" s="69">
        <v>129467</v>
      </c>
      <c r="I23" s="67" t="s">
        <v>56</v>
      </c>
      <c r="J23" s="69">
        <v>127587</v>
      </c>
      <c r="K23" s="43" t="s">
        <v>54</v>
      </c>
      <c r="L23" s="105" t="str">
        <f>VLOOKUP(C23,'Trips&amp;Operators'!$C$1:$E$9999,3,0)</f>
        <v>MAYBERRY</v>
      </c>
      <c r="M23" s="9" t="s">
        <v>108</v>
      </c>
      <c r="N23" s="10" t="s">
        <v>638</v>
      </c>
      <c r="O23" s="43"/>
      <c r="P23" s="76" t="str">
        <f>VLOOKUP(C23,'Train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23" s="74" t="str">
        <f>VLOOKUP(C23,'Train Runs'!$A$13:$AE$894,22,0)</f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3" s="75" t="str">
        <f>VLOOKUP(C23,'Train Runs'!$A$13:$AF$894,32,0)</f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S23" s="9" t="str">
        <f>MID(B23,13,4)</f>
        <v>4012</v>
      </c>
      <c r="T23" s="50">
        <f>A23+6/24</f>
        <v>42561.808935185189</v>
      </c>
      <c r="U23" s="73" t="str">
        <f>IF(VALUE(LEFT(C23,3))&lt;300,"EC","NWGL")</f>
        <v>EC</v>
      </c>
      <c r="V23" s="73" t="str">
        <f>IF(AND(E23="TRACK WARRANT AUTHORITY",G23&lt;10),"OMIT","KEEP")</f>
        <v>KEEP</v>
      </c>
    </row>
    <row r="24" spans="1:22" x14ac:dyDescent="0.25">
      <c r="A24" s="81">
        <v>42561.652812499997</v>
      </c>
      <c r="B24" s="67" t="s">
        <v>149</v>
      </c>
      <c r="C24" s="43" t="s">
        <v>423</v>
      </c>
      <c r="D24" s="43" t="s">
        <v>50</v>
      </c>
      <c r="E24" s="67" t="s">
        <v>55</v>
      </c>
      <c r="F24" s="69">
        <v>0</v>
      </c>
      <c r="G24" s="69">
        <v>483</v>
      </c>
      <c r="H24" s="69">
        <v>151939</v>
      </c>
      <c r="I24" s="67" t="s">
        <v>56</v>
      </c>
      <c r="J24" s="69">
        <v>155600</v>
      </c>
      <c r="K24" s="43" t="s">
        <v>53</v>
      </c>
      <c r="L24" s="105" t="str">
        <f>VLOOKUP(C24,'Trips&amp;Operators'!$C$1:$E$9999,3,0)</f>
        <v>STORY</v>
      </c>
      <c r="M24" s="9" t="s">
        <v>108</v>
      </c>
      <c r="N24" s="10" t="s">
        <v>641</v>
      </c>
      <c r="O24" s="43"/>
      <c r="P24" s="76" t="str">
        <f>VLOOKUP(C24,'Train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4" s="74" t="str">
        <f>VLOOKUP(C24,'Train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5" t="str">
        <f>VLOOKUP(C24,'Train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4" s="9" t="str">
        <f>MID(B24,13,4)</f>
        <v>4040</v>
      </c>
      <c r="T24" s="50">
        <f>A24+6/24</f>
        <v>42561.902812499997</v>
      </c>
      <c r="U24" s="73" t="str">
        <f>IF(VALUE(LEFT(C24,3))&lt;300,"EC","NWGL")</f>
        <v>EC</v>
      </c>
      <c r="V24" s="73" t="str">
        <f>IF(AND(E24="TRACK WARRANT AUTHORITY",G24&lt;10),"OMIT","KEEP")</f>
        <v>KEEP</v>
      </c>
    </row>
    <row r="25" spans="1:22" x14ac:dyDescent="0.25">
      <c r="A25" s="81">
        <v>42561.658437500002</v>
      </c>
      <c r="B25" s="67" t="s">
        <v>149</v>
      </c>
      <c r="C25" s="43" t="s">
        <v>423</v>
      </c>
      <c r="D25" s="43" t="s">
        <v>50</v>
      </c>
      <c r="E25" s="67" t="s">
        <v>55</v>
      </c>
      <c r="F25" s="69">
        <v>0</v>
      </c>
      <c r="G25" s="69">
        <v>629</v>
      </c>
      <c r="H25" s="69">
        <v>219811</v>
      </c>
      <c r="I25" s="67" t="s">
        <v>56</v>
      </c>
      <c r="J25" s="69">
        <v>224231</v>
      </c>
      <c r="K25" s="43" t="s">
        <v>53</v>
      </c>
      <c r="L25" s="105" t="str">
        <f>VLOOKUP(C25,'Trips&amp;Operators'!$C$1:$E$9999,3,0)</f>
        <v>STORY</v>
      </c>
      <c r="M25" s="9" t="s">
        <v>107</v>
      </c>
      <c r="N25" s="10" t="s">
        <v>639</v>
      </c>
      <c r="O25" s="73"/>
      <c r="P25" s="76" t="str">
        <f>VLOOKUP(C25,'Train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5" s="74" t="str">
        <f>VLOOKUP(C25,'Train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75" t="str">
        <f>VLOOKUP(C25,'Train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5" s="9" t="str">
        <f>MID(B25,13,4)</f>
        <v>4040</v>
      </c>
      <c r="T25" s="50">
        <f>A25+6/24</f>
        <v>42561.908437500002</v>
      </c>
      <c r="U25" s="73" t="str">
        <f>IF(VALUE(LEFT(C25,3))&lt;300,"EC","NWGL")</f>
        <v>EC</v>
      </c>
      <c r="V25" s="73" t="str">
        <f>IF(AND(E25="TRACK WARRANT AUTHORITY",G25&lt;10),"OMIT","KEEP")</f>
        <v>KEEP</v>
      </c>
    </row>
    <row r="26" spans="1:22" x14ac:dyDescent="0.25">
      <c r="A26" s="81">
        <v>42561.647303240738</v>
      </c>
      <c r="B26" s="67" t="s">
        <v>67</v>
      </c>
      <c r="C26" s="43" t="s">
        <v>420</v>
      </c>
      <c r="D26" s="43" t="s">
        <v>50</v>
      </c>
      <c r="E26" s="67" t="s">
        <v>55</v>
      </c>
      <c r="F26" s="69">
        <v>0</v>
      </c>
      <c r="G26" s="69">
        <v>335</v>
      </c>
      <c r="H26" s="69">
        <v>225490</v>
      </c>
      <c r="I26" s="67" t="s">
        <v>56</v>
      </c>
      <c r="J26" s="69">
        <v>224244</v>
      </c>
      <c r="K26" s="43" t="s">
        <v>54</v>
      </c>
      <c r="L26" s="105" t="str">
        <f>VLOOKUP(C26,'Trips&amp;Operators'!$C$1:$E$9999,3,0)</f>
        <v>STEWART</v>
      </c>
      <c r="M26" s="9" t="s">
        <v>107</v>
      </c>
      <c r="N26" s="10" t="s">
        <v>640</v>
      </c>
      <c r="O26" s="43"/>
      <c r="P26" s="76" t="str">
        <f>VLOOKUP(C26,'Train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6" s="74" t="str">
        <f>VLOOKUP(C26,'Train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6" s="75" t="str">
        <f>VLOOKUP(C26,'Train Runs'!$A$13:$AF$894,32,0)</f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S26" s="9" t="str">
        <f>MID(B26,13,4)</f>
        <v>4032</v>
      </c>
      <c r="T26" s="50">
        <f>A26+6/24</f>
        <v>42561.897303240738</v>
      </c>
      <c r="U26" s="73" t="str">
        <f>IF(VALUE(LEFT(C26,3))&lt;300,"EC","NWGL")</f>
        <v>EC</v>
      </c>
      <c r="V26" s="73" t="str">
        <f>IF(AND(E26="TRACK WARRANT AUTHORITY",G26&lt;10),"OMIT","KEEP")</f>
        <v>KEEP</v>
      </c>
    </row>
    <row r="27" spans="1:22" x14ac:dyDescent="0.25">
      <c r="A27" s="81">
        <v>42561.238541666666</v>
      </c>
      <c r="B27" s="67" t="s">
        <v>120</v>
      </c>
      <c r="C27" s="43" t="s">
        <v>398</v>
      </c>
      <c r="D27" s="43" t="s">
        <v>399</v>
      </c>
      <c r="E27" s="67" t="s">
        <v>55</v>
      </c>
      <c r="F27" s="69">
        <v>0</v>
      </c>
      <c r="G27" s="69">
        <v>340</v>
      </c>
      <c r="H27" s="69">
        <v>225545</v>
      </c>
      <c r="I27" s="67" t="s">
        <v>56</v>
      </c>
      <c r="J27" s="69">
        <v>231650</v>
      </c>
      <c r="K27" s="43" t="s">
        <v>54</v>
      </c>
      <c r="L27" s="105" t="str">
        <f>VLOOKUP(C27,'Trips&amp;Operators'!$C$1:$E$9999,3,0)</f>
        <v>MALAVE</v>
      </c>
      <c r="M27" s="9" t="s">
        <v>107</v>
      </c>
      <c r="N27" s="10" t="s">
        <v>134</v>
      </c>
      <c r="O27" s="43"/>
      <c r="P27" s="76" t="str">
        <f>VLOOKUP(C27,'Train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27" s="74" t="str">
        <f>VLOOKUP(C27,'Train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7" s="75" t="str">
        <f>VLOOKUP(C27,'Train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27" s="9" t="str">
        <f>MID(B27,13,4)</f>
        <v>4026</v>
      </c>
      <c r="T27" s="50">
        <f>A27+6/24</f>
        <v>42561.488541666666</v>
      </c>
      <c r="U27" s="73" t="str">
        <f>IF(VALUE(LEFT(C27,3))&lt;300,"EC","NWGL")</f>
        <v>EC</v>
      </c>
      <c r="V27" s="73" t="str">
        <f>IF(AND(E27="TRACK WARRANT AUTHORITY",G27&lt;10),"OMIT","KEEP")</f>
        <v>KEEP</v>
      </c>
    </row>
    <row r="28" spans="1:22" x14ac:dyDescent="0.25">
      <c r="A28" s="81">
        <v>42561.242951388886</v>
      </c>
      <c r="B28" s="67" t="s">
        <v>74</v>
      </c>
      <c r="C28" s="43" t="s">
        <v>400</v>
      </c>
      <c r="D28" s="43" t="s">
        <v>399</v>
      </c>
      <c r="E28" s="67" t="s">
        <v>105</v>
      </c>
      <c r="F28" s="69">
        <v>0</v>
      </c>
      <c r="G28" s="69">
        <v>344</v>
      </c>
      <c r="H28" s="69">
        <v>104095</v>
      </c>
      <c r="I28" s="67" t="s">
        <v>106</v>
      </c>
      <c r="J28" s="69">
        <v>103445</v>
      </c>
      <c r="K28" s="43" t="s">
        <v>53</v>
      </c>
      <c r="L28" s="105" t="str">
        <f>VLOOKUP(C28,'Trips&amp;Operators'!$C$1:$E$9999,3,0)</f>
        <v>YORK</v>
      </c>
      <c r="M28" s="9" t="s">
        <v>107</v>
      </c>
      <c r="N28" s="10" t="s">
        <v>134</v>
      </c>
      <c r="O28" s="43"/>
      <c r="P28" s="76" t="str">
        <f>VLOOKUP(C28,'Train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28" s="74" t="str">
        <f>VLOOKUP(C28,'Train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8" s="75" t="str">
        <f>VLOOKUP(C28,'Train Runs'!$A$13:$AF$894,32,0)</f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S28" s="9" t="str">
        <f>MID(B28,13,4)</f>
        <v>4018</v>
      </c>
      <c r="T28" s="50">
        <f>A28+6/24</f>
        <v>42561.492951388886</v>
      </c>
      <c r="U28" s="73" t="str">
        <f>IF(VALUE(LEFT(C28,3))&lt;300,"EC","NWGL")</f>
        <v>EC</v>
      </c>
      <c r="V28" s="73" t="str">
        <f>IF(AND(E28="TRACK WARRANT AUTHORITY",G28&lt;10),"OMIT","KEEP")</f>
        <v>KEEP</v>
      </c>
    </row>
    <row r="29" spans="1:22" hidden="1" x14ac:dyDescent="0.25">
      <c r="A29" s="81">
        <v>42561.222488425927</v>
      </c>
      <c r="B29" s="67" t="s">
        <v>67</v>
      </c>
      <c r="C29" s="43" t="s">
        <v>397</v>
      </c>
      <c r="D29" s="43" t="s">
        <v>50</v>
      </c>
      <c r="E29" s="67" t="s">
        <v>51</v>
      </c>
      <c r="F29" s="69">
        <v>0</v>
      </c>
      <c r="G29" s="69">
        <v>6</v>
      </c>
      <c r="H29" s="69">
        <v>254</v>
      </c>
      <c r="I29" s="67" t="s">
        <v>52</v>
      </c>
      <c r="J29" s="69">
        <v>1</v>
      </c>
      <c r="K29" s="43" t="s">
        <v>54</v>
      </c>
      <c r="L29" s="105" t="str">
        <f>VLOOKUP(C29,'Trips&amp;Operators'!$C$1:$E$9999,3,0)</f>
        <v>ACKERMAN</v>
      </c>
      <c r="M29" s="9"/>
      <c r="N29" s="10"/>
      <c r="O29" s="43"/>
      <c r="P29" s="76" t="str">
        <f>VLOOKUP(C29,'Train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9" s="74" t="str">
        <f>VLOOKUP(C29,'Train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75" t="str">
        <f>VLOOKUP(C29,'Train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29" s="9" t="str">
        <f>MID(B29,13,4)</f>
        <v>4032</v>
      </c>
      <c r="T29" s="50">
        <f>A29+6/24</f>
        <v>42561.472488425927</v>
      </c>
      <c r="U29" s="73" t="str">
        <f>IF(VALUE(LEFT(C29,3))&lt;300,"EC","NWGL")</f>
        <v>EC</v>
      </c>
      <c r="V29" s="73" t="str">
        <f>IF(AND(E29="TRACK WARRANT AUTHORITY",G29&lt;10),"OMIT","KEEP")</f>
        <v>OMIT</v>
      </c>
    </row>
    <row r="30" spans="1:22" hidden="1" x14ac:dyDescent="0.25">
      <c r="A30" s="81">
        <v>42561.223344907405</v>
      </c>
      <c r="B30" s="43" t="s">
        <v>67</v>
      </c>
      <c r="C30" s="43" t="s">
        <v>397</v>
      </c>
      <c r="D30" s="43" t="s">
        <v>50</v>
      </c>
      <c r="E30" s="43" t="s">
        <v>51</v>
      </c>
      <c r="F30" s="69">
        <v>0</v>
      </c>
      <c r="G30" s="69">
        <v>5</v>
      </c>
      <c r="H30" s="69">
        <v>112</v>
      </c>
      <c r="I30" s="43" t="s">
        <v>52</v>
      </c>
      <c r="J30" s="69">
        <v>1</v>
      </c>
      <c r="K30" s="43" t="s">
        <v>54</v>
      </c>
      <c r="L30" s="105" t="str">
        <f>VLOOKUP(C30,'Trips&amp;Operators'!$C$1:$E$9999,3,0)</f>
        <v>ACKERMAN</v>
      </c>
      <c r="M30" s="9"/>
      <c r="N30" s="10"/>
      <c r="O30" s="43"/>
      <c r="P30" s="76" t="str">
        <f>VLOOKUP(C30,'Train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0" s="74" t="str">
        <f>VLOOKUP(C30,'Train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0" s="75" t="str">
        <f>VLOOKUP(C30,'Train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30" s="9" t="str">
        <f>MID(B30,13,4)</f>
        <v>4032</v>
      </c>
      <c r="T30" s="50">
        <f>A30+6/24</f>
        <v>42561.473344907405</v>
      </c>
      <c r="U30" s="73" t="str">
        <f>IF(VALUE(LEFT(C30,3))&lt;300,"EC","NWGL")</f>
        <v>EC</v>
      </c>
      <c r="V30" s="73" t="str">
        <f>IF(AND(E30="TRACK WARRANT AUTHORITY",G30&lt;10),"OMIT","KEEP")</f>
        <v>OMIT</v>
      </c>
    </row>
    <row r="31" spans="1:22" x14ac:dyDescent="0.25">
      <c r="A31" s="81">
        <v>42561.256886574076</v>
      </c>
      <c r="B31" s="67" t="s">
        <v>124</v>
      </c>
      <c r="C31" s="43" t="s">
        <v>402</v>
      </c>
      <c r="D31" s="43" t="s">
        <v>50</v>
      </c>
      <c r="E31" s="67" t="s">
        <v>51</v>
      </c>
      <c r="F31" s="69">
        <v>0</v>
      </c>
      <c r="G31" s="69">
        <v>64</v>
      </c>
      <c r="H31" s="69">
        <v>220</v>
      </c>
      <c r="I31" s="67" t="s">
        <v>52</v>
      </c>
      <c r="J31" s="69">
        <v>1</v>
      </c>
      <c r="K31" s="43" t="s">
        <v>54</v>
      </c>
      <c r="L31" s="105" t="b">
        <f>VLOOKUP(C31,'Trips&amp;Operators'!$C$1:$E$9999,3,0)</f>
        <v>1</v>
      </c>
      <c r="M31" s="9" t="s">
        <v>108</v>
      </c>
      <c r="N31" s="10"/>
      <c r="O31" s="43"/>
      <c r="P31" s="76" t="str">
        <f>VLOOKUP(C31,'Train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31" s="74" t="str">
        <f>VLOOKUP(C31,'Train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1" s="75" t="str">
        <f>VLOOKUP(C31,'Train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31" s="9" t="str">
        <f>MID(B31,13,4)</f>
        <v>4028</v>
      </c>
      <c r="T31" s="50">
        <f>A31+6/24</f>
        <v>42561.506886574076</v>
      </c>
      <c r="U31" s="73" t="str">
        <f>IF(VALUE(LEFT(C31,3))&lt;300,"EC","NWGL")</f>
        <v>EC</v>
      </c>
      <c r="V31" s="73" t="str">
        <f>IF(AND(E31="TRACK WARRANT AUTHORITY",G31&lt;10),"OMIT","KEEP")</f>
        <v>KEEP</v>
      </c>
    </row>
    <row r="32" spans="1:22" hidden="1" x14ac:dyDescent="0.25">
      <c r="A32" s="81">
        <v>42561.264826388891</v>
      </c>
      <c r="B32" s="67" t="s">
        <v>120</v>
      </c>
      <c r="C32" s="43" t="s">
        <v>398</v>
      </c>
      <c r="D32" s="43" t="s">
        <v>50</v>
      </c>
      <c r="E32" s="67" t="s">
        <v>51</v>
      </c>
      <c r="F32" s="69">
        <v>0</v>
      </c>
      <c r="G32" s="69">
        <v>9</v>
      </c>
      <c r="H32" s="69">
        <v>110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MALAVE</v>
      </c>
      <c r="M32" s="9" t="s">
        <v>108</v>
      </c>
      <c r="N32" s="10"/>
      <c r="O32" s="73"/>
      <c r="P32" s="76" t="str">
        <f>VLOOKUP(C32,'Train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2" s="74" t="str">
        <f>VLOOKUP(C32,'Train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75" t="str">
        <f>VLOOKUP(C32,'Train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32" s="9" t="str">
        <f>MID(B32,13,4)</f>
        <v>4026</v>
      </c>
      <c r="T32" s="50">
        <f>A32+6/24</f>
        <v>42561.514826388891</v>
      </c>
      <c r="U32" s="73" t="str">
        <f>IF(VALUE(LEFT(C32,3))&lt;300,"EC","NWGL")</f>
        <v>EC</v>
      </c>
      <c r="V32" s="73" t="str">
        <f>IF(AND(E32="TRACK WARRANT AUTHORITY",G32&lt;10),"OMIT","KEEP")</f>
        <v>OMIT</v>
      </c>
    </row>
    <row r="33" spans="1:22" hidden="1" x14ac:dyDescent="0.25">
      <c r="A33" s="82">
        <v>42561.28324074074</v>
      </c>
      <c r="B33" s="67" t="s">
        <v>118</v>
      </c>
      <c r="C33" s="43" t="s">
        <v>404</v>
      </c>
      <c r="D33" s="43" t="s">
        <v>50</v>
      </c>
      <c r="E33" s="67" t="s">
        <v>51</v>
      </c>
      <c r="F33" s="69">
        <v>0</v>
      </c>
      <c r="G33" s="69">
        <v>4</v>
      </c>
      <c r="H33" s="69">
        <v>118</v>
      </c>
      <c r="I33" s="67" t="s">
        <v>52</v>
      </c>
      <c r="J33" s="69">
        <v>1</v>
      </c>
      <c r="K33" s="43" t="s">
        <v>54</v>
      </c>
      <c r="L33" s="105" t="str">
        <f>VLOOKUP(C33,'Trips&amp;Operators'!$C$1:$E$9999,3,0)</f>
        <v>NELSON</v>
      </c>
      <c r="M33" s="9" t="s">
        <v>108</v>
      </c>
      <c r="N33" s="10"/>
      <c r="O33" s="43"/>
      <c r="P33" s="76" t="str">
        <f>VLOOKUP(C33,'Train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33" s="74" t="str">
        <f>VLOOKUP(C33,'Train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3" s="75" t="str">
        <f>VLOOKUP(C33,'Train Runs'!$A$13:$AF$894,32,0)</f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S33" s="9" t="str">
        <f>MID(B33,13,4)</f>
        <v>4012</v>
      </c>
      <c r="T33" s="50">
        <f>A33+6/24</f>
        <v>42561.53324074074</v>
      </c>
      <c r="U33" s="73" t="str">
        <f>IF(VALUE(LEFT(C33,3))&lt;300,"EC","NWGL")</f>
        <v>EC</v>
      </c>
      <c r="V33" s="73" t="str">
        <f>IF(AND(E33="TRACK WARRANT AUTHORITY",G33&lt;10),"OMIT","KEEP")</f>
        <v>OMIT</v>
      </c>
    </row>
    <row r="34" spans="1:22" x14ac:dyDescent="0.25">
      <c r="A34" s="81">
        <v>42561.345451388886</v>
      </c>
      <c r="B34" s="67" t="s">
        <v>72</v>
      </c>
      <c r="C34" s="43" t="s">
        <v>405</v>
      </c>
      <c r="D34" s="43" t="s">
        <v>50</v>
      </c>
      <c r="E34" s="67" t="s">
        <v>51</v>
      </c>
      <c r="F34" s="69">
        <v>0</v>
      </c>
      <c r="G34" s="69">
        <v>51</v>
      </c>
      <c r="H34" s="69">
        <v>180</v>
      </c>
      <c r="I34" s="67" t="s">
        <v>52</v>
      </c>
      <c r="J34" s="69">
        <v>1</v>
      </c>
      <c r="K34" s="43" t="s">
        <v>54</v>
      </c>
      <c r="L34" s="105" t="str">
        <f>VLOOKUP(C34,'Trips&amp;Operators'!$C$1:$E$9999,3,0)</f>
        <v>GEBRETEKLE</v>
      </c>
      <c r="M34" s="9" t="s">
        <v>108</v>
      </c>
      <c r="N34" s="10"/>
      <c r="O34" s="73"/>
      <c r="P34" s="76" t="str">
        <f>VLOOKUP(C34,'Train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4" s="74" t="str">
        <f>VLOOKUP(C34,'Train Runs'!$A$13:$AE$894,22,0)</f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4" s="75" t="str">
        <f>VLOOKUP(C34,'Train Runs'!$A$13:$AF$894,32,0)</f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S34" s="9" t="str">
        <f>MID(B34,13,4)</f>
        <v>4019</v>
      </c>
      <c r="T34" s="50">
        <f>A34+6/24</f>
        <v>42561.595451388886</v>
      </c>
      <c r="U34" s="73" t="str">
        <f>IF(VALUE(LEFT(C34,3))&lt;300,"EC","NWGL")</f>
        <v>EC</v>
      </c>
      <c r="V34" s="73" t="str">
        <f>IF(AND(E34="TRACK WARRANT AUTHORITY",G34&lt;10),"OMIT","KEEP")</f>
        <v>KEEP</v>
      </c>
    </row>
    <row r="35" spans="1:22" x14ac:dyDescent="0.25">
      <c r="A35" s="81">
        <v>42561.377210648148</v>
      </c>
      <c r="B35" s="67" t="s">
        <v>67</v>
      </c>
      <c r="C35" s="43" t="s">
        <v>406</v>
      </c>
      <c r="D35" s="43" t="s">
        <v>50</v>
      </c>
      <c r="E35" s="67" t="s">
        <v>51</v>
      </c>
      <c r="F35" s="69">
        <v>0</v>
      </c>
      <c r="G35" s="69">
        <v>52</v>
      </c>
      <c r="H35" s="69">
        <v>167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ACKERMAN</v>
      </c>
      <c r="M35" s="9" t="s">
        <v>108</v>
      </c>
      <c r="N35" s="10"/>
      <c r="O35" s="73"/>
      <c r="P35" s="76" t="str">
        <f>VLOOKUP(C35,'Train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5" s="74" t="str">
        <f>VLOOKUP(C35,'Train Runs'!$A$13:$AE$894,22,0)</f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5" s="75" t="str">
        <f>VLOOKUP(C35,'Train Runs'!$A$13:$AF$894,32,0)</f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S35" s="9" t="str">
        <f>MID(B35,13,4)</f>
        <v>4032</v>
      </c>
      <c r="T35" s="50">
        <f>A35+6/24</f>
        <v>42561.627210648148</v>
      </c>
      <c r="U35" s="73" t="str">
        <f>IF(VALUE(LEFT(C35,3))&lt;300,"EC","NWGL")</f>
        <v>EC</v>
      </c>
      <c r="V35" s="73" t="str">
        <f>IF(AND(E35="TRACK WARRANT AUTHORITY",G35&lt;10),"OMIT","KEEP")</f>
        <v>KEEP</v>
      </c>
    </row>
    <row r="36" spans="1:22" hidden="1" x14ac:dyDescent="0.25">
      <c r="A36" s="81">
        <v>42561.41815972222</v>
      </c>
      <c r="B36" s="43" t="s">
        <v>72</v>
      </c>
      <c r="C36" s="43" t="s">
        <v>408</v>
      </c>
      <c r="D36" s="43" t="s">
        <v>50</v>
      </c>
      <c r="E36" s="43" t="s">
        <v>51</v>
      </c>
      <c r="F36" s="69">
        <v>0</v>
      </c>
      <c r="G36" s="69">
        <v>8</v>
      </c>
      <c r="H36" s="69">
        <v>127</v>
      </c>
      <c r="I36" s="43" t="s">
        <v>52</v>
      </c>
      <c r="J36" s="69">
        <v>1</v>
      </c>
      <c r="K36" s="43" t="s">
        <v>54</v>
      </c>
      <c r="L36" s="105" t="str">
        <f>VLOOKUP(C36,'Trips&amp;Operators'!$C$1:$E$9999,3,0)</f>
        <v>GEBRETEKLE</v>
      </c>
      <c r="M36" s="9" t="s">
        <v>108</v>
      </c>
      <c r="N36" s="10"/>
      <c r="O36" s="126"/>
      <c r="P36" s="106" t="str">
        <f>VLOOKUP(C36,'Train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6" s="74" t="str">
        <f>VLOOKUP(C36,'Train Runs'!$A$13:$AE$894,22,0)</f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6" s="75" t="str">
        <f>VLOOKUP(C36,'Train Runs'!$A$13:$AF$894,32,0)</f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S36" s="9" t="str">
        <f>MID(B36,13,4)</f>
        <v>4019</v>
      </c>
      <c r="T36" s="50">
        <f>A36+6/24</f>
        <v>42561.66815972222</v>
      </c>
      <c r="U36" s="73" t="str">
        <f>IF(VALUE(LEFT(C36,3))&lt;300,"EC","NWGL")</f>
        <v>EC</v>
      </c>
      <c r="V36" s="73" t="str">
        <f>IF(AND(E36="TRACK WARRANT AUTHORITY",G36&lt;10),"OMIT","KEEP")</f>
        <v>OMIT</v>
      </c>
    </row>
    <row r="37" spans="1:22" x14ac:dyDescent="0.25">
      <c r="A37" s="81">
        <v>42561.470659722225</v>
      </c>
      <c r="B37" s="67" t="s">
        <v>169</v>
      </c>
      <c r="C37" s="43" t="s">
        <v>412</v>
      </c>
      <c r="D37" s="43" t="s">
        <v>50</v>
      </c>
      <c r="E37" s="67" t="s">
        <v>51</v>
      </c>
      <c r="F37" s="69">
        <v>0</v>
      </c>
      <c r="G37" s="69">
        <v>65</v>
      </c>
      <c r="H37" s="69">
        <v>211</v>
      </c>
      <c r="I37" s="67" t="s">
        <v>52</v>
      </c>
      <c r="J37" s="69">
        <v>1</v>
      </c>
      <c r="K37" s="43" t="s">
        <v>54</v>
      </c>
      <c r="L37" s="105" t="str">
        <f>VLOOKUP(C37,'Trips&amp;Operators'!$C$1:$E$9999,3,0)</f>
        <v>MADLOM</v>
      </c>
      <c r="M37" s="9" t="s">
        <v>108</v>
      </c>
      <c r="N37" s="10"/>
      <c r="O37" s="43"/>
      <c r="P37" s="76" t="str">
        <f>VLOOKUP(C37,'Train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37" s="74" t="str">
        <f>VLOOKUP(C37,'Train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7" s="75" t="str">
        <f>VLOOKUP(C37,'Train Runs'!$A$13:$AF$894,32,0)</f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S37" s="9" t="str">
        <f>MID(B37,13,4)</f>
        <v>4039</v>
      </c>
      <c r="T37" s="50">
        <f>A37+6/24</f>
        <v>42561.720659722225</v>
      </c>
      <c r="U37" s="73" t="str">
        <f>IF(VALUE(LEFT(C37,3))&lt;300,"EC","NWGL")</f>
        <v>EC</v>
      </c>
      <c r="V37" s="73" t="str">
        <f>IF(AND(E37="TRACK WARRANT AUTHORITY",G37&lt;10),"OMIT","KEEP")</f>
        <v>KEEP</v>
      </c>
    </row>
    <row r="38" spans="1:22" hidden="1" x14ac:dyDescent="0.25">
      <c r="A38" s="81">
        <v>42561.484837962962</v>
      </c>
      <c r="B38" s="67" t="s">
        <v>120</v>
      </c>
      <c r="C38" s="43" t="s">
        <v>413</v>
      </c>
      <c r="D38" s="43" t="s">
        <v>50</v>
      </c>
      <c r="E38" s="67" t="s">
        <v>51</v>
      </c>
      <c r="F38" s="69">
        <v>0</v>
      </c>
      <c r="G38" s="69">
        <v>7</v>
      </c>
      <c r="H38" s="69">
        <v>123</v>
      </c>
      <c r="I38" s="67" t="s">
        <v>52</v>
      </c>
      <c r="J38" s="69">
        <v>1</v>
      </c>
      <c r="K38" s="43" t="s">
        <v>54</v>
      </c>
      <c r="L38" s="105" t="str">
        <f>VLOOKUP(C38,'Trips&amp;Operators'!$C$1:$E$9999,3,0)</f>
        <v>MALAVE</v>
      </c>
      <c r="M38" s="9" t="s">
        <v>108</v>
      </c>
      <c r="N38" s="10"/>
      <c r="O38" s="73"/>
      <c r="P38" s="76" t="str">
        <f>VLOOKUP(C38,'Train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8" s="74" t="str">
        <f>VLOOKUP(C38,'Train Runs'!$A$13:$AE$894,22,0)</f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5" t="str">
        <f>VLOOKUP(C38,'Train Runs'!$A$13:$AF$894,32,0)</f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S38" s="9" t="str">
        <f>MID(B38,13,4)</f>
        <v>4026</v>
      </c>
      <c r="T38" s="50">
        <f>A38+6/24</f>
        <v>42561.734837962962</v>
      </c>
      <c r="U38" s="73" t="str">
        <f>IF(VALUE(LEFT(C38,3))&lt;300,"EC","NWGL")</f>
        <v>EC</v>
      </c>
      <c r="V38" s="73" t="str">
        <f>IF(AND(E38="TRACK WARRANT AUTHORITY",G38&lt;10),"OMIT","KEEP")</f>
        <v>OMIT</v>
      </c>
    </row>
    <row r="39" spans="1:22" hidden="1" x14ac:dyDescent="0.25">
      <c r="A39" s="81">
        <v>42561.491631944446</v>
      </c>
      <c r="B39" s="67" t="s">
        <v>72</v>
      </c>
      <c r="C39" s="43" t="s">
        <v>414</v>
      </c>
      <c r="D39" s="43" t="s">
        <v>50</v>
      </c>
      <c r="E39" s="67" t="s">
        <v>51</v>
      </c>
      <c r="F39" s="69">
        <v>0</v>
      </c>
      <c r="G39" s="69">
        <v>5</v>
      </c>
      <c r="H39" s="69">
        <v>116</v>
      </c>
      <c r="I39" s="67" t="s">
        <v>52</v>
      </c>
      <c r="J39" s="69">
        <v>1</v>
      </c>
      <c r="K39" s="43" t="s">
        <v>54</v>
      </c>
      <c r="L39" s="105" t="str">
        <f>VLOOKUP(C39,'Trips&amp;Operators'!$C$1:$E$9999,3,0)</f>
        <v>GEBRETEKLE</v>
      </c>
      <c r="M39" s="9" t="s">
        <v>108</v>
      </c>
      <c r="N39" s="10"/>
      <c r="O39" s="43"/>
      <c r="P39" s="76" t="str">
        <f>VLOOKUP(C39,'Train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9" s="74" t="str">
        <f>VLOOKUP(C39,'Train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5" t="str">
        <f>VLOOKUP(C39,'Train Runs'!$A$13:$AF$894,32,0)</f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S39" s="9" t="str">
        <f>MID(B39,13,4)</f>
        <v>4019</v>
      </c>
      <c r="T39" s="50">
        <f>A39+6/24</f>
        <v>42561.741631944446</v>
      </c>
      <c r="U39" s="73" t="str">
        <f>IF(VALUE(LEFT(C39,3))&lt;300,"EC","NWGL")</f>
        <v>EC</v>
      </c>
      <c r="V39" s="73" t="str">
        <f>IF(AND(E39="TRACK WARRANT AUTHORITY",G39&lt;10),"OMIT","KEEP")</f>
        <v>OMIT</v>
      </c>
    </row>
    <row r="40" spans="1:22" x14ac:dyDescent="0.25">
      <c r="A40" s="81">
        <v>42561.650636574072</v>
      </c>
      <c r="B40" s="67" t="s">
        <v>118</v>
      </c>
      <c r="C40" s="43" t="s">
        <v>421</v>
      </c>
      <c r="D40" s="43" t="s">
        <v>50</v>
      </c>
      <c r="E40" s="67" t="s">
        <v>51</v>
      </c>
      <c r="F40" s="69">
        <v>0</v>
      </c>
      <c r="G40" s="69">
        <v>63</v>
      </c>
      <c r="H40" s="69">
        <v>200</v>
      </c>
      <c r="I40" s="67" t="s">
        <v>52</v>
      </c>
      <c r="J40" s="69">
        <v>1</v>
      </c>
      <c r="K40" s="43" t="s">
        <v>54</v>
      </c>
      <c r="L40" s="105" t="str">
        <f>VLOOKUP(C40,'Trips&amp;Operators'!$C$1:$E$9999,3,0)</f>
        <v>MAYBERRY</v>
      </c>
      <c r="M40" s="9" t="s">
        <v>108</v>
      </c>
      <c r="N40" s="10"/>
      <c r="O40" s="73"/>
      <c r="P40" s="76" t="str">
        <f>VLOOKUP(C40,'Train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0" s="74" t="str">
        <f>VLOOKUP(C40,'Train Runs'!$A$13:$AE$894,22,0)</f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5" t="str">
        <f>VLOOKUP(C40,'Train Runs'!$A$13:$AF$894,32,0)</f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S40" s="9" t="str">
        <f>MID(B40,13,4)</f>
        <v>4012</v>
      </c>
      <c r="T40" s="50">
        <f>A40+6/24</f>
        <v>42561.900636574072</v>
      </c>
      <c r="U40" s="73" t="str">
        <f>IF(VALUE(LEFT(C40,3))&lt;300,"EC","NWGL")</f>
        <v>EC</v>
      </c>
      <c r="V40" s="73" t="str">
        <f>IF(AND(E40="TRACK WARRANT AUTHORITY",G40&lt;10),"OMIT","KEEP")</f>
        <v>KEEP</v>
      </c>
    </row>
    <row r="41" spans="1:22" hidden="1" x14ac:dyDescent="0.25">
      <c r="A41" s="81">
        <v>42561.691631944443</v>
      </c>
      <c r="B41" s="67" t="s">
        <v>169</v>
      </c>
      <c r="C41" s="43" t="s">
        <v>424</v>
      </c>
      <c r="D41" s="43" t="s">
        <v>50</v>
      </c>
      <c r="E41" s="67" t="s">
        <v>51</v>
      </c>
      <c r="F41" s="69">
        <v>0</v>
      </c>
      <c r="G41" s="69">
        <v>5</v>
      </c>
      <c r="H41" s="69">
        <v>119</v>
      </c>
      <c r="I41" s="67" t="s">
        <v>52</v>
      </c>
      <c r="J41" s="69">
        <v>1</v>
      </c>
      <c r="K41" s="43" t="s">
        <v>54</v>
      </c>
      <c r="L41" s="105" t="str">
        <f>VLOOKUP(C41,'Trips&amp;Operators'!$C$1:$E$9999,3,0)</f>
        <v>STORY</v>
      </c>
      <c r="M41" s="9" t="s">
        <v>108</v>
      </c>
      <c r="N41" s="10"/>
      <c r="O41" s="73"/>
      <c r="P41" s="76" t="str">
        <f>VLOOKUP(C41,'Train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1" s="74" t="str">
        <f>VLOOKUP(C41,'Train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1" s="75" t="str">
        <f>VLOOKUP(C41,'Train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41" s="9" t="str">
        <f>MID(B41,13,4)</f>
        <v>4039</v>
      </c>
      <c r="T41" s="50">
        <f>A41+6/24</f>
        <v>42561.941631944443</v>
      </c>
      <c r="U41" s="73" t="str">
        <f>IF(VALUE(LEFT(C41,3))&lt;300,"EC","NWGL")</f>
        <v>EC</v>
      </c>
      <c r="V41" s="73" t="str">
        <f>IF(AND(E41="TRACK WARRANT AUTHORITY",G41&lt;10),"OMIT","KEEP")</f>
        <v>OMIT</v>
      </c>
    </row>
    <row r="42" spans="1:22" hidden="1" x14ac:dyDescent="0.25">
      <c r="A42" s="81">
        <v>42561.706180555557</v>
      </c>
      <c r="B42" s="67" t="s">
        <v>120</v>
      </c>
      <c r="C42" s="43" t="s">
        <v>429</v>
      </c>
      <c r="D42" s="43" t="s">
        <v>50</v>
      </c>
      <c r="E42" s="67" t="s">
        <v>51</v>
      </c>
      <c r="F42" s="69">
        <v>0</v>
      </c>
      <c r="G42" s="69">
        <v>5</v>
      </c>
      <c r="H42" s="69">
        <v>123</v>
      </c>
      <c r="I42" s="67" t="s">
        <v>52</v>
      </c>
      <c r="J42" s="69">
        <v>1</v>
      </c>
      <c r="K42" s="43" t="s">
        <v>54</v>
      </c>
      <c r="L42" s="105" t="str">
        <f>VLOOKUP(C42,'Trips&amp;Operators'!$C$1:$E$9999,3,0)</f>
        <v>SNYDER</v>
      </c>
      <c r="M42" s="9" t="s">
        <v>108</v>
      </c>
      <c r="N42" s="10"/>
      <c r="O42" s="73"/>
      <c r="P42" s="76" t="str">
        <f>VLOOKUP(C42,'Train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42" s="74" t="str">
        <f>VLOOKUP(C42,'Train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2" s="75" t="str">
        <f>VLOOKUP(C42,'Train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42" s="9" t="str">
        <f>MID(B42,13,4)</f>
        <v>4026</v>
      </c>
      <c r="T42" s="50">
        <f>A42+6/24</f>
        <v>42561.956180555557</v>
      </c>
      <c r="U42" s="73" t="str">
        <f>IF(VALUE(LEFT(C42,3))&lt;300,"EC","NWGL")</f>
        <v>EC</v>
      </c>
      <c r="V42" s="73" t="str">
        <f>IF(AND(E42="TRACK WARRANT AUTHORITY",G42&lt;10),"OMIT","KEEP")</f>
        <v>OMIT</v>
      </c>
    </row>
    <row r="43" spans="1:22" x14ac:dyDescent="0.25">
      <c r="A43" s="81">
        <v>42561.744444444441</v>
      </c>
      <c r="B43" s="43" t="s">
        <v>67</v>
      </c>
      <c r="C43" s="43" t="s">
        <v>430</v>
      </c>
      <c r="D43" s="43" t="s">
        <v>50</v>
      </c>
      <c r="E43" s="43" t="s">
        <v>51</v>
      </c>
      <c r="F43" s="69">
        <v>0</v>
      </c>
      <c r="G43" s="69">
        <v>54</v>
      </c>
      <c r="H43" s="69">
        <v>209</v>
      </c>
      <c r="I43" s="43" t="s">
        <v>52</v>
      </c>
      <c r="J43" s="69">
        <v>1</v>
      </c>
      <c r="K43" s="43" t="s">
        <v>54</v>
      </c>
      <c r="L43" s="105" t="str">
        <f>VLOOKUP(C43,'Trips&amp;Operators'!$C$1:$E$9999,3,0)</f>
        <v>STEWART</v>
      </c>
      <c r="M43" s="9" t="s">
        <v>108</v>
      </c>
      <c r="N43" s="10"/>
      <c r="O43" s="43"/>
      <c r="P43" s="76" t="str">
        <f>VLOOKUP(C43,'Train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3" s="74" t="str">
        <f>VLOOKUP(C43,'Train Runs'!$A$13:$AE$894,22,0)</f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3" s="75" t="str">
        <f>VLOOKUP(C43,'Train Runs'!$A$13:$AF$894,32,0)</f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S43" s="9" t="str">
        <f>MID(B43,13,4)</f>
        <v>4032</v>
      </c>
      <c r="T43" s="50">
        <f>A43+6/24</f>
        <v>42561.994444444441</v>
      </c>
      <c r="U43" s="73" t="str">
        <f>IF(VALUE(LEFT(C43,3))&lt;300,"EC","NWGL")</f>
        <v>EC</v>
      </c>
      <c r="V43" s="73" t="str">
        <f>IF(AND(E43="TRACK WARRANT AUTHORITY",G43&lt;10),"OMIT","KEEP")</f>
        <v>KEEP</v>
      </c>
    </row>
    <row r="44" spans="1:22" hidden="1" x14ac:dyDescent="0.25">
      <c r="A44" s="81">
        <v>42561.763761574075</v>
      </c>
      <c r="B44" s="67" t="s">
        <v>169</v>
      </c>
      <c r="C44" s="43" t="s">
        <v>432</v>
      </c>
      <c r="D44" s="43" t="s">
        <v>50</v>
      </c>
      <c r="E44" s="67" t="s">
        <v>51</v>
      </c>
      <c r="F44" s="69">
        <v>0</v>
      </c>
      <c r="G44" s="69">
        <v>9</v>
      </c>
      <c r="H44" s="69">
        <v>123</v>
      </c>
      <c r="I44" s="67" t="s">
        <v>52</v>
      </c>
      <c r="J44" s="69">
        <v>1</v>
      </c>
      <c r="K44" s="43" t="s">
        <v>54</v>
      </c>
      <c r="L44" s="105" t="str">
        <f>VLOOKUP(C44,'Trips&amp;Operators'!$C$1:$E$9999,3,0)</f>
        <v>STORY</v>
      </c>
      <c r="M44" s="9" t="s">
        <v>108</v>
      </c>
      <c r="N44" s="10"/>
      <c r="O44" s="73"/>
      <c r="P44" s="76" t="str">
        <f>VLOOKUP(C44,'Train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4" s="74" t="str">
        <f>VLOOKUP(C44,'Train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75" t="str">
        <f>VLOOKUP(C44,'Train Runs'!$A$13:$AF$894,32,0)</f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S44" s="9" t="str">
        <f>MID(B44,13,4)</f>
        <v>4039</v>
      </c>
      <c r="T44" s="50">
        <f>A44+6/24</f>
        <v>42562.013761574075</v>
      </c>
      <c r="U44" s="73" t="str">
        <f>IF(VALUE(LEFT(C44,3))&lt;300,"EC","NWGL")</f>
        <v>EC</v>
      </c>
      <c r="V44" s="73" t="str">
        <f>IF(AND(E44="TRACK WARRANT AUTHORITY",G44&lt;10),"OMIT","KEEP")</f>
        <v>OMIT</v>
      </c>
    </row>
    <row r="45" spans="1:22" hidden="1" x14ac:dyDescent="0.25">
      <c r="A45" s="82">
        <v>42561.783773148149</v>
      </c>
      <c r="B45" s="67" t="s">
        <v>72</v>
      </c>
      <c r="C45" s="43" t="s">
        <v>433</v>
      </c>
      <c r="D45" s="43" t="s">
        <v>50</v>
      </c>
      <c r="E45" s="43" t="s">
        <v>51</v>
      </c>
      <c r="F45" s="69">
        <v>0</v>
      </c>
      <c r="G45" s="69">
        <v>7</v>
      </c>
      <c r="H45" s="69">
        <v>112</v>
      </c>
      <c r="I45" s="43" t="s">
        <v>52</v>
      </c>
      <c r="J45" s="69">
        <v>1</v>
      </c>
      <c r="K45" s="43" t="s">
        <v>54</v>
      </c>
      <c r="L45" s="105" t="str">
        <f>VLOOKUP(C45,'Trips&amp;Operators'!$C$1:$E$9999,3,0)</f>
        <v>LEVERE</v>
      </c>
      <c r="M45" s="9" t="s">
        <v>108</v>
      </c>
      <c r="N45" s="10"/>
      <c r="O45" s="43"/>
      <c r="P45" s="76" t="str">
        <f>VLOOKUP(C45,'Train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5" s="74" t="str">
        <f>VLOOKUP(C45,'Train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5" s="75" t="str">
        <f>VLOOKUP(C45,'Train Runs'!$A$13:$AF$894,32,0)</f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S45" s="9" t="str">
        <f>MID(B45,13,4)</f>
        <v>4019</v>
      </c>
      <c r="T45" s="50">
        <f>A45+6/24</f>
        <v>42562.033773148149</v>
      </c>
      <c r="U45" s="73" t="str">
        <f>IF(VALUE(LEFT(C45,3))&lt;300,"EC","NWGL")</f>
        <v>EC</v>
      </c>
      <c r="V45" s="73" t="str">
        <f>IF(AND(E45="TRACK WARRANT AUTHORITY",G45&lt;10),"OMIT","KEEP")</f>
        <v>OMIT</v>
      </c>
    </row>
    <row r="46" spans="1:22" hidden="1" x14ac:dyDescent="0.25">
      <c r="A46" s="81">
        <v>42561.796087962961</v>
      </c>
      <c r="B46" s="43" t="s">
        <v>118</v>
      </c>
      <c r="C46" s="43" t="s">
        <v>435</v>
      </c>
      <c r="D46" s="43" t="s">
        <v>50</v>
      </c>
      <c r="E46" s="43" t="s">
        <v>51</v>
      </c>
      <c r="F46" s="69">
        <v>0</v>
      </c>
      <c r="G46" s="69">
        <v>7</v>
      </c>
      <c r="H46" s="69">
        <v>129</v>
      </c>
      <c r="I46" s="43" t="s">
        <v>52</v>
      </c>
      <c r="J46" s="69">
        <v>1</v>
      </c>
      <c r="K46" s="43" t="s">
        <v>54</v>
      </c>
      <c r="L46" s="105" t="str">
        <f>VLOOKUP(C46,'Trips&amp;Operators'!$C$1:$E$9999,3,0)</f>
        <v>YOUNG</v>
      </c>
      <c r="M46" s="9" t="s">
        <v>108</v>
      </c>
      <c r="N46" s="10"/>
      <c r="O46" s="43"/>
      <c r="P46" s="76" t="str">
        <f>VLOOKUP(C46,'Train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6" s="74" t="str">
        <f>VLOOKUP(C46,'Train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75" t="str">
        <f>VLOOKUP(C46,'Train Runs'!$A$13:$AF$894,32,0)</f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S46" s="9" t="str">
        <f>MID(B46,13,4)</f>
        <v>4012</v>
      </c>
      <c r="T46" s="50">
        <f>A46+6/24</f>
        <v>42562.046087962961</v>
      </c>
      <c r="U46" s="73" t="str">
        <f>IF(VALUE(LEFT(C46,3))&lt;300,"EC","NWGL")</f>
        <v>EC</v>
      </c>
      <c r="V46" s="73" t="str">
        <f>IF(AND(E46="TRACK WARRANT AUTHORITY",G46&lt;10),"OMIT","KEEP")</f>
        <v>OMIT</v>
      </c>
    </row>
    <row r="47" spans="1:22" hidden="1" x14ac:dyDescent="0.25">
      <c r="A47" s="81">
        <v>42561.815300925926</v>
      </c>
      <c r="B47" s="67" t="s">
        <v>67</v>
      </c>
      <c r="C47" s="43" t="s">
        <v>436</v>
      </c>
      <c r="D47" s="43" t="s">
        <v>50</v>
      </c>
      <c r="E47" s="67" t="s">
        <v>51</v>
      </c>
      <c r="F47" s="69">
        <v>0</v>
      </c>
      <c r="G47" s="69">
        <v>8</v>
      </c>
      <c r="H47" s="69">
        <v>340</v>
      </c>
      <c r="I47" s="67" t="s">
        <v>52</v>
      </c>
      <c r="J47" s="69">
        <v>1</v>
      </c>
      <c r="K47" s="43" t="s">
        <v>54</v>
      </c>
      <c r="L47" s="105" t="str">
        <f>VLOOKUP(C47,'Trips&amp;Operators'!$C$1:$E$9999,3,0)</f>
        <v>ARNOLD</v>
      </c>
      <c r="M47" s="9" t="s">
        <v>108</v>
      </c>
      <c r="N47" s="10"/>
      <c r="O47" s="43"/>
      <c r="P47" s="76" t="str">
        <f>VLOOKUP(C47,'Train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7" s="74" t="str">
        <f>VLOOKUP(C47,'Train Runs'!$A$13:$AE$894,22,0)</f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7" s="75" t="str">
        <f>VLOOKUP(C47,'Train Runs'!$A$13:$AF$894,32,0)</f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S47" s="9" t="str">
        <f>MID(B47,13,4)</f>
        <v>4032</v>
      </c>
      <c r="T47" s="50">
        <f>A47+6/24</f>
        <v>42562.065300925926</v>
      </c>
      <c r="U47" s="73" t="str">
        <f>IF(VALUE(LEFT(C47,3))&lt;300,"EC","NWGL")</f>
        <v>EC</v>
      </c>
      <c r="V47" s="73" t="str">
        <f>IF(AND(E47="TRACK WARRANT AUTHORITY",G47&lt;10),"OMIT","KEEP")</f>
        <v>OMIT</v>
      </c>
    </row>
    <row r="48" spans="1:22" hidden="1" x14ac:dyDescent="0.25">
      <c r="A48" s="81">
        <v>42561.920289351852</v>
      </c>
      <c r="B48" s="67" t="s">
        <v>169</v>
      </c>
      <c r="C48" s="43" t="s">
        <v>439</v>
      </c>
      <c r="D48" s="43" t="s">
        <v>50</v>
      </c>
      <c r="E48" s="67" t="s">
        <v>51</v>
      </c>
      <c r="F48" s="69">
        <v>0</v>
      </c>
      <c r="G48" s="69">
        <v>4</v>
      </c>
      <c r="H48" s="69">
        <v>127</v>
      </c>
      <c r="I48" s="67" t="s">
        <v>52</v>
      </c>
      <c r="J48" s="69">
        <v>1</v>
      </c>
      <c r="K48" s="43" t="s">
        <v>54</v>
      </c>
      <c r="L48" s="105" t="str">
        <f>VLOOKUP(C48,'Trips&amp;Operators'!$C$1:$E$9999,3,0)</f>
        <v>CHANDLER</v>
      </c>
      <c r="M48" s="9" t="s">
        <v>108</v>
      </c>
      <c r="N48" s="10"/>
      <c r="O48" s="43"/>
      <c r="P48" s="76" t="str">
        <f>VLOOKUP(C48,'Train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8" s="74" t="str">
        <f>VLOOKUP(C48,'Train Runs'!$A$13:$AE$894,22,0)</f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8" s="75" t="str">
        <f>VLOOKUP(C48,'Train Runs'!$A$13:$AF$894,32,0)</f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S48" s="9" t="str">
        <f>MID(B48,13,4)</f>
        <v>4039</v>
      </c>
      <c r="T48" s="50">
        <f>A48+6/24</f>
        <v>42562.170289351852</v>
      </c>
      <c r="U48" s="73" t="str">
        <f>IF(VALUE(LEFT(C48,3))&lt;300,"EC","NWGL")</f>
        <v>EC</v>
      </c>
      <c r="V48" s="73" t="str">
        <f>IF(AND(E48="TRACK WARRANT AUTHORITY",G48&lt;10),"OMIT","KEEP")</f>
        <v>OMIT</v>
      </c>
    </row>
    <row r="49" spans="1:22" hidden="1" x14ac:dyDescent="0.25">
      <c r="A49" s="81">
        <v>42561.940196759257</v>
      </c>
      <c r="B49" s="67" t="s">
        <v>72</v>
      </c>
      <c r="C49" s="43" t="s">
        <v>440</v>
      </c>
      <c r="D49" s="43" t="s">
        <v>50</v>
      </c>
      <c r="E49" s="43" t="s">
        <v>51</v>
      </c>
      <c r="F49" s="69">
        <v>0</v>
      </c>
      <c r="G49" s="69">
        <v>5</v>
      </c>
      <c r="H49" s="69">
        <v>116</v>
      </c>
      <c r="I49" s="43" t="s">
        <v>52</v>
      </c>
      <c r="J49" s="69">
        <v>1</v>
      </c>
      <c r="K49" s="43" t="s">
        <v>54</v>
      </c>
      <c r="L49" s="105" t="str">
        <f>VLOOKUP(C49,'Trips&amp;Operators'!$C$1:$E$9999,3,0)</f>
        <v>LEVERE</v>
      </c>
      <c r="M49" s="9" t="s">
        <v>108</v>
      </c>
      <c r="N49" s="10"/>
      <c r="O49" s="73"/>
      <c r="P49" s="76" t="str">
        <f>VLOOKUP(C49,'Train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9" s="74" t="str">
        <f>VLOOKUP(C49,'Train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5" t="str">
        <f>VLOOKUP(C49,'Train Runs'!$A$13:$AF$894,32,0)</f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S49" s="9" t="str">
        <f>MID(B49,13,4)</f>
        <v>4019</v>
      </c>
      <c r="T49" s="50">
        <f>A49+6/24</f>
        <v>42562.190196759257</v>
      </c>
      <c r="U49" s="73" t="str">
        <f>IF(VALUE(LEFT(C49,3))&lt;300,"EC","NWGL")</f>
        <v>EC</v>
      </c>
      <c r="V49" s="73" t="str">
        <f>IF(AND(E49="TRACK WARRANT AUTHORITY",G49&lt;10),"OMIT","KEEP")</f>
        <v>OMIT</v>
      </c>
    </row>
    <row r="50" spans="1:22" hidden="1" x14ac:dyDescent="0.25">
      <c r="A50" s="81">
        <v>42561.63994212963</v>
      </c>
      <c r="B50" s="67" t="s">
        <v>129</v>
      </c>
      <c r="C50" s="43" t="s">
        <v>419</v>
      </c>
      <c r="D50" s="43" t="s">
        <v>50</v>
      </c>
      <c r="E50" s="67" t="s">
        <v>51</v>
      </c>
      <c r="F50" s="69">
        <v>0</v>
      </c>
      <c r="G50" s="69">
        <v>9</v>
      </c>
      <c r="H50" s="69">
        <v>1126</v>
      </c>
      <c r="I50" s="67" t="s">
        <v>52</v>
      </c>
      <c r="J50" s="69">
        <v>839</v>
      </c>
      <c r="K50" s="43" t="s">
        <v>54</v>
      </c>
      <c r="L50" s="105" t="str">
        <f>VLOOKUP(C50,'Trips&amp;Operators'!$C$1:$E$9999,3,0)</f>
        <v>PELLITIER</v>
      </c>
      <c r="M50" s="9" t="s">
        <v>108</v>
      </c>
      <c r="N50" s="10"/>
      <c r="O50" s="43"/>
      <c r="P50" s="76" t="str">
        <f>VLOOKUP(C50,'Train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50" s="74" t="str">
        <f>VLOOKUP(C50,'Train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0" s="75" t="str">
        <f>VLOOKUP(C50,'Train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50" s="9" t="str">
        <f>MID(B50,13,4)</f>
        <v>4027</v>
      </c>
      <c r="T50" s="50">
        <f>A50+6/24</f>
        <v>42561.88994212963</v>
      </c>
      <c r="U50" s="73" t="str">
        <f>IF(VALUE(LEFT(C50,3))&lt;300,"EC","NWGL")</f>
        <v>EC</v>
      </c>
      <c r="V50" s="73" t="str">
        <f>IF(AND(E50="TRACK WARRANT AUTHORITY",G50&lt;10),"OMIT","KEEP")</f>
        <v>OMIT</v>
      </c>
    </row>
    <row r="51" spans="1:22" x14ac:dyDescent="0.25">
      <c r="A51" s="81">
        <v>42561.181921296295</v>
      </c>
      <c r="B51" s="67" t="s">
        <v>74</v>
      </c>
      <c r="C51" s="43" t="s">
        <v>395</v>
      </c>
      <c r="D51" s="43" t="s">
        <v>50</v>
      </c>
      <c r="E51" s="67" t="s">
        <v>51</v>
      </c>
      <c r="F51" s="69">
        <v>0</v>
      </c>
      <c r="G51" s="69">
        <v>38</v>
      </c>
      <c r="H51" s="69">
        <v>233382</v>
      </c>
      <c r="I51" s="67" t="s">
        <v>52</v>
      </c>
      <c r="J51" s="69">
        <v>233491</v>
      </c>
      <c r="K51" s="43" t="s">
        <v>53</v>
      </c>
      <c r="L51" s="105" t="str">
        <f>VLOOKUP(C51,'Trips&amp;Operators'!$C$1:$E$9999,3,0)</f>
        <v>ACKERMAN</v>
      </c>
      <c r="M51" s="9" t="s">
        <v>108</v>
      </c>
      <c r="N51" s="10"/>
      <c r="O51" s="43"/>
      <c r="P51" s="76" t="str">
        <f>VLOOKUP(C51,'Train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51" s="74" t="str">
        <f>VLOOKUP(C51,'Train Runs'!$A$13:$AE$894,22,0)</f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1" s="75" t="str">
        <f>VLOOKUP(C51,'Train Runs'!$A$13:$AF$894,32,0)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S51" s="9" t="str">
        <f>MID(B51,13,4)</f>
        <v>4018</v>
      </c>
      <c r="T51" s="50">
        <f>A51+6/24</f>
        <v>42561.431921296295</v>
      </c>
      <c r="U51" s="73" t="str">
        <f>IF(VALUE(LEFT(C51,3))&lt;300,"EC","NWGL")</f>
        <v>EC</v>
      </c>
      <c r="V51" s="73" t="str">
        <f>IF(AND(E51="TRACK WARRANT AUTHORITY",G51&lt;10),"OMIT","KEEP")</f>
        <v>KEEP</v>
      </c>
    </row>
    <row r="52" spans="1:22" hidden="1" x14ac:dyDescent="0.25">
      <c r="A52" s="81">
        <v>42561.245069444441</v>
      </c>
      <c r="B52" s="67" t="s">
        <v>117</v>
      </c>
      <c r="C52" s="43" t="s">
        <v>401</v>
      </c>
      <c r="D52" s="43" t="s">
        <v>50</v>
      </c>
      <c r="E52" s="67" t="s">
        <v>51</v>
      </c>
      <c r="F52" s="69">
        <v>0</v>
      </c>
      <c r="G52" s="69">
        <v>5</v>
      </c>
      <c r="H52" s="69">
        <v>233347</v>
      </c>
      <c r="I52" s="67" t="s">
        <v>52</v>
      </c>
      <c r="J52" s="69">
        <v>233491</v>
      </c>
      <c r="K52" s="43" t="s">
        <v>53</v>
      </c>
      <c r="L52" s="105" t="str">
        <f>VLOOKUP(C52,'Trips&amp;Operators'!$C$1:$E$9999,3,0)</f>
        <v>NELSON</v>
      </c>
      <c r="M52" s="9" t="s">
        <v>108</v>
      </c>
      <c r="N52" s="10"/>
      <c r="O52" s="43"/>
      <c r="P52" s="76" t="str">
        <f>VLOOKUP(C52,'Train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52" s="74" t="str">
        <f>VLOOKUP(C52,'Train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2" s="75" t="str">
        <f>VLOOKUP(C52,'Train Runs'!$A$13:$AF$894,32,0)</f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S52" s="9" t="str">
        <f>MID(B52,13,4)</f>
        <v>4011</v>
      </c>
      <c r="T52" s="50">
        <f>A52+6/24</f>
        <v>42561.495069444441</v>
      </c>
      <c r="U52" s="73" t="str">
        <f>IF(VALUE(LEFT(C52,3))&lt;300,"EC","NWGL")</f>
        <v>EC</v>
      </c>
      <c r="V52" s="73" t="str">
        <f>IF(AND(E52="TRACK WARRANT AUTHORITY",G52&lt;10),"OMIT","KEEP")</f>
        <v>OMIT</v>
      </c>
    </row>
    <row r="53" spans="1:22" hidden="1" x14ac:dyDescent="0.25">
      <c r="A53" s="81">
        <v>42561.431192129632</v>
      </c>
      <c r="B53" s="67" t="s">
        <v>149</v>
      </c>
      <c r="C53" s="43" t="s">
        <v>409</v>
      </c>
      <c r="D53" s="43" t="s">
        <v>50</v>
      </c>
      <c r="E53" s="67" t="s">
        <v>51</v>
      </c>
      <c r="F53" s="69">
        <v>0</v>
      </c>
      <c r="G53" s="69">
        <v>7</v>
      </c>
      <c r="H53" s="69">
        <v>233319</v>
      </c>
      <c r="I53" s="67" t="s">
        <v>52</v>
      </c>
      <c r="J53" s="69">
        <v>233491</v>
      </c>
      <c r="K53" s="43" t="s">
        <v>53</v>
      </c>
      <c r="L53" s="105" t="str">
        <f>VLOOKUP(C53,'Trips&amp;Operators'!$C$1:$E$9999,3,0)</f>
        <v>MADLOM</v>
      </c>
      <c r="M53" s="9" t="s">
        <v>108</v>
      </c>
      <c r="N53" s="10"/>
      <c r="O53" s="43"/>
      <c r="P53" s="76" t="str">
        <f>VLOOKUP(C53,'Train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53" s="74" t="str">
        <f>VLOOKUP(C53,'Train Runs'!$A$13:$AE$894,22,0)</f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5" t="str">
        <f>VLOOKUP(C53,'Train Runs'!$A$13:$AF$894,32,0)</f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S53" s="9" t="str">
        <f>MID(B53,13,4)</f>
        <v>4040</v>
      </c>
      <c r="T53" s="50">
        <f>A53+6/24</f>
        <v>42561.681192129632</v>
      </c>
      <c r="U53" s="73" t="str">
        <f>IF(VALUE(LEFT(C53,3))&lt;300,"EC","NWGL")</f>
        <v>EC</v>
      </c>
      <c r="V53" s="73" t="str">
        <f>IF(AND(E53="TRACK WARRANT AUTHORITY",G53&lt;10),"OMIT","KEEP")</f>
        <v>OMIT</v>
      </c>
    </row>
    <row r="54" spans="1:22" hidden="1" x14ac:dyDescent="0.25">
      <c r="A54" s="81">
        <v>42561.527268518519</v>
      </c>
      <c r="B54" s="67" t="s">
        <v>73</v>
      </c>
      <c r="C54" s="43" t="s">
        <v>415</v>
      </c>
      <c r="D54" s="43" t="s">
        <v>50</v>
      </c>
      <c r="E54" s="67" t="s">
        <v>51</v>
      </c>
      <c r="F54" s="69">
        <v>0</v>
      </c>
      <c r="G54" s="69">
        <v>9</v>
      </c>
      <c r="H54" s="69">
        <v>233347</v>
      </c>
      <c r="I54" s="67" t="s">
        <v>52</v>
      </c>
      <c r="J54" s="69">
        <v>233491</v>
      </c>
      <c r="K54" s="43" t="s">
        <v>53</v>
      </c>
      <c r="L54" s="105" t="str">
        <f>VLOOKUP(C54,'Trips&amp;Operators'!$C$1:$E$9999,3,0)</f>
        <v>YOUNG</v>
      </c>
      <c r="M54" s="9" t="s">
        <v>108</v>
      </c>
      <c r="N54" s="10"/>
      <c r="O54" s="43"/>
      <c r="P54" s="76" t="str">
        <f>VLOOKUP(C54,'Train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54" s="74" t="str">
        <f>VLOOKUP(C54,'Train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5" t="str">
        <f>VLOOKUP(C54,'Train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54" s="9" t="str">
        <f>MID(B54,13,4)</f>
        <v>4020</v>
      </c>
      <c r="T54" s="50">
        <f>A54+6/24</f>
        <v>42561.777268518519</v>
      </c>
      <c r="U54" s="73" t="str">
        <f>IF(VALUE(LEFT(C54,3))&lt;300,"EC","NWGL")</f>
        <v>EC</v>
      </c>
      <c r="V54" s="73" t="str">
        <f>IF(AND(E54="TRACK WARRANT AUTHORITY",G54&lt;10),"OMIT","KEEP")</f>
        <v>OMIT</v>
      </c>
    </row>
    <row r="55" spans="1:22" x14ac:dyDescent="0.25">
      <c r="A55" s="81">
        <v>42561.651504629626</v>
      </c>
      <c r="B55" s="67" t="s">
        <v>127</v>
      </c>
      <c r="C55" s="43" t="s">
        <v>422</v>
      </c>
      <c r="D55" s="43" t="s">
        <v>50</v>
      </c>
      <c r="E55" s="67" t="s">
        <v>51</v>
      </c>
      <c r="F55" s="69">
        <v>0</v>
      </c>
      <c r="G55" s="69">
        <v>104</v>
      </c>
      <c r="H55" s="69">
        <v>233174</v>
      </c>
      <c r="I55" s="67" t="s">
        <v>52</v>
      </c>
      <c r="J55" s="69">
        <v>233491</v>
      </c>
      <c r="K55" s="43" t="s">
        <v>53</v>
      </c>
      <c r="L55" s="105" t="str">
        <f>VLOOKUP(C55,'Trips&amp;Operators'!$C$1:$E$9999,3,0)</f>
        <v>BARTLETT</v>
      </c>
      <c r="M55" s="9" t="s">
        <v>108</v>
      </c>
      <c r="N55" s="10"/>
      <c r="O55" s="73"/>
      <c r="P55" s="76" t="str">
        <f>VLOOKUP(C55,'Train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5" s="74" t="str">
        <f>VLOOKUP(C55,'Train Runs'!$A$13:$AE$894,22,0)</f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5" s="75" t="str">
        <f>VLOOKUP(C55,'Train Runs'!$A$13:$AF$894,32,0)</f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S55" s="9" t="str">
        <f>MID(B55,13,4)</f>
        <v>4029</v>
      </c>
      <c r="T55" s="50">
        <f>A55+6/24</f>
        <v>42561.901504629626</v>
      </c>
      <c r="U55" s="73" t="str">
        <f>IF(VALUE(LEFT(C55,3))&lt;300,"EC","NWGL")</f>
        <v>EC</v>
      </c>
      <c r="V55" s="73" t="str">
        <f>IF(AND(E55="TRACK WARRANT AUTHORITY",G55&lt;10),"OMIT","KEEP")</f>
        <v>KEEP</v>
      </c>
    </row>
    <row r="56" spans="1:22" hidden="1" x14ac:dyDescent="0.25">
      <c r="A56" s="81">
        <v>42561.672442129631</v>
      </c>
      <c r="B56" s="67" t="s">
        <v>123</v>
      </c>
      <c r="C56" s="43" t="s">
        <v>425</v>
      </c>
      <c r="D56" s="43" t="s">
        <v>50</v>
      </c>
      <c r="E56" s="43" t="s">
        <v>51</v>
      </c>
      <c r="F56" s="69">
        <v>0</v>
      </c>
      <c r="G56" s="69">
        <v>9</v>
      </c>
      <c r="H56" s="69">
        <v>233316</v>
      </c>
      <c r="I56" s="43" t="s">
        <v>52</v>
      </c>
      <c r="J56" s="69">
        <v>233491</v>
      </c>
      <c r="K56" s="43" t="s">
        <v>53</v>
      </c>
      <c r="L56" s="105" t="str">
        <f>VLOOKUP(C56,'Trips&amp;Operators'!$C$1:$E$9999,3,0)</f>
        <v>SNYDER</v>
      </c>
      <c r="M56" s="9"/>
      <c r="N56" s="10"/>
      <c r="O56" s="43"/>
      <c r="P56" s="76" t="str">
        <f>VLOOKUP(C56,'Train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56" s="74" t="str">
        <f>VLOOKUP(C56,'Train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5" t="str">
        <f>VLOOKUP(C56,'Train Runs'!$A$13:$AF$894,32,0)</f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S56" s="9" t="str">
        <f>MID(B56,13,4)</f>
        <v>4025</v>
      </c>
      <c r="T56" s="50">
        <f>A56+6/24</f>
        <v>42561.922442129631</v>
      </c>
      <c r="U56" s="73" t="str">
        <f>IF(VALUE(LEFT(C56,3))&lt;300,"EC","NWGL")</f>
        <v>EC</v>
      </c>
      <c r="V56" s="73" t="str">
        <f>IF(AND(E56="TRACK WARRANT AUTHORITY",G56&lt;10),"OMIT","KEEP")</f>
        <v>OMIT</v>
      </c>
    </row>
    <row r="57" spans="1:22" hidden="1" x14ac:dyDescent="0.25">
      <c r="A57" s="81">
        <v>42561.703125</v>
      </c>
      <c r="B57" s="67" t="s">
        <v>76</v>
      </c>
      <c r="C57" s="43" t="s">
        <v>428</v>
      </c>
      <c r="D57" s="43" t="s">
        <v>50</v>
      </c>
      <c r="E57" s="67" t="s">
        <v>51</v>
      </c>
      <c r="F57" s="69">
        <v>0</v>
      </c>
      <c r="G57" s="69">
        <v>9</v>
      </c>
      <c r="H57" s="69">
        <v>233329</v>
      </c>
      <c r="I57" s="67" t="s">
        <v>52</v>
      </c>
      <c r="J57" s="69">
        <v>233491</v>
      </c>
      <c r="K57" s="43" t="s">
        <v>53</v>
      </c>
      <c r="L57" s="105" t="str">
        <f>VLOOKUP(C57,'Trips&amp;Operators'!$C$1:$E$9999,3,0)</f>
        <v>STEWART</v>
      </c>
      <c r="M57" s="9"/>
      <c r="N57" s="10"/>
      <c r="O57" s="73"/>
      <c r="P57" s="76" t="str">
        <f>VLOOKUP(C57,'Train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57" s="74" t="str">
        <f>VLOOKUP(C57,'Train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7" s="75" t="str">
        <f>VLOOKUP(C57,'Train Runs'!$A$13:$AF$894,32,0)</f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S57" s="9" t="str">
        <f>MID(B57,13,4)</f>
        <v>4031</v>
      </c>
      <c r="T57" s="50">
        <f>A57+6/24</f>
        <v>42561.953125</v>
      </c>
      <c r="U57" s="73" t="str">
        <f>IF(VALUE(LEFT(C57,3))&lt;300,"EC","NWGL")</f>
        <v>EC</v>
      </c>
      <c r="V57" s="73" t="str">
        <f>IF(AND(E57="TRACK WARRANT AUTHORITY",G57&lt;10),"OMIT","KEEP")</f>
        <v>OMIT</v>
      </c>
    </row>
    <row r="58" spans="1:22" hidden="1" x14ac:dyDescent="0.25">
      <c r="A58" s="81">
        <v>42561.785162037035</v>
      </c>
      <c r="B58" s="67" t="s">
        <v>127</v>
      </c>
      <c r="C58" s="43" t="s">
        <v>434</v>
      </c>
      <c r="D58" s="43" t="s">
        <v>50</v>
      </c>
      <c r="E58" s="67" t="s">
        <v>51</v>
      </c>
      <c r="F58" s="69">
        <v>0</v>
      </c>
      <c r="G58" s="69">
        <v>6</v>
      </c>
      <c r="H58" s="69">
        <v>233342</v>
      </c>
      <c r="I58" s="67" t="s">
        <v>52</v>
      </c>
      <c r="J58" s="69">
        <v>233491</v>
      </c>
      <c r="K58" s="43" t="s">
        <v>53</v>
      </c>
      <c r="L58" s="105" t="str">
        <f>VLOOKUP(C58,'Trips&amp;Operators'!$C$1:$E$9999,3,0)</f>
        <v>NEWELL</v>
      </c>
      <c r="M58" s="9"/>
      <c r="N58" s="10"/>
      <c r="O58" s="73"/>
      <c r="P58" s="76" t="str">
        <f>VLOOKUP(C58,'Train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8" s="74" t="str">
        <f>VLOOKUP(C58,'Train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8" s="75" t="str">
        <f>VLOOKUP(C58,'Train Runs'!$A$13:$AF$894,32,0)</f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S58" s="9" t="str">
        <f>MID(B58,13,4)</f>
        <v>4029</v>
      </c>
      <c r="T58" s="50">
        <f>A58+6/24</f>
        <v>42562.035162037035</v>
      </c>
      <c r="U58" s="73" t="str">
        <f>IF(VALUE(LEFT(C58,3))&lt;300,"EC","NWGL")</f>
        <v>EC</v>
      </c>
      <c r="V58" s="73" t="str">
        <f>IF(AND(E58="TRACK WARRANT AUTHORITY",G58&lt;10),"OMIT","KEEP")</f>
        <v>OMIT</v>
      </c>
    </row>
    <row r="59" spans="1:22" hidden="1" x14ac:dyDescent="0.25">
      <c r="A59" s="81">
        <v>42561.857928240737</v>
      </c>
      <c r="B59" s="67" t="s">
        <v>127</v>
      </c>
      <c r="C59" s="43" t="s">
        <v>437</v>
      </c>
      <c r="D59" s="43" t="s">
        <v>50</v>
      </c>
      <c r="E59" s="67" t="s">
        <v>51</v>
      </c>
      <c r="F59" s="69">
        <v>0</v>
      </c>
      <c r="G59" s="69">
        <v>6</v>
      </c>
      <c r="H59" s="69">
        <v>233337</v>
      </c>
      <c r="I59" s="67" t="s">
        <v>52</v>
      </c>
      <c r="J59" s="69">
        <v>233491</v>
      </c>
      <c r="K59" s="43" t="s">
        <v>53</v>
      </c>
      <c r="L59" s="105" t="str">
        <f>VLOOKUP(C59,'Trips&amp;Operators'!$C$1:$E$9999,3,0)</f>
        <v>NEWELL</v>
      </c>
      <c r="M59" s="9"/>
      <c r="N59" s="10"/>
      <c r="O59" s="73"/>
      <c r="P59" s="76" t="str">
        <f>VLOOKUP(C59,'Train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9" s="74" t="str">
        <f>VLOOKUP(C59,'Train Runs'!$A$13:$AE$894,22,0)</f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9" s="75" t="str">
        <f>VLOOKUP(C59,'Train Runs'!$A$13:$AF$894,32,0)</f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S59" s="9" t="str">
        <f>MID(B59,13,4)</f>
        <v>4029</v>
      </c>
      <c r="T59" s="50">
        <f>A59+6/24</f>
        <v>42562.107928240737</v>
      </c>
      <c r="U59" s="73" t="str">
        <f>IF(VALUE(LEFT(C59,3))&lt;300,"EC","NWGL")</f>
        <v>EC</v>
      </c>
      <c r="V59" s="73" t="str">
        <f>IF(AND(E59="TRACK WARRANT AUTHORITY",G59&lt;10),"OMIT","KEEP")</f>
        <v>OMIT</v>
      </c>
    </row>
    <row r="60" spans="1:22" hidden="1" x14ac:dyDescent="0.25">
      <c r="A60" s="50">
        <v>42561.899768518517</v>
      </c>
      <c r="B60" s="67" t="s">
        <v>73</v>
      </c>
      <c r="C60" s="43" t="s">
        <v>438</v>
      </c>
      <c r="D60" s="43" t="s">
        <v>50</v>
      </c>
      <c r="E60" s="67" t="s">
        <v>51</v>
      </c>
      <c r="F60" s="69">
        <v>0</v>
      </c>
      <c r="G60" s="69">
        <v>8</v>
      </c>
      <c r="H60" s="69">
        <v>233297</v>
      </c>
      <c r="I60" s="67" t="s">
        <v>52</v>
      </c>
      <c r="J60" s="69">
        <v>233491</v>
      </c>
      <c r="K60" s="43" t="s">
        <v>53</v>
      </c>
      <c r="L60" s="105" t="str">
        <f>VLOOKUP(C60,'Trips&amp;Operators'!$C$1:$E$9999,3,0)</f>
        <v>LEVERE</v>
      </c>
      <c r="M60" s="9"/>
      <c r="N60" s="10"/>
      <c r="O60" s="43"/>
      <c r="P60" s="76" t="str">
        <f>VLOOKUP(C60,'Train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60" s="74" t="str">
        <f>VLOOKUP(C60,'Train Runs'!$A$13:$AE$894,22,0)</f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5" t="str">
        <f>VLOOKUP(C60,'Train Runs'!$A$13:$AF$894,32,0)</f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S60" s="9" t="str">
        <f>MID(B60,13,4)</f>
        <v>4020</v>
      </c>
      <c r="T60" s="50">
        <f>A60+6/24</f>
        <v>42562.149768518517</v>
      </c>
      <c r="U60" s="73" t="str">
        <f>IF(VALUE(LEFT(C60,3))&lt;300,"EC","NWGL")</f>
        <v>EC</v>
      </c>
      <c r="V60" s="73" t="str">
        <f>IF(AND(E60="TRACK WARRANT AUTHORITY",G60&lt;10),"OMIT","KEEP")</f>
        <v>OMIT</v>
      </c>
    </row>
    <row r="61" spans="1:22" hidden="1" x14ac:dyDescent="0.25">
      <c r="A61" s="50">
        <v>42561.94127314815</v>
      </c>
      <c r="B61" s="67" t="s">
        <v>127</v>
      </c>
      <c r="C61" s="43" t="s">
        <v>441</v>
      </c>
      <c r="D61" s="43" t="s">
        <v>50</v>
      </c>
      <c r="E61" s="67" t="s">
        <v>51</v>
      </c>
      <c r="F61" s="69">
        <v>0</v>
      </c>
      <c r="G61" s="69">
        <v>5</v>
      </c>
      <c r="H61" s="69">
        <v>233330</v>
      </c>
      <c r="I61" s="67" t="s">
        <v>52</v>
      </c>
      <c r="J61" s="69">
        <v>233491</v>
      </c>
      <c r="K61" s="43" t="s">
        <v>53</v>
      </c>
      <c r="L61" s="105" t="str">
        <f>VLOOKUP(C61,'Trips&amp;Operators'!$C$1:$E$9999,3,0)</f>
        <v>NEWELL</v>
      </c>
      <c r="M61" s="9"/>
      <c r="N61" s="10"/>
      <c r="O61" s="43"/>
      <c r="P61" s="76" t="str">
        <f>VLOOKUP(C61,'Train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61" s="74" t="str">
        <f>VLOOKUP(C61,'Train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5" t="str">
        <f>VLOOKUP(C61,'Train Runs'!$A$13:$AF$894,32,0)</f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S61" s="9" t="str">
        <f>MID(B61,13,4)</f>
        <v>4029</v>
      </c>
      <c r="T61" s="50">
        <f>A61+6/24</f>
        <v>42562.19127314815</v>
      </c>
      <c r="U61" s="73" t="str">
        <f>IF(VALUE(LEFT(C61,3))&lt;300,"EC","NWGL")</f>
        <v>EC</v>
      </c>
      <c r="V61" s="73" t="str">
        <f>IF(AND(E61="TRACK WARRANT AUTHORITY",G61&lt;10),"OMIT","KEEP")</f>
        <v>OMIT</v>
      </c>
    </row>
    <row r="62" spans="1:22" hidden="1" x14ac:dyDescent="0.25">
      <c r="A62" s="50">
        <v>42561.963807870372</v>
      </c>
      <c r="B62" s="67" t="s">
        <v>149</v>
      </c>
      <c r="C62" s="43" t="s">
        <v>442</v>
      </c>
      <c r="D62" s="43" t="s">
        <v>50</v>
      </c>
      <c r="E62" s="67" t="s">
        <v>51</v>
      </c>
      <c r="F62" s="69">
        <v>0</v>
      </c>
      <c r="G62" s="69">
        <v>6</v>
      </c>
      <c r="H62" s="69">
        <v>233334</v>
      </c>
      <c r="I62" s="67" t="s">
        <v>52</v>
      </c>
      <c r="J62" s="69">
        <v>233491</v>
      </c>
      <c r="K62" s="43" t="s">
        <v>53</v>
      </c>
      <c r="L62" s="105" t="str">
        <f>VLOOKUP(C62,'Trips&amp;Operators'!$C$1:$E$9999,3,0)</f>
        <v>CHANDLER</v>
      </c>
      <c r="M62" s="9"/>
      <c r="N62" s="10"/>
      <c r="O62" s="73"/>
      <c r="P62" s="76" t="str">
        <f>VLOOKUP(C62,'Train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62" s="74" t="str">
        <f>VLOOKUP(C62,'Train Runs'!$A$13:$AE$894,22,0)</f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2" s="75" t="str">
        <f>VLOOKUP(C62,'Train Runs'!$A$13:$AF$894,32,0)</f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S62" s="9" t="str">
        <f>MID(B62,13,4)</f>
        <v>4040</v>
      </c>
      <c r="T62" s="50">
        <f>A62+6/24</f>
        <v>42562.213807870372</v>
      </c>
      <c r="U62" s="73" t="str">
        <f>IF(VALUE(LEFT(C62,3))&lt;300,"EC","NWGL")</f>
        <v>EC</v>
      </c>
      <c r="V62" s="73" t="str">
        <f>IF(AND(E62="TRACK WARRANT AUTHORITY",G62&lt;10),"OMIT","KEEP")</f>
        <v>OMIT</v>
      </c>
    </row>
    <row r="63" spans="1:22" hidden="1" x14ac:dyDescent="0.25">
      <c r="A63" s="50">
        <v>42562.025775462964</v>
      </c>
      <c r="B63" s="67" t="s">
        <v>147</v>
      </c>
      <c r="C63" s="43" t="s">
        <v>443</v>
      </c>
      <c r="D63" s="43" t="s">
        <v>50</v>
      </c>
      <c r="E63" s="67" t="s">
        <v>51</v>
      </c>
      <c r="F63" s="69">
        <v>0</v>
      </c>
      <c r="G63" s="69">
        <v>5</v>
      </c>
      <c r="H63" s="69">
        <v>233349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NEWELL</v>
      </c>
      <c r="M63" s="9"/>
      <c r="N63" s="10"/>
      <c r="O63" s="73"/>
      <c r="P63" s="76" t="str">
        <f>VLOOKUP(C63,'Train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63" s="74" t="str">
        <f>VLOOKUP(C63,'Train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3" s="75" t="str">
        <f>VLOOKUP(C63,'Train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63" s="9" t="str">
        <f>MID(B63,13,4)</f>
        <v>4007</v>
      </c>
      <c r="T63" s="50">
        <f>A63+6/24</f>
        <v>42562.275775462964</v>
      </c>
      <c r="U63" s="73" t="str">
        <f>IF(VALUE(LEFT(C63,3))&lt;300,"EC","NWGL")</f>
        <v>EC</v>
      </c>
      <c r="V63" s="73" t="str">
        <f>IF(AND(E63="TRACK WARRANT AUTHORITY",G63&lt;10),"OMIT","KEEP")</f>
        <v>OMIT</v>
      </c>
    </row>
    <row r="64" spans="1:22" hidden="1" x14ac:dyDescent="0.25">
      <c r="A64" s="8">
        <v>42562.063645833332</v>
      </c>
      <c r="B64" s="27" t="s">
        <v>143</v>
      </c>
      <c r="C64" s="27" t="s">
        <v>444</v>
      </c>
      <c r="D64" s="27" t="s">
        <v>50</v>
      </c>
      <c r="E64" s="27" t="s">
        <v>51</v>
      </c>
      <c r="F64" s="2">
        <v>0</v>
      </c>
      <c r="G64" s="2">
        <v>7</v>
      </c>
      <c r="H64" s="2">
        <v>1611</v>
      </c>
      <c r="I64" s="27" t="s">
        <v>52</v>
      </c>
      <c r="J64" s="2">
        <v>839</v>
      </c>
      <c r="K64" s="27" t="s">
        <v>54</v>
      </c>
      <c r="L64" s="105" t="str">
        <f>VLOOKUP(C64,'Trips&amp;Operators'!$C$1:$E$9999,3,0)</f>
        <v>NEWELL</v>
      </c>
      <c r="M64" s="9"/>
      <c r="N64" s="10"/>
      <c r="O64" s="73"/>
      <c r="P64" s="76" t="str">
        <f>VLOOKUP(C64,'Train Runs'!$A$13:$AE$894,31,0)</f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Q64" s="74" t="str">
        <f>VLOOKUP(C64,'Train Runs'!$A$13:$AE$894,22,0)</f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4" s="75" t="str">
        <f>VLOOKUP(C64,'Train Runs'!$A$13:$AF$894,32,0)</f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S64" s="9" t="str">
        <f>MID(B64,13,4)</f>
        <v>4008</v>
      </c>
      <c r="T64" s="50">
        <f>A64+6/24</f>
        <v>42562.313645833332</v>
      </c>
      <c r="U64" s="73" t="str">
        <f>IF(VALUE(LEFT(C64,3))&lt;300,"EC","NWGL")</f>
        <v>EC</v>
      </c>
      <c r="V64" s="73" t="str">
        <f>IF(AND(E64="TRACK WARRANT AUTHORITY",G64&lt;10),"OMIT","KEEP")</f>
        <v>OMIT</v>
      </c>
    </row>
  </sheetData>
  <autoFilter ref="A6:V64">
    <filterColumn colId="21">
      <filters>
        <filter val="KEEP"/>
      </filters>
    </filterColumn>
  </autoFilter>
  <sortState ref="A7:V64">
    <sortCondition ref="U7:U64"/>
    <sortCondition ref="E7:E64"/>
    <sortCondition ref="J7:J64"/>
    <sortCondition ref="C7:C64"/>
    <sortCondition ref="F7:F64"/>
  </sortState>
  <mergeCells count="1">
    <mergeCell ref="A5:M5"/>
  </mergeCells>
  <conditionalFormatting sqref="M6:N6 P6 M7:M1048576">
    <cfRule type="cellIs" dxfId="13" priority="14" operator="equal">
      <formula>"Y"</formula>
    </cfRule>
  </conditionalFormatting>
  <conditionalFormatting sqref="L60:N64 A7:N59">
    <cfRule type="expression" dxfId="12" priority="7">
      <formula>$M7="Y"</formula>
    </cfRule>
  </conditionalFormatting>
  <conditionalFormatting sqref="M2:M3">
    <cfRule type="cellIs" dxfId="11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5" t="str">
        <f>"Trips that did not appear in PTC Data "&amp;TEXT(Variables!$A$2,"YYYY-mm-dd")</f>
        <v>Trips that did not appear in PTC Data 2016-07-10</v>
      </c>
      <c r="B1" s="125"/>
      <c r="C1" s="125"/>
      <c r="D1" s="125"/>
      <c r="E1" s="125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624</v>
      </c>
      <c r="B3" s="43"/>
      <c r="C3" s="43"/>
      <c r="D3" s="43" t="s">
        <v>364</v>
      </c>
      <c r="E3" s="28" t="str">
        <f>VLOOKUP(A3,'Trips&amp;Operators'!$C$2:$E$10000,3,FALSE)</f>
        <v>YOUNG</v>
      </c>
      <c r="F3" s="28" t="str">
        <f>VLOOKUP(A3,'Trips&amp;Operators'!$C$1:$F$10000,4,FALSE)</f>
        <v>rtdc.l.rtdc.4019:itc</v>
      </c>
      <c r="G3" s="42">
        <f>VLOOKUP(A3,'Trips&amp;Operators'!$C$1:$H$10000,5,FALSE)</f>
        <v>42561.613703703704</v>
      </c>
      <c r="H3" s="27"/>
      <c r="I3" s="27"/>
      <c r="J3" s="27"/>
    </row>
    <row r="4" spans="1:10" x14ac:dyDescent="0.25">
      <c r="A4" s="43" t="s">
        <v>635</v>
      </c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42561.167986111112</v>
      </c>
      <c r="B1" s="27" t="s">
        <v>118</v>
      </c>
      <c r="C1" s="27" t="s">
        <v>448</v>
      </c>
      <c r="D1" s="27">
        <v>1460000</v>
      </c>
      <c r="E1" s="27" t="s">
        <v>114</v>
      </c>
      <c r="F1" s="27" t="str">
        <f>B1</f>
        <v>rtdc.l.rtdc.4012:itc</v>
      </c>
      <c r="G1" s="8">
        <f>A1</f>
        <v>42561.167986111112</v>
      </c>
    </row>
    <row r="2" spans="1:7" x14ac:dyDescent="0.25">
      <c r="A2" s="8">
        <v>42561.465902777774</v>
      </c>
      <c r="B2" s="27" t="s">
        <v>127</v>
      </c>
      <c r="C2" s="27" t="s">
        <v>520</v>
      </c>
      <c r="D2" s="27">
        <v>1280000</v>
      </c>
      <c r="E2" s="27" t="s">
        <v>126</v>
      </c>
      <c r="F2" s="27" t="str">
        <f t="shared" ref="F2:F65" si="0">B2</f>
        <v>rtdc.l.rtdc.4029:itc</v>
      </c>
      <c r="G2" s="8">
        <f t="shared" ref="G2:G65" si="1">A2</f>
        <v>42561.465902777774</v>
      </c>
    </row>
    <row r="3" spans="1:7" x14ac:dyDescent="0.25">
      <c r="A3" s="8">
        <v>42561.241365740738</v>
      </c>
      <c r="B3" s="27" t="s">
        <v>120</v>
      </c>
      <c r="C3" s="27" t="s">
        <v>398</v>
      </c>
      <c r="D3" s="27">
        <v>1310000</v>
      </c>
      <c r="E3" s="27" t="s">
        <v>115</v>
      </c>
      <c r="F3" s="27" t="str">
        <f t="shared" si="0"/>
        <v>rtdc.l.rtdc.4026:itc</v>
      </c>
      <c r="G3" s="8">
        <f t="shared" si="1"/>
        <v>42561.241365740738</v>
      </c>
    </row>
    <row r="4" spans="1:7" x14ac:dyDescent="0.25">
      <c r="A4" s="8">
        <v>42561.261817129627</v>
      </c>
      <c r="B4" s="27" t="s">
        <v>149</v>
      </c>
      <c r="C4" s="27" t="s">
        <v>476</v>
      </c>
      <c r="D4" s="27">
        <v>540000</v>
      </c>
      <c r="E4" s="27" t="s">
        <v>620</v>
      </c>
      <c r="F4" s="27" t="str">
        <f t="shared" si="0"/>
        <v>rtdc.l.rtdc.4040:itc</v>
      </c>
      <c r="G4" s="8">
        <f t="shared" si="1"/>
        <v>42561.261817129627</v>
      </c>
    </row>
    <row r="5" spans="1:7" x14ac:dyDescent="0.25">
      <c r="A5" s="8">
        <v>42561.453125</v>
      </c>
      <c r="B5" s="27" t="s">
        <v>76</v>
      </c>
      <c r="C5" s="27" t="s">
        <v>518</v>
      </c>
      <c r="D5" s="27">
        <v>330000</v>
      </c>
      <c r="E5" s="27" t="s">
        <v>621</v>
      </c>
      <c r="F5" s="27" t="str">
        <f t="shared" si="0"/>
        <v>rtdc.l.rtdc.4031:itc</v>
      </c>
      <c r="G5" s="8">
        <f t="shared" si="1"/>
        <v>42561.453125</v>
      </c>
    </row>
    <row r="6" spans="1:7" x14ac:dyDescent="0.25">
      <c r="A6" s="8">
        <v>42561.41988425926</v>
      </c>
      <c r="B6" s="27" t="s">
        <v>67</v>
      </c>
      <c r="C6" s="27" t="s">
        <v>504</v>
      </c>
      <c r="D6" s="27">
        <v>1260000</v>
      </c>
      <c r="E6" s="27" t="s">
        <v>622</v>
      </c>
      <c r="F6" s="27" t="str">
        <f t="shared" si="0"/>
        <v>rtdc.l.rtdc.4032:itc</v>
      </c>
      <c r="G6" s="8">
        <f t="shared" si="1"/>
        <v>42561.41988425926</v>
      </c>
    </row>
    <row r="7" spans="1:7" x14ac:dyDescent="0.25">
      <c r="A7" s="8">
        <v>42561.505162037036</v>
      </c>
      <c r="B7" s="27" t="s">
        <v>117</v>
      </c>
      <c r="C7" s="27" t="s">
        <v>533</v>
      </c>
      <c r="D7" s="27">
        <v>1520000</v>
      </c>
      <c r="E7" s="27" t="s">
        <v>137</v>
      </c>
      <c r="F7" s="27" t="str">
        <f t="shared" si="0"/>
        <v>rtdc.l.rtdc.4011:itc</v>
      </c>
      <c r="G7" s="8">
        <f t="shared" si="1"/>
        <v>42561.505162037036</v>
      </c>
    </row>
    <row r="8" spans="1:7" x14ac:dyDescent="0.25">
      <c r="A8" s="8">
        <v>42561.541018518517</v>
      </c>
      <c r="B8" s="27" t="s">
        <v>118</v>
      </c>
      <c r="C8" s="27" t="s">
        <v>417</v>
      </c>
      <c r="D8" s="27">
        <v>1520000</v>
      </c>
      <c r="E8" s="27" t="s">
        <v>137</v>
      </c>
      <c r="F8" s="27" t="str">
        <f t="shared" si="0"/>
        <v>rtdc.l.rtdc.4012:itc</v>
      </c>
      <c r="G8" s="8">
        <f t="shared" si="1"/>
        <v>42561.541018518517</v>
      </c>
    </row>
    <row r="9" spans="1:7" ht="15.75" thickBot="1" x14ac:dyDescent="0.3">
      <c r="A9" s="34">
        <v>42561.638055555559</v>
      </c>
      <c r="B9" s="27" t="s">
        <v>123</v>
      </c>
      <c r="C9" s="27" t="s">
        <v>425</v>
      </c>
      <c r="D9" s="27">
        <v>310000</v>
      </c>
      <c r="E9" s="27" t="s">
        <v>623</v>
      </c>
      <c r="F9" s="27" t="str">
        <f t="shared" si="0"/>
        <v>rtdc.l.rtdc.4025:itc</v>
      </c>
      <c r="G9" s="8">
        <f t="shared" si="1"/>
        <v>42561.638055555559</v>
      </c>
    </row>
    <row r="10" spans="1:7" x14ac:dyDescent="0.25">
      <c r="A10" s="8">
        <v>42561.711921296293</v>
      </c>
      <c r="B10" s="27" t="s">
        <v>67</v>
      </c>
      <c r="C10" s="27" t="s">
        <v>430</v>
      </c>
      <c r="D10" s="27">
        <v>880000</v>
      </c>
      <c r="E10" s="27" t="s">
        <v>136</v>
      </c>
      <c r="F10" s="27" t="str">
        <f t="shared" si="0"/>
        <v>rtdc.l.rtdc.4032:itc</v>
      </c>
      <c r="G10" s="8">
        <f t="shared" si="1"/>
        <v>42561.711921296293</v>
      </c>
    </row>
    <row r="11" spans="1:7" x14ac:dyDescent="0.25">
      <c r="A11" s="8">
        <v>42561.746886574074</v>
      </c>
      <c r="B11" s="27" t="s">
        <v>76</v>
      </c>
      <c r="C11" s="27" t="s">
        <v>594</v>
      </c>
      <c r="D11" s="27">
        <v>860000</v>
      </c>
      <c r="E11" s="27" t="s">
        <v>368</v>
      </c>
      <c r="F11" s="27" t="str">
        <f t="shared" si="0"/>
        <v>rtdc.l.rtdc.4031:itc</v>
      </c>
      <c r="G11" s="8">
        <f t="shared" si="1"/>
        <v>42561.746886574074</v>
      </c>
    </row>
    <row r="12" spans="1:7" x14ac:dyDescent="0.25">
      <c r="A12" s="8">
        <v>42561.613703703704</v>
      </c>
      <c r="B12" s="27" t="s">
        <v>72</v>
      </c>
      <c r="C12" s="27" t="s">
        <v>624</v>
      </c>
      <c r="D12" s="27">
        <v>1140000</v>
      </c>
      <c r="E12" s="27" t="s">
        <v>133</v>
      </c>
      <c r="F12" s="27" t="str">
        <f t="shared" si="0"/>
        <v>rtdc.l.rtdc.4019:itc</v>
      </c>
      <c r="G12" s="8">
        <f t="shared" si="1"/>
        <v>42561.613703703704</v>
      </c>
    </row>
    <row r="13" spans="1:7" x14ac:dyDescent="0.25">
      <c r="A13" s="8">
        <v>42561.808078703703</v>
      </c>
      <c r="B13" s="27" t="s">
        <v>169</v>
      </c>
      <c r="C13" s="27" t="s">
        <v>599</v>
      </c>
      <c r="D13" s="27">
        <v>1800000</v>
      </c>
      <c r="E13" s="27" t="s">
        <v>625</v>
      </c>
      <c r="F13" s="27" t="str">
        <f t="shared" si="0"/>
        <v>rtdc.l.rtdc.4039:itc</v>
      </c>
      <c r="G13" s="8">
        <f t="shared" si="1"/>
        <v>42561.808078703703</v>
      </c>
    </row>
    <row r="14" spans="1:7" x14ac:dyDescent="0.25">
      <c r="A14" s="8">
        <v>42561.587395833332</v>
      </c>
      <c r="B14" s="27" t="s">
        <v>67</v>
      </c>
      <c r="C14" s="27" t="s">
        <v>541</v>
      </c>
      <c r="D14" s="27">
        <v>880000</v>
      </c>
      <c r="E14" s="27" t="s">
        <v>136</v>
      </c>
      <c r="F14" s="27" t="str">
        <f t="shared" si="0"/>
        <v>rtdc.l.rtdc.4032:itc</v>
      </c>
      <c r="G14" s="8">
        <f t="shared" si="1"/>
        <v>42561.587395833332</v>
      </c>
    </row>
    <row r="15" spans="1:7" x14ac:dyDescent="0.25">
      <c r="A15" s="8">
        <v>42561.616226851853</v>
      </c>
      <c r="B15" s="27" t="s">
        <v>127</v>
      </c>
      <c r="C15" s="27" t="s">
        <v>422</v>
      </c>
      <c r="D15" s="27">
        <v>1280000</v>
      </c>
      <c r="E15" s="27" t="s">
        <v>126</v>
      </c>
      <c r="F15" s="27" t="str">
        <f t="shared" si="0"/>
        <v>rtdc.l.rtdc.4029:itc</v>
      </c>
      <c r="G15" s="8">
        <f t="shared" si="1"/>
        <v>42561.616226851853</v>
      </c>
    </row>
    <row r="16" spans="1:7" x14ac:dyDescent="0.25">
      <c r="A16" s="8">
        <v>42561.554629629631</v>
      </c>
      <c r="B16" s="27" t="s">
        <v>75</v>
      </c>
      <c r="C16" s="27" t="s">
        <v>536</v>
      </c>
      <c r="D16" s="27">
        <v>860000</v>
      </c>
      <c r="E16" s="27" t="s">
        <v>368</v>
      </c>
      <c r="F16" s="27" t="str">
        <f t="shared" si="0"/>
        <v>rtdc.l.rtdc.4017:itc</v>
      </c>
      <c r="G16" s="8">
        <f t="shared" si="1"/>
        <v>42561.554629629631</v>
      </c>
    </row>
    <row r="17" spans="1:7" x14ac:dyDescent="0.25">
      <c r="A17" s="8">
        <v>42561.631249999999</v>
      </c>
      <c r="B17" s="27" t="s">
        <v>149</v>
      </c>
      <c r="C17" s="27" t="s">
        <v>423</v>
      </c>
      <c r="D17" s="27">
        <v>1740000</v>
      </c>
      <c r="E17" s="27" t="s">
        <v>186</v>
      </c>
      <c r="F17" s="27" t="str">
        <f t="shared" si="0"/>
        <v>rtdc.l.rtdc.4040:itc</v>
      </c>
      <c r="G17" s="8">
        <f t="shared" si="1"/>
        <v>42561.631249999999</v>
      </c>
    </row>
    <row r="18" spans="1:7" x14ac:dyDescent="0.25">
      <c r="A18" s="8">
        <v>42561.376539351855</v>
      </c>
      <c r="B18" s="27" t="s">
        <v>120</v>
      </c>
      <c r="C18" s="27" t="s">
        <v>495</v>
      </c>
      <c r="D18" s="27">
        <v>330000</v>
      </c>
      <c r="E18" s="27" t="s">
        <v>621</v>
      </c>
      <c r="F18" s="27" t="str">
        <f t="shared" si="0"/>
        <v>rtdc.l.rtdc.4026:itc</v>
      </c>
      <c r="G18" s="8">
        <f t="shared" si="1"/>
        <v>42561.376539351855</v>
      </c>
    </row>
    <row r="19" spans="1:7" x14ac:dyDescent="0.25">
      <c r="A19" s="8">
        <v>42561.662662037037</v>
      </c>
      <c r="B19" s="27" t="s">
        <v>169</v>
      </c>
      <c r="C19" s="27" t="s">
        <v>424</v>
      </c>
      <c r="D19" s="27">
        <v>1740000</v>
      </c>
      <c r="E19" s="27" t="s">
        <v>186</v>
      </c>
      <c r="F19" s="27" t="str">
        <f t="shared" si="0"/>
        <v>rtdc.l.rtdc.4039:itc</v>
      </c>
      <c r="G19" s="8">
        <f t="shared" si="1"/>
        <v>42561.662662037037</v>
      </c>
    </row>
    <row r="20" spans="1:7" x14ac:dyDescent="0.25">
      <c r="A20" s="8">
        <v>42561.324270833335</v>
      </c>
      <c r="B20" s="27" t="s">
        <v>118</v>
      </c>
      <c r="C20" s="27" t="s">
        <v>482</v>
      </c>
      <c r="D20" s="27">
        <v>1460000</v>
      </c>
      <c r="E20" s="27" t="s">
        <v>114</v>
      </c>
      <c r="F20" s="27" t="str">
        <f t="shared" si="0"/>
        <v>rtdc.l.rtdc.4012:itc</v>
      </c>
      <c r="G20" s="8">
        <f t="shared" si="1"/>
        <v>42561.324270833335</v>
      </c>
    </row>
    <row r="21" spans="1:7" x14ac:dyDescent="0.25">
      <c r="A21" s="8">
        <v>42561.949641203704</v>
      </c>
      <c r="B21" s="27" t="s">
        <v>128</v>
      </c>
      <c r="C21" s="27" t="s">
        <v>626</v>
      </c>
      <c r="D21" s="27">
        <v>1810000</v>
      </c>
      <c r="E21" s="27" t="s">
        <v>170</v>
      </c>
      <c r="F21" s="27" t="str">
        <f t="shared" si="0"/>
        <v>rtdc.l.rtdc.4030:itc</v>
      </c>
      <c r="G21" s="8">
        <f t="shared" si="1"/>
        <v>42561.949641203704</v>
      </c>
    </row>
    <row r="22" spans="1:7" x14ac:dyDescent="0.25">
      <c r="A22" s="36">
        <v>42561.291064814817</v>
      </c>
      <c r="B22" s="27" t="s">
        <v>169</v>
      </c>
      <c r="C22" s="27" t="s">
        <v>477</v>
      </c>
      <c r="D22" s="27">
        <v>540000</v>
      </c>
      <c r="E22" s="27" t="s">
        <v>620</v>
      </c>
      <c r="F22" s="27" t="str">
        <f t="shared" si="0"/>
        <v>rtdc.l.rtdc.4039:itc</v>
      </c>
      <c r="G22" s="8">
        <f t="shared" si="1"/>
        <v>42561.291064814817</v>
      </c>
    </row>
    <row r="23" spans="1:7" x14ac:dyDescent="0.25">
      <c r="A23" s="8">
        <v>42561.665694444448</v>
      </c>
      <c r="B23" s="27" t="s">
        <v>74</v>
      </c>
      <c r="C23" s="27" t="s">
        <v>574</v>
      </c>
      <c r="D23" s="27">
        <v>860000</v>
      </c>
      <c r="E23" s="27" t="s">
        <v>368</v>
      </c>
      <c r="F23" s="27" t="str">
        <f t="shared" si="0"/>
        <v>rtdc.l.rtdc.4018:itc</v>
      </c>
      <c r="G23" s="8">
        <f t="shared" si="1"/>
        <v>42561.665694444448</v>
      </c>
    </row>
    <row r="24" spans="1:7" x14ac:dyDescent="0.25">
      <c r="A24" s="8">
        <v>42561.151377314818</v>
      </c>
      <c r="B24" s="27" t="s">
        <v>74</v>
      </c>
      <c r="C24" s="27" t="s">
        <v>395</v>
      </c>
      <c r="D24" s="27">
        <v>1260000</v>
      </c>
      <c r="E24" s="27" t="s">
        <v>622</v>
      </c>
      <c r="F24" s="27" t="str">
        <f t="shared" si="0"/>
        <v>rtdc.l.rtdc.4018:itc</v>
      </c>
      <c r="G24" s="8">
        <f t="shared" si="1"/>
        <v>42561.151377314818</v>
      </c>
    </row>
    <row r="25" spans="1:7" x14ac:dyDescent="0.25">
      <c r="A25" s="8">
        <v>42561.757800925923</v>
      </c>
      <c r="B25" s="27" t="s">
        <v>118</v>
      </c>
      <c r="C25" s="27" t="s">
        <v>435</v>
      </c>
      <c r="D25" s="27">
        <v>1140000</v>
      </c>
      <c r="E25" s="27" t="s">
        <v>133</v>
      </c>
      <c r="F25" s="27" t="str">
        <f t="shared" si="0"/>
        <v>rtdc.l.rtdc.4012:itc</v>
      </c>
      <c r="G25" s="8">
        <f t="shared" si="1"/>
        <v>42561.757800925923</v>
      </c>
    </row>
    <row r="26" spans="1:7" x14ac:dyDescent="0.25">
      <c r="A26" s="8">
        <v>42561.132349537038</v>
      </c>
      <c r="B26" s="27" t="s">
        <v>73</v>
      </c>
      <c r="C26" s="27" t="s">
        <v>446</v>
      </c>
      <c r="D26" s="27">
        <v>1460000</v>
      </c>
      <c r="E26" s="27" t="s">
        <v>114</v>
      </c>
      <c r="F26" s="27" t="str">
        <f t="shared" si="0"/>
        <v>rtdc.l.rtdc.4020:itc</v>
      </c>
      <c r="G26" s="8">
        <f t="shared" si="1"/>
        <v>42561.132349537038</v>
      </c>
    </row>
    <row r="27" spans="1:7" x14ac:dyDescent="0.25">
      <c r="A27" s="8">
        <v>42561.775740740741</v>
      </c>
      <c r="B27" s="27" t="s">
        <v>75</v>
      </c>
      <c r="C27" s="27" t="s">
        <v>592</v>
      </c>
      <c r="D27" s="27">
        <v>1290000</v>
      </c>
      <c r="E27" s="27" t="s">
        <v>172</v>
      </c>
      <c r="F27" s="27" t="str">
        <f t="shared" si="0"/>
        <v>rtdc.l.rtdc.4017:itc</v>
      </c>
      <c r="G27" s="8">
        <f t="shared" si="1"/>
        <v>42561.775740740741</v>
      </c>
    </row>
    <row r="28" spans="1:7" x14ac:dyDescent="0.25">
      <c r="A28" s="8">
        <v>42561.080729166664</v>
      </c>
      <c r="B28" s="27" t="s">
        <v>143</v>
      </c>
      <c r="C28" s="27" t="s">
        <v>369</v>
      </c>
      <c r="D28" s="27">
        <v>1820000</v>
      </c>
      <c r="E28" s="27" t="s">
        <v>104</v>
      </c>
      <c r="F28" s="27" t="str">
        <f t="shared" si="0"/>
        <v>rtdc.l.rtdc.4008:itc</v>
      </c>
      <c r="G28" s="8">
        <f t="shared" si="1"/>
        <v>42561.080729166664</v>
      </c>
    </row>
    <row r="29" spans="1:7" x14ac:dyDescent="0.25">
      <c r="A29" s="8">
        <v>42561.785752314812</v>
      </c>
      <c r="B29" s="27" t="s">
        <v>73</v>
      </c>
      <c r="C29" s="27" t="s">
        <v>600</v>
      </c>
      <c r="D29" s="27">
        <v>1180000</v>
      </c>
      <c r="E29" s="27" t="s">
        <v>326</v>
      </c>
      <c r="F29" s="27" t="str">
        <f t="shared" si="0"/>
        <v>rtdc.l.rtdc.4020:itc</v>
      </c>
      <c r="G29" s="8">
        <f t="shared" si="1"/>
        <v>42561.785752314812</v>
      </c>
    </row>
    <row r="30" spans="1:7" x14ac:dyDescent="0.25">
      <c r="A30" s="8">
        <v>42562.052627314813</v>
      </c>
      <c r="B30" s="27" t="s">
        <v>169</v>
      </c>
      <c r="C30" s="27" t="s">
        <v>627</v>
      </c>
      <c r="D30" s="27">
        <v>1410000</v>
      </c>
      <c r="E30" s="27" t="s">
        <v>628</v>
      </c>
      <c r="F30" s="27" t="str">
        <f t="shared" si="0"/>
        <v>rtdc.l.rtdc.4039:itc</v>
      </c>
      <c r="G30" s="8">
        <f t="shared" si="1"/>
        <v>42562.052627314813</v>
      </c>
    </row>
    <row r="31" spans="1:7" x14ac:dyDescent="0.25">
      <c r="A31" s="8">
        <v>42561.716192129628</v>
      </c>
      <c r="B31" s="27" t="s">
        <v>73</v>
      </c>
      <c r="C31" s="27" t="s">
        <v>585</v>
      </c>
      <c r="D31" s="27">
        <v>1180000</v>
      </c>
      <c r="E31" s="27" t="s">
        <v>326</v>
      </c>
      <c r="F31" s="27" t="str">
        <f t="shared" si="0"/>
        <v>rtdc.l.rtdc.4020:itc</v>
      </c>
      <c r="G31" s="8">
        <f t="shared" si="1"/>
        <v>42561.716192129628</v>
      </c>
    </row>
    <row r="32" spans="1:7" x14ac:dyDescent="0.25">
      <c r="A32" s="8">
        <v>42561.487430555557</v>
      </c>
      <c r="B32" s="27" t="s">
        <v>67</v>
      </c>
      <c r="C32" s="27" t="s">
        <v>416</v>
      </c>
      <c r="D32" s="27">
        <v>330000</v>
      </c>
      <c r="E32" s="27" t="s">
        <v>621</v>
      </c>
      <c r="F32" s="27" t="str">
        <f t="shared" si="0"/>
        <v>rtdc.l.rtdc.4032:itc</v>
      </c>
      <c r="G32" s="8">
        <f t="shared" si="1"/>
        <v>42561.487430555557</v>
      </c>
    </row>
    <row r="33" spans="1:7" x14ac:dyDescent="0.25">
      <c r="A33" s="8">
        <v>42561.720648148148</v>
      </c>
      <c r="B33" s="27" t="s">
        <v>128</v>
      </c>
      <c r="C33" s="27" t="s">
        <v>580</v>
      </c>
      <c r="D33" s="27">
        <v>1280000</v>
      </c>
      <c r="E33" s="27" t="s">
        <v>126</v>
      </c>
      <c r="F33" s="27" t="str">
        <f t="shared" si="0"/>
        <v>rtdc.l.rtdc.4030:itc</v>
      </c>
      <c r="G33" s="8">
        <f t="shared" si="1"/>
        <v>42561.720648148148</v>
      </c>
    </row>
    <row r="34" spans="1:7" x14ac:dyDescent="0.25">
      <c r="A34" s="8">
        <v>42562.033055555556</v>
      </c>
      <c r="B34" s="27" t="s">
        <v>143</v>
      </c>
      <c r="C34" s="27" t="s">
        <v>444</v>
      </c>
      <c r="D34" s="27">
        <v>1810000</v>
      </c>
      <c r="E34" s="27" t="s">
        <v>170</v>
      </c>
      <c r="F34" s="27" t="str">
        <f t="shared" si="0"/>
        <v>rtdc.l.rtdc.4008:itc</v>
      </c>
      <c r="G34" s="8">
        <f t="shared" si="1"/>
        <v>42562.033055555556</v>
      </c>
    </row>
    <row r="35" spans="1:7" x14ac:dyDescent="0.25">
      <c r="A35" s="8">
        <v>42561.735231481478</v>
      </c>
      <c r="B35" s="27" t="s">
        <v>74</v>
      </c>
      <c r="C35" s="27" t="s">
        <v>590</v>
      </c>
      <c r="D35" s="27">
        <v>1290000</v>
      </c>
      <c r="E35" s="27" t="s">
        <v>172</v>
      </c>
      <c r="F35" s="27" t="str">
        <f t="shared" si="0"/>
        <v>rtdc.l.rtdc.4018:itc</v>
      </c>
      <c r="G35" s="8">
        <f t="shared" si="1"/>
        <v>42561.735231481478</v>
      </c>
    </row>
    <row r="36" spans="1:7" x14ac:dyDescent="0.25">
      <c r="A36" s="8">
        <v>42561.688113425924</v>
      </c>
      <c r="B36" s="27" t="s">
        <v>127</v>
      </c>
      <c r="C36" s="27" t="s">
        <v>578</v>
      </c>
      <c r="D36" s="27">
        <v>1280000</v>
      </c>
      <c r="E36" s="27" t="s">
        <v>126</v>
      </c>
      <c r="F36" s="27" t="str">
        <f t="shared" si="0"/>
        <v>rtdc.l.rtdc.4029:itc</v>
      </c>
      <c r="G36" s="8">
        <f t="shared" si="1"/>
        <v>42561.688113425924</v>
      </c>
    </row>
    <row r="37" spans="1:7" x14ac:dyDescent="0.25">
      <c r="A37" s="8">
        <v>42562.034236111111</v>
      </c>
      <c r="B37" s="27" t="s">
        <v>143</v>
      </c>
      <c r="C37" s="27" t="s">
        <v>444</v>
      </c>
      <c r="D37" s="27">
        <v>1810000</v>
      </c>
      <c r="E37" s="27" t="s">
        <v>170</v>
      </c>
      <c r="F37" s="27" t="str">
        <f t="shared" si="0"/>
        <v>rtdc.l.rtdc.4008:itc</v>
      </c>
      <c r="G37" s="8">
        <f t="shared" si="1"/>
        <v>42562.034236111111</v>
      </c>
    </row>
    <row r="38" spans="1:7" x14ac:dyDescent="0.25">
      <c r="A38" s="8">
        <v>42561.583090277774</v>
      </c>
      <c r="B38" s="27" t="s">
        <v>73</v>
      </c>
      <c r="C38" s="27" t="s">
        <v>555</v>
      </c>
      <c r="D38" s="27">
        <v>1140000</v>
      </c>
      <c r="E38" s="27" t="s">
        <v>133</v>
      </c>
      <c r="F38" s="27" t="str">
        <f t="shared" si="0"/>
        <v>rtdc.l.rtdc.4020:itc</v>
      </c>
      <c r="G38" s="8">
        <f t="shared" si="1"/>
        <v>42561.583090277774</v>
      </c>
    </row>
    <row r="39" spans="1:7" x14ac:dyDescent="0.25">
      <c r="A39" s="8">
        <v>42561.038842592592</v>
      </c>
      <c r="B39" s="27" t="s">
        <v>147</v>
      </c>
      <c r="C39" s="27" t="s">
        <v>365</v>
      </c>
      <c r="D39" s="27">
        <v>1820000</v>
      </c>
      <c r="E39" s="27" t="s">
        <v>104</v>
      </c>
      <c r="F39" s="27" t="str">
        <f t="shared" si="0"/>
        <v>rtdc.l.rtdc.4007:itc</v>
      </c>
      <c r="G39" s="8">
        <f t="shared" si="1"/>
        <v>42561.038842592592</v>
      </c>
    </row>
    <row r="40" spans="1:7" x14ac:dyDescent="0.25">
      <c r="A40" s="8">
        <v>42561.530185185184</v>
      </c>
      <c r="B40" s="35" t="s">
        <v>72</v>
      </c>
      <c r="C40" s="27" t="s">
        <v>531</v>
      </c>
      <c r="D40" s="27">
        <v>1140000</v>
      </c>
      <c r="E40" s="27" t="s">
        <v>133</v>
      </c>
      <c r="F40" s="27" t="str">
        <f t="shared" si="0"/>
        <v>rtdc.l.rtdc.4019:itc</v>
      </c>
      <c r="G40" s="8">
        <f t="shared" si="1"/>
        <v>42561.530185185184</v>
      </c>
    </row>
    <row r="41" spans="1:7" x14ac:dyDescent="0.25">
      <c r="A41" s="8">
        <v>42561.058668981481</v>
      </c>
      <c r="B41" s="27" t="s">
        <v>297</v>
      </c>
      <c r="C41" s="27" t="s">
        <v>370</v>
      </c>
      <c r="D41" s="27">
        <v>1240000</v>
      </c>
      <c r="E41" s="27" t="s">
        <v>146</v>
      </c>
      <c r="F41" s="27" t="str">
        <f t="shared" si="0"/>
        <v>rtdc.l.rtdc.4015:itc</v>
      </c>
      <c r="G41" s="8">
        <f t="shared" si="1"/>
        <v>42561.058668981481</v>
      </c>
    </row>
    <row r="42" spans="1:7" x14ac:dyDescent="0.25">
      <c r="A42" s="8">
        <v>42561.423634259256</v>
      </c>
      <c r="B42" s="27" t="s">
        <v>128</v>
      </c>
      <c r="C42" s="27" t="s">
        <v>507</v>
      </c>
      <c r="D42" s="27">
        <v>1360000</v>
      </c>
      <c r="E42" s="27" t="s">
        <v>361</v>
      </c>
      <c r="F42" s="27" t="str">
        <f t="shared" si="0"/>
        <v>rtdc.l.rtdc.4030:itc</v>
      </c>
      <c r="G42" s="8">
        <f t="shared" si="1"/>
        <v>42561.423634259256</v>
      </c>
    </row>
    <row r="43" spans="1:7" x14ac:dyDescent="0.25">
      <c r="A43" s="8">
        <v>42561.23537037037</v>
      </c>
      <c r="B43" s="27" t="s">
        <v>120</v>
      </c>
      <c r="C43" s="27" t="s">
        <v>398</v>
      </c>
      <c r="D43" s="27">
        <v>1310000</v>
      </c>
      <c r="E43" s="27" t="s">
        <v>115</v>
      </c>
      <c r="F43" s="27" t="str">
        <f t="shared" si="0"/>
        <v>rtdc.l.rtdc.4026:itc</v>
      </c>
      <c r="G43" s="8">
        <f t="shared" si="1"/>
        <v>42561.23537037037</v>
      </c>
    </row>
    <row r="44" spans="1:7" x14ac:dyDescent="0.25">
      <c r="A44" s="8">
        <v>42561.759710648148</v>
      </c>
      <c r="B44" s="27" t="s">
        <v>118</v>
      </c>
      <c r="C44" s="27" t="s">
        <v>435</v>
      </c>
      <c r="D44" s="27">
        <v>1140000</v>
      </c>
      <c r="E44" s="27" t="s">
        <v>133</v>
      </c>
      <c r="F44" s="27" t="str">
        <f t="shared" si="0"/>
        <v>rtdc.l.rtdc.4012:itc</v>
      </c>
      <c r="G44" s="8">
        <f t="shared" si="1"/>
        <v>42561.759710648148</v>
      </c>
    </row>
    <row r="45" spans="1:7" x14ac:dyDescent="0.25">
      <c r="A45" s="8">
        <v>42561.488923611112</v>
      </c>
      <c r="B45" s="27" t="s">
        <v>123</v>
      </c>
      <c r="C45" s="27" t="s">
        <v>528</v>
      </c>
      <c r="D45" s="27">
        <v>310000</v>
      </c>
      <c r="E45" s="27" t="s">
        <v>623</v>
      </c>
      <c r="F45" s="27" t="str">
        <f t="shared" si="0"/>
        <v>rtdc.l.rtdc.4025:itc</v>
      </c>
      <c r="G45" s="8">
        <f t="shared" si="1"/>
        <v>42561.488923611112</v>
      </c>
    </row>
    <row r="46" spans="1:7" x14ac:dyDescent="0.25">
      <c r="A46" s="8">
        <v>42561.285532407404</v>
      </c>
      <c r="B46" s="27" t="s">
        <v>117</v>
      </c>
      <c r="C46" s="27" t="s">
        <v>481</v>
      </c>
      <c r="D46" s="27">
        <v>1460000</v>
      </c>
      <c r="E46" s="27" t="s">
        <v>114</v>
      </c>
      <c r="F46" s="27" t="str">
        <f t="shared" si="0"/>
        <v>rtdc.l.rtdc.4011:itc</v>
      </c>
      <c r="G46" s="8">
        <f t="shared" si="1"/>
        <v>42561.285532407404</v>
      </c>
    </row>
    <row r="47" spans="1:7" x14ac:dyDescent="0.25">
      <c r="A47" s="8">
        <v>42561.530868055554</v>
      </c>
      <c r="B47" s="27" t="s">
        <v>72</v>
      </c>
      <c r="C47" s="27" t="s">
        <v>531</v>
      </c>
      <c r="D47" s="27">
        <v>1140000</v>
      </c>
      <c r="E47" s="27" t="s">
        <v>133</v>
      </c>
      <c r="F47" s="27" t="str">
        <f t="shared" si="0"/>
        <v>rtdc.l.rtdc.4019:itc</v>
      </c>
      <c r="G47" s="8">
        <f t="shared" si="1"/>
        <v>42561.530868055554</v>
      </c>
    </row>
    <row r="48" spans="1:7" x14ac:dyDescent="0.25">
      <c r="A48" s="8">
        <v>42561.633136574077</v>
      </c>
      <c r="B48" s="27" t="s">
        <v>75</v>
      </c>
      <c r="C48" s="27" t="s">
        <v>561</v>
      </c>
      <c r="D48" s="27">
        <v>860000</v>
      </c>
      <c r="E48" s="27" t="s">
        <v>368</v>
      </c>
      <c r="F48" s="27" t="str">
        <f t="shared" si="0"/>
        <v>rtdc.l.rtdc.4017:itc</v>
      </c>
      <c r="G48" s="8">
        <f t="shared" si="1"/>
        <v>42561.633136574077</v>
      </c>
    </row>
    <row r="49" spans="1:7" x14ac:dyDescent="0.25">
      <c r="A49" s="8">
        <v>42561.549178240741</v>
      </c>
      <c r="B49" s="27" t="s">
        <v>149</v>
      </c>
      <c r="C49" s="27" t="s">
        <v>418</v>
      </c>
      <c r="D49" s="27">
        <v>1740000</v>
      </c>
      <c r="E49" s="27" t="s">
        <v>186</v>
      </c>
      <c r="F49" s="27" t="str">
        <f t="shared" si="0"/>
        <v>rtdc.l.rtdc.4040:itc</v>
      </c>
      <c r="G49" s="8">
        <f t="shared" si="1"/>
        <v>42561.549178240741</v>
      </c>
    </row>
    <row r="50" spans="1:7" x14ac:dyDescent="0.25">
      <c r="A50" s="8">
        <v>42561.907442129632</v>
      </c>
      <c r="B50" s="27" t="s">
        <v>72</v>
      </c>
      <c r="C50" s="27" t="s">
        <v>440</v>
      </c>
      <c r="D50" s="27">
        <v>1180000</v>
      </c>
      <c r="E50" s="27" t="s">
        <v>326</v>
      </c>
      <c r="F50" s="27" t="str">
        <f t="shared" si="0"/>
        <v>rtdc.l.rtdc.4019:itc</v>
      </c>
      <c r="G50" s="8">
        <f t="shared" si="1"/>
        <v>42561.907442129632</v>
      </c>
    </row>
    <row r="51" spans="1:7" x14ac:dyDescent="0.25">
      <c r="A51" s="8">
        <v>42561.565023148149</v>
      </c>
      <c r="B51" s="27" t="s">
        <v>67</v>
      </c>
      <c r="C51" s="27" t="s">
        <v>541</v>
      </c>
      <c r="D51" s="27">
        <v>880000</v>
      </c>
      <c r="E51" s="27" t="s">
        <v>136</v>
      </c>
      <c r="F51" s="27" t="str">
        <f t="shared" si="0"/>
        <v>rtdc.l.rtdc.4032:itc</v>
      </c>
      <c r="G51" s="8">
        <f t="shared" si="1"/>
        <v>42561.565023148149</v>
      </c>
    </row>
    <row r="52" spans="1:7" x14ac:dyDescent="0.25">
      <c r="A52" s="8">
        <v>42561.600775462961</v>
      </c>
      <c r="B52" s="27" t="s">
        <v>74</v>
      </c>
      <c r="C52" s="27" t="s">
        <v>563</v>
      </c>
      <c r="D52" s="27">
        <v>860000</v>
      </c>
      <c r="E52" s="27" t="s">
        <v>368</v>
      </c>
      <c r="F52" s="27" t="str">
        <f t="shared" si="0"/>
        <v>rtdc.l.rtdc.4018:itc</v>
      </c>
      <c r="G52" s="8">
        <f t="shared" si="1"/>
        <v>42561.600775462961</v>
      </c>
    </row>
    <row r="53" spans="1:7" x14ac:dyDescent="0.25">
      <c r="A53" s="8">
        <v>42561.694780092592</v>
      </c>
      <c r="B53" s="27" t="s">
        <v>149</v>
      </c>
      <c r="C53" s="27" t="s">
        <v>427</v>
      </c>
      <c r="D53" s="27">
        <v>1740000</v>
      </c>
      <c r="E53" s="27" t="s">
        <v>186</v>
      </c>
      <c r="F53" s="27" t="str">
        <f t="shared" si="0"/>
        <v>rtdc.l.rtdc.4040:itc</v>
      </c>
      <c r="G53" s="8">
        <f t="shared" si="1"/>
        <v>42561.694780092592</v>
      </c>
    </row>
    <row r="54" spans="1:7" x14ac:dyDescent="0.25">
      <c r="A54" s="8">
        <v>42561.358136574076</v>
      </c>
      <c r="B54" s="27" t="s">
        <v>117</v>
      </c>
      <c r="C54" s="27" t="s">
        <v>498</v>
      </c>
      <c r="D54" s="27">
        <v>1460000</v>
      </c>
      <c r="E54" s="27" t="s">
        <v>114</v>
      </c>
      <c r="F54" s="27" t="str">
        <f t="shared" si="0"/>
        <v>rtdc.l.rtdc.4011:itc</v>
      </c>
      <c r="G54" s="8">
        <f t="shared" si="1"/>
        <v>42561.358136574076</v>
      </c>
    </row>
    <row r="55" spans="1:7" x14ac:dyDescent="0.25">
      <c r="A55" s="8">
        <v>42561.768692129626</v>
      </c>
      <c r="B55" s="27" t="s">
        <v>149</v>
      </c>
      <c r="C55" s="27" t="s">
        <v>597</v>
      </c>
      <c r="D55" s="27">
        <v>1800000</v>
      </c>
      <c r="E55" s="27" t="s">
        <v>625</v>
      </c>
      <c r="F55" s="27" t="str">
        <f t="shared" si="0"/>
        <v>rtdc.l.rtdc.4040:itc</v>
      </c>
      <c r="G55" s="8">
        <f t="shared" si="1"/>
        <v>42561.768692129626</v>
      </c>
    </row>
    <row r="56" spans="1:7" x14ac:dyDescent="0.25">
      <c r="A56" s="8">
        <v>42561.273344907408</v>
      </c>
      <c r="B56" s="27" t="s">
        <v>67</v>
      </c>
      <c r="C56" s="27" t="s">
        <v>471</v>
      </c>
      <c r="D56" s="27">
        <v>1260000</v>
      </c>
      <c r="E56" s="27" t="s">
        <v>622</v>
      </c>
      <c r="F56" s="27" t="str">
        <f t="shared" si="0"/>
        <v>rtdc.l.rtdc.4032:itc</v>
      </c>
      <c r="G56" s="8">
        <f t="shared" si="1"/>
        <v>42561.273344907408</v>
      </c>
    </row>
    <row r="57" spans="1:7" x14ac:dyDescent="0.25">
      <c r="A57" s="8">
        <v>42562.015902777777</v>
      </c>
      <c r="B57" s="27" t="s">
        <v>75</v>
      </c>
      <c r="C57" s="27" t="s">
        <v>615</v>
      </c>
      <c r="D57" s="27">
        <v>1290000</v>
      </c>
      <c r="E57" s="27" t="s">
        <v>172</v>
      </c>
      <c r="F57" s="27" t="str">
        <f t="shared" si="0"/>
        <v>rtdc.l.rtdc.4017:itc</v>
      </c>
      <c r="G57" s="8">
        <f t="shared" si="1"/>
        <v>42562.015902777777</v>
      </c>
    </row>
    <row r="58" spans="1:7" x14ac:dyDescent="0.25">
      <c r="A58" s="8">
        <v>42561.84578703704</v>
      </c>
      <c r="B58" s="27" t="s">
        <v>75</v>
      </c>
      <c r="C58" s="27" t="s">
        <v>604</v>
      </c>
      <c r="D58" s="27">
        <v>1290000</v>
      </c>
      <c r="E58" s="27" t="s">
        <v>172</v>
      </c>
      <c r="F58" s="27" t="str">
        <f t="shared" si="0"/>
        <v>rtdc.l.rtdc.4017:itc</v>
      </c>
      <c r="G58" s="8">
        <f t="shared" si="1"/>
        <v>42561.84578703704</v>
      </c>
    </row>
    <row r="59" spans="1:7" x14ac:dyDescent="0.25">
      <c r="A59" s="8">
        <v>42561.232442129629</v>
      </c>
      <c r="B59" s="27" t="s">
        <v>76</v>
      </c>
      <c r="C59" s="27" t="s">
        <v>470</v>
      </c>
      <c r="D59" s="27">
        <v>1260000</v>
      </c>
      <c r="E59" s="27" t="s">
        <v>622</v>
      </c>
      <c r="F59" s="27" t="str">
        <f t="shared" si="0"/>
        <v>rtdc.l.rtdc.4031:itc</v>
      </c>
      <c r="G59" s="8">
        <f t="shared" si="1"/>
        <v>42561.232442129629</v>
      </c>
    </row>
    <row r="60" spans="1:7" x14ac:dyDescent="0.25">
      <c r="A60" s="8">
        <v>42561.694108796299</v>
      </c>
      <c r="B60" s="27" t="s">
        <v>118</v>
      </c>
      <c r="C60" s="27" t="s">
        <v>426</v>
      </c>
      <c r="D60" s="27">
        <v>1520000</v>
      </c>
      <c r="E60" s="27" t="s">
        <v>137</v>
      </c>
      <c r="F60" s="27" t="str">
        <f t="shared" si="0"/>
        <v>rtdc.l.rtdc.4012:itc</v>
      </c>
      <c r="G60" s="8">
        <f t="shared" si="1"/>
        <v>42561.694108796299</v>
      </c>
    </row>
    <row r="61" spans="1:7" x14ac:dyDescent="0.25">
      <c r="A61" s="8">
        <v>42561.30877314815</v>
      </c>
      <c r="B61" s="27" t="s">
        <v>76</v>
      </c>
      <c r="C61" s="27" t="s">
        <v>487</v>
      </c>
      <c r="D61" s="27">
        <v>1260000</v>
      </c>
      <c r="E61" s="27" t="s">
        <v>622</v>
      </c>
      <c r="F61" s="27" t="str">
        <f t="shared" si="0"/>
        <v>rtdc.l.rtdc.4031:itc</v>
      </c>
      <c r="G61" s="8">
        <f t="shared" si="1"/>
        <v>42561.30877314815</v>
      </c>
    </row>
    <row r="62" spans="1:7" x14ac:dyDescent="0.25">
      <c r="A62" s="8">
        <v>42561.243773148148</v>
      </c>
      <c r="B62" s="27" t="s">
        <v>72</v>
      </c>
      <c r="C62" s="27" t="s">
        <v>465</v>
      </c>
      <c r="D62" s="27">
        <v>1100000</v>
      </c>
      <c r="E62" s="27" t="s">
        <v>367</v>
      </c>
      <c r="F62" s="27" t="str">
        <f t="shared" si="0"/>
        <v>rtdc.l.rtdc.4019:itc</v>
      </c>
      <c r="G62" s="8">
        <f t="shared" si="1"/>
        <v>42561.243773148148</v>
      </c>
    </row>
    <row r="63" spans="1:7" x14ac:dyDescent="0.25">
      <c r="A63" s="8">
        <v>42561.347118055557</v>
      </c>
      <c r="B63" s="27" t="s">
        <v>67</v>
      </c>
      <c r="C63" s="27" t="s">
        <v>406</v>
      </c>
      <c r="D63" s="27">
        <v>1260000</v>
      </c>
      <c r="E63" s="27" t="s">
        <v>622</v>
      </c>
      <c r="F63" s="27" t="str">
        <f t="shared" si="0"/>
        <v>rtdc.l.rtdc.4032:itc</v>
      </c>
      <c r="G63" s="8">
        <f t="shared" si="1"/>
        <v>42561.347118055557</v>
      </c>
    </row>
    <row r="64" spans="1:7" x14ac:dyDescent="0.25">
      <c r="A64" s="36">
        <v>42561.931296296294</v>
      </c>
      <c r="B64" s="27" t="s">
        <v>75</v>
      </c>
      <c r="C64" s="27" t="s">
        <v>609</v>
      </c>
      <c r="D64" s="27">
        <v>1290000</v>
      </c>
      <c r="E64" s="27" t="s">
        <v>172</v>
      </c>
      <c r="F64" s="27" t="str">
        <f t="shared" si="0"/>
        <v>rtdc.l.rtdc.4017:itc</v>
      </c>
      <c r="G64" s="8">
        <f t="shared" si="1"/>
        <v>42561.931296296294</v>
      </c>
    </row>
    <row r="65" spans="1:7" x14ac:dyDescent="0.25">
      <c r="A65" s="8">
        <v>42561.392129629632</v>
      </c>
      <c r="B65" s="27" t="s">
        <v>127</v>
      </c>
      <c r="C65" s="27" t="s">
        <v>505</v>
      </c>
      <c r="D65" s="27">
        <v>1360000</v>
      </c>
      <c r="E65" s="27" t="s">
        <v>361</v>
      </c>
      <c r="F65" s="27" t="str">
        <f t="shared" si="0"/>
        <v>rtdc.l.rtdc.4029:itc</v>
      </c>
      <c r="G65" s="8">
        <f t="shared" si="1"/>
        <v>42561.392129629632</v>
      </c>
    </row>
    <row r="66" spans="1:7" x14ac:dyDescent="0.25">
      <c r="A66" s="8">
        <v>42561.828460648147</v>
      </c>
      <c r="B66" s="27" t="s">
        <v>127</v>
      </c>
      <c r="C66" s="27" t="s">
        <v>437</v>
      </c>
      <c r="D66" s="27">
        <v>1810000</v>
      </c>
      <c r="E66" s="27" t="s">
        <v>170</v>
      </c>
      <c r="F66" s="27" t="str">
        <f t="shared" ref="F66:F129" si="2">B66</f>
        <v>rtdc.l.rtdc.4029:itc</v>
      </c>
      <c r="G66" s="8">
        <f t="shared" ref="G66:G129" si="3">A66</f>
        <v>42561.828460648147</v>
      </c>
    </row>
    <row r="67" spans="1:7" x14ac:dyDescent="0.25">
      <c r="A67" s="8">
        <v>42561.465567129628</v>
      </c>
      <c r="B67" s="27" t="s">
        <v>118</v>
      </c>
      <c r="C67" s="27" t="s">
        <v>513</v>
      </c>
      <c r="D67" s="27">
        <v>1520000</v>
      </c>
      <c r="E67" s="27" t="s">
        <v>137</v>
      </c>
      <c r="F67" s="27" t="str">
        <f t="shared" si="2"/>
        <v>rtdc.l.rtdc.4012:itc</v>
      </c>
      <c r="G67" s="8">
        <f t="shared" si="3"/>
        <v>42561.465567129628</v>
      </c>
    </row>
    <row r="68" spans="1:7" x14ac:dyDescent="0.25">
      <c r="A68" s="8">
        <v>42561.41233796296</v>
      </c>
      <c r="B68" s="27" t="s">
        <v>123</v>
      </c>
      <c r="C68" s="27" t="s">
        <v>509</v>
      </c>
      <c r="D68" s="27">
        <v>1310000</v>
      </c>
      <c r="E68" s="27" t="s">
        <v>115</v>
      </c>
      <c r="F68" s="27" t="str">
        <f t="shared" si="2"/>
        <v>rtdc.l.rtdc.4025:itc</v>
      </c>
      <c r="G68" s="8">
        <f t="shared" si="3"/>
        <v>42561.41233796296</v>
      </c>
    </row>
    <row r="69" spans="1:7" x14ac:dyDescent="0.25">
      <c r="A69" s="8">
        <v>42561.476712962962</v>
      </c>
      <c r="B69" s="27" t="s">
        <v>149</v>
      </c>
      <c r="C69" s="27" t="s">
        <v>523</v>
      </c>
      <c r="D69" s="27">
        <v>1740000</v>
      </c>
      <c r="E69" s="27" t="s">
        <v>186</v>
      </c>
      <c r="F69" s="27" t="str">
        <f t="shared" si="2"/>
        <v>rtdc.l.rtdc.4040:itc</v>
      </c>
      <c r="G69" s="8">
        <f t="shared" si="3"/>
        <v>42561.476712962962</v>
      </c>
    </row>
    <row r="70" spans="1:7" x14ac:dyDescent="0.25">
      <c r="A70" s="8">
        <v>42561.133437500001</v>
      </c>
      <c r="B70" s="27" t="s">
        <v>73</v>
      </c>
      <c r="C70" s="27" t="s">
        <v>446</v>
      </c>
      <c r="D70" s="27">
        <v>1460000</v>
      </c>
      <c r="E70" s="27" t="s">
        <v>114</v>
      </c>
      <c r="F70" s="27" t="str">
        <f t="shared" si="2"/>
        <v>rtdc.l.rtdc.4020:itc</v>
      </c>
      <c r="G70" s="8">
        <f t="shared" si="3"/>
        <v>42561.133437500001</v>
      </c>
    </row>
    <row r="71" spans="1:7" x14ac:dyDescent="0.25">
      <c r="A71" s="8">
        <v>42561.602233796293</v>
      </c>
      <c r="B71" s="27" t="s">
        <v>74</v>
      </c>
      <c r="C71" s="27" t="s">
        <v>563</v>
      </c>
      <c r="D71" s="27">
        <v>860000</v>
      </c>
      <c r="E71" s="27" t="s">
        <v>368</v>
      </c>
      <c r="F71" s="27" t="str">
        <f t="shared" si="2"/>
        <v>rtdc.l.rtdc.4018:itc</v>
      </c>
      <c r="G71" s="8">
        <f t="shared" si="3"/>
        <v>42561.602233796293</v>
      </c>
    </row>
    <row r="72" spans="1:7" x14ac:dyDescent="0.25">
      <c r="A72" s="8">
        <v>42561.191354166665</v>
      </c>
      <c r="B72" s="27" t="s">
        <v>67</v>
      </c>
      <c r="C72" s="27" t="s">
        <v>397</v>
      </c>
      <c r="D72" s="27">
        <v>1260000</v>
      </c>
      <c r="E72" s="27" t="s">
        <v>622</v>
      </c>
      <c r="F72" s="27" t="str">
        <f t="shared" si="2"/>
        <v>rtdc.l.rtdc.4032:itc</v>
      </c>
      <c r="G72" s="8">
        <f t="shared" si="3"/>
        <v>42561.191354166665</v>
      </c>
    </row>
    <row r="73" spans="1:7" x14ac:dyDescent="0.25">
      <c r="A73" s="8">
        <v>42561.644143518519</v>
      </c>
      <c r="B73" s="27" t="s">
        <v>67</v>
      </c>
      <c r="C73" s="27" t="s">
        <v>420</v>
      </c>
      <c r="D73" s="27">
        <v>880000</v>
      </c>
      <c r="E73" s="27" t="s">
        <v>136</v>
      </c>
      <c r="F73" s="27" t="str">
        <f t="shared" si="2"/>
        <v>rtdc.l.rtdc.4032:itc</v>
      </c>
      <c r="G73" s="8">
        <f t="shared" si="3"/>
        <v>42561.644143518519</v>
      </c>
    </row>
    <row r="74" spans="1:7" x14ac:dyDescent="0.25">
      <c r="A74" s="8">
        <v>42561.096458333333</v>
      </c>
      <c r="B74" s="27" t="s">
        <v>143</v>
      </c>
      <c r="C74" s="27" t="s">
        <v>369</v>
      </c>
      <c r="D74" s="27">
        <v>1820000</v>
      </c>
      <c r="E74" s="27" t="s">
        <v>104</v>
      </c>
      <c r="F74" s="27" t="str">
        <f t="shared" si="2"/>
        <v>rtdc.l.rtdc.4008:itc</v>
      </c>
      <c r="G74" s="8">
        <f t="shared" si="3"/>
        <v>42561.096458333333</v>
      </c>
    </row>
    <row r="75" spans="1:7" x14ac:dyDescent="0.25">
      <c r="A75" s="8">
        <v>42561.676134259258</v>
      </c>
      <c r="B75" s="27" t="s">
        <v>76</v>
      </c>
      <c r="C75" s="27" t="s">
        <v>428</v>
      </c>
      <c r="D75" s="27">
        <v>880000</v>
      </c>
      <c r="E75" s="27" t="s">
        <v>136</v>
      </c>
      <c r="F75" s="27" t="str">
        <f t="shared" si="2"/>
        <v>rtdc.l.rtdc.4031:itc</v>
      </c>
      <c r="G75" s="8">
        <f t="shared" si="3"/>
        <v>42561.676134259258</v>
      </c>
    </row>
    <row r="76" spans="1:7" x14ac:dyDescent="0.25">
      <c r="A76" s="8">
        <v>42562.128310185188</v>
      </c>
      <c r="B76" s="27" t="s">
        <v>300</v>
      </c>
      <c r="C76" s="27" t="s">
        <v>629</v>
      </c>
      <c r="D76" s="27">
        <v>1990000</v>
      </c>
      <c r="E76" s="27" t="s">
        <v>204</v>
      </c>
      <c r="F76" s="27" t="str">
        <f t="shared" si="2"/>
        <v>rtdc.l.rtdc.4016:itc</v>
      </c>
      <c r="G76" s="8">
        <f t="shared" si="3"/>
        <v>42562.128310185188</v>
      </c>
    </row>
    <row r="77" spans="1:7" x14ac:dyDescent="0.25">
      <c r="A77" s="8">
        <v>42561.758368055554</v>
      </c>
      <c r="B77" s="27" t="s">
        <v>127</v>
      </c>
      <c r="C77" s="27" t="s">
        <v>434</v>
      </c>
      <c r="D77" s="27">
        <v>1810000</v>
      </c>
      <c r="E77" s="27" t="s">
        <v>170</v>
      </c>
      <c r="F77" s="27" t="str">
        <f t="shared" si="2"/>
        <v>rtdc.l.rtdc.4029:itc</v>
      </c>
      <c r="G77" s="8">
        <f t="shared" si="3"/>
        <v>42561.758368055554</v>
      </c>
    </row>
    <row r="78" spans="1:7" x14ac:dyDescent="0.25">
      <c r="A78" s="8">
        <v>42561.954467592594</v>
      </c>
      <c r="B78" s="27" t="s">
        <v>73</v>
      </c>
      <c r="C78" s="27" t="s">
        <v>611</v>
      </c>
      <c r="D78" s="27">
        <v>1180000</v>
      </c>
      <c r="E78" s="27" t="s">
        <v>326</v>
      </c>
      <c r="F78" s="27" t="str">
        <f t="shared" si="2"/>
        <v>rtdc.l.rtdc.4020:itc</v>
      </c>
      <c r="G78" s="8">
        <f t="shared" si="3"/>
        <v>42561.954467592594</v>
      </c>
    </row>
    <row r="79" spans="1:7" x14ac:dyDescent="0.25">
      <c r="A79" s="8">
        <v>42561.994606481479</v>
      </c>
      <c r="B79" s="27" t="s">
        <v>147</v>
      </c>
      <c r="C79" s="27" t="s">
        <v>443</v>
      </c>
      <c r="D79" s="27">
        <v>1810000</v>
      </c>
      <c r="E79" s="27" t="s">
        <v>170</v>
      </c>
      <c r="F79" s="27" t="str">
        <f t="shared" si="2"/>
        <v>rtdc.l.rtdc.4007:itc</v>
      </c>
      <c r="G79" s="8">
        <f t="shared" si="3"/>
        <v>42561.994606481479</v>
      </c>
    </row>
    <row r="80" spans="1:7" x14ac:dyDescent="0.25">
      <c r="A80" s="8">
        <v>42561.712754629632</v>
      </c>
      <c r="B80" s="27" t="s">
        <v>67</v>
      </c>
      <c r="C80" s="27" t="s">
        <v>430</v>
      </c>
      <c r="D80" s="27">
        <v>880000</v>
      </c>
      <c r="E80" s="27" t="s">
        <v>136</v>
      </c>
      <c r="F80" s="27" t="str">
        <f t="shared" si="2"/>
        <v>rtdc.l.rtdc.4032:itc</v>
      </c>
      <c r="G80" s="8">
        <f t="shared" si="3"/>
        <v>42561.712754629632</v>
      </c>
    </row>
    <row r="81" spans="1:7" x14ac:dyDescent="0.25">
      <c r="A81" s="8">
        <v>42561.259826388887</v>
      </c>
      <c r="B81" s="27" t="s">
        <v>75</v>
      </c>
      <c r="C81" s="27" t="s">
        <v>469</v>
      </c>
      <c r="D81" s="27">
        <v>1830000</v>
      </c>
      <c r="E81" s="27" t="s">
        <v>135</v>
      </c>
      <c r="F81" s="27" t="str">
        <f t="shared" si="2"/>
        <v>rtdc.l.rtdc.4017:itc</v>
      </c>
      <c r="G81" s="8">
        <f t="shared" si="3"/>
        <v>42561.259826388887</v>
      </c>
    </row>
    <row r="82" spans="1:7" x14ac:dyDescent="0.25">
      <c r="A82" s="8">
        <v>42561.708784722221</v>
      </c>
      <c r="B82" s="27" t="s">
        <v>123</v>
      </c>
      <c r="C82" s="27" t="s">
        <v>584</v>
      </c>
      <c r="D82" s="27">
        <v>310000</v>
      </c>
      <c r="E82" s="27" t="s">
        <v>623</v>
      </c>
      <c r="F82" s="27" t="str">
        <f t="shared" si="2"/>
        <v>rtdc.l.rtdc.4025:itc</v>
      </c>
      <c r="G82" s="8">
        <f t="shared" si="3"/>
        <v>42561.708784722221</v>
      </c>
    </row>
    <row r="83" spans="1:7" x14ac:dyDescent="0.25">
      <c r="A83" s="8">
        <v>42561.367835648147</v>
      </c>
      <c r="B83" s="27" t="s">
        <v>74</v>
      </c>
      <c r="C83" s="27" t="s">
        <v>501</v>
      </c>
      <c r="D83" s="27">
        <v>1830000</v>
      </c>
      <c r="E83" s="27" t="s">
        <v>135</v>
      </c>
      <c r="F83" s="27" t="str">
        <f t="shared" si="2"/>
        <v>rtdc.l.rtdc.4018:itc</v>
      </c>
      <c r="G83" s="8">
        <f t="shared" si="3"/>
        <v>42561.367835648147</v>
      </c>
    </row>
    <row r="84" spans="1:7" x14ac:dyDescent="0.25">
      <c r="A84" s="8">
        <v>42561.647939814815</v>
      </c>
      <c r="B84" s="27" t="s">
        <v>73</v>
      </c>
      <c r="C84" s="27" t="s">
        <v>572</v>
      </c>
      <c r="D84" s="27">
        <v>1140000</v>
      </c>
      <c r="E84" s="27" t="s">
        <v>133</v>
      </c>
      <c r="F84" s="27" t="str">
        <f t="shared" si="2"/>
        <v>rtdc.l.rtdc.4020:itc</v>
      </c>
      <c r="G84" s="8">
        <f t="shared" si="3"/>
        <v>42561.647939814815</v>
      </c>
    </row>
    <row r="85" spans="1:7" x14ac:dyDescent="0.25">
      <c r="A85" s="8">
        <v>42561.39335648148</v>
      </c>
      <c r="B85" s="27" t="s">
        <v>127</v>
      </c>
      <c r="C85" s="27" t="s">
        <v>505</v>
      </c>
      <c r="D85" s="27">
        <v>1360000</v>
      </c>
      <c r="E85" s="27" t="s">
        <v>361</v>
      </c>
      <c r="F85" s="27" t="str">
        <f t="shared" si="2"/>
        <v>rtdc.l.rtdc.4029:itc</v>
      </c>
      <c r="G85" s="8">
        <f t="shared" si="3"/>
        <v>42561.39335648148</v>
      </c>
    </row>
    <row r="86" spans="1:7" x14ac:dyDescent="0.25">
      <c r="A86" s="8">
        <v>42561.626226851855</v>
      </c>
      <c r="B86" s="27" t="s">
        <v>72</v>
      </c>
      <c r="C86" s="27" t="s">
        <v>624</v>
      </c>
      <c r="D86" s="27">
        <v>1140000</v>
      </c>
      <c r="E86" s="27" t="s">
        <v>133</v>
      </c>
      <c r="F86" s="27" t="str">
        <f t="shared" si="2"/>
        <v>rtdc.l.rtdc.4019:itc</v>
      </c>
      <c r="G86" s="8">
        <f t="shared" si="3"/>
        <v>42561.626226851855</v>
      </c>
    </row>
    <row r="87" spans="1:7" x14ac:dyDescent="0.25">
      <c r="A87" s="8">
        <v>42561.438506944447</v>
      </c>
      <c r="B87" s="27" t="s">
        <v>169</v>
      </c>
      <c r="C87" s="27" t="s">
        <v>412</v>
      </c>
      <c r="D87" s="27">
        <v>540000</v>
      </c>
      <c r="E87" s="27" t="s">
        <v>620</v>
      </c>
      <c r="F87" s="27" t="str">
        <f t="shared" si="2"/>
        <v>rtdc.l.rtdc.4039:itc</v>
      </c>
      <c r="G87" s="8">
        <f t="shared" si="3"/>
        <v>42561.438506944447</v>
      </c>
    </row>
    <row r="88" spans="1:7" x14ac:dyDescent="0.25">
      <c r="A88" s="8">
        <v>42561.536886574075</v>
      </c>
      <c r="B88" s="27" t="s">
        <v>127</v>
      </c>
      <c r="C88" s="27" t="s">
        <v>544</v>
      </c>
      <c r="D88" s="27">
        <v>1280000</v>
      </c>
      <c r="E88" s="27" t="s">
        <v>126</v>
      </c>
      <c r="F88" s="27" t="str">
        <f t="shared" si="2"/>
        <v>rtdc.l.rtdc.4029:itc</v>
      </c>
      <c r="G88" s="8">
        <f t="shared" si="3"/>
        <v>42561.536886574075</v>
      </c>
    </row>
    <row r="89" spans="1:7" x14ac:dyDescent="0.25">
      <c r="A89" s="8">
        <v>42561.473599537036</v>
      </c>
      <c r="B89" s="27" t="s">
        <v>75</v>
      </c>
      <c r="C89" s="27" t="s">
        <v>516</v>
      </c>
      <c r="D89" s="27">
        <v>1830000</v>
      </c>
      <c r="E89" s="27" t="s">
        <v>135</v>
      </c>
      <c r="F89" s="27" t="str">
        <f t="shared" si="2"/>
        <v>rtdc.l.rtdc.4017:itc</v>
      </c>
      <c r="G89" s="8">
        <f t="shared" si="3"/>
        <v>42561.473599537036</v>
      </c>
    </row>
    <row r="90" spans="1:7" x14ac:dyDescent="0.25">
      <c r="A90" s="8">
        <v>42561.46471064815</v>
      </c>
      <c r="B90" s="27" t="s">
        <v>127</v>
      </c>
      <c r="C90" s="27" t="s">
        <v>520</v>
      </c>
      <c r="D90" s="27">
        <v>1280000</v>
      </c>
      <c r="E90" s="27" t="s">
        <v>126</v>
      </c>
      <c r="F90" s="27" t="str">
        <f t="shared" si="2"/>
        <v>rtdc.l.rtdc.4029:itc</v>
      </c>
      <c r="G90" s="8">
        <f t="shared" si="3"/>
        <v>42561.46471064815</v>
      </c>
    </row>
    <row r="91" spans="1:7" x14ac:dyDescent="0.25">
      <c r="A91" s="8">
        <v>42561.610555555555</v>
      </c>
      <c r="B91" s="27" t="s">
        <v>76</v>
      </c>
      <c r="C91" s="27" t="s">
        <v>565</v>
      </c>
      <c r="D91" s="27">
        <v>880000</v>
      </c>
      <c r="E91" s="27" t="s">
        <v>136</v>
      </c>
      <c r="F91" s="27" t="str">
        <f t="shared" si="2"/>
        <v>rtdc.l.rtdc.4031:itc</v>
      </c>
      <c r="G91" s="8">
        <f t="shared" si="3"/>
        <v>42561.610555555555</v>
      </c>
    </row>
    <row r="92" spans="1:7" x14ac:dyDescent="0.25">
      <c r="A92" s="8">
        <v>42561.420567129629</v>
      </c>
      <c r="B92" s="27" t="s">
        <v>67</v>
      </c>
      <c r="C92" s="27" t="s">
        <v>504</v>
      </c>
      <c r="D92" s="27">
        <v>1260000</v>
      </c>
      <c r="E92" s="27" t="s">
        <v>622</v>
      </c>
      <c r="F92" s="27" t="str">
        <f t="shared" si="2"/>
        <v>rtdc.l.rtdc.4032:itc</v>
      </c>
      <c r="G92" s="8">
        <f t="shared" si="3"/>
        <v>42561.420567129629</v>
      </c>
    </row>
    <row r="93" spans="1:7" x14ac:dyDescent="0.25">
      <c r="A93" s="8">
        <v>42561.822511574072</v>
      </c>
      <c r="B93" s="27" t="s">
        <v>72</v>
      </c>
      <c r="C93" s="27" t="s">
        <v>601</v>
      </c>
      <c r="D93" s="27">
        <v>1180000</v>
      </c>
      <c r="E93" s="27" t="s">
        <v>326</v>
      </c>
      <c r="F93" s="27" t="str">
        <f t="shared" si="2"/>
        <v>rtdc.l.rtdc.4019:itc</v>
      </c>
      <c r="G93" s="8">
        <f t="shared" si="3"/>
        <v>42561.822511574072</v>
      </c>
    </row>
    <row r="94" spans="1:7" x14ac:dyDescent="0.25">
      <c r="A94" s="8">
        <v>42561.399212962962</v>
      </c>
      <c r="B94" s="27" t="s">
        <v>118</v>
      </c>
      <c r="C94" s="27" t="s">
        <v>500</v>
      </c>
      <c r="D94" s="27">
        <v>1460000</v>
      </c>
      <c r="E94" s="27" t="s">
        <v>114</v>
      </c>
      <c r="F94" s="27" t="str">
        <f t="shared" si="2"/>
        <v>rtdc.l.rtdc.4012:itc</v>
      </c>
      <c r="G94" s="8">
        <f t="shared" si="3"/>
        <v>42561.399212962962</v>
      </c>
    </row>
    <row r="95" spans="1:7" x14ac:dyDescent="0.25">
      <c r="A95" s="8">
        <v>42561.247141203705</v>
      </c>
      <c r="B95" s="27" t="s">
        <v>127</v>
      </c>
      <c r="C95" s="27" t="s">
        <v>472</v>
      </c>
      <c r="D95" s="27">
        <v>1360000</v>
      </c>
      <c r="E95" s="27" t="s">
        <v>361</v>
      </c>
      <c r="F95" s="27" t="str">
        <f t="shared" si="2"/>
        <v>rtdc.l.rtdc.4029:itc</v>
      </c>
      <c r="G95" s="8">
        <f t="shared" si="3"/>
        <v>42561.247141203705</v>
      </c>
    </row>
    <row r="96" spans="1:7" x14ac:dyDescent="0.25">
      <c r="A96" s="8">
        <v>42561.317557870374</v>
      </c>
      <c r="B96" s="27" t="s">
        <v>72</v>
      </c>
      <c r="C96" s="27" t="s">
        <v>405</v>
      </c>
      <c r="D96" s="27">
        <v>1100000</v>
      </c>
      <c r="E96" s="27" t="s">
        <v>367</v>
      </c>
      <c r="F96" s="27" t="str">
        <f t="shared" si="2"/>
        <v>rtdc.l.rtdc.4019:itc</v>
      </c>
      <c r="G96" s="8">
        <f t="shared" si="3"/>
        <v>42561.317557870374</v>
      </c>
    </row>
    <row r="97" spans="1:7" x14ac:dyDescent="0.25">
      <c r="A97" s="8">
        <v>42561.276736111111</v>
      </c>
      <c r="B97" s="27" t="s">
        <v>128</v>
      </c>
      <c r="C97" s="27" t="s">
        <v>474</v>
      </c>
      <c r="D97" s="27">
        <v>1360000</v>
      </c>
      <c r="E97" s="27" t="s">
        <v>361</v>
      </c>
      <c r="F97" s="27" t="str">
        <f t="shared" si="2"/>
        <v>rtdc.l.rtdc.4030:itc</v>
      </c>
      <c r="G97" s="8">
        <f t="shared" si="3"/>
        <v>42561.276736111111</v>
      </c>
    </row>
    <row r="98" spans="1:7" x14ac:dyDescent="0.25">
      <c r="A98" s="8">
        <v>42561.990439814814</v>
      </c>
      <c r="B98" s="27" t="s">
        <v>72</v>
      </c>
      <c r="C98" s="27" t="s">
        <v>612</v>
      </c>
      <c r="D98" s="27">
        <v>1180000</v>
      </c>
      <c r="E98" s="27" t="s">
        <v>326</v>
      </c>
      <c r="F98" s="27" t="str">
        <f t="shared" si="2"/>
        <v>rtdc.l.rtdc.4019:itc</v>
      </c>
      <c r="G98" s="8">
        <f t="shared" si="3"/>
        <v>42561.990439814814</v>
      </c>
    </row>
    <row r="99" spans="1:7" x14ac:dyDescent="0.25">
      <c r="A99" s="8">
        <v>42561.297905092593</v>
      </c>
      <c r="B99" s="27" t="s">
        <v>74</v>
      </c>
      <c r="C99" s="27" t="s">
        <v>484</v>
      </c>
      <c r="D99" s="27">
        <v>1830000</v>
      </c>
      <c r="E99" s="27" t="s">
        <v>135</v>
      </c>
      <c r="F99" s="27" t="str">
        <f t="shared" si="2"/>
        <v>rtdc.l.rtdc.4018:itc</v>
      </c>
      <c r="G99" s="8">
        <f t="shared" si="3"/>
        <v>42561.297905092593</v>
      </c>
    </row>
    <row r="100" spans="1:7" x14ac:dyDescent="0.25">
      <c r="A100" s="8">
        <v>42561.935694444444</v>
      </c>
      <c r="B100" s="27" t="s">
        <v>149</v>
      </c>
      <c r="C100" s="27" t="s">
        <v>442</v>
      </c>
      <c r="D100" s="27">
        <v>1800000</v>
      </c>
      <c r="E100" s="27" t="s">
        <v>625</v>
      </c>
      <c r="F100" s="27" t="str">
        <f t="shared" si="2"/>
        <v>rtdc.l.rtdc.4040:itc</v>
      </c>
      <c r="G100" s="8">
        <f t="shared" si="3"/>
        <v>42561.935694444444</v>
      </c>
    </row>
    <row r="101" spans="1:7" x14ac:dyDescent="0.25">
      <c r="A101" s="8">
        <v>42561.350428240738</v>
      </c>
      <c r="B101" s="27" t="s">
        <v>128</v>
      </c>
      <c r="C101" s="27" t="s">
        <v>490</v>
      </c>
      <c r="D101" s="27">
        <v>1360000</v>
      </c>
      <c r="E101" s="27" t="s">
        <v>361</v>
      </c>
      <c r="F101" s="27" t="str">
        <f t="shared" si="2"/>
        <v>rtdc.l.rtdc.4030:itc</v>
      </c>
      <c r="G101" s="8">
        <f t="shared" si="3"/>
        <v>42561.350428240738</v>
      </c>
    </row>
    <row r="102" spans="1:7" x14ac:dyDescent="0.25">
      <c r="A102" s="8">
        <v>42561.867175925923</v>
      </c>
      <c r="B102" s="27" t="s">
        <v>73</v>
      </c>
      <c r="C102" s="27" t="s">
        <v>438</v>
      </c>
      <c r="D102" s="27">
        <v>1180000</v>
      </c>
      <c r="E102" s="27" t="s">
        <v>326</v>
      </c>
      <c r="F102" s="27" t="str">
        <f t="shared" si="2"/>
        <v>rtdc.l.rtdc.4020:itc</v>
      </c>
      <c r="G102" s="8">
        <f t="shared" si="3"/>
        <v>42561.867175925923</v>
      </c>
    </row>
    <row r="103" spans="1:7" x14ac:dyDescent="0.25">
      <c r="A103" s="8">
        <v>42561.516747685186</v>
      </c>
      <c r="B103" s="27" t="s">
        <v>169</v>
      </c>
      <c r="C103" s="27" t="s">
        <v>525</v>
      </c>
      <c r="D103" s="27">
        <v>1740000</v>
      </c>
      <c r="E103" s="27" t="s">
        <v>186</v>
      </c>
      <c r="F103" s="27" t="str">
        <f t="shared" si="2"/>
        <v>rtdc.l.rtdc.4039:itc</v>
      </c>
      <c r="G103" s="8">
        <f t="shared" si="3"/>
        <v>42561.516747685186</v>
      </c>
    </row>
    <row r="104" spans="1:7" x14ac:dyDescent="0.25">
      <c r="A104" s="8">
        <v>42561.65289351852</v>
      </c>
      <c r="B104" s="27" t="s">
        <v>128</v>
      </c>
      <c r="C104" s="27" t="s">
        <v>567</v>
      </c>
      <c r="D104" s="27">
        <v>1280000</v>
      </c>
      <c r="E104" s="27" t="s">
        <v>126</v>
      </c>
      <c r="F104" s="27" t="str">
        <f t="shared" si="2"/>
        <v>rtdc.l.rtdc.4030:itc</v>
      </c>
      <c r="G104" s="8">
        <f t="shared" si="3"/>
        <v>42561.65289351852</v>
      </c>
    </row>
    <row r="105" spans="1:7" x14ac:dyDescent="0.25">
      <c r="A105" s="8">
        <v>42561.786689814813</v>
      </c>
      <c r="B105" s="27" t="s">
        <v>73</v>
      </c>
      <c r="C105" s="27" t="s">
        <v>600</v>
      </c>
      <c r="D105" s="27">
        <v>1180000</v>
      </c>
      <c r="E105" s="27" t="s">
        <v>326</v>
      </c>
      <c r="F105" s="27" t="str">
        <f t="shared" si="2"/>
        <v>rtdc.l.rtdc.4020:itc</v>
      </c>
      <c r="G105" s="8">
        <f t="shared" si="3"/>
        <v>42561.786689814813</v>
      </c>
    </row>
    <row r="106" spans="1:7" x14ac:dyDescent="0.25">
      <c r="A106" s="8">
        <v>42561.609340277777</v>
      </c>
      <c r="B106" s="27" t="s">
        <v>76</v>
      </c>
      <c r="C106" s="27" t="s">
        <v>541</v>
      </c>
      <c r="D106" s="27">
        <v>880000</v>
      </c>
      <c r="E106" s="27" t="s">
        <v>136</v>
      </c>
      <c r="F106" s="27" t="str">
        <f t="shared" si="2"/>
        <v>rtdc.l.rtdc.4031:itc</v>
      </c>
      <c r="G106" s="8">
        <f t="shared" si="3"/>
        <v>42561.609340277777</v>
      </c>
    </row>
    <row r="107" spans="1:7" x14ac:dyDescent="0.25">
      <c r="A107" s="8">
        <v>42561.827488425923</v>
      </c>
      <c r="B107" s="27" t="s">
        <v>127</v>
      </c>
      <c r="C107" s="27" t="s">
        <v>437</v>
      </c>
      <c r="D107" s="27">
        <v>1810000</v>
      </c>
      <c r="E107" s="27" t="s">
        <v>170</v>
      </c>
      <c r="F107" s="27" t="str">
        <f t="shared" si="2"/>
        <v>rtdc.l.rtdc.4029:itc</v>
      </c>
      <c r="G107" s="8">
        <f t="shared" si="3"/>
        <v>42561.827488425923</v>
      </c>
    </row>
    <row r="108" spans="1:7" x14ac:dyDescent="0.25">
      <c r="A108" s="8">
        <v>42561.601747685185</v>
      </c>
      <c r="B108" s="27" t="s">
        <v>120</v>
      </c>
      <c r="C108" s="27" t="s">
        <v>551</v>
      </c>
      <c r="D108" s="27">
        <v>310000</v>
      </c>
      <c r="E108" s="27" t="s">
        <v>623</v>
      </c>
      <c r="F108" s="27" t="str">
        <f t="shared" si="2"/>
        <v>rtdc.l.rtdc.4026:itc</v>
      </c>
      <c r="G108" s="8">
        <f t="shared" si="3"/>
        <v>42561.601747685185</v>
      </c>
    </row>
    <row r="109" spans="1:7" x14ac:dyDescent="0.25">
      <c r="A109" s="8">
        <v>42561.850300925929</v>
      </c>
      <c r="B109" s="27" t="s">
        <v>75</v>
      </c>
      <c r="C109" s="27" t="s">
        <v>604</v>
      </c>
      <c r="D109" s="27">
        <v>1290000</v>
      </c>
      <c r="E109" s="27" t="s">
        <v>172</v>
      </c>
      <c r="F109" s="27" t="str">
        <f t="shared" si="2"/>
        <v>rtdc.l.rtdc.4017:itc</v>
      </c>
      <c r="G109" s="8">
        <f t="shared" si="3"/>
        <v>42561.850300925929</v>
      </c>
    </row>
    <row r="110" spans="1:7" x14ac:dyDescent="0.25">
      <c r="A110" s="8">
        <v>42561.514409722222</v>
      </c>
      <c r="B110" s="27" t="s">
        <v>74</v>
      </c>
      <c r="C110" s="27" t="s">
        <v>535</v>
      </c>
      <c r="D110" s="27">
        <v>860000</v>
      </c>
      <c r="E110" s="27" t="s">
        <v>368</v>
      </c>
      <c r="F110" s="27" t="str">
        <f t="shared" si="2"/>
        <v>rtdc.l.rtdc.4018:itc</v>
      </c>
      <c r="G110" s="8">
        <f t="shared" si="3"/>
        <v>42561.514409722222</v>
      </c>
    </row>
    <row r="111" spans="1:7" x14ac:dyDescent="0.25">
      <c r="A111" s="8">
        <v>42561.320543981485</v>
      </c>
      <c r="B111" s="27" t="s">
        <v>127</v>
      </c>
      <c r="C111" s="27" t="s">
        <v>489</v>
      </c>
      <c r="D111" s="27">
        <v>1360000</v>
      </c>
      <c r="E111" s="27" t="s">
        <v>361</v>
      </c>
      <c r="F111" s="27" t="str">
        <f t="shared" si="2"/>
        <v>rtdc.l.rtdc.4029:itc</v>
      </c>
      <c r="G111" s="8">
        <f t="shared" si="3"/>
        <v>42561.320543981485</v>
      </c>
    </row>
    <row r="112" spans="1:7" x14ac:dyDescent="0.25">
      <c r="A112" s="8">
        <v>42561.365729166668</v>
      </c>
      <c r="B112" s="27" t="s">
        <v>169</v>
      </c>
      <c r="C112" s="27" t="s">
        <v>409</v>
      </c>
      <c r="D112" s="27">
        <v>540000</v>
      </c>
      <c r="E112" s="27" t="s">
        <v>620</v>
      </c>
      <c r="F112" s="27" t="str">
        <f t="shared" si="2"/>
        <v>rtdc.l.rtdc.4039:itc</v>
      </c>
      <c r="G112" s="8">
        <f t="shared" si="3"/>
        <v>42561.365729166668</v>
      </c>
    </row>
    <row r="113" spans="1:7" x14ac:dyDescent="0.25">
      <c r="A113" s="8">
        <v>42561.439942129633</v>
      </c>
      <c r="B113" s="27" t="s">
        <v>74</v>
      </c>
      <c r="C113" s="27" t="s">
        <v>515</v>
      </c>
      <c r="D113" s="27">
        <v>1830000</v>
      </c>
      <c r="E113" s="27" t="s">
        <v>135</v>
      </c>
      <c r="F113" s="27" t="str">
        <f t="shared" si="2"/>
        <v>rtdc.l.rtdc.4018:itc</v>
      </c>
      <c r="G113" s="8">
        <f t="shared" si="3"/>
        <v>42561.439942129633</v>
      </c>
    </row>
    <row r="114" spans="1:7" x14ac:dyDescent="0.25">
      <c r="A114" s="8">
        <v>42561.328645833331</v>
      </c>
      <c r="B114" s="27" t="s">
        <v>75</v>
      </c>
      <c r="C114" s="27" t="s">
        <v>485</v>
      </c>
      <c r="D114" s="27">
        <v>1830000</v>
      </c>
      <c r="E114" s="27" t="s">
        <v>135</v>
      </c>
      <c r="F114" s="27" t="str">
        <f t="shared" si="2"/>
        <v>rtdc.l.rtdc.4017:itc</v>
      </c>
      <c r="G114" s="8">
        <f t="shared" si="3"/>
        <v>42561.328645833331</v>
      </c>
    </row>
    <row r="115" spans="1:7" x14ac:dyDescent="0.25">
      <c r="A115" s="8">
        <v>42561.749548611115</v>
      </c>
      <c r="B115" s="27" t="s">
        <v>72</v>
      </c>
      <c r="C115" s="27" t="s">
        <v>433</v>
      </c>
      <c r="D115" s="27">
        <v>1180000</v>
      </c>
      <c r="E115" s="27" t="s">
        <v>326</v>
      </c>
      <c r="F115" s="27" t="str">
        <f t="shared" si="2"/>
        <v>rtdc.l.rtdc.4019:itc</v>
      </c>
      <c r="G115" s="8">
        <f t="shared" si="3"/>
        <v>42561.749548611115</v>
      </c>
    </row>
    <row r="116" spans="1:7" x14ac:dyDescent="0.25">
      <c r="A116" s="8">
        <v>42561.292847222219</v>
      </c>
      <c r="B116" s="27" t="s">
        <v>169</v>
      </c>
      <c r="C116" s="27" t="s">
        <v>477</v>
      </c>
      <c r="D116" s="27">
        <v>540000</v>
      </c>
      <c r="E116" s="27" t="s">
        <v>620</v>
      </c>
      <c r="F116" s="27" t="str">
        <f t="shared" si="2"/>
        <v>rtdc.l.rtdc.4039:itc</v>
      </c>
      <c r="G116" s="8">
        <f t="shared" si="3"/>
        <v>42561.292847222219</v>
      </c>
    </row>
    <row r="117" spans="1:7" x14ac:dyDescent="0.25">
      <c r="A117" s="8">
        <v>42561.851817129631</v>
      </c>
      <c r="B117" s="27" t="s">
        <v>149</v>
      </c>
      <c r="C117" s="27" t="s">
        <v>606</v>
      </c>
      <c r="D117" s="27">
        <v>1800000</v>
      </c>
      <c r="E117" s="27" t="s">
        <v>625</v>
      </c>
      <c r="F117" s="27" t="str">
        <f t="shared" si="2"/>
        <v>rtdc.l.rtdc.4040:itc</v>
      </c>
      <c r="G117" s="8">
        <f t="shared" si="3"/>
        <v>42561.851817129631</v>
      </c>
    </row>
    <row r="118" spans="1:7" x14ac:dyDescent="0.25">
      <c r="A118" s="8">
        <v>42561.893310185187</v>
      </c>
      <c r="B118" s="27" t="s">
        <v>74</v>
      </c>
      <c r="C118" s="27" t="s">
        <v>608</v>
      </c>
      <c r="D118" s="27">
        <v>1290000</v>
      </c>
      <c r="E118" s="27" t="s">
        <v>172</v>
      </c>
      <c r="F118" s="27" t="str">
        <f t="shared" si="2"/>
        <v>rtdc.l.rtdc.4018:itc</v>
      </c>
      <c r="G118" s="8">
        <f t="shared" si="3"/>
        <v>42561.893310185187</v>
      </c>
    </row>
    <row r="119" spans="1:7" x14ac:dyDescent="0.25">
      <c r="A119" s="8">
        <v>42561.036296296297</v>
      </c>
      <c r="B119" s="27" t="s">
        <v>120</v>
      </c>
      <c r="C119" s="27" t="s">
        <v>371</v>
      </c>
      <c r="D119" s="27">
        <v>1770000</v>
      </c>
      <c r="E119" s="27" t="s">
        <v>139</v>
      </c>
      <c r="F119" s="27" t="str">
        <f t="shared" si="2"/>
        <v>rtdc.l.rtdc.4026:itc</v>
      </c>
      <c r="G119" s="8">
        <f t="shared" si="3"/>
        <v>42561.036296296297</v>
      </c>
    </row>
    <row r="120" spans="1:7" x14ac:dyDescent="0.25">
      <c r="A120" s="8">
        <v>42561.86341435185</v>
      </c>
      <c r="B120" s="27" t="s">
        <v>128</v>
      </c>
      <c r="C120" s="27" t="s">
        <v>605</v>
      </c>
      <c r="D120" s="27">
        <v>1810000</v>
      </c>
      <c r="E120" s="27" t="s">
        <v>170</v>
      </c>
      <c r="F120" s="27" t="str">
        <f t="shared" si="2"/>
        <v>rtdc.l.rtdc.4030:itc</v>
      </c>
      <c r="G120" s="8">
        <f t="shared" si="3"/>
        <v>42561.86341435185</v>
      </c>
    </row>
    <row r="121" spans="1:7" x14ac:dyDescent="0.25">
      <c r="A121" s="8">
        <v>42561.177199074074</v>
      </c>
      <c r="B121" s="27" t="s">
        <v>127</v>
      </c>
      <c r="C121" s="27" t="s">
        <v>453</v>
      </c>
      <c r="D121" s="27">
        <v>1360000</v>
      </c>
      <c r="E121" s="27" t="s">
        <v>361</v>
      </c>
      <c r="F121" s="27" t="str">
        <f t="shared" si="2"/>
        <v>rtdc.l.rtdc.4029:itc</v>
      </c>
      <c r="G121" s="8">
        <f t="shared" si="3"/>
        <v>42561.177199074074</v>
      </c>
    </row>
    <row r="122" spans="1:7" x14ac:dyDescent="0.25">
      <c r="A122" s="8">
        <v>42561.847060185188</v>
      </c>
      <c r="B122" s="35" t="s">
        <v>75</v>
      </c>
      <c r="C122" s="27" t="s">
        <v>604</v>
      </c>
      <c r="D122" s="27">
        <v>1290000</v>
      </c>
      <c r="E122" s="27" t="s">
        <v>172</v>
      </c>
      <c r="F122" s="27" t="str">
        <f t="shared" si="2"/>
        <v>rtdc.l.rtdc.4017:itc</v>
      </c>
      <c r="G122" s="8">
        <f t="shared" si="3"/>
        <v>42561.847060185188</v>
      </c>
    </row>
    <row r="123" spans="1:7" x14ac:dyDescent="0.25">
      <c r="A123" s="8">
        <v>42561.152708333335</v>
      </c>
      <c r="B123" s="27" t="s">
        <v>74</v>
      </c>
      <c r="C123" s="27" t="s">
        <v>395</v>
      </c>
      <c r="D123" s="27">
        <v>1260000</v>
      </c>
      <c r="E123" s="27" t="s">
        <v>622</v>
      </c>
      <c r="F123" s="27" t="str">
        <f t="shared" si="2"/>
        <v>rtdc.l.rtdc.4018:itc</v>
      </c>
      <c r="G123" s="8">
        <f t="shared" si="3"/>
        <v>42561.152708333335</v>
      </c>
    </row>
    <row r="124" spans="1:7" x14ac:dyDescent="0.25">
      <c r="A124" s="8">
        <v>42561.716932870368</v>
      </c>
      <c r="B124" s="27" t="s">
        <v>73</v>
      </c>
      <c r="C124" s="27" t="s">
        <v>585</v>
      </c>
      <c r="D124" s="27">
        <v>1180000</v>
      </c>
      <c r="E124" s="27" t="s">
        <v>326</v>
      </c>
      <c r="F124" s="27" t="str">
        <f t="shared" si="2"/>
        <v>rtdc.l.rtdc.4020:itc</v>
      </c>
      <c r="G124" s="8">
        <f t="shared" si="3"/>
        <v>42561.716932870368</v>
      </c>
    </row>
    <row r="125" spans="1:7" x14ac:dyDescent="0.25">
      <c r="A125" s="8">
        <v>42561.252476851849</v>
      </c>
      <c r="B125" s="27" t="s">
        <v>118</v>
      </c>
      <c r="C125" s="27" t="s">
        <v>404</v>
      </c>
      <c r="D125" s="27">
        <v>1460000</v>
      </c>
      <c r="E125" s="27" t="s">
        <v>114</v>
      </c>
      <c r="F125" s="27" t="str">
        <f t="shared" si="2"/>
        <v>rtdc.l.rtdc.4012:itc</v>
      </c>
      <c r="G125" s="8">
        <f t="shared" si="3"/>
        <v>42561.252476851849</v>
      </c>
    </row>
    <row r="126" spans="1:7" x14ac:dyDescent="0.25">
      <c r="A126" s="8">
        <v>42561.714016203703</v>
      </c>
      <c r="B126" s="27" t="s">
        <v>67</v>
      </c>
      <c r="C126" s="27" t="s">
        <v>430</v>
      </c>
      <c r="D126" s="27">
        <v>880000</v>
      </c>
      <c r="E126" s="27" t="s">
        <v>136</v>
      </c>
      <c r="F126" s="27" t="str">
        <f t="shared" si="2"/>
        <v>rtdc.l.rtdc.4032:itc</v>
      </c>
      <c r="G126" s="8">
        <f t="shared" si="3"/>
        <v>42561.714016203703</v>
      </c>
    </row>
    <row r="127" spans="1:7" x14ac:dyDescent="0.25">
      <c r="A127" s="8">
        <v>42561.530046296299</v>
      </c>
      <c r="B127" s="27" t="s">
        <v>76</v>
      </c>
      <c r="C127" s="27" t="s">
        <v>538</v>
      </c>
      <c r="D127" s="27">
        <v>880000</v>
      </c>
      <c r="E127" s="27" t="s">
        <v>136</v>
      </c>
      <c r="F127" s="27" t="str">
        <f t="shared" si="2"/>
        <v>rtdc.l.rtdc.4031:itc</v>
      </c>
      <c r="G127" s="8">
        <f t="shared" si="3"/>
        <v>42561.530046296299</v>
      </c>
    </row>
    <row r="128" spans="1:7" x14ac:dyDescent="0.25">
      <c r="A128" s="8">
        <v>42561.602916666663</v>
      </c>
      <c r="B128" s="27" t="s">
        <v>124</v>
      </c>
      <c r="C128" s="27" t="s">
        <v>619</v>
      </c>
      <c r="D128" s="27">
        <v>330000</v>
      </c>
      <c r="E128" s="27" t="s">
        <v>621</v>
      </c>
      <c r="F128" s="27" t="str">
        <f t="shared" si="2"/>
        <v>rtdc.l.rtdc.4028:itc</v>
      </c>
      <c r="G128" s="8">
        <f t="shared" si="3"/>
        <v>42561.602916666663</v>
      </c>
    </row>
    <row r="129" spans="1:7" x14ac:dyDescent="0.25">
      <c r="A129" s="8">
        <v>42561.573506944442</v>
      </c>
      <c r="B129" s="27" t="s">
        <v>129</v>
      </c>
      <c r="C129" s="27" t="s">
        <v>419</v>
      </c>
      <c r="D129" s="27">
        <v>330000</v>
      </c>
      <c r="E129" s="27" t="s">
        <v>621</v>
      </c>
      <c r="F129" s="27" t="str">
        <f t="shared" si="2"/>
        <v>rtdc.l.rtdc.4027:itc</v>
      </c>
      <c r="G129" s="8">
        <f t="shared" si="3"/>
        <v>42561.573506944442</v>
      </c>
    </row>
    <row r="130" spans="1:7" x14ac:dyDescent="0.25">
      <c r="A130" s="8">
        <v>42561.497916666667</v>
      </c>
      <c r="B130" s="27" t="s">
        <v>73</v>
      </c>
      <c r="C130" s="27" t="s">
        <v>415</v>
      </c>
      <c r="D130" s="27">
        <v>1140000</v>
      </c>
      <c r="E130" s="27" t="s">
        <v>133</v>
      </c>
      <c r="F130" s="27" t="str">
        <f t="shared" ref="F130:F193" si="4">B130</f>
        <v>rtdc.l.rtdc.4020:itc</v>
      </c>
      <c r="G130" s="8">
        <f t="shared" ref="G130:G193" si="5">A130</f>
        <v>42561.497916666667</v>
      </c>
    </row>
    <row r="131" spans="1:7" x14ac:dyDescent="0.25">
      <c r="A131" s="8">
        <v>42561.587002314816</v>
      </c>
      <c r="B131" s="27" t="s">
        <v>169</v>
      </c>
      <c r="C131" s="27" t="s">
        <v>548</v>
      </c>
      <c r="D131" s="27">
        <v>1740000</v>
      </c>
      <c r="E131" s="27" t="s">
        <v>186</v>
      </c>
      <c r="F131" s="27" t="str">
        <f t="shared" si="4"/>
        <v>rtdc.l.rtdc.4039:itc</v>
      </c>
      <c r="G131" s="8">
        <f t="shared" si="5"/>
        <v>42561.587002314816</v>
      </c>
    </row>
    <row r="132" spans="1:7" x14ac:dyDescent="0.25">
      <c r="A132" s="8">
        <v>42561.455648148149</v>
      </c>
      <c r="B132" s="27" t="s">
        <v>120</v>
      </c>
      <c r="C132" s="27" t="s">
        <v>413</v>
      </c>
      <c r="D132" s="27">
        <v>1310000</v>
      </c>
      <c r="E132" s="27" t="s">
        <v>115</v>
      </c>
      <c r="F132" s="27" t="str">
        <f t="shared" si="4"/>
        <v>rtdc.l.rtdc.4026:itc</v>
      </c>
      <c r="G132" s="8">
        <f t="shared" si="5"/>
        <v>42561.455648148149</v>
      </c>
    </row>
    <row r="133" spans="1:7" x14ac:dyDescent="0.25">
      <c r="A133" s="8">
        <v>42561.227789351855</v>
      </c>
      <c r="B133" s="27" t="s">
        <v>124</v>
      </c>
      <c r="C133" s="27" t="s">
        <v>402</v>
      </c>
      <c r="D133" s="27">
        <v>630000</v>
      </c>
      <c r="E133" s="27" t="b">
        <v>1</v>
      </c>
      <c r="F133" s="27" t="str">
        <f t="shared" si="4"/>
        <v>rtdc.l.rtdc.4028:itc</v>
      </c>
      <c r="G133" s="8">
        <f t="shared" si="5"/>
        <v>42561.227789351855</v>
      </c>
    </row>
    <row r="134" spans="1:7" x14ac:dyDescent="0.25">
      <c r="A134" s="8">
        <v>42561.401087962964</v>
      </c>
      <c r="B134" s="27" t="s">
        <v>149</v>
      </c>
      <c r="C134" s="27" t="s">
        <v>409</v>
      </c>
      <c r="D134" s="27">
        <v>540000</v>
      </c>
      <c r="E134" s="27" t="s">
        <v>620</v>
      </c>
      <c r="F134" s="27" t="str">
        <f t="shared" si="4"/>
        <v>rtdc.l.rtdc.4040:itc</v>
      </c>
      <c r="G134" s="8">
        <f t="shared" si="5"/>
        <v>42561.401087962964</v>
      </c>
    </row>
    <row r="135" spans="1:7" x14ac:dyDescent="0.25">
      <c r="A135" s="8">
        <v>42561.380497685182</v>
      </c>
      <c r="B135" s="27" t="s">
        <v>76</v>
      </c>
      <c r="C135" s="27" t="s">
        <v>407</v>
      </c>
      <c r="D135" s="27">
        <v>1260000</v>
      </c>
      <c r="E135" s="27" t="s">
        <v>622</v>
      </c>
      <c r="F135" s="27" t="str">
        <f t="shared" si="4"/>
        <v>rtdc.l.rtdc.4031:itc</v>
      </c>
      <c r="G135" s="8">
        <f t="shared" si="5"/>
        <v>42561.380497685182</v>
      </c>
    </row>
    <row r="136" spans="1:7" x14ac:dyDescent="0.25">
      <c r="A136" s="8">
        <v>42561.322013888886</v>
      </c>
      <c r="B136" s="27" t="s">
        <v>127</v>
      </c>
      <c r="C136" s="27" t="s">
        <v>489</v>
      </c>
      <c r="D136" s="27">
        <v>1360000</v>
      </c>
      <c r="E136" s="27" t="s">
        <v>361</v>
      </c>
      <c r="F136" s="27" t="str">
        <f t="shared" si="4"/>
        <v>rtdc.l.rtdc.4029:itc</v>
      </c>
      <c r="G136" s="8">
        <f t="shared" si="5"/>
        <v>42561.322013888886</v>
      </c>
    </row>
    <row r="137" spans="1:7" x14ac:dyDescent="0.25">
      <c r="A137" s="8">
        <v>42561.790717592594</v>
      </c>
      <c r="B137" s="27" t="s">
        <v>128</v>
      </c>
      <c r="C137" s="27" t="s">
        <v>596</v>
      </c>
      <c r="D137" s="27">
        <v>1810000</v>
      </c>
      <c r="E137" s="27" t="s">
        <v>170</v>
      </c>
      <c r="F137" s="27" t="str">
        <f t="shared" si="4"/>
        <v>rtdc.l.rtdc.4030:itc</v>
      </c>
      <c r="G137" s="8">
        <f t="shared" si="5"/>
        <v>42561.790717592594</v>
      </c>
    </row>
    <row r="138" spans="1:7" x14ac:dyDescent="0.25">
      <c r="A138" s="8">
        <v>42561.80877314815</v>
      </c>
      <c r="B138" s="27" t="s">
        <v>74</v>
      </c>
      <c r="C138" s="27" t="s">
        <v>602</v>
      </c>
      <c r="D138" s="27">
        <v>1290000</v>
      </c>
      <c r="E138" s="27" t="s">
        <v>172</v>
      </c>
      <c r="F138" s="27" t="str">
        <f t="shared" si="4"/>
        <v>rtdc.l.rtdc.4018:itc</v>
      </c>
      <c r="G138" s="8">
        <f t="shared" si="5"/>
        <v>42561.80877314815</v>
      </c>
    </row>
    <row r="139" spans="1:7" x14ac:dyDescent="0.25">
      <c r="A139" s="8">
        <v>42561.74428240741</v>
      </c>
      <c r="B139" s="27" t="s">
        <v>120</v>
      </c>
      <c r="C139" s="27" t="s">
        <v>431</v>
      </c>
      <c r="D139" s="27">
        <v>310000</v>
      </c>
      <c r="E139" s="27" t="s">
        <v>623</v>
      </c>
      <c r="F139" s="27" t="str">
        <f t="shared" si="4"/>
        <v>rtdc.l.rtdc.4026:itc</v>
      </c>
      <c r="G139" s="8">
        <f t="shared" si="5"/>
        <v>42561.74428240741</v>
      </c>
    </row>
    <row r="140" spans="1:7" x14ac:dyDescent="0.25">
      <c r="A140" s="8">
        <v>42561.781122685185</v>
      </c>
      <c r="B140" s="27" t="s">
        <v>67</v>
      </c>
      <c r="C140" s="27" t="s">
        <v>436</v>
      </c>
      <c r="D140" s="27">
        <v>860000</v>
      </c>
      <c r="E140" s="27" t="s">
        <v>368</v>
      </c>
      <c r="F140" s="27" t="str">
        <f t="shared" si="4"/>
        <v>rtdc.l.rtdc.4032:itc</v>
      </c>
      <c r="G140" s="8">
        <f t="shared" si="5"/>
        <v>42561.781122685185</v>
      </c>
    </row>
    <row r="141" spans="1:7" x14ac:dyDescent="0.25">
      <c r="A141" s="8">
        <v>42561.277233796296</v>
      </c>
      <c r="B141" s="27" t="s">
        <v>73</v>
      </c>
      <c r="C141" s="27" t="s">
        <v>479</v>
      </c>
      <c r="D141" s="27">
        <v>1100000</v>
      </c>
      <c r="E141" s="27" t="s">
        <v>367</v>
      </c>
      <c r="F141" s="27" t="str">
        <f t="shared" si="4"/>
        <v>rtdc.l.rtdc.4020:itc</v>
      </c>
      <c r="G141" s="8">
        <f t="shared" si="5"/>
        <v>42561.277233796296</v>
      </c>
    </row>
    <row r="142" spans="1:7" x14ac:dyDescent="0.25">
      <c r="A142" s="8">
        <v>42561.728761574072</v>
      </c>
      <c r="B142" s="27" t="s">
        <v>169</v>
      </c>
      <c r="C142" s="27" t="s">
        <v>432</v>
      </c>
      <c r="D142" s="27">
        <v>1740000</v>
      </c>
      <c r="E142" s="27" t="s">
        <v>186</v>
      </c>
      <c r="F142" s="27" t="str">
        <f t="shared" si="4"/>
        <v>rtdc.l.rtdc.4039:itc</v>
      </c>
      <c r="G142" s="8">
        <f t="shared" si="5"/>
        <v>42561.728761574072</v>
      </c>
    </row>
    <row r="143" spans="1:7" x14ac:dyDescent="0.25">
      <c r="A143" s="8">
        <v>42561.569548611114</v>
      </c>
      <c r="B143" s="27" t="s">
        <v>128</v>
      </c>
      <c r="C143" s="27" t="s">
        <v>546</v>
      </c>
      <c r="D143" s="27">
        <v>1280000</v>
      </c>
      <c r="E143" s="27" t="s">
        <v>126</v>
      </c>
      <c r="F143" s="27" t="str">
        <f t="shared" si="4"/>
        <v>rtdc.l.rtdc.4030:itc</v>
      </c>
      <c r="G143" s="8">
        <f t="shared" si="5"/>
        <v>42561.569548611114</v>
      </c>
    </row>
    <row r="144" spans="1:7" x14ac:dyDescent="0.25">
      <c r="A144" s="8">
        <v>42561.64916666667</v>
      </c>
      <c r="B144" s="27" t="s">
        <v>73</v>
      </c>
      <c r="C144" s="27" t="s">
        <v>572</v>
      </c>
      <c r="D144" s="27">
        <v>1140000</v>
      </c>
      <c r="E144" s="27" t="s">
        <v>133</v>
      </c>
      <c r="F144" s="27" t="str">
        <f t="shared" si="4"/>
        <v>rtdc.l.rtdc.4020:itc</v>
      </c>
      <c r="G144" s="8">
        <f t="shared" si="5"/>
        <v>42561.64916666667</v>
      </c>
    </row>
    <row r="145" spans="1:7" x14ac:dyDescent="0.25">
      <c r="A145" s="8">
        <v>42561.7266087963</v>
      </c>
      <c r="B145" s="27" t="s">
        <v>117</v>
      </c>
      <c r="C145" s="27" t="s">
        <v>589</v>
      </c>
      <c r="D145" s="27">
        <v>1140000</v>
      </c>
      <c r="E145" s="27" t="s">
        <v>133</v>
      </c>
      <c r="F145" s="27" t="str">
        <f t="shared" si="4"/>
        <v>rtdc.l.rtdc.4011:itc</v>
      </c>
      <c r="G145" s="8">
        <f t="shared" si="5"/>
        <v>42561.7266087963</v>
      </c>
    </row>
    <row r="146" spans="1:7" x14ac:dyDescent="0.25">
      <c r="A146" s="8">
        <v>42561.462314814817</v>
      </c>
      <c r="B146" s="27" t="s">
        <v>72</v>
      </c>
      <c r="C146" s="27" t="s">
        <v>414</v>
      </c>
      <c r="D146" s="27">
        <v>1100000</v>
      </c>
      <c r="E146" s="27" t="s">
        <v>367</v>
      </c>
      <c r="F146" s="27" t="str">
        <f t="shared" si="4"/>
        <v>rtdc.l.rtdc.4019:itc</v>
      </c>
      <c r="G146" s="8">
        <f t="shared" si="5"/>
        <v>42561.462314814817</v>
      </c>
    </row>
    <row r="147" spans="1:7" x14ac:dyDescent="0.25">
      <c r="A147" s="8">
        <v>42561.35</v>
      </c>
      <c r="B147" s="27" t="s">
        <v>73</v>
      </c>
      <c r="C147" s="27" t="s">
        <v>496</v>
      </c>
      <c r="D147" s="27">
        <v>1100000</v>
      </c>
      <c r="E147" s="27" t="s">
        <v>367</v>
      </c>
      <c r="F147" s="27" t="str">
        <f t="shared" si="4"/>
        <v>rtdc.l.rtdc.4020:itc</v>
      </c>
      <c r="G147" s="8">
        <f t="shared" si="5"/>
        <v>42561.35</v>
      </c>
    </row>
    <row r="148" spans="1:7" x14ac:dyDescent="0.25">
      <c r="A148" s="8">
        <v>42561.367766203701</v>
      </c>
      <c r="B148" s="27" t="s">
        <v>169</v>
      </c>
      <c r="C148" s="27" t="s">
        <v>492</v>
      </c>
      <c r="D148" s="27">
        <v>540000</v>
      </c>
      <c r="E148" s="27" t="s">
        <v>620</v>
      </c>
      <c r="F148" s="27" t="str">
        <f t="shared" si="4"/>
        <v>rtdc.l.rtdc.4039:itc</v>
      </c>
      <c r="G148" s="8">
        <f t="shared" si="5"/>
        <v>42561.367766203701</v>
      </c>
    </row>
    <row r="149" spans="1:7" x14ac:dyDescent="0.25">
      <c r="A149" s="8">
        <v>42561.391388888886</v>
      </c>
      <c r="B149" s="27" t="s">
        <v>72</v>
      </c>
      <c r="C149" s="27" t="s">
        <v>408</v>
      </c>
      <c r="D149" s="27">
        <v>1100000</v>
      </c>
      <c r="E149" s="27" t="s">
        <v>367</v>
      </c>
      <c r="F149" s="27" t="str">
        <f t="shared" si="4"/>
        <v>rtdc.l.rtdc.4019:itc</v>
      </c>
      <c r="G149" s="8">
        <f t="shared" si="5"/>
        <v>42561.391388888886</v>
      </c>
    </row>
    <row r="150" spans="1:7" x14ac:dyDescent="0.25">
      <c r="A150" s="8">
        <v>42561.537789351853</v>
      </c>
      <c r="B150" s="27" t="s">
        <v>127</v>
      </c>
      <c r="C150" s="27" t="s">
        <v>544</v>
      </c>
      <c r="D150" s="27">
        <v>1280000</v>
      </c>
      <c r="E150" s="27" t="s">
        <v>126</v>
      </c>
      <c r="F150" s="27" t="str">
        <f t="shared" si="4"/>
        <v>rtdc.l.rtdc.4029:itc</v>
      </c>
      <c r="G150" s="8">
        <f t="shared" si="5"/>
        <v>42561.537789351853</v>
      </c>
    </row>
    <row r="151" spans="1:7" x14ac:dyDescent="0.25">
      <c r="A151" s="8">
        <v>42561.400266203702</v>
      </c>
      <c r="B151" s="27" t="s">
        <v>75</v>
      </c>
      <c r="C151" s="27" t="s">
        <v>502</v>
      </c>
      <c r="D151" s="27">
        <v>1830000</v>
      </c>
      <c r="E151" s="27" t="s">
        <v>135</v>
      </c>
      <c r="F151" s="27" t="str">
        <f t="shared" si="4"/>
        <v>rtdc.l.rtdc.4017:itc</v>
      </c>
      <c r="G151" s="8">
        <f t="shared" si="5"/>
        <v>42561.400266203702</v>
      </c>
    </row>
    <row r="152" spans="1:7" x14ac:dyDescent="0.25">
      <c r="A152" s="8">
        <v>42561.502083333333</v>
      </c>
      <c r="B152" s="27" t="s">
        <v>128</v>
      </c>
      <c r="C152" s="27" t="s">
        <v>521</v>
      </c>
      <c r="D152" s="27">
        <v>1280000</v>
      </c>
      <c r="E152" s="27" t="s">
        <v>126</v>
      </c>
      <c r="F152" s="27" t="str">
        <f t="shared" si="4"/>
        <v>rtdc.l.rtdc.4030:itc</v>
      </c>
      <c r="G152" s="8">
        <f t="shared" si="5"/>
        <v>42561.502083333333</v>
      </c>
    </row>
    <row r="153" spans="1:7" x14ac:dyDescent="0.25">
      <c r="A153" s="8">
        <v>42561.612303240741</v>
      </c>
      <c r="B153" s="27" t="s">
        <v>72</v>
      </c>
      <c r="C153" s="27" t="s">
        <v>624</v>
      </c>
      <c r="D153" s="27">
        <v>1140000</v>
      </c>
      <c r="E153" s="27" t="s">
        <v>133</v>
      </c>
      <c r="F153" s="27" t="str">
        <f t="shared" si="4"/>
        <v>rtdc.l.rtdc.4019:itc</v>
      </c>
      <c r="G153" s="8">
        <f t="shared" si="5"/>
        <v>42561.612303240741</v>
      </c>
    </row>
    <row r="154" spans="1:7" x14ac:dyDescent="0.25">
      <c r="A154" s="8">
        <v>42561.343668981484</v>
      </c>
      <c r="B154" s="27" t="s">
        <v>123</v>
      </c>
      <c r="C154" s="27" t="s">
        <v>494</v>
      </c>
      <c r="D154" s="27">
        <v>330000</v>
      </c>
      <c r="E154" s="27" t="s">
        <v>621</v>
      </c>
      <c r="F154" s="27" t="str">
        <f t="shared" si="4"/>
        <v>rtdc.l.rtdc.4025:itc</v>
      </c>
      <c r="G154" s="8">
        <f t="shared" si="5"/>
        <v>42561.343668981484</v>
      </c>
    </row>
    <row r="155" spans="1:7" x14ac:dyDescent="0.25">
      <c r="A155" s="8">
        <v>42561.891018518516</v>
      </c>
      <c r="B155" s="27" t="s">
        <v>169</v>
      </c>
      <c r="C155" s="27" t="s">
        <v>439</v>
      </c>
      <c r="D155" s="27">
        <v>1800000</v>
      </c>
      <c r="E155" s="27" t="s">
        <v>625</v>
      </c>
      <c r="F155" s="27" t="str">
        <f t="shared" si="4"/>
        <v>rtdc.l.rtdc.4039:itc</v>
      </c>
      <c r="G155" s="8">
        <f t="shared" si="5"/>
        <v>42561.891018518516</v>
      </c>
    </row>
    <row r="156" spans="1:7" x14ac:dyDescent="0.25">
      <c r="A156" s="8">
        <v>42561.207777777781</v>
      </c>
      <c r="B156" s="27" t="s">
        <v>128</v>
      </c>
      <c r="C156" s="27" t="s">
        <v>454</v>
      </c>
      <c r="D156" s="27">
        <v>1360000</v>
      </c>
      <c r="E156" s="27" t="s">
        <v>361</v>
      </c>
      <c r="F156" s="27" t="str">
        <f t="shared" si="4"/>
        <v>rtdc.l.rtdc.4030:itc</v>
      </c>
      <c r="G156" s="8">
        <f t="shared" si="5"/>
        <v>42561.207777777781</v>
      </c>
    </row>
    <row r="157" spans="1:7" x14ac:dyDescent="0.25">
      <c r="A157" s="8">
        <v>42561.976145833331</v>
      </c>
      <c r="B157" s="27" t="s">
        <v>74</v>
      </c>
      <c r="C157" s="27" t="s">
        <v>614</v>
      </c>
      <c r="D157" s="27">
        <v>1290000</v>
      </c>
      <c r="E157" s="27" t="s">
        <v>172</v>
      </c>
      <c r="F157" s="27" t="str">
        <f t="shared" si="4"/>
        <v>rtdc.l.rtdc.4018:itc</v>
      </c>
      <c r="G157" s="8">
        <f t="shared" si="5"/>
        <v>42561.976145833331</v>
      </c>
    </row>
    <row r="158" spans="1:7" x14ac:dyDescent="0.25">
      <c r="A158" s="8">
        <v>42561.909108796295</v>
      </c>
      <c r="B158" s="27" t="s">
        <v>127</v>
      </c>
      <c r="C158" s="27" t="s">
        <v>441</v>
      </c>
      <c r="D158" s="27">
        <v>1810000</v>
      </c>
      <c r="E158" s="27" t="s">
        <v>170</v>
      </c>
      <c r="F158" s="27" t="str">
        <f t="shared" si="4"/>
        <v>rtdc.l.rtdc.4029:itc</v>
      </c>
      <c r="G158" s="8">
        <f t="shared" si="5"/>
        <v>42561.909108796295</v>
      </c>
    </row>
    <row r="159" spans="1:7" x14ac:dyDescent="0.25">
      <c r="A159" s="8">
        <v>42562.014502314814</v>
      </c>
      <c r="B159" s="27" t="s">
        <v>75</v>
      </c>
      <c r="C159" s="27" t="s">
        <v>615</v>
      </c>
      <c r="D159" s="27">
        <v>1290000</v>
      </c>
      <c r="E159" s="27" t="s">
        <v>172</v>
      </c>
      <c r="F159" s="27" t="str">
        <f t="shared" si="4"/>
        <v>rtdc.l.rtdc.4017:itc</v>
      </c>
      <c r="G159" s="8">
        <f t="shared" si="5"/>
        <v>42562.014502314814</v>
      </c>
    </row>
    <row r="160" spans="1:7" x14ac:dyDescent="0.25">
      <c r="A160" s="8">
        <v>42561.675335648149</v>
      </c>
      <c r="B160" s="27" t="s">
        <v>120</v>
      </c>
      <c r="C160" s="27" t="s">
        <v>429</v>
      </c>
      <c r="D160" s="27">
        <v>310000</v>
      </c>
      <c r="E160" s="27" t="s">
        <v>623</v>
      </c>
      <c r="F160" s="27" t="str">
        <f t="shared" si="4"/>
        <v>rtdc.l.rtdc.4026:itc</v>
      </c>
      <c r="G160" s="8">
        <f t="shared" si="5"/>
        <v>42561.675335648149</v>
      </c>
    </row>
    <row r="161" spans="1:7" x14ac:dyDescent="0.25">
      <c r="A161" s="8">
        <v>42561.278310185182</v>
      </c>
      <c r="B161" s="27" t="s">
        <v>128</v>
      </c>
      <c r="C161" s="27" t="s">
        <v>474</v>
      </c>
      <c r="D161" s="27">
        <v>1360000</v>
      </c>
      <c r="E161" s="27" t="s">
        <v>361</v>
      </c>
      <c r="F161" s="27" t="str">
        <f t="shared" si="4"/>
        <v>rtdc.l.rtdc.4030:itc</v>
      </c>
      <c r="G161" s="8">
        <f t="shared" si="5"/>
        <v>42561.278310185182</v>
      </c>
    </row>
    <row r="162" spans="1:7" x14ac:dyDescent="0.25">
      <c r="A162" s="8">
        <v>42561.622777777775</v>
      </c>
      <c r="B162" s="27" t="s">
        <v>118</v>
      </c>
      <c r="C162" s="27" t="s">
        <v>421</v>
      </c>
      <c r="D162" s="27">
        <v>1520000</v>
      </c>
      <c r="E162" s="27" t="s">
        <v>137</v>
      </c>
      <c r="F162" s="27" t="str">
        <f t="shared" si="4"/>
        <v>rtdc.l.rtdc.4012:itc</v>
      </c>
      <c r="G162" s="8">
        <f t="shared" si="5"/>
        <v>42561.622777777775</v>
      </c>
    </row>
    <row r="163" spans="1:7" x14ac:dyDescent="0.25">
      <c r="A163" s="8">
        <v>42561.307337962964</v>
      </c>
      <c r="B163" s="27" t="s">
        <v>120</v>
      </c>
      <c r="C163" s="27" t="s">
        <v>478</v>
      </c>
      <c r="D163" s="27">
        <v>1310000</v>
      </c>
      <c r="E163" s="27" t="s">
        <v>115</v>
      </c>
      <c r="F163" s="27" t="str">
        <f t="shared" si="4"/>
        <v>rtdc.l.rtdc.4026:itc</v>
      </c>
      <c r="G163" s="8">
        <f t="shared" si="5"/>
        <v>42561.307337962964</v>
      </c>
    </row>
    <row r="164" spans="1:7" x14ac:dyDescent="0.25">
      <c r="A164" s="8">
        <v>42561.590937499997</v>
      </c>
      <c r="B164" s="27" t="s">
        <v>117</v>
      </c>
      <c r="C164" s="27" t="s">
        <v>559</v>
      </c>
      <c r="D164" s="27">
        <v>1520000</v>
      </c>
      <c r="E164" s="27" t="s">
        <v>137</v>
      </c>
      <c r="F164" s="27" t="str">
        <f t="shared" si="4"/>
        <v>rtdc.l.rtdc.4011:itc</v>
      </c>
      <c r="G164" s="8">
        <f t="shared" si="5"/>
        <v>42561.590937499997</v>
      </c>
    </row>
    <row r="165" spans="1:7" x14ac:dyDescent="0.25">
      <c r="A165" s="8">
        <v>42561.329699074071</v>
      </c>
      <c r="B165" s="27" t="s">
        <v>149</v>
      </c>
      <c r="C165" s="27" t="s">
        <v>491</v>
      </c>
      <c r="D165" s="27">
        <v>540000</v>
      </c>
      <c r="E165" s="27" t="s">
        <v>620</v>
      </c>
      <c r="F165" s="27" t="str">
        <f t="shared" si="4"/>
        <v>rtdc.l.rtdc.4040:itc</v>
      </c>
      <c r="G165" s="8">
        <f t="shared" si="5"/>
        <v>42561.329699074071</v>
      </c>
    </row>
    <row r="166" spans="1:7" x14ac:dyDescent="0.25">
      <c r="A166" s="8">
        <v>42561.52685185185</v>
      </c>
      <c r="B166" s="27" t="s">
        <v>120</v>
      </c>
      <c r="C166" s="27" t="s">
        <v>529</v>
      </c>
      <c r="D166" s="27">
        <v>310000</v>
      </c>
      <c r="E166" s="27" t="s">
        <v>623</v>
      </c>
      <c r="F166" s="27" t="str">
        <f t="shared" si="4"/>
        <v>rtdc.l.rtdc.4026:itc</v>
      </c>
      <c r="G166" s="8">
        <f t="shared" si="5"/>
        <v>42561.52685185185</v>
      </c>
    </row>
    <row r="167" spans="1:7" x14ac:dyDescent="0.25">
      <c r="A167" s="8">
        <v>42561.629826388889</v>
      </c>
      <c r="B167" s="27" t="s">
        <v>149</v>
      </c>
      <c r="C167" s="27" t="s">
        <v>423</v>
      </c>
      <c r="D167" s="27">
        <v>1740000</v>
      </c>
      <c r="E167" s="27" t="s">
        <v>186</v>
      </c>
      <c r="F167" s="27" t="str">
        <f t="shared" si="4"/>
        <v>rtdc.l.rtdc.4040:itc</v>
      </c>
      <c r="G167" s="8">
        <f t="shared" si="5"/>
        <v>42561.629826388889</v>
      </c>
    </row>
    <row r="168" spans="1:7" x14ac:dyDescent="0.25">
      <c r="A168" s="8">
        <v>42561.432152777779</v>
      </c>
      <c r="B168" s="27" t="s">
        <v>117</v>
      </c>
      <c r="C168" s="27" t="s">
        <v>410</v>
      </c>
      <c r="D168" s="27">
        <v>1520000</v>
      </c>
      <c r="E168" s="27" t="s">
        <v>137</v>
      </c>
      <c r="F168" s="27" t="str">
        <f t="shared" si="4"/>
        <v>rtdc.l.rtdc.4011:itc</v>
      </c>
      <c r="G168" s="8">
        <f t="shared" si="5"/>
        <v>42561.432152777779</v>
      </c>
    </row>
    <row r="169" spans="1:7" x14ac:dyDescent="0.25">
      <c r="A169" s="8">
        <v>42561.774756944447</v>
      </c>
      <c r="B169" s="27" t="s">
        <v>75</v>
      </c>
      <c r="C169" s="27" t="s">
        <v>592</v>
      </c>
      <c r="D169" s="27">
        <v>1290000</v>
      </c>
      <c r="E169" s="27" t="s">
        <v>172</v>
      </c>
      <c r="F169" s="27" t="str">
        <f t="shared" si="4"/>
        <v>rtdc.l.rtdc.4017:itc</v>
      </c>
      <c r="G169" s="8">
        <f t="shared" si="5"/>
        <v>42561.774756944447</v>
      </c>
    </row>
    <row r="170" spans="1:7" x14ac:dyDescent="0.25">
      <c r="A170" s="8">
        <v>42561.205046296294</v>
      </c>
      <c r="B170" s="27" t="s">
        <v>117</v>
      </c>
      <c r="C170" s="27" t="s">
        <v>401</v>
      </c>
      <c r="D170" s="27">
        <v>1460000</v>
      </c>
      <c r="E170" s="27" t="s">
        <v>114</v>
      </c>
      <c r="F170" s="27" t="str">
        <f t="shared" si="4"/>
        <v>rtdc.l.rtdc.4011:itc</v>
      </c>
      <c r="G170" s="8">
        <f t="shared" si="5"/>
        <v>42561.205046296294</v>
      </c>
    </row>
    <row r="171" spans="1:7" x14ac:dyDescent="0.25">
      <c r="A171" s="8">
        <v>42561.973668981482</v>
      </c>
      <c r="B171" s="27" t="s">
        <v>169</v>
      </c>
      <c r="C171" s="27" t="s">
        <v>610</v>
      </c>
      <c r="D171" s="27">
        <v>1800000</v>
      </c>
      <c r="E171" s="27" t="s">
        <v>625</v>
      </c>
      <c r="F171" s="27" t="str">
        <f t="shared" si="4"/>
        <v>rtdc.l.rtdc.4039:itc</v>
      </c>
      <c r="G171" s="8">
        <f t="shared" si="5"/>
        <v>42561.973668981482</v>
      </c>
    </row>
    <row r="172" spans="1:7" x14ac:dyDescent="0.25">
      <c r="A172" s="8">
        <v>42561.205740740741</v>
      </c>
      <c r="B172" s="27" t="s">
        <v>73</v>
      </c>
      <c r="C172" s="27" t="s">
        <v>462</v>
      </c>
      <c r="D172" s="27">
        <v>1100000</v>
      </c>
      <c r="E172" s="27" t="s">
        <v>367</v>
      </c>
      <c r="F172" s="27" t="str">
        <f t="shared" si="4"/>
        <v>rtdc.l.rtdc.4020:itc</v>
      </c>
      <c r="G172" s="8">
        <f t="shared" si="5"/>
        <v>42561.205740740741</v>
      </c>
    </row>
    <row r="173" spans="1:7" x14ac:dyDescent="0.25">
      <c r="A173" s="8">
        <v>42561.270254629628</v>
      </c>
      <c r="B173" s="27" t="s">
        <v>123</v>
      </c>
      <c r="C173" s="27" t="s">
        <v>403</v>
      </c>
      <c r="D173" s="27">
        <v>1310000</v>
      </c>
      <c r="E173" s="27" t="s">
        <v>115</v>
      </c>
      <c r="F173" s="27" t="str">
        <f t="shared" si="4"/>
        <v>rtdc.l.rtdc.4025:itc</v>
      </c>
      <c r="G173" s="8">
        <f t="shared" si="5"/>
        <v>42561.270254629628</v>
      </c>
    </row>
    <row r="174" spans="1:7" x14ac:dyDescent="0.25">
      <c r="A174" s="8">
        <v>42561.0159375</v>
      </c>
      <c r="B174" s="27" t="s">
        <v>300</v>
      </c>
      <c r="C174" s="27" t="s">
        <v>366</v>
      </c>
      <c r="D174" s="27">
        <v>1240000</v>
      </c>
      <c r="E174" s="27" t="s">
        <v>146</v>
      </c>
      <c r="F174" s="27" t="str">
        <f t="shared" si="4"/>
        <v>rtdc.l.rtdc.4016:itc</v>
      </c>
      <c r="G174" s="8">
        <f t="shared" si="5"/>
        <v>42561.0159375</v>
      </c>
    </row>
    <row r="175" spans="1:7" x14ac:dyDescent="0.25">
      <c r="A175" s="8">
        <v>42561.759432870371</v>
      </c>
      <c r="B175" s="27" t="s">
        <v>127</v>
      </c>
      <c r="C175" s="27" t="s">
        <v>434</v>
      </c>
      <c r="D175" s="27">
        <v>1810000</v>
      </c>
      <c r="E175" s="27" t="s">
        <v>170</v>
      </c>
      <c r="F175" s="27" t="str">
        <f t="shared" si="4"/>
        <v>rtdc.l.rtdc.4029:itc</v>
      </c>
      <c r="G175" s="8">
        <f t="shared" si="5"/>
        <v>42561.759432870371</v>
      </c>
    </row>
    <row r="176" spans="1:7" x14ac:dyDescent="0.25">
      <c r="A176" s="8">
        <v>42561.193645833337</v>
      </c>
      <c r="B176" s="27" t="s">
        <v>149</v>
      </c>
      <c r="C176" s="27" t="s">
        <v>455</v>
      </c>
      <c r="D176" s="27">
        <v>630000</v>
      </c>
      <c r="E176" s="27" t="b">
        <v>1</v>
      </c>
      <c r="F176" s="27" t="str">
        <f t="shared" si="4"/>
        <v>rtdc.l.rtdc.4040:itc</v>
      </c>
      <c r="G176" s="8">
        <f t="shared" si="5"/>
        <v>42561.193645833337</v>
      </c>
    </row>
    <row r="177" spans="1:7" x14ac:dyDescent="0.25">
      <c r="A177" s="8">
        <v>42561.421493055554</v>
      </c>
      <c r="B177" s="27" t="s">
        <v>73</v>
      </c>
      <c r="C177" s="27" t="s">
        <v>511</v>
      </c>
      <c r="D177" s="27">
        <v>1100000</v>
      </c>
      <c r="E177" s="27" t="s">
        <v>367</v>
      </c>
      <c r="F177" s="27" t="str">
        <f t="shared" si="4"/>
        <v>rtdc.l.rtdc.4020:itc</v>
      </c>
      <c r="G177" s="8">
        <f t="shared" si="5"/>
        <v>42561.421493055554</v>
      </c>
    </row>
    <row r="178" spans="1:7" x14ac:dyDescent="0.25">
      <c r="A178" s="8">
        <v>42561.195752314816</v>
      </c>
      <c r="B178" s="27" t="s">
        <v>123</v>
      </c>
      <c r="C178" s="27" t="s">
        <v>396</v>
      </c>
      <c r="D178" s="27">
        <v>1310000</v>
      </c>
      <c r="E178" s="27" t="s">
        <v>115</v>
      </c>
      <c r="F178" s="27" t="str">
        <f t="shared" si="4"/>
        <v>rtdc.l.rtdc.4025:itc</v>
      </c>
      <c r="G178" s="8">
        <f t="shared" si="5"/>
        <v>42561.195752314816</v>
      </c>
    </row>
    <row r="179" spans="1:7" x14ac:dyDescent="0.25">
      <c r="A179" s="8">
        <v>42561.561724537038</v>
      </c>
      <c r="B179" s="27" t="s">
        <v>123</v>
      </c>
      <c r="C179" s="27" t="s">
        <v>550</v>
      </c>
      <c r="D179" s="27">
        <v>310000</v>
      </c>
      <c r="E179" s="27" t="s">
        <v>623</v>
      </c>
      <c r="F179" s="27" t="str">
        <f t="shared" si="4"/>
        <v>rtdc.l.rtdc.4025:itc</v>
      </c>
      <c r="G179" s="8">
        <f t="shared" si="5"/>
        <v>42561.561724537038</v>
      </c>
    </row>
    <row r="180" spans="1:7" x14ac:dyDescent="0.25">
      <c r="A180" s="8">
        <v>42561.205983796295</v>
      </c>
      <c r="B180" s="27" t="s">
        <v>128</v>
      </c>
      <c r="C180" s="27" t="s">
        <v>454</v>
      </c>
      <c r="D180" s="27">
        <v>1360000</v>
      </c>
      <c r="E180" s="27" t="s">
        <v>361</v>
      </c>
      <c r="F180" s="27" t="str">
        <f t="shared" si="4"/>
        <v>rtdc.l.rtdc.4030:itc</v>
      </c>
      <c r="G180" s="8">
        <f t="shared" si="5"/>
        <v>42561.205983796295</v>
      </c>
    </row>
    <row r="181" spans="1:7" x14ac:dyDescent="0.25">
      <c r="A181" s="8">
        <v>42561.703043981484</v>
      </c>
      <c r="B181" s="27" t="s">
        <v>75</v>
      </c>
      <c r="C181" s="27" t="s">
        <v>576</v>
      </c>
      <c r="D181" s="27">
        <v>860000</v>
      </c>
      <c r="E181" s="27" t="s">
        <v>368</v>
      </c>
      <c r="F181" s="27" t="str">
        <f t="shared" si="4"/>
        <v>rtdc.l.rtdc.4017:itc</v>
      </c>
      <c r="G181" s="8">
        <f t="shared" si="5"/>
        <v>42561.703043981484</v>
      </c>
    </row>
    <row r="182" spans="1:7" x14ac:dyDescent="0.25">
      <c r="A182" s="8">
        <v>42561.226631944446</v>
      </c>
      <c r="B182" s="27" t="s">
        <v>74</v>
      </c>
      <c r="C182" s="27" t="s">
        <v>400</v>
      </c>
      <c r="D182" s="27">
        <v>1830000</v>
      </c>
      <c r="E182" s="27" t="s">
        <v>135</v>
      </c>
      <c r="F182" s="27" t="str">
        <f t="shared" si="4"/>
        <v>rtdc.l.rtdc.4018:itc</v>
      </c>
      <c r="G182" s="8">
        <f t="shared" si="5"/>
        <v>42561.226631944446</v>
      </c>
    </row>
    <row r="183" spans="1:7" x14ac:dyDescent="0.25">
      <c r="B183" s="27"/>
      <c r="C183" s="27"/>
      <c r="D183" s="27"/>
      <c r="E183" s="27"/>
      <c r="F183" s="27">
        <f t="shared" si="4"/>
        <v>0</v>
      </c>
      <c r="G183" s="8">
        <f t="shared" si="5"/>
        <v>0</v>
      </c>
    </row>
    <row r="184" spans="1:7" x14ac:dyDescent="0.25">
      <c r="A184" s="8">
        <v>42560.075740740744</v>
      </c>
      <c r="B184" s="27" t="s">
        <v>122</v>
      </c>
      <c r="C184" s="27" t="s">
        <v>362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327</v>
      </c>
      <c r="D185" s="27">
        <v>1230000</v>
      </c>
      <c r="E185" s="27" t="s">
        <v>312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360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313</v>
      </c>
      <c r="D187" s="27">
        <v>890000</v>
      </c>
      <c r="E187" s="27" t="s">
        <v>171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347</v>
      </c>
      <c r="D188" s="27">
        <v>1180000</v>
      </c>
      <c r="E188" s="27" t="s">
        <v>326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309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352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308</v>
      </c>
      <c r="D191" s="27">
        <v>1110000</v>
      </c>
      <c r="E191" s="27" t="s">
        <v>189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358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307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350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298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348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355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363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328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349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329</v>
      </c>
      <c r="D201" s="27">
        <v>1230000</v>
      </c>
      <c r="E201" s="27" t="s">
        <v>312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354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325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268</v>
      </c>
      <c r="D205" s="27">
        <v>1290000</v>
      </c>
      <c r="E205" s="27" t="s">
        <v>172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297</v>
      </c>
      <c r="C206" s="27" t="s">
        <v>311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280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219</v>
      </c>
      <c r="D209" s="27">
        <v>1740000</v>
      </c>
      <c r="E209" s="27" t="s">
        <v>186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247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212</v>
      </c>
      <c r="D211" s="27">
        <v>2030000</v>
      </c>
      <c r="E211" s="27" t="s">
        <v>187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281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210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214</v>
      </c>
      <c r="D214" s="27">
        <v>1110000</v>
      </c>
      <c r="E214" s="27" t="s">
        <v>189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220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206</v>
      </c>
      <c r="D216" s="27">
        <v>2030000</v>
      </c>
      <c r="E216" s="27" t="s">
        <v>187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218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211</v>
      </c>
      <c r="D218" s="27">
        <v>2010000</v>
      </c>
      <c r="E218" s="27" t="s">
        <v>203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169</v>
      </c>
      <c r="C219" s="27" t="s">
        <v>282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194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283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200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250</v>
      </c>
      <c r="D223" s="27">
        <v>1110000</v>
      </c>
      <c r="E223" s="27" t="s">
        <v>189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259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248</v>
      </c>
      <c r="D225">
        <v>2040000</v>
      </c>
      <c r="E225" t="s">
        <v>202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258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299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217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252</v>
      </c>
      <c r="D229">
        <v>2010000</v>
      </c>
      <c r="E229" t="s">
        <v>203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210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249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169</v>
      </c>
      <c r="C232" t="s">
        <v>215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256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208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262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272</v>
      </c>
      <c r="D236">
        <v>1740000</v>
      </c>
      <c r="E236" t="s">
        <v>186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288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267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291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246</v>
      </c>
      <c r="D240">
        <v>2010000</v>
      </c>
      <c r="E240" t="s">
        <v>203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300</v>
      </c>
      <c r="C241" t="s">
        <v>301</v>
      </c>
      <c r="D241">
        <v>2030000</v>
      </c>
      <c r="E241" t="s">
        <v>187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212</v>
      </c>
      <c r="D242">
        <v>2030000</v>
      </c>
      <c r="E242" t="s">
        <v>187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302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169</v>
      </c>
      <c r="C244" t="s">
        <v>289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303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257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304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197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295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273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287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169</v>
      </c>
      <c r="C252" t="s">
        <v>286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279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253</v>
      </c>
      <c r="D254">
        <v>2040000</v>
      </c>
      <c r="E254" t="s">
        <v>202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290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169</v>
      </c>
      <c r="C256" t="s">
        <v>213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269</v>
      </c>
      <c r="D257">
        <v>1290000</v>
      </c>
      <c r="E257" t="s">
        <v>172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196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278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274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169</v>
      </c>
      <c r="C261" t="s">
        <v>285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268</v>
      </c>
      <c r="D262">
        <v>1290000</v>
      </c>
      <c r="E262" t="s">
        <v>172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260</v>
      </c>
      <c r="D263">
        <v>2000000</v>
      </c>
      <c r="E263" t="s">
        <v>188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261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271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255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275</v>
      </c>
      <c r="D267">
        <v>1990000</v>
      </c>
      <c r="E267" t="s">
        <v>204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254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296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284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270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209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276</v>
      </c>
      <c r="D273">
        <v>1990000</v>
      </c>
      <c r="E273" t="s">
        <v>204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207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305</v>
      </c>
      <c r="D275">
        <v>1110000</v>
      </c>
      <c r="E275" t="s">
        <v>189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195</v>
      </c>
      <c r="D276">
        <v>1740000</v>
      </c>
      <c r="E276" t="s">
        <v>186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306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251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265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216</v>
      </c>
      <c r="D280">
        <v>2010000</v>
      </c>
      <c r="E280" t="s">
        <v>203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169</v>
      </c>
      <c r="C281" t="s">
        <v>292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201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221</v>
      </c>
      <c r="D284">
        <v>1740000</v>
      </c>
      <c r="E284" t="s">
        <v>186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190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222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191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199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190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198</v>
      </c>
      <c r="D290">
        <v>1740000</v>
      </c>
      <c r="E290" t="s">
        <v>186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193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212</v>
      </c>
      <c r="D292">
        <v>2030000</v>
      </c>
      <c r="E292" t="s">
        <v>187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192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223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205</v>
      </c>
      <c r="D295">
        <v>1110000</v>
      </c>
      <c r="E295" t="s">
        <v>189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174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162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177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156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167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166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165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178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157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179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164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180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163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181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161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182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159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173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160</v>
      </c>
      <c r="D315">
        <v>1290000</v>
      </c>
      <c r="E315" t="s">
        <v>172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175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155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169</v>
      </c>
      <c r="C318" t="s">
        <v>183</v>
      </c>
      <c r="D318">
        <v>1810000</v>
      </c>
      <c r="E318" t="s">
        <v>170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158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176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184</v>
      </c>
      <c r="D321">
        <v>890000</v>
      </c>
      <c r="E321" t="s">
        <v>171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42561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231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232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233</v>
      </c>
      <c r="M20" t="s">
        <v>234</v>
      </c>
    </row>
    <row r="21" spans="10:13" x14ac:dyDescent="0.25">
      <c r="J21" s="27" t="s">
        <v>237</v>
      </c>
      <c r="K21" s="27" t="s">
        <v>238</v>
      </c>
      <c r="M21" s="27" t="s">
        <v>238</v>
      </c>
    </row>
    <row r="22" spans="10:13" x14ac:dyDescent="0.25">
      <c r="J22" s="27" t="s">
        <v>239</v>
      </c>
      <c r="K22" s="27" t="s">
        <v>240</v>
      </c>
      <c r="M22" s="27" t="s">
        <v>240</v>
      </c>
    </row>
    <row r="23" spans="10:13" x14ac:dyDescent="0.25">
      <c r="J23" s="41" t="s">
        <v>242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2016-07-12T14:28:33Z</dcterms:modified>
</cp:coreProperties>
</file>