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Runs'!$A$12:$AD$164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Runs'!$A$12:$J$42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7" i="1" l="1"/>
  <c r="S135" i="1"/>
  <c r="P135" i="1"/>
  <c r="P131" i="1"/>
  <c r="X67" i="1"/>
  <c r="X68" i="1"/>
  <c r="X69" i="1"/>
  <c r="K164" i="1"/>
  <c r="L164" i="1"/>
  <c r="M164" i="1"/>
  <c r="Y164" i="1"/>
  <c r="Z164" i="1"/>
  <c r="AA164" i="1" s="1"/>
  <c r="AB164" i="1"/>
  <c r="AC164" i="1"/>
  <c r="AD164" i="1"/>
  <c r="AE164" i="1"/>
  <c r="AF164" i="1"/>
  <c r="AG164" i="1"/>
  <c r="P125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N158" i="1"/>
  <c r="T158" i="1"/>
  <c r="V158" i="1"/>
  <c r="Q66" i="3" s="1"/>
  <c r="X158" i="1"/>
  <c r="Y158" i="1"/>
  <c r="Z158" i="1"/>
  <c r="AB158" i="1"/>
  <c r="AC158" i="1"/>
  <c r="AD158" i="1"/>
  <c r="AE158" i="1"/>
  <c r="P66" i="3" s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K161" i="1"/>
  <c r="L161" i="1"/>
  <c r="M161" i="1"/>
  <c r="N161" i="1" s="1"/>
  <c r="T161" i="1"/>
  <c r="V161" i="1"/>
  <c r="X161" i="1"/>
  <c r="Y161" i="1"/>
  <c r="Z161" i="1"/>
  <c r="AB161" i="1"/>
  <c r="AC161" i="1"/>
  <c r="AD161" i="1"/>
  <c r="AE161" i="1"/>
  <c r="AF161" i="1"/>
  <c r="AG161" i="1"/>
  <c r="K162" i="1"/>
  <c r="L162" i="1"/>
  <c r="M162" i="1"/>
  <c r="N162" i="1" s="1"/>
  <c r="T162" i="1"/>
  <c r="V162" i="1"/>
  <c r="X162" i="1"/>
  <c r="Y162" i="1"/>
  <c r="Z162" i="1"/>
  <c r="AB162" i="1"/>
  <c r="AC162" i="1"/>
  <c r="AD162" i="1"/>
  <c r="AE162" i="1"/>
  <c r="AF162" i="1"/>
  <c r="AG162" i="1"/>
  <c r="K163" i="1"/>
  <c r="L163" i="1"/>
  <c r="M163" i="1"/>
  <c r="N163" i="1" s="1"/>
  <c r="T163" i="1"/>
  <c r="V163" i="1"/>
  <c r="X163" i="1"/>
  <c r="Y163" i="1"/>
  <c r="Z163" i="1"/>
  <c r="AB163" i="1"/>
  <c r="AC163" i="1"/>
  <c r="AD163" i="1"/>
  <c r="AE163" i="1"/>
  <c r="AF163" i="1"/>
  <c r="AG163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P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U34" i="1" s="1"/>
  <c r="S34" i="1" s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U42" i="1" s="1"/>
  <c r="S42" i="1" s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A43" i="1" s="1"/>
  <c r="W43" i="1" s="1"/>
  <c r="AB43" i="1"/>
  <c r="AC43" i="1"/>
  <c r="AD43" i="1"/>
  <c r="AE43" i="1"/>
  <c r="AF43" i="1"/>
  <c r="AG43" i="1"/>
  <c r="K44" i="1"/>
  <c r="L44" i="1"/>
  <c r="M44" i="1"/>
  <c r="N44" i="1"/>
  <c r="T44" i="1"/>
  <c r="V44" i="1"/>
  <c r="X44" i="1"/>
  <c r="Y44" i="1"/>
  <c r="U44" i="1" s="1"/>
  <c r="S44" i="1" s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P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P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A93" i="1" s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A101" i="1" s="1"/>
  <c r="W101" i="1" s="1"/>
  <c r="AB101" i="1"/>
  <c r="AC101" i="1"/>
  <c r="AD101" i="1"/>
  <c r="AE101" i="1"/>
  <c r="AF101" i="1"/>
  <c r="AG101" i="1"/>
  <c r="K102" i="1"/>
  <c r="L102" i="1"/>
  <c r="M102" i="1"/>
  <c r="N102" i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P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N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P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P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P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P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T125" i="1"/>
  <c r="V125" i="1"/>
  <c r="X125" i="1"/>
  <c r="Y125" i="1"/>
  <c r="Z125" i="1"/>
  <c r="AA125" i="1" s="1"/>
  <c r="W125" i="1" s="1"/>
  <c r="AB125" i="1"/>
  <c r="AC125" i="1"/>
  <c r="AD125" i="1"/>
  <c r="AE125" i="1"/>
  <c r="AF125" i="1"/>
  <c r="AG125" i="1"/>
  <c r="K126" i="1"/>
  <c r="L126" i="1"/>
  <c r="M126" i="1"/>
  <c r="P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A127" i="1" s="1"/>
  <c r="W127" i="1" s="1"/>
  <c r="AB127" i="1"/>
  <c r="AC127" i="1"/>
  <c r="AD127" i="1"/>
  <c r="AE127" i="1"/>
  <c r="AF127" i="1"/>
  <c r="AG127" i="1"/>
  <c r="K128" i="1"/>
  <c r="L128" i="1"/>
  <c r="M128" i="1"/>
  <c r="P128" i="1" s="1"/>
  <c r="T128" i="1"/>
  <c r="V128" i="1"/>
  <c r="X128" i="1"/>
  <c r="Y128" i="1"/>
  <c r="Z128" i="1"/>
  <c r="AA128" i="1" s="1"/>
  <c r="W128" i="1" s="1"/>
  <c r="AB128" i="1"/>
  <c r="AC128" i="1"/>
  <c r="AD128" i="1"/>
  <c r="AE128" i="1"/>
  <c r="AF128" i="1"/>
  <c r="AG128" i="1"/>
  <c r="K129" i="1"/>
  <c r="L129" i="1"/>
  <c r="M129" i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T135" i="1"/>
  <c r="V135" i="1"/>
  <c r="X135" i="1"/>
  <c r="Y135" i="1"/>
  <c r="Z135" i="1"/>
  <c r="AA135" i="1" s="1"/>
  <c r="W135" i="1" s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A136" i="1" s="1"/>
  <c r="W136" i="1" s="1"/>
  <c r="AB136" i="1"/>
  <c r="AC136" i="1"/>
  <c r="AD136" i="1"/>
  <c r="AE136" i="1"/>
  <c r="AF136" i="1"/>
  <c r="AG136" i="1"/>
  <c r="K137" i="1"/>
  <c r="L137" i="1"/>
  <c r="M137" i="1"/>
  <c r="T137" i="1"/>
  <c r="V137" i="1"/>
  <c r="X137" i="1"/>
  <c r="Y137" i="1"/>
  <c r="Z137" i="1"/>
  <c r="AA137" i="1" s="1"/>
  <c r="W137" i="1" s="1"/>
  <c r="AB137" i="1"/>
  <c r="AC137" i="1"/>
  <c r="AD137" i="1"/>
  <c r="AE137" i="1"/>
  <c r="AF137" i="1"/>
  <c r="AG137" i="1"/>
  <c r="K138" i="1"/>
  <c r="L138" i="1"/>
  <c r="M138" i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AA140" i="1" s="1"/>
  <c r="W140" i="1" s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L51" i="3"/>
  <c r="S51" i="3"/>
  <c r="R51" i="3" s="1"/>
  <c r="T51" i="3"/>
  <c r="U51" i="3"/>
  <c r="V51" i="3"/>
  <c r="L66" i="3"/>
  <c r="S66" i="3"/>
  <c r="R66" i="3" s="1"/>
  <c r="T66" i="3"/>
  <c r="U66" i="3"/>
  <c r="V66" i="3"/>
  <c r="AA141" i="1" l="1"/>
  <c r="W141" i="1" s="1"/>
  <c r="AA75" i="1"/>
  <c r="W75" i="1" s="1"/>
  <c r="AA65" i="1"/>
  <c r="W65" i="1" s="1"/>
  <c r="AA57" i="1"/>
  <c r="W57" i="1" s="1"/>
  <c r="AA76" i="1"/>
  <c r="W76" i="1" s="1"/>
  <c r="AA17" i="1"/>
  <c r="W17" i="1" s="1"/>
  <c r="U102" i="1"/>
  <c r="S102" i="1" s="1"/>
  <c r="AA49" i="1"/>
  <c r="W49" i="1" s="1"/>
  <c r="AA124" i="1"/>
  <c r="W124" i="1" s="1"/>
  <c r="AA116" i="1"/>
  <c r="W116" i="1" s="1"/>
  <c r="U110" i="1"/>
  <c r="S110" i="1" s="1"/>
  <c r="AA72" i="1"/>
  <c r="W72" i="1" s="1"/>
  <c r="U142" i="1"/>
  <c r="S142" i="1" s="1"/>
  <c r="AA109" i="1"/>
  <c r="W109" i="1" s="1"/>
  <c r="U94" i="1"/>
  <c r="S94" i="1" s="1"/>
  <c r="AA92" i="1"/>
  <c r="W92" i="1" s="1"/>
  <c r="AA90" i="1"/>
  <c r="W90" i="1" s="1"/>
  <c r="U67" i="1"/>
  <c r="S67" i="1" s="1"/>
  <c r="AA33" i="1"/>
  <c r="W33" i="1" s="1"/>
  <c r="AA144" i="1"/>
  <c r="W144" i="1" s="1"/>
  <c r="AA132" i="1"/>
  <c r="W132" i="1" s="1"/>
  <c r="U126" i="1"/>
  <c r="S126" i="1" s="1"/>
  <c r="AA120" i="1"/>
  <c r="W120" i="1" s="1"/>
  <c r="AA112" i="1"/>
  <c r="W112" i="1" s="1"/>
  <c r="AA105" i="1"/>
  <c r="W105" i="1" s="1"/>
  <c r="AA103" i="1"/>
  <c r="W103" i="1" s="1"/>
  <c r="AA100" i="1"/>
  <c r="W100" i="1" s="1"/>
  <c r="AA96" i="1"/>
  <c r="W96" i="1" s="1"/>
  <c r="AA81" i="1"/>
  <c r="W81" i="1" s="1"/>
  <c r="AA68" i="1"/>
  <c r="W68" i="1" s="1"/>
  <c r="AA66" i="1"/>
  <c r="W66" i="1" s="1"/>
  <c r="AA64" i="1"/>
  <c r="W64" i="1" s="1"/>
  <c r="AA62" i="1"/>
  <c r="W62" i="1" s="1"/>
  <c r="AA60" i="1"/>
  <c r="W60" i="1" s="1"/>
  <c r="U58" i="1"/>
  <c r="S58" i="1" s="1"/>
  <c r="AA45" i="1"/>
  <c r="W45" i="1" s="1"/>
  <c r="AA40" i="1"/>
  <c r="W40" i="1" s="1"/>
  <c r="AA29" i="1"/>
  <c r="W29" i="1" s="1"/>
  <c r="AA25" i="1"/>
  <c r="W25" i="1" s="1"/>
  <c r="AA21" i="1"/>
  <c r="W21" i="1" s="1"/>
  <c r="AA143" i="1"/>
  <c r="W143" i="1" s="1"/>
  <c r="AA121" i="1"/>
  <c r="W121" i="1" s="1"/>
  <c r="AA119" i="1"/>
  <c r="W119" i="1" s="1"/>
  <c r="AA111" i="1"/>
  <c r="W111" i="1" s="1"/>
  <c r="AA108" i="1"/>
  <c r="W108" i="1" s="1"/>
  <c r="AA104" i="1"/>
  <c r="W104" i="1" s="1"/>
  <c r="AA95" i="1"/>
  <c r="W95" i="1" s="1"/>
  <c r="AA82" i="1"/>
  <c r="W82" i="1" s="1"/>
  <c r="AA77" i="1"/>
  <c r="W77" i="1" s="1"/>
  <c r="AA69" i="1"/>
  <c r="W69" i="1" s="1"/>
  <c r="AA50" i="1"/>
  <c r="W50" i="1" s="1"/>
  <c r="AA48" i="1"/>
  <c r="W48" i="1" s="1"/>
  <c r="AA41" i="1"/>
  <c r="W41" i="1" s="1"/>
  <c r="AA28" i="1"/>
  <c r="W28" i="1" s="1"/>
  <c r="AA24" i="1"/>
  <c r="W24" i="1" s="1"/>
  <c r="U162" i="1"/>
  <c r="S162" i="1" s="1"/>
  <c r="AA160" i="1"/>
  <c r="W160" i="1" s="1"/>
  <c r="AA151" i="1"/>
  <c r="W151" i="1" s="1"/>
  <c r="AA149" i="1"/>
  <c r="W149" i="1" s="1"/>
  <c r="U104" i="1"/>
  <c r="S104" i="1" s="1"/>
  <c r="U144" i="1"/>
  <c r="S144" i="1" s="1"/>
  <c r="U138" i="1"/>
  <c r="U134" i="1"/>
  <c r="AA129" i="1"/>
  <c r="W129" i="1" s="1"/>
  <c r="U122" i="1"/>
  <c r="S122" i="1" s="1"/>
  <c r="U118" i="1"/>
  <c r="S118" i="1" s="1"/>
  <c r="AA113" i="1"/>
  <c r="W113" i="1" s="1"/>
  <c r="U106" i="1"/>
  <c r="S106" i="1" s="1"/>
  <c r="AA99" i="1"/>
  <c r="W99" i="1" s="1"/>
  <c r="U98" i="1"/>
  <c r="S98" i="1" s="1"/>
  <c r="AA85" i="1"/>
  <c r="W85" i="1" s="1"/>
  <c r="U84" i="1"/>
  <c r="S84" i="1" s="1"/>
  <c r="AA79" i="1"/>
  <c r="W79" i="1" s="1"/>
  <c r="U56" i="1"/>
  <c r="S56" i="1" s="1"/>
  <c r="AA51" i="1"/>
  <c r="W51" i="1" s="1"/>
  <c r="AA35" i="1"/>
  <c r="W35" i="1" s="1"/>
  <c r="AA32" i="1"/>
  <c r="W32" i="1" s="1"/>
  <c r="U31" i="1"/>
  <c r="S31" i="1" s="1"/>
  <c r="U23" i="1"/>
  <c r="S23" i="1" s="1"/>
  <c r="AA147" i="1"/>
  <c r="W147" i="1" s="1"/>
  <c r="U111" i="1"/>
  <c r="S111" i="1" s="1"/>
  <c r="AA20" i="1"/>
  <c r="W20" i="1" s="1"/>
  <c r="U18" i="1"/>
  <c r="S18" i="1" s="1"/>
  <c r="AA161" i="1"/>
  <c r="W161" i="1" s="1"/>
  <c r="AA148" i="1"/>
  <c r="W148" i="1" s="1"/>
  <c r="AA133" i="1"/>
  <c r="W133" i="1" s="1"/>
  <c r="AA131" i="1"/>
  <c r="W131" i="1" s="1"/>
  <c r="U130" i="1"/>
  <c r="S130" i="1" s="1"/>
  <c r="AA117" i="1"/>
  <c r="W117" i="1" s="1"/>
  <c r="AA115" i="1"/>
  <c r="W115" i="1" s="1"/>
  <c r="U114" i="1"/>
  <c r="S114" i="1" s="1"/>
  <c r="AA97" i="1"/>
  <c r="W97" i="1" s="1"/>
  <c r="AA91" i="1"/>
  <c r="W91" i="1" s="1"/>
  <c r="AA89" i="1"/>
  <c r="W89" i="1" s="1"/>
  <c r="AA74" i="1"/>
  <c r="W74" i="1" s="1"/>
  <c r="AA73" i="1"/>
  <c r="W73" i="1" s="1"/>
  <c r="AA61" i="1"/>
  <c r="W61" i="1" s="1"/>
  <c r="AA53" i="1"/>
  <c r="W53" i="1" s="1"/>
  <c r="U52" i="1"/>
  <c r="S52" i="1" s="1"/>
  <c r="AA36" i="1"/>
  <c r="W36" i="1" s="1"/>
  <c r="AA155" i="1"/>
  <c r="W155" i="1" s="1"/>
  <c r="U115" i="1"/>
  <c r="S115" i="1" s="1"/>
  <c r="U108" i="1"/>
  <c r="S108" i="1" s="1"/>
  <c r="U99" i="1"/>
  <c r="S99" i="1" s="1"/>
  <c r="U55" i="1"/>
  <c r="S55" i="1" s="1"/>
  <c r="U143" i="1"/>
  <c r="S143" i="1" s="1"/>
  <c r="U40" i="1"/>
  <c r="S40" i="1" s="1"/>
  <c r="U103" i="1"/>
  <c r="S103" i="1" s="1"/>
  <c r="U96" i="1"/>
  <c r="S96" i="1" s="1"/>
  <c r="U33" i="1"/>
  <c r="S33" i="1" s="1"/>
  <c r="U136" i="1"/>
  <c r="S136" i="1" s="1"/>
  <c r="U127" i="1"/>
  <c r="S127" i="1" s="1"/>
  <c r="U120" i="1"/>
  <c r="S120" i="1" s="1"/>
  <c r="U95" i="1"/>
  <c r="S95" i="1" s="1"/>
  <c r="U29" i="1"/>
  <c r="S29" i="1" s="1"/>
  <c r="U21" i="1"/>
  <c r="S21" i="1" s="1"/>
  <c r="U140" i="1"/>
  <c r="S140" i="1" s="1"/>
  <c r="U131" i="1"/>
  <c r="S131" i="1" s="1"/>
  <c r="U124" i="1"/>
  <c r="S124" i="1" s="1"/>
  <c r="U135" i="1"/>
  <c r="U128" i="1"/>
  <c r="S128" i="1" s="1"/>
  <c r="U119" i="1"/>
  <c r="S119" i="1" s="1"/>
  <c r="U112" i="1"/>
  <c r="S112" i="1" s="1"/>
  <c r="AA142" i="1"/>
  <c r="W142" i="1" s="1"/>
  <c r="U141" i="1"/>
  <c r="S141" i="1" s="1"/>
  <c r="AA139" i="1"/>
  <c r="W139" i="1" s="1"/>
  <c r="U139" i="1"/>
  <c r="S139" i="1" s="1"/>
  <c r="U132" i="1"/>
  <c r="AA123" i="1"/>
  <c r="W123" i="1" s="1"/>
  <c r="U123" i="1"/>
  <c r="S123" i="1" s="1"/>
  <c r="U116" i="1"/>
  <c r="S116" i="1" s="1"/>
  <c r="AA107" i="1"/>
  <c r="W107" i="1" s="1"/>
  <c r="U107" i="1"/>
  <c r="S107" i="1" s="1"/>
  <c r="U100" i="1"/>
  <c r="S100" i="1" s="1"/>
  <c r="AA86" i="1"/>
  <c r="W86" i="1" s="1"/>
  <c r="U86" i="1"/>
  <c r="S86" i="1" s="1"/>
  <c r="U82" i="1"/>
  <c r="S82" i="1" s="1"/>
  <c r="AA80" i="1"/>
  <c r="W80" i="1" s="1"/>
  <c r="U80" i="1"/>
  <c r="S80" i="1" s="1"/>
  <c r="U79" i="1"/>
  <c r="S79" i="1" s="1"/>
  <c r="U60" i="1"/>
  <c r="U41" i="1"/>
  <c r="S41" i="1" s="1"/>
  <c r="U38" i="1"/>
  <c r="S38" i="1" s="1"/>
  <c r="AA34" i="1"/>
  <c r="W34" i="1" s="1"/>
  <c r="U30" i="1"/>
  <c r="S30" i="1" s="1"/>
  <c r="AA19" i="1"/>
  <c r="W19" i="1" s="1"/>
  <c r="AA16" i="1"/>
  <c r="W16" i="1" s="1"/>
  <c r="U15" i="1"/>
  <c r="S15" i="1" s="1"/>
  <c r="AA163" i="1"/>
  <c r="W163" i="1" s="1"/>
  <c r="U163" i="1"/>
  <c r="S163" i="1" s="1"/>
  <c r="U158" i="1"/>
  <c r="S158" i="1" s="1"/>
  <c r="AA156" i="1"/>
  <c r="W156" i="1" s="1"/>
  <c r="AA153" i="1"/>
  <c r="W153" i="1" s="1"/>
  <c r="U145" i="1"/>
  <c r="S145" i="1" s="1"/>
  <c r="U89" i="1"/>
  <c r="S89" i="1" s="1"/>
  <c r="U87" i="1"/>
  <c r="S87" i="1" s="1"/>
  <c r="U83" i="1"/>
  <c r="S83" i="1" s="1"/>
  <c r="AA71" i="1"/>
  <c r="W71" i="1" s="1"/>
  <c r="U69" i="1"/>
  <c r="S69" i="1" s="1"/>
  <c r="U65" i="1"/>
  <c r="S65" i="1" s="1"/>
  <c r="U57" i="1"/>
  <c r="S57" i="1" s="1"/>
  <c r="AA56" i="1"/>
  <c r="W56" i="1" s="1"/>
  <c r="U54" i="1"/>
  <c r="S54" i="1" s="1"/>
  <c r="U49" i="1"/>
  <c r="S49" i="1" s="1"/>
  <c r="U46" i="1"/>
  <c r="S46" i="1" s="1"/>
  <c r="AA42" i="1"/>
  <c r="W42" i="1" s="1"/>
  <c r="AA38" i="1"/>
  <c r="W38" i="1" s="1"/>
  <c r="U27" i="1"/>
  <c r="S27" i="1" s="1"/>
  <c r="U25" i="1"/>
  <c r="S25" i="1" s="1"/>
  <c r="AA138" i="1"/>
  <c r="W138" i="1" s="1"/>
  <c r="U137" i="1"/>
  <c r="S137" i="1" s="1"/>
  <c r="AA134" i="1"/>
  <c r="W134" i="1" s="1"/>
  <c r="U133" i="1"/>
  <c r="S133" i="1" s="1"/>
  <c r="AA130" i="1"/>
  <c r="W130" i="1" s="1"/>
  <c r="U129" i="1"/>
  <c r="AA126" i="1"/>
  <c r="W126" i="1" s="1"/>
  <c r="U125" i="1"/>
  <c r="S125" i="1" s="1"/>
  <c r="AA122" i="1"/>
  <c r="W122" i="1" s="1"/>
  <c r="U121" i="1"/>
  <c r="S121" i="1" s="1"/>
  <c r="AA118" i="1"/>
  <c r="W118" i="1" s="1"/>
  <c r="U117" i="1"/>
  <c r="S117" i="1" s="1"/>
  <c r="AA114" i="1"/>
  <c r="W114" i="1" s="1"/>
  <c r="U113" i="1"/>
  <c r="S113" i="1" s="1"/>
  <c r="AA110" i="1"/>
  <c r="W110" i="1" s="1"/>
  <c r="U109" i="1"/>
  <c r="S109" i="1" s="1"/>
  <c r="AA106" i="1"/>
  <c r="W106" i="1" s="1"/>
  <c r="U105" i="1"/>
  <c r="S105" i="1" s="1"/>
  <c r="AA102" i="1"/>
  <c r="W102" i="1" s="1"/>
  <c r="U101" i="1"/>
  <c r="S101" i="1" s="1"/>
  <c r="AA98" i="1"/>
  <c r="W98" i="1" s="1"/>
  <c r="U97" i="1"/>
  <c r="S97" i="1" s="1"/>
  <c r="AA94" i="1"/>
  <c r="W94" i="1" s="1"/>
  <c r="U93" i="1"/>
  <c r="S93" i="1" s="1"/>
  <c r="U91" i="1"/>
  <c r="S91" i="1" s="1"/>
  <c r="AA88" i="1"/>
  <c r="W88" i="1" s="1"/>
  <c r="AA83" i="1"/>
  <c r="W83" i="1" s="1"/>
  <c r="AA70" i="1"/>
  <c r="W70" i="1" s="1"/>
  <c r="AA67" i="1"/>
  <c r="W67" i="1" s="1"/>
  <c r="U66" i="1"/>
  <c r="S66" i="1" s="1"/>
  <c r="U64" i="1"/>
  <c r="S64" i="1" s="1"/>
  <c r="U62" i="1"/>
  <c r="S62" i="1" s="1"/>
  <c r="AA59" i="1"/>
  <c r="W59" i="1" s="1"/>
  <c r="AA58" i="1"/>
  <c r="W58" i="1" s="1"/>
  <c r="AA54" i="1"/>
  <c r="W54" i="1" s="1"/>
  <c r="AA52" i="1"/>
  <c r="W52" i="1" s="1"/>
  <c r="U50" i="1"/>
  <c r="S50" i="1" s="1"/>
  <c r="U48" i="1"/>
  <c r="S48" i="1" s="1"/>
  <c r="AA46" i="1"/>
  <c r="W46" i="1" s="1"/>
  <c r="AA44" i="1"/>
  <c r="W44" i="1" s="1"/>
  <c r="AA39" i="1"/>
  <c r="W39" i="1" s="1"/>
  <c r="AA37" i="1"/>
  <c r="W37" i="1" s="1"/>
  <c r="U36" i="1"/>
  <c r="S36" i="1" s="1"/>
  <c r="U26" i="1"/>
  <c r="S26" i="1" s="1"/>
  <c r="AA18" i="1"/>
  <c r="W18" i="1" s="1"/>
  <c r="U17" i="1"/>
  <c r="S17" i="1" s="1"/>
  <c r="AA159" i="1"/>
  <c r="W159" i="1" s="1"/>
  <c r="AA157" i="1"/>
  <c r="W157" i="1" s="1"/>
  <c r="AA152" i="1"/>
  <c r="W152" i="1" s="1"/>
  <c r="U156" i="1"/>
  <c r="S156" i="1" s="1"/>
  <c r="U148" i="1"/>
  <c r="S148" i="1" s="1"/>
  <c r="AA145" i="1"/>
  <c r="W145" i="1" s="1"/>
  <c r="U152" i="1"/>
  <c r="S152" i="1" s="1"/>
  <c r="AA162" i="1"/>
  <c r="W162" i="1" s="1"/>
  <c r="U161" i="1"/>
  <c r="S161" i="1" s="1"/>
  <c r="U159" i="1"/>
  <c r="S159" i="1" s="1"/>
  <c r="AA154" i="1"/>
  <c r="W154" i="1" s="1"/>
  <c r="U154" i="1"/>
  <c r="S154" i="1" s="1"/>
  <c r="U153" i="1"/>
  <c r="S153" i="1" s="1"/>
  <c r="U151" i="1"/>
  <c r="S151" i="1" s="1"/>
  <c r="AA146" i="1"/>
  <c r="W146" i="1" s="1"/>
  <c r="U146" i="1"/>
  <c r="S146" i="1" s="1"/>
  <c r="U160" i="1"/>
  <c r="S160" i="1" s="1"/>
  <c r="AA158" i="1"/>
  <c r="W158" i="1" s="1"/>
  <c r="U157" i="1"/>
  <c r="S157" i="1" s="1"/>
  <c r="U155" i="1"/>
  <c r="S155" i="1" s="1"/>
  <c r="AA150" i="1"/>
  <c r="W150" i="1" s="1"/>
  <c r="U150" i="1"/>
  <c r="S150" i="1" s="1"/>
  <c r="U149" i="1"/>
  <c r="S149" i="1" s="1"/>
  <c r="U147" i="1"/>
  <c r="S147" i="1" s="1"/>
  <c r="U88" i="1"/>
  <c r="S88" i="1" s="1"/>
  <c r="U92" i="1"/>
  <c r="S92" i="1" s="1"/>
  <c r="U90" i="1"/>
  <c r="S90" i="1" s="1"/>
  <c r="U81" i="1"/>
  <c r="S81" i="1" s="1"/>
  <c r="U75" i="1"/>
  <c r="S75" i="1" s="1"/>
  <c r="U51" i="1"/>
  <c r="S51" i="1" s="1"/>
  <c r="U85" i="1"/>
  <c r="S85" i="1" s="1"/>
  <c r="AA84" i="1"/>
  <c r="W84" i="1" s="1"/>
  <c r="U78" i="1"/>
  <c r="S78" i="1" s="1"/>
  <c r="U73" i="1"/>
  <c r="S73" i="1" s="1"/>
  <c r="U71" i="1"/>
  <c r="S71" i="1" s="1"/>
  <c r="U63" i="1"/>
  <c r="S63" i="1" s="1"/>
  <c r="U35" i="1"/>
  <c r="S35" i="1" s="1"/>
  <c r="U22" i="1"/>
  <c r="S22" i="1" s="1"/>
  <c r="U47" i="1"/>
  <c r="S47" i="1" s="1"/>
  <c r="U77" i="1"/>
  <c r="S77" i="1" s="1"/>
  <c r="U70" i="1"/>
  <c r="S70" i="1" s="1"/>
  <c r="U68" i="1"/>
  <c r="S68" i="1" s="1"/>
  <c r="AA55" i="1"/>
  <c r="W55" i="1" s="1"/>
  <c r="U53" i="1"/>
  <c r="S53" i="1" s="1"/>
  <c r="U39" i="1"/>
  <c r="S39" i="1" s="1"/>
  <c r="U37" i="1"/>
  <c r="S37" i="1" s="1"/>
  <c r="U28" i="1"/>
  <c r="S28" i="1" s="1"/>
  <c r="AA27" i="1"/>
  <c r="W27" i="1" s="1"/>
  <c r="AA26" i="1"/>
  <c r="W26" i="1" s="1"/>
  <c r="U20" i="1"/>
  <c r="S20" i="1" s="1"/>
  <c r="U19" i="1"/>
  <c r="S19" i="1" s="1"/>
  <c r="U74" i="1"/>
  <c r="S74" i="1" s="1"/>
  <c r="U72" i="1"/>
  <c r="S72" i="1" s="1"/>
  <c r="U59" i="1"/>
  <c r="S59" i="1" s="1"/>
  <c r="U43" i="1"/>
  <c r="S43" i="1" s="1"/>
  <c r="AA78" i="1"/>
  <c r="W78" i="1" s="1"/>
  <c r="U76" i="1"/>
  <c r="S76" i="1" s="1"/>
  <c r="AA63" i="1"/>
  <c r="W63" i="1" s="1"/>
  <c r="U61" i="1"/>
  <c r="S61" i="1" s="1"/>
  <c r="AA47" i="1"/>
  <c r="W47" i="1" s="1"/>
  <c r="U45" i="1"/>
  <c r="S45" i="1" s="1"/>
  <c r="U32" i="1"/>
  <c r="S32" i="1" s="1"/>
  <c r="AA31" i="1"/>
  <c r="W31" i="1" s="1"/>
  <c r="AA30" i="1"/>
  <c r="W30" i="1" s="1"/>
  <c r="U24" i="1"/>
  <c r="AA23" i="1"/>
  <c r="W23" i="1" s="1"/>
  <c r="AA22" i="1"/>
  <c r="W22" i="1" s="1"/>
  <c r="U16" i="1"/>
  <c r="S16" i="1" s="1"/>
  <c r="AA15" i="1"/>
  <c r="W15" i="1" s="1"/>
  <c r="V14" i="1"/>
  <c r="Q51" i="3"/>
  <c r="V13" i="1"/>
  <c r="P51" i="3"/>
  <c r="L65" i="3"/>
  <c r="S65" i="3"/>
  <c r="R65" i="3" s="1"/>
  <c r="T65" i="3"/>
  <c r="U65" i="3"/>
  <c r="V65" i="3"/>
  <c r="V40" i="3" l="1"/>
  <c r="V20" i="3"/>
  <c r="V29" i="3"/>
  <c r="V32" i="3"/>
  <c r="V21" i="3"/>
  <c r="V61" i="3"/>
  <c r="V41" i="3"/>
  <c r="V42" i="3"/>
  <c r="V31" i="3"/>
  <c r="V35" i="3"/>
  <c r="V11" i="3"/>
  <c r="V15" i="3"/>
  <c r="V58" i="3"/>
  <c r="V39" i="3"/>
  <c r="V25" i="3"/>
  <c r="V17" i="3"/>
  <c r="V52" i="3"/>
  <c r="V30" i="3"/>
  <c r="V43" i="3"/>
  <c r="V44" i="3"/>
  <c r="V55" i="3"/>
  <c r="V62" i="3"/>
  <c r="V14" i="3"/>
  <c r="V57" i="3"/>
  <c r="V18" i="3"/>
  <c r="V53" i="3"/>
  <c r="V7" i="3"/>
  <c r="V34" i="3"/>
  <c r="V45" i="3"/>
  <c r="V24" i="3"/>
  <c r="V33" i="3"/>
  <c r="V26" i="3"/>
  <c r="V37" i="3"/>
  <c r="V13" i="3"/>
  <c r="V59" i="3"/>
  <c r="V38" i="3"/>
  <c r="V19" i="3"/>
  <c r="V22" i="3"/>
  <c r="V23" i="3"/>
  <c r="V60" i="3"/>
  <c r="V46" i="3"/>
  <c r="V56" i="3"/>
  <c r="V27" i="3"/>
  <c r="V36" i="3"/>
  <c r="V28" i="3"/>
  <c r="V12" i="3"/>
  <c r="V8" i="3"/>
  <c r="V47" i="3"/>
  <c r="V48" i="3"/>
  <c r="V63" i="3"/>
  <c r="V9" i="3"/>
  <c r="V10" i="3"/>
  <c r="V49" i="3"/>
  <c r="V64" i="3"/>
  <c r="V54" i="3"/>
  <c r="V50" i="3"/>
  <c r="V16" i="3"/>
  <c r="L30" i="3"/>
  <c r="L60" i="3"/>
  <c r="L34" i="3"/>
  <c r="L52" i="3"/>
  <c r="L41" i="3"/>
  <c r="L32" i="3"/>
  <c r="L61" i="3"/>
  <c r="L7" i="3"/>
  <c r="L59" i="3"/>
  <c r="L26" i="3"/>
  <c r="L50" i="3"/>
  <c r="L43" i="3"/>
  <c r="L64" i="3"/>
  <c r="L33" i="3"/>
  <c r="L47" i="3"/>
  <c r="L16" i="3"/>
  <c r="L20" i="3"/>
  <c r="L44" i="3"/>
  <c r="L9" i="3"/>
  <c r="L55" i="3"/>
  <c r="L62" i="3"/>
  <c r="L49" i="3"/>
  <c r="L24" i="3"/>
  <c r="L48" i="3"/>
  <c r="L42" i="3"/>
  <c r="L21" i="3"/>
  <c r="L38" i="3"/>
  <c r="L54" i="3"/>
  <c r="L14" i="3"/>
  <c r="L31" i="3"/>
  <c r="L57" i="3"/>
  <c r="L63" i="3"/>
  <c r="L17" i="3"/>
  <c r="L40" i="3"/>
  <c r="L18" i="3"/>
  <c r="L35" i="3"/>
  <c r="AF14" i="1" l="1"/>
  <c r="AF13" i="1"/>
  <c r="Q65" i="3" l="1"/>
  <c r="P65" i="3"/>
  <c r="Q35" i="3" l="1"/>
  <c r="P40" i="3"/>
  <c r="P18" i="3"/>
  <c r="S57" i="3"/>
  <c r="R57" i="3" s="1"/>
  <c r="T57" i="3"/>
  <c r="U57" i="3"/>
  <c r="S55" i="3"/>
  <c r="R55" i="3" s="1"/>
  <c r="T55" i="3"/>
  <c r="U55" i="3"/>
  <c r="S63" i="3"/>
  <c r="R63" i="3" s="1"/>
  <c r="T63" i="3"/>
  <c r="U63" i="3"/>
  <c r="S32" i="3"/>
  <c r="R32" i="3" s="1"/>
  <c r="T32" i="3"/>
  <c r="U32" i="3"/>
  <c r="L29" i="3"/>
  <c r="S29" i="3"/>
  <c r="R29" i="3" s="1"/>
  <c r="T29" i="3"/>
  <c r="U29" i="3"/>
  <c r="S17" i="3"/>
  <c r="R17" i="3" s="1"/>
  <c r="T17" i="3"/>
  <c r="U17" i="3"/>
  <c r="S40" i="3"/>
  <c r="R40" i="3" s="1"/>
  <c r="T40" i="3"/>
  <c r="U40" i="3"/>
  <c r="S18" i="3"/>
  <c r="R18" i="3" s="1"/>
  <c r="T18" i="3"/>
  <c r="U18" i="3"/>
  <c r="S62" i="3"/>
  <c r="R62" i="3" s="1"/>
  <c r="T62" i="3"/>
  <c r="U62" i="3"/>
  <c r="S49" i="3"/>
  <c r="R49" i="3" s="1"/>
  <c r="T49" i="3"/>
  <c r="U49" i="3"/>
  <c r="P35" i="3"/>
  <c r="S35" i="3"/>
  <c r="R35" i="3" s="1"/>
  <c r="T35" i="3"/>
  <c r="U35" i="3"/>
  <c r="L46" i="3"/>
  <c r="S46" i="3"/>
  <c r="R46" i="3" s="1"/>
  <c r="T46" i="3"/>
  <c r="U46" i="3"/>
  <c r="L53" i="3"/>
  <c r="S53" i="3"/>
  <c r="R53" i="3" s="1"/>
  <c r="T53" i="3"/>
  <c r="U53" i="3"/>
  <c r="S33" i="3"/>
  <c r="R33" i="3" s="1"/>
  <c r="T33" i="3"/>
  <c r="U33" i="3"/>
  <c r="L56" i="3"/>
  <c r="S56" i="3"/>
  <c r="R56" i="3" s="1"/>
  <c r="T56" i="3"/>
  <c r="U56" i="3"/>
  <c r="S47" i="3"/>
  <c r="R47" i="3" s="1"/>
  <c r="T47" i="3"/>
  <c r="U47" i="3"/>
  <c r="S38" i="3"/>
  <c r="R38" i="3" s="1"/>
  <c r="T38" i="3"/>
  <c r="U38" i="3"/>
  <c r="S54" i="3"/>
  <c r="R54" i="3" s="1"/>
  <c r="T54" i="3"/>
  <c r="U54" i="3"/>
  <c r="S16" i="3"/>
  <c r="R16" i="3" s="1"/>
  <c r="T16" i="3"/>
  <c r="U16" i="3"/>
  <c r="S52" i="3"/>
  <c r="R52" i="3" s="1"/>
  <c r="T52" i="3"/>
  <c r="U52" i="3"/>
  <c r="S14" i="3"/>
  <c r="R14" i="3" s="1"/>
  <c r="T14" i="3"/>
  <c r="U14" i="3"/>
  <c r="S41" i="3"/>
  <c r="R41" i="3" s="1"/>
  <c r="T41" i="3"/>
  <c r="U41" i="3"/>
  <c r="S20" i="3"/>
  <c r="R20" i="3" s="1"/>
  <c r="T20" i="3"/>
  <c r="U20" i="3"/>
  <c r="S31" i="3"/>
  <c r="R31" i="3" s="1"/>
  <c r="T31" i="3"/>
  <c r="U31" i="3"/>
  <c r="L8" i="3"/>
  <c r="S8" i="3"/>
  <c r="R8" i="3" s="1"/>
  <c r="T8" i="3"/>
  <c r="U8" i="3"/>
  <c r="S44" i="3"/>
  <c r="R44" i="3" s="1"/>
  <c r="T44" i="3"/>
  <c r="U44" i="3"/>
  <c r="S9" i="3"/>
  <c r="R9" i="3" s="1"/>
  <c r="T9" i="3"/>
  <c r="U9" i="3"/>
  <c r="L25" i="3"/>
  <c r="S25" i="3"/>
  <c r="R25" i="3" s="1"/>
  <c r="T25" i="3"/>
  <c r="U25" i="3"/>
  <c r="Q18" i="3" l="1"/>
  <c r="Q40" i="3"/>
  <c r="AG13" i="1"/>
  <c r="AG14" i="1"/>
  <c r="U13" i="3"/>
  <c r="U36" i="3"/>
  <c r="U28" i="3"/>
  <c r="U12" i="3"/>
  <c r="U45" i="3"/>
  <c r="U11" i="3"/>
  <c r="U39" i="3"/>
  <c r="U19" i="3"/>
  <c r="U22" i="3"/>
  <c r="U37" i="3"/>
  <c r="U23" i="3"/>
  <c r="U27" i="3"/>
  <c r="U15" i="3"/>
  <c r="U10" i="3"/>
  <c r="U58" i="3"/>
  <c r="U30" i="3"/>
  <c r="U60" i="3"/>
  <c r="U34" i="3"/>
  <c r="U61" i="3"/>
  <c r="U7" i="3"/>
  <c r="U59" i="3"/>
  <c r="U26" i="3"/>
  <c r="U50" i="3"/>
  <c r="U43" i="3"/>
  <c r="U64" i="3"/>
  <c r="U24" i="3"/>
  <c r="U48" i="3"/>
  <c r="U42" i="3"/>
  <c r="U21" i="3"/>
  <c r="Q46" i="3"/>
  <c r="AE13" i="1"/>
  <c r="AE14" i="1"/>
  <c r="P46" i="3"/>
  <c r="L37" i="3"/>
  <c r="L13" i="3"/>
  <c r="L36" i="3"/>
  <c r="L19" i="3"/>
  <c r="L22" i="3"/>
  <c r="L45" i="3"/>
  <c r="L39" i="3"/>
  <c r="L23" i="3"/>
  <c r="L28" i="3"/>
  <c r="L15" i="3"/>
  <c r="L58" i="3"/>
  <c r="L27" i="3"/>
  <c r="L12" i="3"/>
  <c r="L11" i="3"/>
  <c r="L10" i="3"/>
  <c r="S24" i="3"/>
  <c r="R24" i="3" s="1"/>
  <c r="T24" i="3"/>
  <c r="S59" i="3"/>
  <c r="R59" i="3" s="1"/>
  <c r="T59" i="3"/>
  <c r="S30" i="3"/>
  <c r="R30" i="3" s="1"/>
  <c r="T30" i="3"/>
  <c r="S19" i="3"/>
  <c r="R19" i="3" s="1"/>
  <c r="T19" i="3"/>
  <c r="Q33" i="3" l="1"/>
  <c r="Q30" i="3"/>
  <c r="Q19" i="3"/>
  <c r="P19" i="3"/>
  <c r="Q59" i="3"/>
  <c r="Q53" i="3"/>
  <c r="P59" i="3"/>
  <c r="Q38" i="3"/>
  <c r="Q52" i="3"/>
  <c r="Q62" i="3"/>
  <c r="Q20" i="3"/>
  <c r="Q24" i="3"/>
  <c r="Q49" i="3"/>
  <c r="Q25" i="3"/>
  <c r="Q63" i="3"/>
  <c r="Q17" i="3"/>
  <c r="Q32" i="3"/>
  <c r="Q29" i="3"/>
  <c r="P62" i="3"/>
  <c r="Q57" i="3" l="1"/>
  <c r="Q55" i="3"/>
  <c r="Q14" i="3"/>
  <c r="Q54" i="3"/>
  <c r="P24" i="3"/>
  <c r="P30" i="3"/>
  <c r="Q31" i="3"/>
  <c r="P33" i="3"/>
  <c r="Q16" i="3"/>
  <c r="Q47" i="3"/>
  <c r="P16" i="3"/>
  <c r="P20" i="3"/>
  <c r="P47" i="3"/>
  <c r="P52" i="3"/>
  <c r="P53" i="3"/>
  <c r="Q44" i="3"/>
  <c r="Q41" i="3"/>
  <c r="P56" i="3"/>
  <c r="Q8" i="3"/>
  <c r="Q9" i="3"/>
  <c r="Q56" i="3"/>
  <c r="Q13" i="3"/>
  <c r="Q58" i="3"/>
  <c r="Q21" i="3"/>
  <c r="Q28" i="3"/>
  <c r="Q48" i="3"/>
  <c r="Q45" i="3"/>
  <c r="Q61" i="3"/>
  <c r="Q39" i="3"/>
  <c r="Q15" i="3"/>
  <c r="Q64" i="3"/>
  <c r="Q22" i="3"/>
  <c r="Q12" i="3"/>
  <c r="P58" i="3"/>
  <c r="P28" i="3"/>
  <c r="P48" i="3"/>
  <c r="P61" i="3"/>
  <c r="P39" i="3"/>
  <c r="P15" i="3"/>
  <c r="P64" i="3"/>
  <c r="P22" i="3"/>
  <c r="P12" i="3"/>
  <c r="P26" i="3"/>
  <c r="P44" i="3"/>
  <c r="P36" i="3"/>
  <c r="P31" i="3"/>
  <c r="P55" i="3"/>
  <c r="P14" i="3"/>
  <c r="P25" i="3"/>
  <c r="P54" i="3"/>
  <c r="P17" i="3"/>
  <c r="P32" i="3"/>
  <c r="P29" i="3"/>
  <c r="P13" i="3"/>
  <c r="P45" i="3"/>
  <c r="P42" i="3"/>
  <c r="P57" i="3" l="1"/>
  <c r="P8" i="3"/>
  <c r="P49" i="3"/>
  <c r="P21" i="3"/>
  <c r="P38" i="3"/>
  <c r="P43" i="3"/>
  <c r="P63" i="3"/>
  <c r="P9" i="3"/>
  <c r="P41" i="3"/>
  <c r="P50" i="3"/>
  <c r="P11" i="3"/>
  <c r="P23" i="3"/>
  <c r="P10" i="3"/>
  <c r="P7" i="3"/>
  <c r="P34" i="3"/>
  <c r="P37" i="3"/>
  <c r="P27" i="3"/>
  <c r="P60" i="3"/>
  <c r="M19" i="5"/>
  <c r="M18" i="5"/>
  <c r="T26" i="3"/>
  <c r="T27" i="3"/>
  <c r="T10" i="3"/>
  <c r="T36" i="3"/>
  <c r="T13" i="3"/>
  <c r="T37" i="3"/>
  <c r="T42" i="3"/>
  <c r="T58" i="3"/>
  <c r="T21" i="3"/>
  <c r="T28" i="3"/>
  <c r="T48" i="3"/>
  <c r="T45" i="3"/>
  <c r="T43" i="3"/>
  <c r="T60" i="3"/>
  <c r="T23" i="3"/>
  <c r="T34" i="3"/>
  <c r="T61" i="3"/>
  <c r="T39" i="3"/>
  <c r="T15" i="3"/>
  <c r="T64" i="3"/>
  <c r="T11" i="3"/>
  <c r="T22" i="3"/>
  <c r="T7" i="3"/>
  <c r="T12" i="3"/>
  <c r="T50" i="3"/>
  <c r="Q42" i="3" l="1"/>
  <c r="S48" i="3"/>
  <c r="R48" i="3" s="1"/>
  <c r="S43" i="3"/>
  <c r="R43" i="3" s="1"/>
  <c r="S10" i="3"/>
  <c r="R10" i="3" s="1"/>
  <c r="S23" i="3"/>
  <c r="R23" i="3" s="1"/>
  <c r="Q50" i="3" l="1"/>
  <c r="Q7" i="3"/>
  <c r="Q11" i="3"/>
  <c r="Q36" i="3"/>
  <c r="S42" i="3" l="1"/>
  <c r="R42" i="3" s="1"/>
  <c r="S45" i="3"/>
  <c r="R45" i="3" s="1"/>
  <c r="S7" i="3"/>
  <c r="R7" i="3" s="1"/>
  <c r="S11" i="3"/>
  <c r="R11" i="3" s="1"/>
  <c r="S22" i="3"/>
  <c r="R22" i="3" s="1"/>
  <c r="S58" i="3"/>
  <c r="R58" i="3" s="1"/>
  <c r="S34" i="3"/>
  <c r="R34" i="3" s="1"/>
  <c r="S39" i="3"/>
  <c r="R39" i="3" s="1"/>
  <c r="S13" i="3"/>
  <c r="R13" i="3" s="1"/>
  <c r="S21" i="3"/>
  <c r="R21" i="3" s="1"/>
  <c r="S28" i="3"/>
  <c r="R28" i="3" s="1"/>
  <c r="Q37" i="3" l="1"/>
  <c r="Q34" i="3"/>
  <c r="Q23" i="3"/>
  <c r="Q43" i="3"/>
  <c r="S61" i="3"/>
  <c r="R61" i="3" s="1"/>
  <c r="AD14" i="1" l="1"/>
  <c r="AD13" i="1"/>
  <c r="S15" i="3" l="1"/>
  <c r="R15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50" i="3" l="1"/>
  <c r="R50" i="3" s="1"/>
  <c r="S64" i="3"/>
  <c r="R64" i="3" s="1"/>
  <c r="S37" i="3"/>
  <c r="R37" i="3" s="1"/>
  <c r="S27" i="3"/>
  <c r="R27" i="3" s="1"/>
  <c r="S12" i="3"/>
  <c r="R12" i="3" s="1"/>
  <c r="S60" i="3"/>
  <c r="R60" i="3" s="1"/>
  <c r="S26" i="3"/>
  <c r="R26" i="3" s="1"/>
  <c r="S36" i="3"/>
  <c r="R36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60" i="3" l="1"/>
  <c r="X14" i="1"/>
  <c r="Y14" i="1"/>
  <c r="Q26" i="3" l="1"/>
  <c r="Q27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0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<sst xmlns="http://schemas.openxmlformats.org/spreadsheetml/2006/main" count="2129" uniqueCount="676">
  <si>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</si>
  <si>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</si>
  <si>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</si>
  <si>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</si>
  <si>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</si>
  <si>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</si>
  <si>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</si>
  <si>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</si>
  <si>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</si>
  <si>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</si>
  <si>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</si>
  <si>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</si>
  <si>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</si>
  <si>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</si>
  <si>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</si>
  <si>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</si>
  <si>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</si>
  <si>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</si>
  <si>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</si>
  <si>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</si>
  <si>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</si>
  <si>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</si>
  <si>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</si>
  <si>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</si>
  <si>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</si>
  <si>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</si>
  <si>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</si>
  <si>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</si>
  <si>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</si>
  <si>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</si>
  <si>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</si>
  <si>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</si>
  <si>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</si>
  <si>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</si>
  <si>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</si>
  <si>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</si>
  <si>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</si>
  <si>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</si>
  <si>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</si>
  <si>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</si>
  <si>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</si>
  <si>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</si>
  <si>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</si>
  <si>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</si>
  <si>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</si>
  <si>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</si>
  <si>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</si>
  <si>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</si>
  <si>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</si>
  <si>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</si>
  <si>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</si>
  <si>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</si>
  <si>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</si>
  <si>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</si>
  <si>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</si>
  <si>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</si>
  <si>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</si>
  <si>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</si>
  <si>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</si>
  <si>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</si>
  <si>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</si>
  <si>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</si>
  <si>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</si>
  <si>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</si>
  <si>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</si>
  <si>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</si>
  <si>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</si>
  <si>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</si>
  <si>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</si>
  <si>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</si>
  <si>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</si>
  <si>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</si>
  <si>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</si>
  <si>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</si>
  <si>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</si>
  <si>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</si>
  <si>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</si>
  <si>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</si>
  <si>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</si>
  <si>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</si>
  <si>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</si>
  <si>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</si>
  <si>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</si>
  <si>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</si>
  <si>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</si>
  <si>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</si>
  <si>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</si>
  <si>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</si>
  <si>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</si>
  <si>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</si>
  <si>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</si>
  <si>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</si>
  <si>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</si>
  <si>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</si>
  <si>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</si>
  <si>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</si>
  <si>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</si>
  <si>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</si>
  <si>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</si>
  <si>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</si>
  <si>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</si>
  <si>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</si>
  <si>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</si>
  <si>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</si>
  <si>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</si>
  <si>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</si>
  <si>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</si>
  <si>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</si>
  <si>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</si>
  <si>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</si>
  <si>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</si>
  <si>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</si>
  <si>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</si>
  <si>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</si>
  <si>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</si>
  <si>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</si>
  <si>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</si>
  <si>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</si>
  <si>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</si>
  <si>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</si>
  <si>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</si>
  <si>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</si>
  <si>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</si>
  <si>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</si>
  <si>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</si>
  <si>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</si>
  <si>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</si>
  <si>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</si>
  <si>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</si>
  <si>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</si>
  <si>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</si>
  <si>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</si>
  <si>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</si>
  <si>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</si>
  <si>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</si>
  <si>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</si>
  <si>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</si>
  <si>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</si>
  <si>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</si>
  <si>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</si>
  <si>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</si>
  <si>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</si>
  <si>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</si>
  <si>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</si>
  <si>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</si>
  <si>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</si>
  <si>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</si>
  <si>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</si>
  <si>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</si>
  <si>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</si>
  <si>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</si>
  <si>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</si>
  <si>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</si>
  <si>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</si>
  <si>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</si>
  <si>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</si>
  <si>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</si>
  <si>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</si>
  <si>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</si>
  <si>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</si>
  <si>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</si>
  <si>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</si>
  <si>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</si>
  <si>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</si>
  <si>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</si>
  <si>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</si>
  <si>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</si>
  <si>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</si>
  <si>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</si>
  <si>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</si>
  <si>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</si>
  <si>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</si>
  <si>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</si>
  <si>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</si>
  <si>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</si>
  <si>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</si>
  <si>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</si>
  <si>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</si>
  <si>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</si>
  <si>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</si>
  <si>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</si>
  <si>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</si>
  <si>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</si>
  <si>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</si>
  <si>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</si>
  <si>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</si>
  <si>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</si>
  <si>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</si>
  <si>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</si>
  <si>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</si>
  <si>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</si>
  <si>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</si>
  <si>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</si>
  <si>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</si>
  <si>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</si>
  <si>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</si>
  <si>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</si>
  <si>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</si>
  <si>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</si>
  <si>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</si>
  <si>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</si>
  <si>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</si>
  <si>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</si>
  <si>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</si>
  <si>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</si>
  <si>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</si>
  <si>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</si>
  <si>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</si>
  <si>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</si>
  <si>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</si>
  <si>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</si>
  <si>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</si>
  <si>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</si>
  <si>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</si>
  <si>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</si>
  <si>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</si>
  <si>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</si>
  <si>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114-07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</si>
  <si>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</si>
  <si>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</si>
  <si>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</si>
  <si>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</si>
  <si>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</si>
  <si>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</si>
  <si>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</si>
  <si>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</si>
  <si>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</si>
  <si>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</si>
  <si>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</si>
  <si>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</si>
  <si>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</si>
  <si>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</si>
  <si>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</si>
  <si>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</si>
  <si>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</si>
  <si>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</si>
  <si>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</si>
  <si>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</si>
  <si>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</si>
  <si>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</si>
  <si>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</si>
  <si>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</si>
  <si>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</si>
  <si>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</si>
  <si>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</si>
  <si>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</si>
  <si>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</si>
  <si>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</si>
  <si>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</si>
  <si>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</si>
  <si>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</si>
  <si>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</si>
  <si>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</si>
  <si>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</si>
  <si>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</si>
  <si>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</si>
  <si>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</si>
  <si>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</si>
  <si>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</si>
  <si>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</si>
  <si>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</si>
  <si>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</si>
  <si>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</si>
  <si>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</si>
  <si>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</si>
  <si>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</si>
  <si>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</si>
  <si>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</si>
  <si>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</si>
  <si>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</si>
  <si>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</si>
  <si>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</si>
  <si>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</si>
  <si>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</si>
  <si>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</si>
  <si>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</si>
  <si>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</si>
  <si>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</si>
  <si>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</si>
  <si>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</si>
  <si>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</si>
  <si>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</si>
  <si>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</si>
  <si>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</si>
  <si>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</si>
  <si>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</si>
  <si>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</si>
  <si>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</si>
  <si>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</si>
  <si>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</si>
  <si>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</si>
  <si>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</si>
  <si>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</si>
  <si>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</si>
  <si>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</si>
  <si>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</si>
  <si>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</si>
  <si>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</si>
  <si>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</si>
  <si>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204:233306</t>
  </si>
  <si>
    <t>204:165</t>
  </si>
  <si>
    <t>204:232959</t>
  </si>
  <si>
    <t>204:233299</t>
  </si>
  <si>
    <t>204:233276</t>
  </si>
  <si>
    <t>204:455</t>
  </si>
  <si>
    <t>204:469</t>
  </si>
  <si>
    <t>204:233293</t>
  </si>
  <si>
    <t>EC/NWGL</t>
  </si>
  <si>
    <t>LEVERE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</si>
  <si>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</si>
  <si>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</si>
  <si>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</si>
  <si>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</si>
  <si>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</si>
  <si>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</si>
  <si>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</si>
  <si>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</si>
  <si>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</si>
  <si>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</si>
  <si>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</si>
  <si>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</si>
  <si>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</si>
  <si>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</si>
  <si>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</si>
  <si>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</si>
  <si>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</si>
  <si>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</si>
  <si>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</si>
  <si>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</si>
  <si>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</si>
  <si>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204:233288</t>
  </si>
  <si>
    <t>SANTIZO</t>
  </si>
  <si>
    <t>204:138</t>
  </si>
  <si>
    <t>204:233000</t>
  </si>
  <si>
    <t>204:232953</t>
  </si>
  <si>
    <t>204:440</t>
  </si>
  <si>
    <t>204:233002</t>
  </si>
  <si>
    <t>204:232975</t>
  </si>
  <si>
    <t>204:446</t>
  </si>
  <si>
    <t>204:232993</t>
  </si>
  <si>
    <t>204:478</t>
  </si>
  <si>
    <t>204:471</t>
  </si>
  <si>
    <t>204:233282</t>
  </si>
  <si>
    <t>Omit due to TWC &lt; 1</t>
  </si>
  <si>
    <t>Reactive Enforcement (3)</t>
  </si>
  <si>
    <t>229-10</t>
  </si>
  <si>
    <t>228-10</t>
  </si>
  <si>
    <t>230-10</t>
  </si>
  <si>
    <t>233-10</t>
  </si>
  <si>
    <t>235-10</t>
  </si>
  <si>
    <t>241-10</t>
  </si>
  <si>
    <t>242-10</t>
  </si>
  <si>
    <t>204:134</t>
  </si>
  <si>
    <t>204:233307</t>
  </si>
  <si>
    <t>204:232990</t>
  </si>
  <si>
    <t>204:447</t>
  </si>
  <si>
    <t>204:232992</t>
  </si>
  <si>
    <t>204:232966</t>
  </si>
  <si>
    <t>204:232964</t>
  </si>
  <si>
    <t>204:233337</t>
  </si>
  <si>
    <t>204:233312</t>
  </si>
  <si>
    <t>204:233327</t>
  </si>
  <si>
    <t>204:233320</t>
  </si>
  <si>
    <t>204:178</t>
  </si>
  <si>
    <t>204:232994</t>
  </si>
  <si>
    <t>204:167</t>
  </si>
  <si>
    <t>204:233332</t>
  </si>
  <si>
    <t>204:444</t>
  </si>
  <si>
    <t>204:233316</t>
  </si>
  <si>
    <t>204:125</t>
  </si>
  <si>
    <t>204:232957</t>
  </si>
  <si>
    <t>204:233305</t>
  </si>
  <si>
    <t>204:233005</t>
  </si>
  <si>
    <t>204:233322</t>
  </si>
  <si>
    <t>204:233311</t>
  </si>
  <si>
    <t>204:438</t>
  </si>
  <si>
    <t>204:233323</t>
  </si>
  <si>
    <t>204:233285</t>
  </si>
  <si>
    <t>204:442</t>
  </si>
  <si>
    <t>226-10</t>
  </si>
  <si>
    <t>231-10</t>
  </si>
  <si>
    <t>232-10</t>
  </si>
  <si>
    <t>236-10</t>
  </si>
  <si>
    <t>237-10</t>
  </si>
  <si>
    <t>238-10</t>
  </si>
  <si>
    <t>239-10</t>
  </si>
  <si>
    <t>240-10</t>
  </si>
  <si>
    <t>ACKERMAN</t>
  </si>
  <si>
    <t>SNYDER</t>
  </si>
  <si>
    <t>CHANDLER</t>
  </si>
  <si>
    <t>234-10</t>
  </si>
  <si>
    <t>244-26</t>
  </si>
  <si>
    <t>GOLIGHTLY</t>
  </si>
  <si>
    <t>101-11</t>
  </si>
  <si>
    <t>Early arrival</t>
  </si>
  <si>
    <t>103-11</t>
  </si>
  <si>
    <t>105-11</t>
  </si>
  <si>
    <t>111-11</t>
  </si>
  <si>
    <t>109-11</t>
  </si>
  <si>
    <t>112-11</t>
  </si>
  <si>
    <t>118-11</t>
  </si>
  <si>
    <t>120-11</t>
  </si>
  <si>
    <t>122-11</t>
  </si>
  <si>
    <t>133-11</t>
  </si>
  <si>
    <t>139-11</t>
  </si>
  <si>
    <t>134-11</t>
  </si>
  <si>
    <t>rtdc.l.rtdc.4009:itc</t>
  </si>
  <si>
    <t>141-11</t>
  </si>
  <si>
    <t>136-11</t>
  </si>
  <si>
    <t>146-11</t>
  </si>
  <si>
    <t>rtdc.l.rtdc.4010:itc</t>
  </si>
  <si>
    <t>142-11</t>
  </si>
  <si>
    <t>153-11</t>
  </si>
  <si>
    <t>158-11</t>
  </si>
  <si>
    <t>167-11</t>
  </si>
  <si>
    <t>166-11</t>
  </si>
  <si>
    <t>168-11</t>
  </si>
  <si>
    <t>164-11</t>
  </si>
  <si>
    <t>179-11</t>
  </si>
  <si>
    <t>183-11</t>
  </si>
  <si>
    <t>180-11</t>
  </si>
  <si>
    <t>176-11</t>
  </si>
  <si>
    <t>178-11</t>
  </si>
  <si>
    <t>187-11</t>
  </si>
  <si>
    <t>193-11</t>
  </si>
  <si>
    <t>188-11</t>
  </si>
  <si>
    <t>194-11</t>
  </si>
  <si>
    <t>192-11</t>
  </si>
  <si>
    <t>196-11</t>
  </si>
  <si>
    <t>198-11</t>
  </si>
  <si>
    <t>207-11</t>
  </si>
  <si>
    <t>205-11</t>
  </si>
  <si>
    <t>208-11</t>
  </si>
  <si>
    <t>212-11</t>
  </si>
  <si>
    <t>214-11</t>
  </si>
  <si>
    <t>223-11</t>
  </si>
  <si>
    <t>224-11</t>
  </si>
  <si>
    <t>227-11</t>
  </si>
  <si>
    <t>228-11</t>
  </si>
  <si>
    <t>231-11</t>
  </si>
  <si>
    <t>230-11</t>
  </si>
  <si>
    <t>239-11</t>
  </si>
  <si>
    <t>204:774</t>
  </si>
  <si>
    <t>204:233326</t>
  </si>
  <si>
    <t>102-11</t>
  </si>
  <si>
    <t>204:232683</t>
  </si>
  <si>
    <t>204:659</t>
  </si>
  <si>
    <t>204:233364</t>
  </si>
  <si>
    <t>104-11</t>
  </si>
  <si>
    <t>204:232729</t>
  </si>
  <si>
    <t>204:87</t>
  </si>
  <si>
    <t>204:763</t>
  </si>
  <si>
    <t>106-11</t>
  </si>
  <si>
    <t>204:232648</t>
  </si>
  <si>
    <t>204:242</t>
  </si>
  <si>
    <t>107-11</t>
  </si>
  <si>
    <t>108-11</t>
  </si>
  <si>
    <t>110-11</t>
  </si>
  <si>
    <t>204:232988</t>
  </si>
  <si>
    <t>204:19111</t>
  </si>
  <si>
    <t>204:765</t>
  </si>
  <si>
    <t>204:1373</t>
  </si>
  <si>
    <t>113-11</t>
  </si>
  <si>
    <t>204:233301</t>
  </si>
  <si>
    <t>114-11</t>
  </si>
  <si>
    <t>115-11</t>
  </si>
  <si>
    <t>204:723</t>
  </si>
  <si>
    <t>116-11</t>
  </si>
  <si>
    <t>204:170</t>
  </si>
  <si>
    <t>117-11</t>
  </si>
  <si>
    <t>204:385</t>
  </si>
  <si>
    <t>204:121</t>
  </si>
  <si>
    <t>119-11</t>
  </si>
  <si>
    <t>204:752</t>
  </si>
  <si>
    <t>204:233006</t>
  </si>
  <si>
    <t>121-11</t>
  </si>
  <si>
    <t>204:422</t>
  </si>
  <si>
    <t>204:232984</t>
  </si>
  <si>
    <t>123-11</t>
  </si>
  <si>
    <t>124-11</t>
  </si>
  <si>
    <t>125-11</t>
  </si>
  <si>
    <t>204:233363</t>
  </si>
  <si>
    <t>126-11</t>
  </si>
  <si>
    <t>127-11</t>
  </si>
  <si>
    <t>129-11</t>
  </si>
  <si>
    <t>130-11</t>
  </si>
  <si>
    <t>204:232971</t>
  </si>
  <si>
    <t>131-11</t>
  </si>
  <si>
    <t>204:429</t>
  </si>
  <si>
    <t>132-11</t>
  </si>
  <si>
    <t>204:196</t>
  </si>
  <si>
    <t>135-11</t>
  </si>
  <si>
    <t>137-11</t>
  </si>
  <si>
    <t>138-11</t>
  </si>
  <si>
    <t>140-11</t>
  </si>
  <si>
    <t>204:233070</t>
  </si>
  <si>
    <t>204:233274</t>
  </si>
  <si>
    <t>143-11</t>
  </si>
  <si>
    <t>144-11</t>
  </si>
  <si>
    <t>204:169</t>
  </si>
  <si>
    <t>145-11</t>
  </si>
  <si>
    <t>204:127861</t>
  </si>
  <si>
    <t>204:163</t>
  </si>
  <si>
    <t>204:229315</t>
  </si>
  <si>
    <t>147-11</t>
  </si>
  <si>
    <t>204:233298</t>
  </si>
  <si>
    <t>148-11</t>
  </si>
  <si>
    <t>204:225173</t>
  </si>
  <si>
    <t>149-11</t>
  </si>
  <si>
    <t>204:233270</t>
  </si>
  <si>
    <t>150-11</t>
  </si>
  <si>
    <t>151-11</t>
  </si>
  <si>
    <t>152-11</t>
  </si>
  <si>
    <t>204:233188</t>
  </si>
  <si>
    <t>154-11</t>
  </si>
  <si>
    <t>204:232869</t>
  </si>
  <si>
    <t>155-11</t>
  </si>
  <si>
    <t>156-11</t>
  </si>
  <si>
    <t>157-11</t>
  </si>
  <si>
    <t>159-11</t>
  </si>
  <si>
    <t>204:233315</t>
  </si>
  <si>
    <t>160-11</t>
  </si>
  <si>
    <t>161-11</t>
  </si>
  <si>
    <t>204:233284</t>
  </si>
  <si>
    <t>162-11</t>
  </si>
  <si>
    <t>163-11</t>
  </si>
  <si>
    <t>204:233021</t>
  </si>
  <si>
    <t>165-11</t>
  </si>
  <si>
    <t>169-11</t>
  </si>
  <si>
    <t>204:233324</t>
  </si>
  <si>
    <t>170-11</t>
  </si>
  <si>
    <t>204:233007</t>
  </si>
  <si>
    <t>171-11</t>
  </si>
  <si>
    <t>172-11</t>
  </si>
  <si>
    <t>173-11</t>
  </si>
  <si>
    <t>204:233253</t>
  </si>
  <si>
    <t>174-11</t>
  </si>
  <si>
    <t>175-11</t>
  </si>
  <si>
    <t>177-11</t>
  </si>
  <si>
    <t>204:233017</t>
  </si>
  <si>
    <t>204:437</t>
  </si>
  <si>
    <t>204:233198</t>
  </si>
  <si>
    <t>204:232892</t>
  </si>
  <si>
    <t>181-11</t>
  </si>
  <si>
    <t>182-11</t>
  </si>
  <si>
    <t>204:203</t>
  </si>
  <si>
    <t>204:477</t>
  </si>
  <si>
    <t>184-11</t>
  </si>
  <si>
    <t>204:233027</t>
  </si>
  <si>
    <t>185-11</t>
  </si>
  <si>
    <t>186-11</t>
  </si>
  <si>
    <t>204:233009</t>
  </si>
  <si>
    <t>204:233215</t>
  </si>
  <si>
    <t>204:232909</t>
  </si>
  <si>
    <t>204:240</t>
  </si>
  <si>
    <t>189-11</t>
  </si>
  <si>
    <t>190-11</t>
  </si>
  <si>
    <t>191-11</t>
  </si>
  <si>
    <t>204:233368</t>
  </si>
  <si>
    <t>204:233241</t>
  </si>
  <si>
    <t>204:232925</t>
  </si>
  <si>
    <t>195-11</t>
  </si>
  <si>
    <t>204:531</t>
  </si>
  <si>
    <t>197-11</t>
  </si>
  <si>
    <t>199-11</t>
  </si>
  <si>
    <t>200-11</t>
  </si>
  <si>
    <t>204:5004</t>
  </si>
  <si>
    <t>201-11</t>
  </si>
  <si>
    <t>204:549</t>
  </si>
  <si>
    <t>204:233184</t>
  </si>
  <si>
    <t>202-11</t>
  </si>
  <si>
    <t>204:232842</t>
  </si>
  <si>
    <t>204:17764</t>
  </si>
  <si>
    <t>203-11</t>
  </si>
  <si>
    <t>204-11</t>
  </si>
  <si>
    <t>204:8551</t>
  </si>
  <si>
    <t>206-11</t>
  </si>
  <si>
    <t>204:232965</t>
  </si>
  <si>
    <t>204:5029</t>
  </si>
  <si>
    <t>204:528</t>
  </si>
  <si>
    <t>204:233183</t>
  </si>
  <si>
    <t>204:232874</t>
  </si>
  <si>
    <t>204:8960</t>
  </si>
  <si>
    <t>209-11</t>
  </si>
  <si>
    <t>210-11</t>
  </si>
  <si>
    <t>204:9079</t>
  </si>
  <si>
    <t>211-11</t>
  </si>
  <si>
    <t>204:19129</t>
  </si>
  <si>
    <t>213-11</t>
  </si>
  <si>
    <t>204:37179</t>
  </si>
  <si>
    <t>215-11</t>
  </si>
  <si>
    <t>204:19132</t>
  </si>
  <si>
    <t>216-11</t>
  </si>
  <si>
    <t>204:232981</t>
  </si>
  <si>
    <t>217-11</t>
  </si>
  <si>
    <t>204:19141</t>
  </si>
  <si>
    <t>204:907</t>
  </si>
  <si>
    <t>218-11</t>
  </si>
  <si>
    <t>219-11</t>
  </si>
  <si>
    <t>204:19134</t>
  </si>
  <si>
    <t>204:830</t>
  </si>
  <si>
    <t>220-11</t>
  </si>
  <si>
    <t>221-11</t>
  </si>
  <si>
    <t>222-11</t>
  </si>
  <si>
    <t>225-11</t>
  </si>
  <si>
    <t>226-11</t>
  </si>
  <si>
    <t>229-11</t>
  </si>
  <si>
    <t>232-11</t>
  </si>
  <si>
    <t>233-11</t>
  </si>
  <si>
    <t>234-11</t>
  </si>
  <si>
    <t>235-11</t>
  </si>
  <si>
    <t>236-11</t>
  </si>
  <si>
    <t>204:233001</t>
  </si>
  <si>
    <t>237-11</t>
  </si>
  <si>
    <t>204:475</t>
  </si>
  <si>
    <t>238-11</t>
  </si>
  <si>
    <t>240-11</t>
  </si>
  <si>
    <t>241-11</t>
  </si>
  <si>
    <t>242-11</t>
  </si>
  <si>
    <t>243-11</t>
  </si>
  <si>
    <t>204:233372</t>
  </si>
  <si>
    <t>244-11</t>
  </si>
  <si>
    <t>204:233044</t>
  </si>
  <si>
    <t>803-11</t>
  </si>
  <si>
    <t>REBOLETTI</t>
  </si>
  <si>
    <t>BRANNON</t>
  </si>
  <si>
    <t>SHOOK</t>
  </si>
  <si>
    <t>127-12</t>
  </si>
  <si>
    <t>137-12</t>
  </si>
  <si>
    <t>131-12</t>
  </si>
  <si>
    <t>112-12</t>
  </si>
  <si>
    <t>116-12</t>
  </si>
  <si>
    <t>105-12</t>
  </si>
  <si>
    <t>BALTHROP</t>
  </si>
  <si>
    <t>123-12</t>
  </si>
  <si>
    <t>rtdc.l.rtdc.4005:itc</t>
  </si>
  <si>
    <t>PTC Test Train</t>
  </si>
  <si>
    <t>Coats</t>
  </si>
  <si>
    <t>313-11</t>
  </si>
  <si>
    <t>126-12</t>
  </si>
  <si>
    <t>103-12</t>
  </si>
  <si>
    <t>120-12</t>
  </si>
  <si>
    <t>111-12</t>
  </si>
  <si>
    <t>133-12</t>
  </si>
  <si>
    <t>128-11</t>
  </si>
  <si>
    <t>115-12</t>
  </si>
  <si>
    <t>106-12</t>
  </si>
  <si>
    <t>107-12</t>
  </si>
  <si>
    <t>135-12</t>
  </si>
  <si>
    <t>139-12</t>
  </si>
  <si>
    <t>113-12</t>
  </si>
  <si>
    <t>104-12</t>
  </si>
  <si>
    <t>132-12</t>
  </si>
  <si>
    <t>121-12</t>
  </si>
  <si>
    <t>117-12</t>
  </si>
  <si>
    <t>118-12</t>
  </si>
  <si>
    <t>124-12</t>
  </si>
  <si>
    <t>108-12</t>
  </si>
  <si>
    <t>101-12</t>
  </si>
  <si>
    <t>119-12</t>
  </si>
  <si>
    <t>122-12</t>
  </si>
  <si>
    <t>rtdc.l.rtdc.4041:itc</t>
  </si>
  <si>
    <t>114-12</t>
  </si>
  <si>
    <t>102-12</t>
  </si>
  <si>
    <t>128-12</t>
  </si>
  <si>
    <t>130-12</t>
  </si>
  <si>
    <t>125-12</t>
  </si>
  <si>
    <t>129-12</t>
  </si>
  <si>
    <t>Form C</t>
  </si>
  <si>
    <t>Premature downgrade at EC0508RH 43-1T 1N</t>
  </si>
  <si>
    <t>40th 4S STOP, switch normal</t>
  </si>
  <si>
    <t>Pena 4S STOP, switch normal</t>
  </si>
  <si>
    <t>Pena 4S STOP</t>
  </si>
  <si>
    <t>DUS 2N STOP, switch reversed</t>
  </si>
  <si>
    <t>Onboard in-route failure delayed departure</t>
  </si>
  <si>
    <t>DUS-38th signaling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</si>
</sst>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22" fontId="0" fillId="0" borderId="0" xfId="0" applyNumberFormat="1" applyBorder="1"/>
    <xf numFmtId="1" fontId="0" fillId="0" borderId="0" xfId="0" applyNumberFormat="1" applyBorder="1"/>
    <xf numFmtId="0" fontId="1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_XINGS" xfId="1"/>
    <cellStyle name="Percent" xfId="2" builtinId="5"/>
  </cellStyles>
  <dxfs count="103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4"/>
  <sheetViews>
    <sheetView tabSelected="1" topLeftCell="A106" zoomScale="85" zoomScaleNormal="85" workbookViewId="0">
      <selection activeCell="S138" sqref="S138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6">
        <f>Variables!A2</f>
        <v>42562</v>
      </c>
      <c r="J2" s="117"/>
      <c r="K2" s="58"/>
      <c r="L2" s="58"/>
      <c r="M2" s="118" t="s">
        <v>8</v>
      </c>
      <c r="N2" s="119"/>
      <c r="O2" s="120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1" t="s">
        <v>10</v>
      </c>
      <c r="J3" s="122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COUNT($N$13:$P$1752)</f>
        <v>145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COUNT($N$13:$N$1752)</f>
        <v>131</v>
      </c>
      <c r="K5" s="62"/>
      <c r="L5" s="62"/>
      <c r="M5" s="63">
        <f>AVERAGE($N$13:$N$752)</f>
        <v>43.963740457476739</v>
      </c>
      <c r="N5" s="61">
        <f>MIN($N$13:$N$752)</f>
        <v>35.61666666297242</v>
      </c>
      <c r="O5" s="3">
        <f>MAX($N$13:$N$752)</f>
        <v>153.68333333171904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COUNT($O$13:$O$752)</f>
        <v>0</v>
      </c>
      <c r="K6" s="62"/>
      <c r="L6" s="62"/>
      <c r="M6" s="63">
        <f>IFERROR(AVERAGE($O$13:$O$752),0)</f>
        <v>0</v>
      </c>
      <c r="N6" s="61">
        <f>MIN($O$13:$O$752)</f>
        <v>0</v>
      </c>
      <c r="O6" s="3">
        <f>MAX($O$13:$O$752)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COUNT($P$13:$P$752)</f>
        <v>14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COUNT($N$13:$O$752)</f>
        <v>131</v>
      </c>
      <c r="K8" s="62"/>
      <c r="L8" s="62"/>
      <c r="M8" s="63">
        <f>AVERAGE($N$13:$P$752)</f>
        <v>43.382068964925693</v>
      </c>
      <c r="N8" s="61">
        <f>MIN($N$13:$O$752)</f>
        <v>35.61666666297242</v>
      </c>
      <c r="O8" s="3">
        <f>MAX($N$13:$O$752)</f>
        <v>153.68333333171904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0.90344827586206899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5" t="str">
        <f>"Eagle P3 System Performance - "&amp;TEXT(Variables!A2,"yyyy-mm-dd")</f>
        <v>Eagle P3 System Performance - 2016-07-11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150</v>
      </c>
      <c r="AE12" s="76" t="s">
        <v>232</v>
      </c>
      <c r="AF12" s="76" t="s">
        <v>237</v>
      </c>
      <c r="AG12" s="4" t="s">
        <v>307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0" t="s">
        <v>393</v>
      </c>
      <c r="B13" s="7">
        <v>4016</v>
      </c>
      <c r="C13" s="27" t="s">
        <v>59</v>
      </c>
      <c r="D13" s="27" t="s">
        <v>442</v>
      </c>
      <c r="E13" s="17">
        <v>42562.127789351849</v>
      </c>
      <c r="F13" s="17">
        <v>42562.128958333335</v>
      </c>
      <c r="G13" s="7">
        <v>1</v>
      </c>
      <c r="H13" s="17" t="s">
        <v>443</v>
      </c>
      <c r="I13" s="17">
        <v>42562.161261574074</v>
      </c>
      <c r="J13" s="7">
        <v>0</v>
      </c>
      <c r="K13" s="27" t="str">
        <f t="shared" ref="K13:K14" si="0">IF(ISEVEN(B13),(B13-1)&amp;"/"&amp;B13,B13&amp;"/"&amp;(B13+1))</f>
        <v>4015/4016</v>
      </c>
      <c r="L13" s="27" t="str">
        <f>VLOOKUP(A13,'Trips&amp;Operators'!$C$1:$E$10000,3,FALSE)</f>
        <v>DAVIS</v>
      </c>
      <c r="M13" s="6">
        <f t="shared" ref="M13:M14" si="1">I13-F13</f>
        <v>3.2303240739565808E-2</v>
      </c>
      <c r="N13" s="7">
        <f t="shared" ref="N13:P75" si="2">24*60*SUM($M13:$M13)</f>
        <v>46.516666664974764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https://search-rtdc-monitor-bjffxe2xuh6vdkpspy63sjmuny.us-east-1.es.amazonaws.com/_plugin/kibana/#/discover/Steve-Slow-Train-Analysis-(2080s-and-2083s)?_g=(refreshInterval:(display:Off,section:0,value:0),time:(from:'2016-07-11 02:04:01-0600',mode:absolute,to:'2016-07-11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7.7399999999999997E-2</v>
      </c>
      <c r="Z13" s="100">
        <f t="shared" ref="Z13:Z14" si="7">RIGHT(H13,LEN(H13)-4)/10000</f>
        <v>23.332599999999999</v>
      </c>
      <c r="AA13" s="100">
        <f t="shared" ref="AA13:AA14" si="8">ABS(Z13-Y13)</f>
        <v>23.255199999999999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0101-11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/stypes="*4016*20160711*"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0" t="s">
        <v>444</v>
      </c>
      <c r="B14" s="7">
        <v>4010</v>
      </c>
      <c r="C14" s="27" t="s">
        <v>59</v>
      </c>
      <c r="D14" s="27" t="s">
        <v>445</v>
      </c>
      <c r="E14" s="17">
        <v>42562.172939814816</v>
      </c>
      <c r="F14" s="17">
        <v>42562.173703703702</v>
      </c>
      <c r="G14" s="7">
        <v>1</v>
      </c>
      <c r="H14" s="17" t="s">
        <v>61</v>
      </c>
      <c r="I14" s="17">
        <v>42562.200231481482</v>
      </c>
      <c r="J14" s="7">
        <v>0</v>
      </c>
      <c r="K14" s="27" t="str">
        <f t="shared" si="0"/>
        <v>4009/4010</v>
      </c>
      <c r="L14" s="27" t="str">
        <f>VLOOKUP(A14,'Trips&amp;Operators'!$C$1:$E$10000,3,FALSE)</f>
        <v>DAVIS</v>
      </c>
      <c r="M14" s="6">
        <f t="shared" si="1"/>
        <v>2.6527777779847383E-2</v>
      </c>
      <c r="N14" s="7">
        <f t="shared" si="2"/>
        <v>38.200000002980232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https://search-rtdc-monitor-bjffxe2xuh6vdkpspy63sjmuny.us-east-1.es.amazonaws.com/_plugin/kibana/#/discover/Steve-Slow-Train-Analysis-(2080s-and-2083s)?_g=(refreshInterval:(display:Off,section:0,value:0),time:(from:'2016-07-11 03:09:02-0600',mode:absolute,to:'2016-07-11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23.2683</v>
      </c>
      <c r="Z14" s="100">
        <f t="shared" si="7"/>
        <v>1.52E-2</v>
      </c>
      <c r="AA14" s="100">
        <f t="shared" si="8"/>
        <v>23.2531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0102-11</v>
      </c>
      <c r="AE14" s="78" t="str">
        <f t="shared" si="10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4" s="78" t="str">
        <f t="shared" si="11"/>
        <v>"C:\Program Files (x86)\AstroGrep\AstroGrep.exe" /spath="C:\Users\stu\Documents\Analysis\2016-02-23 RTDC Observations" /stypes="*4010*20160711*"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0" t="s">
        <v>395</v>
      </c>
      <c r="B15" s="7">
        <v>4031</v>
      </c>
      <c r="C15" s="27" t="s">
        <v>59</v>
      </c>
      <c r="D15" s="27" t="s">
        <v>446</v>
      </c>
      <c r="E15" s="17">
        <v>42562.151631944442</v>
      </c>
      <c r="F15" s="17">
        <v>42562.152812499997</v>
      </c>
      <c r="G15" s="7">
        <v>1</v>
      </c>
      <c r="H15" s="17" t="s">
        <v>447</v>
      </c>
      <c r="I15" s="17">
        <v>42562.181944444441</v>
      </c>
      <c r="J15" s="7">
        <v>0</v>
      </c>
      <c r="K15" s="27" t="str">
        <f t="shared" ref="K15:K77" si="15">IF(ISEVEN(B15),(B15-1)&amp;"/"&amp;B15,B15&amp;"/"&amp;(B15+1))</f>
        <v>4031/4032</v>
      </c>
      <c r="L15" s="27" t="str">
        <f>VLOOKUP(A15,'Trips&amp;Operators'!$C$1:$E$10000,3,FALSE)</f>
        <v>ACKERMAN</v>
      </c>
      <c r="M15" s="6">
        <f t="shared" ref="M15:M77" si="16">I15-F15</f>
        <v>2.9131944444088731E-2</v>
      </c>
      <c r="N15" s="7">
        <f t="shared" si="2"/>
        <v>41.949999999487773</v>
      </c>
      <c r="O15" s="7"/>
      <c r="P15" s="7"/>
      <c r="Q15" s="28"/>
      <c r="R15" s="28"/>
      <c r="S15" s="46">
        <f t="shared" ref="S15:S77" si="17">SUM(U15:U15)/12</f>
        <v>1</v>
      </c>
      <c r="T15" s="72" t="str">
        <f t="shared" ref="T15:T77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7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7" t="str">
        <f t="shared" ref="W15:W77" si="20">IF(AA15&lt;23,"Y","N")</f>
        <v>N</v>
      </c>
      <c r="X15" s="103">
        <f t="shared" ref="X15:X77" si="21">VALUE(LEFT(A15,3))-VALUE(LEFT(A14,3))</f>
        <v>1</v>
      </c>
      <c r="Y15" s="100">
        <f t="shared" ref="Y15:Y77" si="22">RIGHT(D15,LEN(D15)-4)/10000</f>
        <v>6.59E-2</v>
      </c>
      <c r="Z15" s="100">
        <f t="shared" ref="Z15:Z77" si="23">RIGHT(H15,LEN(H15)-4)/10000</f>
        <v>23.336400000000001</v>
      </c>
      <c r="AA15" s="100">
        <f t="shared" ref="AA15:AA77" si="24">ABS(Z15-Y15)</f>
        <v>23.270500000000002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7" si="25">IF(LEN(A15)=6,"0"&amp;A15,A15)</f>
        <v>0103-11</v>
      </c>
      <c r="AE15" s="78" t="str">
        <f t="shared" ref="AE15:AE77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" s="78" t="str">
        <f t="shared" ref="AF15:AF77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AG15" s="1" t="str">
        <f t="shared" ref="AG15:AG77" si="28">IF(VALUE(LEFT(A15,3))&lt;300,"EC","NWGL")</f>
        <v>EC</v>
      </c>
    </row>
    <row r="16" spans="1:91" s="1" customFormat="1" x14ac:dyDescent="0.25">
      <c r="A16" s="50" t="s">
        <v>448</v>
      </c>
      <c r="B16" s="7">
        <v>4013</v>
      </c>
      <c r="C16" s="27" t="s">
        <v>59</v>
      </c>
      <c r="D16" s="27" t="s">
        <v>449</v>
      </c>
      <c r="E16" s="17">
        <v>42562.190601851849</v>
      </c>
      <c r="F16" s="17">
        <v>42562.191724537035</v>
      </c>
      <c r="G16" s="7">
        <v>1</v>
      </c>
      <c r="H16" s="17" t="s">
        <v>450</v>
      </c>
      <c r="I16" s="17">
        <v>42562.221909722219</v>
      </c>
      <c r="J16" s="7">
        <v>0</v>
      </c>
      <c r="K16" s="27" t="str">
        <f t="shared" si="15"/>
        <v>4013/4014</v>
      </c>
      <c r="L16" s="27" t="str">
        <f>VLOOKUP(A16,'Trips&amp;Operators'!$C$1:$E$10000,3,FALSE)</f>
        <v>ACKERMAN</v>
      </c>
      <c r="M16" s="6">
        <f t="shared" si="16"/>
        <v>3.0185185183654539E-2</v>
      </c>
      <c r="N16" s="7">
        <f t="shared" si="2"/>
        <v>43.466666664462537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03:34:28-0600',mode:absolute,to:'2016-07-11 06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23.2729</v>
      </c>
      <c r="Z16" s="100">
        <f t="shared" si="23"/>
        <v>8.6999999999999994E-3</v>
      </c>
      <c r="AA16" s="100">
        <f t="shared" si="24"/>
        <v>23.264199999999999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0104-11</v>
      </c>
      <c r="AE16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6" s="78" t="str">
        <f t="shared" si="27"/>
        <v>"C:\Program Files (x86)\AstroGrep\AstroGrep.exe" /spath="C:\Users\stu\Documents\Analysis\2016-02-23 RTDC Observations" /stypes="*4013*20160711*"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50" t="s">
        <v>396</v>
      </c>
      <c r="B17" s="7">
        <v>4025</v>
      </c>
      <c r="C17" s="27" t="s">
        <v>59</v>
      </c>
      <c r="D17" s="27" t="s">
        <v>451</v>
      </c>
      <c r="E17" s="17">
        <v>42562.168842592589</v>
      </c>
      <c r="F17" s="17">
        <v>42562.169722222221</v>
      </c>
      <c r="G17" s="7">
        <v>1</v>
      </c>
      <c r="H17" s="17" t="s">
        <v>306</v>
      </c>
      <c r="I17" s="17">
        <v>42562.20171296296</v>
      </c>
      <c r="J17" s="7">
        <v>1</v>
      </c>
      <c r="K17" s="27" t="str">
        <f t="shared" si="15"/>
        <v>4025/4026</v>
      </c>
      <c r="L17" s="27" t="str">
        <f>VLOOKUP(A17,'Trips&amp;Operators'!$C$1:$E$10000,3,FALSE)</f>
        <v>BRANNON</v>
      </c>
      <c r="M17" s="6">
        <f t="shared" si="16"/>
        <v>3.199074073927477E-2</v>
      </c>
      <c r="N17" s="7">
        <f t="shared" si="2"/>
        <v>46.066666664555669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7.6300000000000007E-2</v>
      </c>
      <c r="Z17" s="100">
        <f t="shared" si="23"/>
        <v>23.3293</v>
      </c>
      <c r="AA17" s="100">
        <f t="shared" si="24"/>
        <v>23.253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0105-11</v>
      </c>
      <c r="AE17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7" s="78" t="str">
        <f t="shared" si="27"/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50" t="s">
        <v>452</v>
      </c>
      <c r="B18" s="7">
        <v>4028</v>
      </c>
      <c r="C18" s="27" t="s">
        <v>59</v>
      </c>
      <c r="D18" s="27" t="s">
        <v>453</v>
      </c>
      <c r="E18" s="17">
        <v>42562.212071759262</v>
      </c>
      <c r="F18" s="17">
        <v>42562.213125000002</v>
      </c>
      <c r="G18" s="7">
        <v>1</v>
      </c>
      <c r="H18" s="17" t="s">
        <v>454</v>
      </c>
      <c r="I18" s="17">
        <v>42562.241678240738</v>
      </c>
      <c r="J18" s="7">
        <v>0</v>
      </c>
      <c r="K18" s="27" t="str">
        <f t="shared" si="15"/>
        <v>4027/4028</v>
      </c>
      <c r="L18" s="27" t="str">
        <f>VLOOKUP(A18,'Trips&amp;Operators'!$C$1:$E$10000,3,FALSE)</f>
        <v>BRANNON</v>
      </c>
      <c r="M18" s="6">
        <f t="shared" si="16"/>
        <v>2.8553240736073349E-2</v>
      </c>
      <c r="N18" s="7">
        <f t="shared" si="2"/>
        <v>41.116666659945622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04:05:23-0600',mode:absolute,to:'2016-07-11 06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23.264800000000001</v>
      </c>
      <c r="Z18" s="100">
        <f t="shared" si="23"/>
        <v>2.4199999999999999E-2</v>
      </c>
      <c r="AA18" s="100">
        <f t="shared" si="24"/>
        <v>23.240600000000001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0106-11</v>
      </c>
      <c r="AE18" s="78" t="str">
        <f t="shared" si="26"/>
        <v>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 &amp; 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</v>
      </c>
      <c r="AF18" s="78" t="str">
        <f t="shared" si="27"/>
        <v>"C:\Program Files (x86)\AstroGrep\AstroGrep.exe" /spath="C:\Users\stu\Documents\Analysis\2016-02-23 RTDC Observations" /stypes="*4028*20160711*"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50" t="s">
        <v>455</v>
      </c>
      <c r="B19" s="7">
        <v>4020</v>
      </c>
      <c r="C19" s="27" t="s">
        <v>59</v>
      </c>
      <c r="D19" s="27" t="s">
        <v>66</v>
      </c>
      <c r="E19" s="17">
        <v>42562.178148148145</v>
      </c>
      <c r="F19" s="17">
        <v>42562.179178240738</v>
      </c>
      <c r="G19" s="7">
        <v>1</v>
      </c>
      <c r="H19" s="17" t="s">
        <v>361</v>
      </c>
      <c r="I19" s="17">
        <v>42562.212627314817</v>
      </c>
      <c r="J19" s="7">
        <v>0</v>
      </c>
      <c r="K19" s="27" t="str">
        <f t="shared" si="15"/>
        <v>4019/4020</v>
      </c>
      <c r="L19" s="27" t="str">
        <f>VLOOKUP(A19,'Trips&amp;Operators'!$C$1:$E$10000,3,FALSE)</f>
        <v>SPECTOR</v>
      </c>
      <c r="M19" s="6">
        <f t="shared" si="16"/>
        <v>3.3449074078816921E-2</v>
      </c>
      <c r="N19" s="7">
        <f t="shared" si="2"/>
        <v>48.166666673496366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03:16:32-0600',mode:absolute,to:'2016-07-11 06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4.5999999999999999E-2</v>
      </c>
      <c r="Z19" s="100">
        <f t="shared" si="23"/>
        <v>23.332699999999999</v>
      </c>
      <c r="AA19" s="100">
        <f t="shared" si="24"/>
        <v>23.2867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0107-11</v>
      </c>
      <c r="AE19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9" s="78" t="str">
        <f t="shared" si="27"/>
        <v>"C:\Program Files (x86)\AstroGrep\AstroGrep.exe" /spath="C:\Users\stu\Documents\Analysis\2016-02-23 RTDC Observations" /stypes="*4020*20160711*"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50" t="s">
        <v>456</v>
      </c>
      <c r="B20" s="7">
        <v>4019</v>
      </c>
      <c r="C20" s="27" t="s">
        <v>59</v>
      </c>
      <c r="D20" s="27" t="s">
        <v>336</v>
      </c>
      <c r="E20" s="17">
        <v>42562.218148148146</v>
      </c>
      <c r="F20" s="17">
        <v>42562.219155092593</v>
      </c>
      <c r="G20" s="7">
        <v>1</v>
      </c>
      <c r="H20" s="17" t="s">
        <v>352</v>
      </c>
      <c r="I20" s="17">
        <v>42562.254305555558</v>
      </c>
      <c r="J20" s="7">
        <v>0</v>
      </c>
      <c r="K20" s="27" t="str">
        <f t="shared" si="15"/>
        <v>4019/4020</v>
      </c>
      <c r="L20" s="27" t="str">
        <f>VLOOKUP(A20,'Trips&amp;Operators'!$C$1:$E$10000,3,FALSE)</f>
        <v>SPECTOR</v>
      </c>
      <c r="M20" s="6">
        <f t="shared" si="16"/>
        <v>3.5150462965248153E-2</v>
      </c>
      <c r="N20" s="7">
        <f t="shared" si="2"/>
        <v>50.61666666995734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04:14:08-0600',mode:absolute,to:'2016-07-11 07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23.3002</v>
      </c>
      <c r="Z20" s="100">
        <f t="shared" si="23"/>
        <v>1.34E-2</v>
      </c>
      <c r="AA20" s="100">
        <f t="shared" si="24"/>
        <v>23.286799999999999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0108-11</v>
      </c>
      <c r="AE20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20" s="78" t="str">
        <f t="shared" si="27"/>
        <v>"C:\Program Files (x86)\AstroGrep\AstroGrep.exe" /spath="C:\Users\stu\Documents\Analysis\2016-02-23 RTDC Observations" /stypes="*4019*20160711*"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50" t="s">
        <v>398</v>
      </c>
      <c r="B21" s="7">
        <v>4018</v>
      </c>
      <c r="C21" s="27" t="s">
        <v>59</v>
      </c>
      <c r="D21" s="27" t="s">
        <v>305</v>
      </c>
      <c r="E21" s="17">
        <v>42562.187928240739</v>
      </c>
      <c r="F21" s="17">
        <v>42562.188900462963</v>
      </c>
      <c r="G21" s="7">
        <v>1</v>
      </c>
      <c r="H21" s="17" t="s">
        <v>316</v>
      </c>
      <c r="I21" s="17">
        <v>42562.222337962965</v>
      </c>
      <c r="J21" s="7">
        <v>1</v>
      </c>
      <c r="K21" s="27" t="str">
        <f t="shared" si="15"/>
        <v>4017/4018</v>
      </c>
      <c r="L21" s="27" t="str">
        <f>VLOOKUP(A21,'Trips&amp;Operators'!$C$1:$E$10000,3,FALSE)</f>
        <v>YORK</v>
      </c>
      <c r="M21" s="6">
        <f t="shared" si="16"/>
        <v>3.3437500002037268E-2</v>
      </c>
      <c r="N21" s="7">
        <f t="shared" si="2"/>
        <v>48.150000002933666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7" t="str">
        <f t="shared" si="20"/>
        <v>N</v>
      </c>
      <c r="X21" s="103">
        <f t="shared" si="21"/>
        <v>1</v>
      </c>
      <c r="Y21" s="100">
        <f t="shared" si="22"/>
        <v>4.6899999999999997E-2</v>
      </c>
      <c r="Z21" s="100">
        <f t="shared" si="23"/>
        <v>23.329499999999999</v>
      </c>
      <c r="AA21" s="100">
        <f t="shared" si="24"/>
        <v>23.282599999999999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0109-11</v>
      </c>
      <c r="AE21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21" s="78" t="str">
        <f t="shared" si="27"/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457</v>
      </c>
      <c r="B22" s="7">
        <v>4017</v>
      </c>
      <c r="C22" s="27" t="s">
        <v>59</v>
      </c>
      <c r="D22" s="27" t="s">
        <v>458</v>
      </c>
      <c r="E22" s="17">
        <v>42562.223321759258</v>
      </c>
      <c r="F22" s="17">
        <v>42562.224432870367</v>
      </c>
      <c r="G22" s="7">
        <v>1</v>
      </c>
      <c r="H22" s="17" t="s">
        <v>82</v>
      </c>
      <c r="I22" s="17">
        <v>42562.263229166667</v>
      </c>
      <c r="J22" s="7">
        <v>0</v>
      </c>
      <c r="K22" s="27" t="str">
        <f t="shared" si="15"/>
        <v>4017/4018</v>
      </c>
      <c r="L22" s="27" t="str">
        <f>VLOOKUP(A22,'Trips&amp;Operators'!$C$1:$E$10000,3,FALSE)</f>
        <v>YORK</v>
      </c>
      <c r="M22" s="6">
        <f t="shared" si="16"/>
        <v>3.8796296299551614E-2</v>
      </c>
      <c r="N22" s="7">
        <f t="shared" si="2"/>
        <v>55.866666671354324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04:21:35-0600',mode:absolute,to:'2016-07-11 07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23.2988</v>
      </c>
      <c r="Z22" s="100">
        <f t="shared" si="23"/>
        <v>1.5800000000000002E-2</v>
      </c>
      <c r="AA22" s="100">
        <f t="shared" si="24"/>
        <v>23.283000000000001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0110-11</v>
      </c>
      <c r="AE22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22" s="78" t="str">
        <f t="shared" si="27"/>
        <v>"C:\Program Files (x86)\AstroGrep\AstroGrep.exe" /spath="C:\Users\stu\Documents\Analysis\2016-02-23 RTDC Observations" /stypes="*4017*20160711*"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50" t="s">
        <v>397</v>
      </c>
      <c r="B23" s="7">
        <v>4016</v>
      </c>
      <c r="C23" s="27" t="s">
        <v>59</v>
      </c>
      <c r="D23" s="27" t="s">
        <v>459</v>
      </c>
      <c r="E23" s="17">
        <v>42562.212500000001</v>
      </c>
      <c r="F23" s="17">
        <v>42562.213287037041</v>
      </c>
      <c r="G23" s="7">
        <v>1</v>
      </c>
      <c r="H23" s="17" t="s">
        <v>312</v>
      </c>
      <c r="I23" s="17">
        <v>42562.236875000002</v>
      </c>
      <c r="J23" s="7">
        <v>2</v>
      </c>
      <c r="K23" s="27" t="str">
        <f t="shared" si="15"/>
        <v>4015/4016</v>
      </c>
      <c r="L23" s="27" t="str">
        <f>VLOOKUP(A23,'Trips&amp;Operators'!$C$1:$E$10000,3,FALSE)</f>
        <v>STARKS</v>
      </c>
      <c r="M23" s="6">
        <f t="shared" si="16"/>
        <v>2.3587962961755693E-2</v>
      </c>
      <c r="N23" s="7"/>
      <c r="O23" s="7"/>
      <c r="P23" s="7">
        <f>24*60*SUM($M23:$M24)</f>
        <v>36.383333330741152</v>
      </c>
      <c r="Q23" s="28"/>
      <c r="R23" s="28" t="s">
        <v>673</v>
      </c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3" s="77" t="str">
        <f t="shared" si="20"/>
        <v>Y</v>
      </c>
      <c r="X23" s="103">
        <f t="shared" si="21"/>
        <v>1</v>
      </c>
      <c r="Y23" s="100">
        <f t="shared" si="22"/>
        <v>1.9111</v>
      </c>
      <c r="Z23" s="100">
        <f t="shared" si="23"/>
        <v>23.331700000000001</v>
      </c>
      <c r="AA23" s="100">
        <f t="shared" si="24"/>
        <v>21.4206</v>
      </c>
      <c r="AB23" s="97">
        <f>VLOOKUP(A23,Enforcements!$C$7:$J$23,8,0)</f>
        <v>27333</v>
      </c>
      <c r="AC23" s="93" t="str">
        <f>VLOOKUP(A23,Enforcements!$C$7:$E$23,3,0)</f>
        <v>PERMANENT SPEED RESTRICTION</v>
      </c>
      <c r="AD23" s="94" t="str">
        <f t="shared" si="25"/>
        <v>0111-11</v>
      </c>
      <c r="AE23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3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50" t="s">
        <v>397</v>
      </c>
      <c r="B24" s="7">
        <v>4016</v>
      </c>
      <c r="C24" s="27" t="s">
        <v>59</v>
      </c>
      <c r="D24" s="27" t="s">
        <v>460</v>
      </c>
      <c r="E24" s="17">
        <v>42562.205972222226</v>
      </c>
      <c r="F24" s="17">
        <v>42562.207812499997</v>
      </c>
      <c r="G24" s="7">
        <v>2</v>
      </c>
      <c r="H24" s="17" t="s">
        <v>461</v>
      </c>
      <c r="I24" s="17">
        <v>42562.209490740737</v>
      </c>
      <c r="J24" s="7">
        <v>0</v>
      </c>
      <c r="K24" s="27" t="str">
        <f t="shared" si="15"/>
        <v>4015/4016</v>
      </c>
      <c r="L24" s="27" t="str">
        <f>VLOOKUP(A24,'Trips&amp;Operators'!$C$1:$E$10000,3,FALSE)</f>
        <v>STARKS</v>
      </c>
      <c r="M24" s="6">
        <f t="shared" si="16"/>
        <v>1.6782407401478849E-3</v>
      </c>
      <c r="N24" s="7"/>
      <c r="O24" s="7"/>
      <c r="P24" s="7"/>
      <c r="Q24" s="28"/>
      <c r="R24" s="28"/>
      <c r="S24" s="46"/>
      <c r="T24" s="72" t="str">
        <f t="shared" si="18"/>
        <v>NorthBound</v>
      </c>
      <c r="U24" s="108">
        <f>COUNTIFS(Variables!$M$2:$M$19,IF(T24="NorthBound","&gt;=","&lt;=")&amp;Y24,Variables!$M$2:$M$19,IF(T24="NorthBound","&lt;=","&gt;=")&amp;Z24)</f>
        <v>0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03:56:36-0600',mode:absolute,to:'2016-07-11 06:01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4" s="77" t="str">
        <f t="shared" si="20"/>
        <v>Y</v>
      </c>
      <c r="X24" s="103">
        <f t="shared" si="21"/>
        <v>0</v>
      </c>
      <c r="Y24" s="100">
        <f t="shared" si="22"/>
        <v>7.6499999999999999E-2</v>
      </c>
      <c r="Z24" s="100">
        <f t="shared" si="23"/>
        <v>0.13730000000000001</v>
      </c>
      <c r="AA24" s="100">
        <f t="shared" si="24"/>
        <v>6.0800000000000007E-2</v>
      </c>
      <c r="AB24" s="97">
        <f>VLOOKUP(A24,Enforcements!$C$7:$J$23,8,0)</f>
        <v>27333</v>
      </c>
      <c r="AC24" s="93" t="str">
        <f>VLOOKUP(A24,Enforcements!$C$7:$E$23,3,0)</f>
        <v>PERMANENT SPEED RESTRICTION</v>
      </c>
      <c r="AD24" s="94" t="str">
        <f t="shared" si="25"/>
        <v>0111-11</v>
      </c>
      <c r="AE24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4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50" t="s">
        <v>399</v>
      </c>
      <c r="B25" s="7">
        <v>4015</v>
      </c>
      <c r="C25" s="27" t="s">
        <v>59</v>
      </c>
      <c r="D25" s="27" t="s">
        <v>221</v>
      </c>
      <c r="E25" s="17">
        <v>42562.245081018518</v>
      </c>
      <c r="F25" s="17">
        <v>42562.246493055558</v>
      </c>
      <c r="G25" s="7">
        <v>2</v>
      </c>
      <c r="H25" s="17" t="s">
        <v>130</v>
      </c>
      <c r="I25" s="17">
        <v>42562.273888888885</v>
      </c>
      <c r="J25" s="7">
        <v>1</v>
      </c>
      <c r="K25" s="27" t="str">
        <f t="shared" si="15"/>
        <v>4015/4016</v>
      </c>
      <c r="L25" s="27" t="str">
        <f>VLOOKUP(A25,'Trips&amp;Operators'!$C$1:$E$10000,3,FALSE)</f>
        <v>STARKS</v>
      </c>
      <c r="M25" s="6">
        <f t="shared" si="16"/>
        <v>2.7395833327318542E-2</v>
      </c>
      <c r="N25" s="7">
        <f t="shared" si="2"/>
        <v>39.4499999913387</v>
      </c>
      <c r="O25" s="7"/>
      <c r="P25" s="7"/>
      <c r="Q25" s="28"/>
      <c r="R25" s="28"/>
      <c r="S25" s="46">
        <f t="shared" si="17"/>
        <v>1</v>
      </c>
      <c r="T25" s="72" t="str">
        <f t="shared" si="18"/>
        <v>Southbound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23.299600000000002</v>
      </c>
      <c r="Z25" s="100">
        <f t="shared" si="23"/>
        <v>1.5599999999999999E-2</v>
      </c>
      <c r="AA25" s="100">
        <f t="shared" si="24"/>
        <v>23.284000000000002</v>
      </c>
      <c r="AB25" s="97">
        <f>VLOOKUP(A25,Enforcements!$C$7:$J$23,8,0)</f>
        <v>191108</v>
      </c>
      <c r="AC25" s="93" t="str">
        <f>VLOOKUP(A25,Enforcements!$C$7:$E$23,3,0)</f>
        <v>PERMANENT SPEED RESTRICTION</v>
      </c>
      <c r="AD25" s="94" t="str">
        <f t="shared" si="25"/>
        <v>0112-11</v>
      </c>
      <c r="AE25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25" s="78" t="str">
        <f t="shared" si="27"/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50" t="s">
        <v>462</v>
      </c>
      <c r="B26" s="7">
        <v>4009</v>
      </c>
      <c r="C26" s="27" t="s">
        <v>59</v>
      </c>
      <c r="D26" s="27" t="s">
        <v>338</v>
      </c>
      <c r="E26" s="17">
        <v>42562.216087962966</v>
      </c>
      <c r="F26" s="17">
        <v>42562.216874999998</v>
      </c>
      <c r="G26" s="7">
        <v>1</v>
      </c>
      <c r="H26" s="17" t="s">
        <v>463</v>
      </c>
      <c r="I26" s="17">
        <v>42562.243472222224</v>
      </c>
      <c r="J26" s="7">
        <v>0</v>
      </c>
      <c r="K26" s="27" t="str">
        <f t="shared" si="15"/>
        <v>4009/4010</v>
      </c>
      <c r="L26" s="27" t="str">
        <f>VLOOKUP(A26,'Trips&amp;Operators'!$C$1:$E$10000,3,FALSE)</f>
        <v>DAVIS</v>
      </c>
      <c r="M26" s="6">
        <f t="shared" si="16"/>
        <v>2.6597222225973383E-2</v>
      </c>
      <c r="N26" s="7">
        <f t="shared" si="2"/>
        <v>38.300000005401671</v>
      </c>
      <c r="O26" s="7"/>
      <c r="P26" s="7"/>
      <c r="Q26" s="28"/>
      <c r="R26" s="28"/>
      <c r="S26" s="46">
        <f t="shared" si="17"/>
        <v>1</v>
      </c>
      <c r="T26" s="72" t="str">
        <f t="shared" si="18"/>
        <v>NorthBound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04:11:10-0600',mode:absolute,to:'2016-07-11 06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4.4600000000000001E-2</v>
      </c>
      <c r="Z26" s="100">
        <f t="shared" si="23"/>
        <v>23.330100000000002</v>
      </c>
      <c r="AA26" s="100">
        <f t="shared" si="24"/>
        <v>23.285500000000003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0113-11</v>
      </c>
      <c r="AE26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26" s="78" t="str">
        <f t="shared" si="27"/>
        <v>"C:\Program Files (x86)\AstroGrep\AstroGrep.exe" /spath="C:\Users\stu\Documents\Analysis\2016-02-23 RTDC Observations" /stypes="*4009*20160711*"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50" t="s">
        <v>464</v>
      </c>
      <c r="B27" s="7">
        <v>4010</v>
      </c>
      <c r="C27" s="27" t="s">
        <v>59</v>
      </c>
      <c r="D27" s="27" t="s">
        <v>354</v>
      </c>
      <c r="E27" s="17">
        <v>42562.251921296294</v>
      </c>
      <c r="F27" s="17">
        <v>42562.252974537034</v>
      </c>
      <c r="G27" s="7">
        <v>1</v>
      </c>
      <c r="H27" s="17" t="s">
        <v>310</v>
      </c>
      <c r="I27" s="17">
        <v>42562.283125000002</v>
      </c>
      <c r="J27" s="7">
        <v>0</v>
      </c>
      <c r="K27" s="27" t="str">
        <f t="shared" si="15"/>
        <v>4009/4010</v>
      </c>
      <c r="L27" s="27" t="str">
        <f>VLOOKUP(A27,'Trips&amp;Operators'!$C$1:$E$10000,3,FALSE)</f>
        <v>DAVIS</v>
      </c>
      <c r="M27" s="6">
        <f t="shared" si="16"/>
        <v>3.0150462967867497E-2</v>
      </c>
      <c r="N27" s="7">
        <f t="shared" si="2"/>
        <v>43.416666673729196</v>
      </c>
      <c r="O27" s="7"/>
      <c r="P27" s="7"/>
      <c r="Q27" s="28"/>
      <c r="R27" s="28"/>
      <c r="S27" s="46">
        <f t="shared" si="17"/>
        <v>1</v>
      </c>
      <c r="T27" s="72" t="str">
        <f t="shared" si="18"/>
        <v>Southbound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05:02:46-0600',mode:absolute,to:'2016-07-11 07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23.298999999999999</v>
      </c>
      <c r="Z27" s="100">
        <f t="shared" si="23"/>
        <v>1.4999999999999999E-2</v>
      </c>
      <c r="AA27" s="100">
        <f t="shared" si="24"/>
        <v>23.283999999999999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0114-11</v>
      </c>
      <c r="AE27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27" s="78" t="str">
        <f t="shared" si="27"/>
        <v>"C:\Program Files (x86)\AstroGrep\AstroGrep.exe" /spath="C:\Users\stu\Documents\Analysis\2016-02-23 RTDC Observations" /stypes="*4010*20160711*"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50" t="s">
        <v>465</v>
      </c>
      <c r="B28" s="7">
        <v>4031</v>
      </c>
      <c r="C28" s="27" t="s">
        <v>59</v>
      </c>
      <c r="D28" s="27" t="s">
        <v>466</v>
      </c>
      <c r="E28" s="17">
        <v>42562.226620370369</v>
      </c>
      <c r="F28" s="17">
        <v>42562.227812500001</v>
      </c>
      <c r="G28" s="7">
        <v>1</v>
      </c>
      <c r="H28" s="17" t="s">
        <v>151</v>
      </c>
      <c r="I28" s="17">
        <v>42562.254328703704</v>
      </c>
      <c r="J28" s="7">
        <v>0</v>
      </c>
      <c r="K28" s="27" t="str">
        <f t="shared" si="15"/>
        <v>4031/4032</v>
      </c>
      <c r="L28" s="27" t="str">
        <f>VLOOKUP(A28,'Trips&amp;Operators'!$C$1:$E$10000,3,FALSE)</f>
        <v>MALAVE</v>
      </c>
      <c r="M28" s="6">
        <f t="shared" si="16"/>
        <v>2.6516203703067731E-2</v>
      </c>
      <c r="N28" s="7">
        <f t="shared" si="2"/>
        <v>38.183333332417533</v>
      </c>
      <c r="O28" s="7"/>
      <c r="P28" s="7"/>
      <c r="Q28" s="28"/>
      <c r="R28" s="28"/>
      <c r="S28" s="46">
        <f t="shared" si="17"/>
        <v>1</v>
      </c>
      <c r="T28" s="72" t="str">
        <f t="shared" si="18"/>
        <v>NorthBound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04:26:20-0600',mode:absolute,to:'2016-07-11 07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7.2300000000000003E-2</v>
      </c>
      <c r="Z28" s="100">
        <f t="shared" si="23"/>
        <v>23.330200000000001</v>
      </c>
      <c r="AA28" s="100">
        <f t="shared" si="24"/>
        <v>23.257900000000003</v>
      </c>
      <c r="AB28" s="97" t="e">
        <f>VLOOKUP(A28,Enforcements!$C$7:$J$23,8,0)</f>
        <v>#N/A</v>
      </c>
      <c r="AC28" s="93" t="e">
        <f>VLOOKUP(A28,Enforcements!$C$7:$E$23,3,0)</f>
        <v>#N/A</v>
      </c>
      <c r="AD28" s="94" t="str">
        <f t="shared" si="25"/>
        <v>0115-11</v>
      </c>
      <c r="AE28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28" s="78" t="str">
        <f t="shared" si="27"/>
        <v>"C:\Program Files (x86)\AstroGrep\AstroGrep.exe" /spath="C:\Users\stu\Documents\Analysis\2016-02-23 RTDC Observations" /stypes="*4031*20160711*"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50" t="s">
        <v>467</v>
      </c>
      <c r="B29" s="7">
        <v>4032</v>
      </c>
      <c r="C29" s="27" t="s">
        <v>59</v>
      </c>
      <c r="D29" s="27" t="s">
        <v>320</v>
      </c>
      <c r="E29" s="17">
        <v>42562.264456018522</v>
      </c>
      <c r="F29" s="17">
        <v>42562.265381944446</v>
      </c>
      <c r="G29" s="7">
        <v>1</v>
      </c>
      <c r="H29" s="17" t="s">
        <v>468</v>
      </c>
      <c r="I29" s="17">
        <v>42562.294317129628</v>
      </c>
      <c r="J29" s="7">
        <v>0</v>
      </c>
      <c r="K29" s="27" t="str">
        <f t="shared" si="15"/>
        <v>4031/4032</v>
      </c>
      <c r="L29" s="27" t="str">
        <f>VLOOKUP(A29,'Trips&amp;Operators'!$C$1:$E$10000,3,FALSE)</f>
        <v>MALAVE</v>
      </c>
      <c r="M29" s="6">
        <f t="shared" si="16"/>
        <v>2.8935185182490386E-2</v>
      </c>
      <c r="N29" s="7">
        <f t="shared" si="2"/>
        <v>41.666666662786156</v>
      </c>
      <c r="O29" s="7"/>
      <c r="P29" s="7"/>
      <c r="Q29" s="28"/>
      <c r="R29" s="28"/>
      <c r="S29" s="46">
        <f t="shared" si="17"/>
        <v>1</v>
      </c>
      <c r="T29" s="72" t="str">
        <f t="shared" si="18"/>
        <v>Southbound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05:20:49-0600',mode:absolute,to:'2016-07-11 08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23.297599999999999</v>
      </c>
      <c r="Z29" s="100">
        <f t="shared" si="23"/>
        <v>1.7000000000000001E-2</v>
      </c>
      <c r="AA29" s="100">
        <f t="shared" si="24"/>
        <v>23.2806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0116-11</v>
      </c>
      <c r="AE29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29" s="78" t="str">
        <f t="shared" si="27"/>
        <v>"C:\Program Files (x86)\AstroGrep\AstroGrep.exe" /spath="C:\Users\stu\Documents\Analysis\2016-02-23 RTDC Observations" /stypes="*4032*20160711*"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50" t="s">
        <v>469</v>
      </c>
      <c r="B30" s="7">
        <v>4014</v>
      </c>
      <c r="C30" s="27" t="s">
        <v>59</v>
      </c>
      <c r="D30" s="27" t="s">
        <v>470</v>
      </c>
      <c r="E30" s="17">
        <v>42562.232488425929</v>
      </c>
      <c r="F30" s="17">
        <v>42562.233622685184</v>
      </c>
      <c r="G30" s="7">
        <v>1</v>
      </c>
      <c r="H30" s="17" t="s">
        <v>342</v>
      </c>
      <c r="I30" s="17">
        <v>42562.265196759261</v>
      </c>
      <c r="J30" s="7">
        <v>0</v>
      </c>
      <c r="K30" s="27" t="str">
        <f t="shared" si="15"/>
        <v>4013/4014</v>
      </c>
      <c r="L30" s="27" t="str">
        <f>VLOOKUP(A30,'Trips&amp;Operators'!$C$1:$E$10000,3,FALSE)</f>
        <v>ACKERMAN</v>
      </c>
      <c r="M30" s="6">
        <f t="shared" si="16"/>
        <v>3.1574074077070691E-2</v>
      </c>
      <c r="N30" s="7">
        <f t="shared" si="2"/>
        <v>45.466666670981795</v>
      </c>
      <c r="O30" s="7"/>
      <c r="P30" s="7"/>
      <c r="Q30" s="28"/>
      <c r="R30" s="28"/>
      <c r="S30" s="46">
        <f t="shared" si="17"/>
        <v>1</v>
      </c>
      <c r="T30" s="72" t="str">
        <f t="shared" si="18"/>
        <v>NorthBound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04:34:47-0600',mode:absolute,to:'2016-07-11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3.85E-2</v>
      </c>
      <c r="Z30" s="100">
        <f t="shared" si="23"/>
        <v>23.328199999999999</v>
      </c>
      <c r="AA30" s="100">
        <f t="shared" si="24"/>
        <v>23.2897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0117-11</v>
      </c>
      <c r="AE30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30" s="78" t="str">
        <f t="shared" si="27"/>
        <v>"C:\Program Files (x86)\AstroGrep\AstroGrep.exe" /spath="C:\Users\stu\Documents\Analysis\2016-02-23 RTDC Observations" /stypes="*4014*20160711*"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50" t="s">
        <v>400</v>
      </c>
      <c r="B31" s="7">
        <v>4013</v>
      </c>
      <c r="C31" s="27" t="s">
        <v>59</v>
      </c>
      <c r="D31" s="27" t="s">
        <v>322</v>
      </c>
      <c r="E31" s="17">
        <v>42562.273865740739</v>
      </c>
      <c r="F31" s="17">
        <v>42562.274675925924</v>
      </c>
      <c r="G31" s="7">
        <v>1</v>
      </c>
      <c r="H31" s="17" t="s">
        <v>471</v>
      </c>
      <c r="I31" s="17">
        <v>42562.304456018515</v>
      </c>
      <c r="J31" s="7">
        <v>1</v>
      </c>
      <c r="K31" s="27" t="str">
        <f t="shared" si="15"/>
        <v>4013/4014</v>
      </c>
      <c r="L31" s="27" t="str">
        <f>VLOOKUP(A31,'Trips&amp;Operators'!$C$1:$E$10000,3,FALSE)</f>
        <v>ACKERMAN</v>
      </c>
      <c r="M31" s="6">
        <f t="shared" si="16"/>
        <v>2.9780092590954155E-2</v>
      </c>
      <c r="N31" s="7">
        <f t="shared" si="2"/>
        <v>42.883333330973983</v>
      </c>
      <c r="O31" s="7"/>
      <c r="P31" s="7"/>
      <c r="Q31" s="28"/>
      <c r="R31" s="28"/>
      <c r="S31" s="46">
        <f t="shared" si="17"/>
        <v>1</v>
      </c>
      <c r="T31" s="72" t="str">
        <f t="shared" si="18"/>
        <v>Southbound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23.2986</v>
      </c>
      <c r="Z31" s="100">
        <f t="shared" si="23"/>
        <v>1.21E-2</v>
      </c>
      <c r="AA31" s="100">
        <f t="shared" si="24"/>
        <v>23.2865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0118-11</v>
      </c>
      <c r="AE31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31" s="78" t="str">
        <f t="shared" si="27"/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50" t="s">
        <v>472</v>
      </c>
      <c r="B32" s="7">
        <v>4025</v>
      </c>
      <c r="C32" s="27" t="s">
        <v>59</v>
      </c>
      <c r="D32" s="27" t="s">
        <v>473</v>
      </c>
      <c r="E32" s="17">
        <v>42562.248171296298</v>
      </c>
      <c r="F32" s="17">
        <v>42562.248854166668</v>
      </c>
      <c r="G32" s="7">
        <v>0</v>
      </c>
      <c r="H32" s="17" t="s">
        <v>151</v>
      </c>
      <c r="I32" s="17">
        <v>42562.274872685186</v>
      </c>
      <c r="J32" s="7">
        <v>0</v>
      </c>
      <c r="K32" s="27" t="str">
        <f t="shared" si="15"/>
        <v>4025/4026</v>
      </c>
      <c r="L32" s="27" t="str">
        <f>VLOOKUP(A32,'Trips&amp;Operators'!$C$1:$E$10000,3,FALSE)</f>
        <v>BRANNON</v>
      </c>
      <c r="M32" s="6">
        <f t="shared" si="16"/>
        <v>2.6018518517958E-2</v>
      </c>
      <c r="N32" s="7">
        <f t="shared" si="2"/>
        <v>37.46666666585952</v>
      </c>
      <c r="O32" s="7"/>
      <c r="P32" s="7"/>
      <c r="Q32" s="28"/>
      <c r="R32" s="28"/>
      <c r="S32" s="46">
        <f t="shared" si="17"/>
        <v>1</v>
      </c>
      <c r="T32" s="72" t="str">
        <f t="shared" si="18"/>
        <v>NorthBound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04:57:22-0600',mode:absolute,to:'2016-07-11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7.5200000000000003E-2</v>
      </c>
      <c r="Z32" s="100">
        <f t="shared" si="23"/>
        <v>23.330200000000001</v>
      </c>
      <c r="AA32" s="100">
        <f t="shared" si="24"/>
        <v>23.255000000000003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0119-11</v>
      </c>
      <c r="AE32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32" s="78" t="str">
        <f t="shared" si="27"/>
        <v>"C:\Program Files (x86)\AstroGrep\AstroGrep.exe" /spath="C:\Users\stu\Documents\Analysis\2016-02-23 RTDC Observations" /stypes="*4025*20160711*"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50" t="s">
        <v>401</v>
      </c>
      <c r="B33" s="7">
        <v>4026</v>
      </c>
      <c r="C33" s="27" t="s">
        <v>59</v>
      </c>
      <c r="D33" s="27" t="s">
        <v>474</v>
      </c>
      <c r="E33" s="17">
        <v>42562.279305555552</v>
      </c>
      <c r="F33" s="17">
        <v>42562.280763888892</v>
      </c>
      <c r="G33" s="7">
        <v>2</v>
      </c>
      <c r="H33" s="17" t="s">
        <v>111</v>
      </c>
      <c r="I33" s="17">
        <v>42562.313923611109</v>
      </c>
      <c r="J33" s="7">
        <v>1</v>
      </c>
      <c r="K33" s="27" t="str">
        <f t="shared" si="15"/>
        <v>4025/4026</v>
      </c>
      <c r="L33" s="27" t="str">
        <f>VLOOKUP(A33,'Trips&amp;Operators'!$C$1:$E$10000,3,FALSE)</f>
        <v>BRANNON</v>
      </c>
      <c r="M33" s="6">
        <f t="shared" si="16"/>
        <v>3.3159722217533272E-2</v>
      </c>
      <c r="N33" s="7">
        <f t="shared" si="2"/>
        <v>47.749999993247911</v>
      </c>
      <c r="O33" s="7"/>
      <c r="P33" s="7"/>
      <c r="Q33" s="28"/>
      <c r="R33" s="28"/>
      <c r="S33" s="46">
        <f t="shared" si="17"/>
        <v>1</v>
      </c>
      <c r="T33" s="72" t="str">
        <f t="shared" si="18"/>
        <v>Southbound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23.300599999999999</v>
      </c>
      <c r="Z33" s="100">
        <f t="shared" si="23"/>
        <v>1.43E-2</v>
      </c>
      <c r="AA33" s="100">
        <f t="shared" si="24"/>
        <v>23.286300000000001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0120-11</v>
      </c>
      <c r="AE33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33" s="78" t="str">
        <f t="shared" si="27"/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50" t="s">
        <v>475</v>
      </c>
      <c r="B34" s="7">
        <v>4020</v>
      </c>
      <c r="C34" s="27" t="s">
        <v>59</v>
      </c>
      <c r="D34" s="27" t="s">
        <v>476</v>
      </c>
      <c r="E34" s="17">
        <v>42562.256469907406</v>
      </c>
      <c r="F34" s="17">
        <v>42562.257476851853</v>
      </c>
      <c r="G34" s="7">
        <v>1</v>
      </c>
      <c r="H34" s="17" t="s">
        <v>371</v>
      </c>
      <c r="I34" s="17">
        <v>42562.285057870373</v>
      </c>
      <c r="J34" s="7">
        <v>0</v>
      </c>
      <c r="K34" s="27" t="str">
        <f t="shared" si="15"/>
        <v>4019/4020</v>
      </c>
      <c r="L34" s="27" t="str">
        <f>VLOOKUP(A34,'Trips&amp;Operators'!$C$1:$E$10000,3,FALSE)</f>
        <v>SPECTOR</v>
      </c>
      <c r="M34" s="6">
        <f t="shared" si="16"/>
        <v>2.7581018519413192E-2</v>
      </c>
      <c r="N34" s="7">
        <f t="shared" si="2"/>
        <v>39.716666667954996</v>
      </c>
      <c r="O34" s="7"/>
      <c r="P34" s="7"/>
      <c r="Q34" s="28"/>
      <c r="R34" s="28"/>
      <c r="S34" s="46">
        <f t="shared" si="17"/>
        <v>1</v>
      </c>
      <c r="T34" s="72" t="str">
        <f t="shared" si="18"/>
        <v>NorthBound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05:09:19-0600',mode:absolute,to:'2016-07-11 07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4.2200000000000001E-2</v>
      </c>
      <c r="Z34" s="100">
        <f t="shared" si="23"/>
        <v>23.330500000000001</v>
      </c>
      <c r="AA34" s="100">
        <f t="shared" si="24"/>
        <v>23.2883</v>
      </c>
      <c r="AB34" s="97" t="e">
        <f>VLOOKUP(A34,Enforcements!$C$7:$J$23,8,0)</f>
        <v>#N/A</v>
      </c>
      <c r="AC34" s="93" t="e">
        <f>VLOOKUP(A34,Enforcements!$C$7:$E$23,3,0)</f>
        <v>#N/A</v>
      </c>
      <c r="AD34" s="94" t="str">
        <f t="shared" si="25"/>
        <v>0121-11</v>
      </c>
      <c r="AE34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34" s="78" t="str">
        <f t="shared" si="27"/>
        <v>"C:\Program Files (x86)\AstroGrep\AstroGrep.exe" /spath="C:\Users\stu\Documents\Analysis\2016-02-23 RTDC Observations" /stypes="*4020*20160711*"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50" t="s">
        <v>402</v>
      </c>
      <c r="B35" s="7">
        <v>4019</v>
      </c>
      <c r="C35" s="27" t="s">
        <v>59</v>
      </c>
      <c r="D35" s="27" t="s">
        <v>477</v>
      </c>
      <c r="E35" s="17">
        <v>42562.294386574074</v>
      </c>
      <c r="F35" s="17">
        <v>42562.29519675926</v>
      </c>
      <c r="G35" s="7">
        <v>1</v>
      </c>
      <c r="H35" s="17" t="s">
        <v>111</v>
      </c>
      <c r="I35" s="17">
        <v>42562.325532407405</v>
      </c>
      <c r="J35" s="7">
        <v>0</v>
      </c>
      <c r="K35" s="27" t="str">
        <f t="shared" si="15"/>
        <v>4019/4020</v>
      </c>
      <c r="L35" s="27" t="str">
        <f>VLOOKUP(A35,'Trips&amp;Operators'!$C$1:$E$10000,3,FALSE)</f>
        <v>SPECTOR</v>
      </c>
      <c r="M35" s="6">
        <f t="shared" si="16"/>
        <v>3.0335648145410232E-2</v>
      </c>
      <c r="N35" s="7">
        <f t="shared" si="2"/>
        <v>43.683333329390734</v>
      </c>
      <c r="O35" s="7"/>
      <c r="P35" s="7"/>
      <c r="Q35" s="28"/>
      <c r="R35" s="28"/>
      <c r="S35" s="46">
        <f t="shared" si="17"/>
        <v>1</v>
      </c>
      <c r="T35" s="72" t="str">
        <f t="shared" si="18"/>
        <v>Southbound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23.298400000000001</v>
      </c>
      <c r="Z35" s="100">
        <f t="shared" si="23"/>
        <v>1.43E-2</v>
      </c>
      <c r="AA35" s="100">
        <f t="shared" si="24"/>
        <v>23.284100000000002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0122-11</v>
      </c>
      <c r="AE35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35" s="78" t="str">
        <f t="shared" si="27"/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478</v>
      </c>
      <c r="B36" s="7">
        <v>4018</v>
      </c>
      <c r="C36" s="27" t="s">
        <v>59</v>
      </c>
      <c r="D36" s="27" t="s">
        <v>152</v>
      </c>
      <c r="E36" s="17">
        <v>42562.264201388891</v>
      </c>
      <c r="F36" s="17">
        <v>42562.264918981484</v>
      </c>
      <c r="G36" s="7">
        <v>1</v>
      </c>
      <c r="H36" s="17" t="s">
        <v>306</v>
      </c>
      <c r="I36" s="17">
        <v>42562.295497685183</v>
      </c>
      <c r="J36" s="7">
        <v>0</v>
      </c>
      <c r="K36" s="27" t="str">
        <f t="shared" si="15"/>
        <v>4017/4018</v>
      </c>
      <c r="L36" s="27" t="str">
        <f>VLOOKUP(A36,'Trips&amp;Operators'!$C$1:$E$10000,3,FALSE)</f>
        <v>YORK</v>
      </c>
      <c r="M36" s="6">
        <f t="shared" si="16"/>
        <v>3.0578703699575271E-2</v>
      </c>
      <c r="N36" s="7">
        <f t="shared" si="2"/>
        <v>44.033333327388391</v>
      </c>
      <c r="O36" s="7"/>
      <c r="P36" s="7"/>
      <c r="Q36" s="28"/>
      <c r="R36" s="28"/>
      <c r="S36" s="46">
        <f t="shared" si="17"/>
        <v>1</v>
      </c>
      <c r="T36" s="72" t="str">
        <f t="shared" si="18"/>
        <v>NorthBound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05:20:27-0600',mode:absolute,to:'2016-07-11 08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4.4900000000000002E-2</v>
      </c>
      <c r="Z36" s="100">
        <f t="shared" si="23"/>
        <v>23.3293</v>
      </c>
      <c r="AA36" s="100">
        <f t="shared" si="24"/>
        <v>23.284400000000002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0123-11</v>
      </c>
      <c r="AE36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36" s="78" t="str">
        <f t="shared" si="27"/>
        <v>"C:\Program Files (x86)\AstroGrep\AstroGrep.exe" /spath="C:\Users\stu\Documents\Analysis\2016-02-23 RTDC Observations" /stypes="*4018*20160711*"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50" t="s">
        <v>479</v>
      </c>
      <c r="B37" s="7">
        <v>4017</v>
      </c>
      <c r="C37" s="27" t="s">
        <v>59</v>
      </c>
      <c r="D37" s="27" t="s">
        <v>357</v>
      </c>
      <c r="E37" s="17">
        <v>42562.296354166669</v>
      </c>
      <c r="F37" s="17">
        <v>42562.297129629631</v>
      </c>
      <c r="G37" s="7">
        <v>1</v>
      </c>
      <c r="H37" s="17" t="s">
        <v>309</v>
      </c>
      <c r="I37" s="17">
        <v>42562.335312499999</v>
      </c>
      <c r="J37" s="7">
        <v>0</v>
      </c>
      <c r="K37" s="27" t="str">
        <f t="shared" si="15"/>
        <v>4017/4018</v>
      </c>
      <c r="L37" s="27" t="str">
        <f>VLOOKUP(A37,'Trips&amp;Operators'!$C$1:$E$10000,3,FALSE)</f>
        <v>YORK</v>
      </c>
      <c r="M37" s="6">
        <f t="shared" si="16"/>
        <v>3.8182870368473232E-2</v>
      </c>
      <c r="N37" s="7">
        <f t="shared" si="2"/>
        <v>54.983333330601454</v>
      </c>
      <c r="O37" s="7"/>
      <c r="P37" s="7"/>
      <c r="Q37" s="28"/>
      <c r="R37" s="28"/>
      <c r="S37" s="46">
        <f t="shared" si="17"/>
        <v>1</v>
      </c>
      <c r="T37" s="72" t="str">
        <f t="shared" si="18"/>
        <v>Southbound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06:06:45-0600',mode:absolute,to:'2016-07-11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7" s="77" t="str">
        <f t="shared" si="20"/>
        <v>N</v>
      </c>
      <c r="X37" s="103">
        <f t="shared" si="21"/>
        <v>1</v>
      </c>
      <c r="Y37" s="100">
        <f t="shared" si="22"/>
        <v>23.296600000000002</v>
      </c>
      <c r="Z37" s="100">
        <f t="shared" si="23"/>
        <v>1.54E-2</v>
      </c>
      <c r="AA37" s="100">
        <f t="shared" si="24"/>
        <v>23.281200000000002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0124-11</v>
      </c>
      <c r="AE37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37" s="78" t="str">
        <f t="shared" si="27"/>
        <v>"C:\Program Files (x86)\AstroGrep\AstroGrep.exe" /spath="C:\Users\stu\Documents\Analysis\2016-02-23 RTDC Observations" /stypes="*4017*20160711*"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65" t="s">
        <v>480</v>
      </c>
      <c r="B38" s="7">
        <v>4016</v>
      </c>
      <c r="C38" s="27" t="s">
        <v>59</v>
      </c>
      <c r="D38" s="27" t="s">
        <v>223</v>
      </c>
      <c r="E38" s="17">
        <v>42562.277129629627</v>
      </c>
      <c r="F38" s="17">
        <v>42562.278148148151</v>
      </c>
      <c r="G38" s="7">
        <v>1</v>
      </c>
      <c r="H38" s="17" t="s">
        <v>481</v>
      </c>
      <c r="I38" s="17">
        <v>42562.384872685187</v>
      </c>
      <c r="J38" s="7">
        <v>0</v>
      </c>
      <c r="K38" s="27" t="str">
        <f t="shared" si="15"/>
        <v>4015/4016</v>
      </c>
      <c r="L38" s="27" t="str">
        <f>VLOOKUP(A38,'Trips&amp;Operators'!$C$1:$E$10000,3,FALSE)</f>
        <v>STARKS</v>
      </c>
      <c r="M38" s="6">
        <f t="shared" si="16"/>
        <v>0.106724537035916</v>
      </c>
      <c r="N38" s="7">
        <f t="shared" si="2"/>
        <v>153.68333333171904</v>
      </c>
      <c r="O38" s="7"/>
      <c r="P38" s="7"/>
      <c r="Q38" s="28"/>
      <c r="R38" s="28"/>
      <c r="S38" s="46">
        <f t="shared" si="17"/>
        <v>1</v>
      </c>
      <c r="T38" s="72" t="str">
        <f t="shared" si="18"/>
        <v>NorthBound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05:39:04-0600',mode:absolute,to:'2016-07-11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8" s="77" t="str">
        <f t="shared" si="20"/>
        <v>N</v>
      </c>
      <c r="X38" s="103">
        <f t="shared" si="21"/>
        <v>1</v>
      </c>
      <c r="Y38" s="100">
        <f t="shared" si="22"/>
        <v>4.8000000000000001E-2</v>
      </c>
      <c r="Z38" s="100">
        <f t="shared" si="23"/>
        <v>23.336300000000001</v>
      </c>
      <c r="AA38" s="100">
        <f t="shared" si="24"/>
        <v>23.288300000000003</v>
      </c>
      <c r="AB38" s="97" t="e">
        <f>VLOOKUP(A38,Enforcements!$C$7:$J$23,8,0)</f>
        <v>#N/A</v>
      </c>
      <c r="AC38" s="93" t="e">
        <f>VLOOKUP(A38,Enforcements!$C$7:$E$23,3,0)</f>
        <v>#N/A</v>
      </c>
      <c r="AD38" s="94" t="str">
        <f t="shared" si="25"/>
        <v>0125-11</v>
      </c>
      <c r="AE38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38" s="78" t="str">
        <f t="shared" si="27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50" t="s">
        <v>482</v>
      </c>
      <c r="B39" s="7">
        <v>4015</v>
      </c>
      <c r="C39" s="27" t="s">
        <v>59</v>
      </c>
      <c r="D39" s="27" t="s">
        <v>370</v>
      </c>
      <c r="E39" s="17">
        <v>42562.317187499997</v>
      </c>
      <c r="F39" s="17">
        <v>42562.318148148152</v>
      </c>
      <c r="G39" s="7">
        <v>1</v>
      </c>
      <c r="H39" s="17" t="s">
        <v>61</v>
      </c>
      <c r="I39" s="17">
        <v>42562.347280092596</v>
      </c>
      <c r="J39" s="7">
        <v>0</v>
      </c>
      <c r="K39" s="27" t="str">
        <f t="shared" si="15"/>
        <v>4015/4016</v>
      </c>
      <c r="L39" s="27" t="str">
        <f>VLOOKUP(A39,'Trips&amp;Operators'!$C$1:$E$10000,3,FALSE)</f>
        <v>STARKS</v>
      </c>
      <c r="M39" s="6">
        <f t="shared" si="16"/>
        <v>2.9131944444088731E-2</v>
      </c>
      <c r="N39" s="7">
        <f t="shared" si="2"/>
        <v>41.949999999487773</v>
      </c>
      <c r="O39" s="7"/>
      <c r="P39" s="7"/>
      <c r="Q39" s="28"/>
      <c r="R39" s="28"/>
      <c r="S39" s="46">
        <f t="shared" si="17"/>
        <v>1</v>
      </c>
      <c r="T39" s="72" t="str">
        <f t="shared" si="18"/>
        <v>Southbound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06:36:45-0600',mode:absolute,to:'2016-07-11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9" s="77" t="str">
        <f t="shared" si="20"/>
        <v>N</v>
      </c>
      <c r="X39" s="103">
        <f t="shared" si="21"/>
        <v>1</v>
      </c>
      <c r="Y39" s="100">
        <f t="shared" si="22"/>
        <v>23.2957</v>
      </c>
      <c r="Z39" s="100">
        <f t="shared" si="23"/>
        <v>1.52E-2</v>
      </c>
      <c r="AA39" s="100">
        <f t="shared" si="24"/>
        <v>23.2805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0126-11</v>
      </c>
      <c r="AE39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39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50" t="s">
        <v>482</v>
      </c>
      <c r="B40" s="7">
        <v>4015</v>
      </c>
      <c r="C40" s="27" t="s">
        <v>59</v>
      </c>
      <c r="D40" s="27" t="s">
        <v>301</v>
      </c>
      <c r="E40" s="17">
        <v>42562.319143518522</v>
      </c>
      <c r="F40" s="17">
        <v>42562.320034722223</v>
      </c>
      <c r="G40" s="7">
        <v>1</v>
      </c>
      <c r="H40" s="17" t="s">
        <v>61</v>
      </c>
      <c r="I40" s="17">
        <v>42562.347280092596</v>
      </c>
      <c r="J40" s="7">
        <v>0</v>
      </c>
      <c r="K40" s="27" t="str">
        <f t="shared" si="15"/>
        <v>4015/4016</v>
      </c>
      <c r="L40" s="27" t="str">
        <f>VLOOKUP(A40,'Trips&amp;Operators'!$C$1:$E$10000,3,FALSE)</f>
        <v>STARKS</v>
      </c>
      <c r="M40" s="6">
        <f t="shared" si="16"/>
        <v>2.7245370372838806E-2</v>
      </c>
      <c r="N40" s="7">
        <f t="shared" si="2"/>
        <v>39.233333336887881</v>
      </c>
      <c r="O40" s="7"/>
      <c r="P40" s="7"/>
      <c r="Q40" s="28"/>
      <c r="R40" s="28"/>
      <c r="S40" s="46">
        <f t="shared" si="17"/>
        <v>1</v>
      </c>
      <c r="T40" s="72" t="str">
        <f t="shared" si="18"/>
        <v>Southbound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06:39:34-0600',mode:absolute,to:'2016-07-11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0" s="77" t="str">
        <f t="shared" si="20"/>
        <v>N</v>
      </c>
      <c r="X40" s="103">
        <f t="shared" si="21"/>
        <v>0</v>
      </c>
      <c r="Y40" s="100">
        <f t="shared" si="22"/>
        <v>23.2959</v>
      </c>
      <c r="Z40" s="100">
        <f t="shared" si="23"/>
        <v>1.52E-2</v>
      </c>
      <c r="AA40" s="100">
        <f t="shared" si="24"/>
        <v>23.2807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0126-11</v>
      </c>
      <c r="AE40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40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50" t="s">
        <v>483</v>
      </c>
      <c r="B41" s="7">
        <v>4009</v>
      </c>
      <c r="C41" s="27" t="s">
        <v>59</v>
      </c>
      <c r="D41" s="27" t="s">
        <v>70</v>
      </c>
      <c r="E41" s="17">
        <v>42562.287789351853</v>
      </c>
      <c r="F41" s="17">
        <v>42562.288738425923</v>
      </c>
      <c r="G41" s="7">
        <v>1</v>
      </c>
      <c r="H41" s="17" t="s">
        <v>299</v>
      </c>
      <c r="I41" s="17">
        <v>42562.317233796297</v>
      </c>
      <c r="J41" s="7">
        <v>0</v>
      </c>
      <c r="K41" s="27" t="str">
        <f t="shared" si="15"/>
        <v>4009/4010</v>
      </c>
      <c r="L41" s="27" t="str">
        <f>VLOOKUP(A41,'Trips&amp;Operators'!$C$1:$E$10000,3,FALSE)</f>
        <v>DAVIS</v>
      </c>
      <c r="M41" s="6">
        <f t="shared" si="16"/>
        <v>2.849537037400296E-2</v>
      </c>
      <c r="N41" s="7">
        <f t="shared" si="2"/>
        <v>41.033333338564262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05:54:25-0600',mode:absolute,to:'2016-07-11 08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1" s="77" t="str">
        <f t="shared" si="20"/>
        <v>N</v>
      </c>
      <c r="X41" s="103">
        <f t="shared" si="21"/>
        <v>1</v>
      </c>
      <c r="Y41" s="100">
        <f t="shared" si="22"/>
        <v>4.5699999999999998E-2</v>
      </c>
      <c r="Z41" s="100">
        <f t="shared" si="23"/>
        <v>23.3306</v>
      </c>
      <c r="AA41" s="100">
        <f t="shared" si="24"/>
        <v>23.2849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0127-11</v>
      </c>
      <c r="AE41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41" s="78" t="str">
        <f t="shared" si="27"/>
        <v>"C:\Program Files (x86)\AstroGrep\AstroGrep.exe" /spath="C:\Users\stu\Documents\Analysis\2016-02-23 RTDC Observations" /stypes="*4009*20160711*"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50" t="s">
        <v>484</v>
      </c>
      <c r="B42" s="7">
        <v>4031</v>
      </c>
      <c r="C42" s="27" t="s">
        <v>59</v>
      </c>
      <c r="D42" s="27" t="s">
        <v>323</v>
      </c>
      <c r="E42" s="17">
        <v>42562.299456018518</v>
      </c>
      <c r="F42" s="17">
        <v>42562.300462962965</v>
      </c>
      <c r="G42" s="7">
        <v>1</v>
      </c>
      <c r="H42" s="17" t="s">
        <v>306</v>
      </c>
      <c r="I42" s="17">
        <v>42562.326574074075</v>
      </c>
      <c r="J42" s="7">
        <v>0</v>
      </c>
      <c r="K42" s="27" t="str">
        <f t="shared" si="15"/>
        <v>4031/4032</v>
      </c>
      <c r="L42" s="27" t="str">
        <f>VLOOKUP(A42,'Trips&amp;Operators'!$C$1:$E$10000,3,FALSE)</f>
        <v>MALAVE</v>
      </c>
      <c r="M42" s="6">
        <f t="shared" si="16"/>
        <v>2.6111111110367347E-2</v>
      </c>
      <c r="N42" s="7">
        <f t="shared" si="2"/>
        <v>37.599999998928979</v>
      </c>
      <c r="O42" s="7"/>
      <c r="P42" s="7"/>
      <c r="Q42" s="28"/>
      <c r="R42" s="28"/>
      <c r="S42" s="46">
        <f t="shared" si="17"/>
        <v>1</v>
      </c>
      <c r="T42" s="72" t="str">
        <f t="shared" si="18"/>
        <v>NorthBound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06:11:13-0600',mode:absolute,to:'2016-07-11 08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2" s="77" t="str">
        <f t="shared" si="20"/>
        <v>N</v>
      </c>
      <c r="X42" s="103">
        <f t="shared" si="21"/>
        <v>2</v>
      </c>
      <c r="Y42" s="100">
        <f t="shared" si="22"/>
        <v>4.6199999999999998E-2</v>
      </c>
      <c r="Z42" s="100">
        <f t="shared" si="23"/>
        <v>23.3293</v>
      </c>
      <c r="AA42" s="100">
        <f t="shared" si="24"/>
        <v>23.283100000000001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0129-11</v>
      </c>
      <c r="AE42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42" s="78" t="str">
        <f t="shared" si="27"/>
        <v>"C:\Program Files (x86)\AstroGrep\AstroGrep.exe" /spath="C:\Users\stu\Documents\Analysis\2016-02-23 RTDC Observations" /stypes="*4031*20160711*" /stext=" 13:.+((prompt.+disp)|(slice.+state.+chan)|(ment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50" t="s">
        <v>485</v>
      </c>
      <c r="B43" s="7">
        <v>4032</v>
      </c>
      <c r="C43" s="27" t="s">
        <v>59</v>
      </c>
      <c r="D43" s="27" t="s">
        <v>486</v>
      </c>
      <c r="E43" s="17">
        <v>42562.338425925926</v>
      </c>
      <c r="F43" s="17">
        <v>42562.341134259259</v>
      </c>
      <c r="G43" s="7">
        <v>3</v>
      </c>
      <c r="H43" s="17" t="s">
        <v>224</v>
      </c>
      <c r="I43" s="17">
        <v>42562.366851851853</v>
      </c>
      <c r="J43" s="7">
        <v>0</v>
      </c>
      <c r="K43" s="27" t="str">
        <f t="shared" si="15"/>
        <v>4031/4032</v>
      </c>
      <c r="L43" s="27" t="str">
        <f>VLOOKUP(A43,'Trips&amp;Operators'!$C$1:$E$10000,3,FALSE)</f>
        <v>MALAVE</v>
      </c>
      <c r="M43" s="6">
        <f t="shared" si="16"/>
        <v>2.5717592594446614E-2</v>
      </c>
      <c r="N43" s="7">
        <f t="shared" si="2"/>
        <v>37.033333336003125</v>
      </c>
      <c r="O43" s="7"/>
      <c r="P43" s="7"/>
      <c r="Q43" s="28"/>
      <c r="R43" s="28"/>
      <c r="S43" s="46">
        <f t="shared" si="17"/>
        <v>1</v>
      </c>
      <c r="T43" s="72" t="str">
        <f t="shared" si="18"/>
        <v>Southbound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07:07:20-0600',mode:absolute,to:'2016-07-11 09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23.2971</v>
      </c>
      <c r="Z43" s="100">
        <f t="shared" si="23"/>
        <v>1.6E-2</v>
      </c>
      <c r="AA43" s="100">
        <f t="shared" si="24"/>
        <v>23.281100000000002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0130-11</v>
      </c>
      <c r="AE43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43" s="78" t="str">
        <f t="shared" si="27"/>
        <v>"C:\Program Files (x86)\AstroGrep\AstroGrep.exe" /spath="C:\Users\stu\Documents\Analysis\2016-02-23 RTDC Observations" /stypes="*4032*20160711*"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50" t="s">
        <v>487</v>
      </c>
      <c r="B44" s="7">
        <v>4014</v>
      </c>
      <c r="C44" s="27" t="s">
        <v>59</v>
      </c>
      <c r="D44" s="27" t="s">
        <v>488</v>
      </c>
      <c r="E44" s="17">
        <v>42562.307847222219</v>
      </c>
      <c r="F44" s="17">
        <v>42562.308854166666</v>
      </c>
      <c r="G44" s="7">
        <v>1</v>
      </c>
      <c r="H44" s="17" t="s">
        <v>328</v>
      </c>
      <c r="I44" s="17">
        <v>42562.337905092594</v>
      </c>
      <c r="J44" s="7">
        <v>0</v>
      </c>
      <c r="K44" s="27" t="str">
        <f t="shared" si="15"/>
        <v>4013/4014</v>
      </c>
      <c r="L44" s="27" t="str">
        <f>VLOOKUP(A44,'Trips&amp;Operators'!$C$1:$E$10000,3,FALSE)</f>
        <v>ACKERMAN</v>
      </c>
      <c r="M44" s="6">
        <f t="shared" si="16"/>
        <v>2.9050925928459037E-2</v>
      </c>
      <c r="N44" s="7">
        <f t="shared" si="2"/>
        <v>41.833333336981013</v>
      </c>
      <c r="O44" s="7"/>
      <c r="P44" s="7"/>
      <c r="Q44" s="28"/>
      <c r="R44" s="28"/>
      <c r="S44" s="46">
        <f t="shared" si="17"/>
        <v>1</v>
      </c>
      <c r="T44" s="72" t="str">
        <f t="shared" si="18"/>
        <v>NorthBound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06:23:18-0600',mode:absolute,to:'2016-07-11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4.2900000000000001E-2</v>
      </c>
      <c r="Z44" s="100">
        <f t="shared" si="23"/>
        <v>23.331399999999999</v>
      </c>
      <c r="AA44" s="100">
        <f t="shared" si="24"/>
        <v>23.288499999999999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0131-11</v>
      </c>
      <c r="AE44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44" s="78" t="str">
        <f t="shared" si="27"/>
        <v>"C:\Program Files (x86)\AstroGrep\AstroGrep.exe" /spath="C:\Users\stu\Documents\Analysis\2016-02-23 RTDC Observations" /stypes="*4014*20160711*"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50" t="s">
        <v>489</v>
      </c>
      <c r="B45" s="7">
        <v>4013</v>
      </c>
      <c r="C45" s="27" t="s">
        <v>59</v>
      </c>
      <c r="D45" s="27" t="s">
        <v>339</v>
      </c>
      <c r="E45" s="17">
        <v>42562.344155092593</v>
      </c>
      <c r="F45" s="17">
        <v>42562.345254629632</v>
      </c>
      <c r="G45" s="7">
        <v>1</v>
      </c>
      <c r="H45" s="17" t="s">
        <v>60</v>
      </c>
      <c r="I45" s="17">
        <v>42562.379907407405</v>
      </c>
      <c r="J45" s="7">
        <v>0</v>
      </c>
      <c r="K45" s="27" t="str">
        <f t="shared" si="15"/>
        <v>4013/4014</v>
      </c>
      <c r="L45" s="27" t="str">
        <f>VLOOKUP(A45,'Trips&amp;Operators'!$C$1:$E$10000,3,FALSE)</f>
        <v>ACKERMAN</v>
      </c>
      <c r="M45" s="6">
        <f t="shared" si="16"/>
        <v>3.4652777772862464E-2</v>
      </c>
      <c r="N45" s="7">
        <f t="shared" si="2"/>
        <v>49.899999992921948</v>
      </c>
      <c r="O45" s="7"/>
      <c r="P45" s="7"/>
      <c r="Q45" s="28"/>
      <c r="R45" s="28"/>
      <c r="S45" s="46">
        <f t="shared" si="17"/>
        <v>1</v>
      </c>
      <c r="T45" s="72" t="str">
        <f t="shared" si="18"/>
        <v>Southbound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07:15:35-0600',mode:absolute,to:'2016-07-11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23.299299999999999</v>
      </c>
      <c r="Z45" s="100">
        <f t="shared" si="23"/>
        <v>1.4500000000000001E-2</v>
      </c>
      <c r="AA45" s="100">
        <f t="shared" si="24"/>
        <v>23.284799999999997</v>
      </c>
      <c r="AB45" s="97" t="e">
        <f>VLOOKUP(A45,Enforcements!$C$7:$J$23,8,0)</f>
        <v>#N/A</v>
      </c>
      <c r="AC45" s="93" t="e">
        <f>VLOOKUP(A45,Enforcements!$C$7:$E$23,3,0)</f>
        <v>#N/A</v>
      </c>
      <c r="AD45" s="94" t="str">
        <f t="shared" si="25"/>
        <v>0132-11</v>
      </c>
      <c r="AE45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45" s="78" t="str">
        <f t="shared" si="27"/>
        <v>"C:\Program Files (x86)\AstroGrep\AstroGrep.exe" /spath="C:\Users\stu\Documents\Analysis\2016-02-23 RTDC Observations" /stypes="*4013*20160711*"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50" t="s">
        <v>403</v>
      </c>
      <c r="B46" s="7">
        <v>4025</v>
      </c>
      <c r="C46" s="27" t="s">
        <v>59</v>
      </c>
      <c r="D46" s="27" t="s">
        <v>183</v>
      </c>
      <c r="E46" s="17">
        <v>42562.315335648149</v>
      </c>
      <c r="F46" s="17">
        <v>42562.316388888888</v>
      </c>
      <c r="G46" s="7">
        <v>1</v>
      </c>
      <c r="H46" s="17" t="s">
        <v>362</v>
      </c>
      <c r="I46" s="17">
        <v>42562.348506944443</v>
      </c>
      <c r="J46" s="7">
        <v>1</v>
      </c>
      <c r="K46" s="27" t="str">
        <f t="shared" si="15"/>
        <v>4025/4026</v>
      </c>
      <c r="L46" s="27" t="str">
        <f>VLOOKUP(A46,'Trips&amp;Operators'!$C$1:$E$10000,3,FALSE)</f>
        <v>BRANNON</v>
      </c>
      <c r="M46" s="6">
        <f t="shared" si="16"/>
        <v>3.2118055554747116E-2</v>
      </c>
      <c r="N46" s="7">
        <f t="shared" si="2"/>
        <v>46.249999998835847</v>
      </c>
      <c r="O46" s="7"/>
      <c r="P46" s="7"/>
      <c r="Q46" s="28"/>
      <c r="R46" s="28"/>
      <c r="S46" s="46">
        <f t="shared" si="17"/>
        <v>1</v>
      </c>
      <c r="T46" s="72" t="str">
        <f t="shared" si="18"/>
        <v>NorthBound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4.58E-2</v>
      </c>
      <c r="Z46" s="100">
        <f t="shared" si="23"/>
        <v>23.332000000000001</v>
      </c>
      <c r="AA46" s="100">
        <f t="shared" si="24"/>
        <v>23.286200000000001</v>
      </c>
      <c r="AB46" s="97">
        <f>VLOOKUP(A46,Enforcements!$C$7:$J$23,8,0)</f>
        <v>183829</v>
      </c>
      <c r="AC46" s="93" t="str">
        <f>VLOOKUP(A46,Enforcements!$C$7:$E$23,3,0)</f>
        <v>PERMANENT SPEED RESTRICTION</v>
      </c>
      <c r="AD46" s="94" t="str">
        <f t="shared" si="25"/>
        <v>0133-11</v>
      </c>
      <c r="AE46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46" s="78" t="str">
        <f t="shared" si="27"/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50" t="s">
        <v>405</v>
      </c>
      <c r="B47" s="7">
        <v>4026</v>
      </c>
      <c r="C47" s="27" t="s">
        <v>59</v>
      </c>
      <c r="D47" s="27" t="s">
        <v>322</v>
      </c>
      <c r="E47" s="17">
        <v>42562.358182870368</v>
      </c>
      <c r="F47" s="17">
        <v>42562.358865740738</v>
      </c>
      <c r="G47" s="7">
        <v>0</v>
      </c>
      <c r="H47" s="17" t="s">
        <v>490</v>
      </c>
      <c r="I47" s="17">
        <v>42562.390173611115</v>
      </c>
      <c r="J47" s="7">
        <v>0</v>
      </c>
      <c r="K47" s="27" t="str">
        <f t="shared" si="15"/>
        <v>4025/4026</v>
      </c>
      <c r="L47" s="27" t="str">
        <f>VLOOKUP(A47,'Trips&amp;Operators'!$C$1:$E$10000,3,FALSE)</f>
        <v>BRANNON</v>
      </c>
      <c r="M47" s="6">
        <f t="shared" si="16"/>
        <v>3.1307870376622304E-2</v>
      </c>
      <c r="N47" s="7">
        <f t="shared" si="2"/>
        <v>45.083333342336118</v>
      </c>
      <c r="O47" s="7"/>
      <c r="P47" s="7"/>
      <c r="Q47" s="28"/>
      <c r="R47" s="28"/>
      <c r="S47" s="46">
        <f t="shared" si="17"/>
        <v>1</v>
      </c>
      <c r="T47" s="72" t="str">
        <f t="shared" si="18"/>
        <v>Southbound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23.2986</v>
      </c>
      <c r="Z47" s="100">
        <f t="shared" si="23"/>
        <v>1.9599999999999999E-2</v>
      </c>
      <c r="AA47" s="100">
        <f t="shared" si="24"/>
        <v>23.279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0134-11</v>
      </c>
      <c r="AE47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47" s="78" t="str">
        <f t="shared" si="27"/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50" t="s">
        <v>491</v>
      </c>
      <c r="B48" s="7">
        <v>4020</v>
      </c>
      <c r="C48" s="27" t="s">
        <v>59</v>
      </c>
      <c r="D48" s="27" t="s">
        <v>183</v>
      </c>
      <c r="E48" s="17">
        <v>42562.327673611115</v>
      </c>
      <c r="F48" s="17">
        <v>42562.32880787037</v>
      </c>
      <c r="G48" s="7">
        <v>1</v>
      </c>
      <c r="H48" s="17" t="s">
        <v>376</v>
      </c>
      <c r="I48" s="17">
        <v>42562.358032407406</v>
      </c>
      <c r="J48" s="7">
        <v>0</v>
      </c>
      <c r="K48" s="27" t="str">
        <f t="shared" si="15"/>
        <v>4019/4020</v>
      </c>
      <c r="L48" s="27" t="str">
        <f>VLOOKUP(A48,'Trips&amp;Operators'!$C$1:$E$10000,3,FALSE)</f>
        <v>SPECTOR</v>
      </c>
      <c r="M48" s="6">
        <f t="shared" si="16"/>
        <v>2.9224537036498077E-2</v>
      </c>
      <c r="N48" s="7">
        <f t="shared" si="2"/>
        <v>42.083333332557231</v>
      </c>
      <c r="O48" s="7"/>
      <c r="P48" s="7"/>
      <c r="Q48" s="28"/>
      <c r="R48" s="28"/>
      <c r="S48" s="46">
        <f t="shared" si="17"/>
        <v>1</v>
      </c>
      <c r="T48" s="72" t="str">
        <f t="shared" si="18"/>
        <v>NorthBound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06:51:51-0600',mode:absolute,to:'2016-07-11 09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4.58E-2</v>
      </c>
      <c r="Z48" s="100">
        <f t="shared" si="23"/>
        <v>23.3323</v>
      </c>
      <c r="AA48" s="100">
        <f t="shared" si="24"/>
        <v>23.2865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0135-11</v>
      </c>
      <c r="AE48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48" s="78" t="str">
        <f t="shared" si="27"/>
        <v>"C:\Program Files (x86)\AstroGrep\AstroGrep.exe" /spath="C:\Users\stu\Documents\Analysis\2016-02-23 RTDC Observations" /stypes="*4020*20160711*"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50" t="s">
        <v>408</v>
      </c>
      <c r="B49" s="7">
        <v>4019</v>
      </c>
      <c r="C49" s="27" t="s">
        <v>59</v>
      </c>
      <c r="D49" s="27" t="s">
        <v>221</v>
      </c>
      <c r="E49" s="17">
        <v>42562.364444444444</v>
      </c>
      <c r="F49" s="17">
        <v>42562.365613425929</v>
      </c>
      <c r="G49" s="7">
        <v>1</v>
      </c>
      <c r="H49" s="17" t="s">
        <v>71</v>
      </c>
      <c r="I49" s="17">
        <v>42562.403148148151</v>
      </c>
      <c r="J49" s="7">
        <v>0</v>
      </c>
      <c r="K49" s="27" t="str">
        <f t="shared" si="15"/>
        <v>4019/4020</v>
      </c>
      <c r="L49" s="27" t="str">
        <f>VLOOKUP(A49,'Trips&amp;Operators'!$C$1:$E$10000,3,FALSE)</f>
        <v>SPECTOR</v>
      </c>
      <c r="M49" s="6">
        <f t="shared" si="16"/>
        <v>3.7534722221607808E-2</v>
      </c>
      <c r="N49" s="7">
        <f t="shared" si="2"/>
        <v>54.049999999115244</v>
      </c>
      <c r="O49" s="7"/>
      <c r="P49" s="7"/>
      <c r="Q49" s="28"/>
      <c r="R49" s="28"/>
      <c r="S49" s="46">
        <f t="shared" si="17"/>
        <v>1</v>
      </c>
      <c r="T49" s="72" t="str">
        <f t="shared" si="18"/>
        <v>Southbound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23.299600000000002</v>
      </c>
      <c r="Z49" s="100">
        <f t="shared" si="23"/>
        <v>1.49E-2</v>
      </c>
      <c r="AA49" s="100">
        <f t="shared" si="24"/>
        <v>23.284700000000001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0136-11</v>
      </c>
      <c r="AE49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49" s="78" t="str">
        <f t="shared" si="27"/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492</v>
      </c>
      <c r="B50" s="7">
        <v>4018</v>
      </c>
      <c r="C50" s="27" t="s">
        <v>59</v>
      </c>
      <c r="D50" s="27" t="s">
        <v>70</v>
      </c>
      <c r="E50" s="17">
        <v>42562.338784722226</v>
      </c>
      <c r="F50" s="17">
        <v>42562.33966435185</v>
      </c>
      <c r="G50" s="7">
        <v>1</v>
      </c>
      <c r="H50" s="17" t="s">
        <v>330</v>
      </c>
      <c r="I50" s="17">
        <v>42562.36822916667</v>
      </c>
      <c r="J50" s="7">
        <v>0</v>
      </c>
      <c r="K50" s="27" t="str">
        <f t="shared" si="15"/>
        <v>4017/4018</v>
      </c>
      <c r="L50" s="27" t="str">
        <f>VLOOKUP(A50,'Trips&amp;Operators'!$C$1:$E$10000,3,FALSE)</f>
        <v>YORK</v>
      </c>
      <c r="M50" s="6">
        <f t="shared" si="16"/>
        <v>2.8564814820128959E-2</v>
      </c>
      <c r="N50" s="7">
        <f t="shared" si="2"/>
        <v>41.1333333409857</v>
      </c>
      <c r="O50" s="7"/>
      <c r="P50" s="7"/>
      <c r="Q50" s="28"/>
      <c r="R50" s="28"/>
      <c r="S50" s="46">
        <f t="shared" si="17"/>
        <v>1</v>
      </c>
      <c r="T50" s="72" t="str">
        <f t="shared" si="18"/>
        <v>NorthBound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07:07:51-0600',mode:absolute,to:'2016-07-11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4.5699999999999998E-2</v>
      </c>
      <c r="Z50" s="100">
        <f t="shared" si="23"/>
        <v>23.328800000000001</v>
      </c>
      <c r="AA50" s="100">
        <f t="shared" si="24"/>
        <v>23.283100000000001</v>
      </c>
      <c r="AB50" s="97" t="e">
        <f>VLOOKUP(A50,Enforcements!$C$7:$J$23,8,0)</f>
        <v>#N/A</v>
      </c>
      <c r="AC50" s="93" t="e">
        <f>VLOOKUP(A50,Enforcements!$C$7:$E$23,3,0)</f>
        <v>#N/A</v>
      </c>
      <c r="AD50" s="94" t="str">
        <f t="shared" si="25"/>
        <v>0137-11</v>
      </c>
      <c r="AE50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50" s="78" t="str">
        <f t="shared" si="27"/>
        <v>"C:\Program Files (x86)\AstroGrep\AstroGrep.exe" /spath="C:\Users\stu\Documents\Analysis\2016-02-23 RTDC Observations" /stypes="*4018*20160711*" /stext=" 14:.+((prompt.+disp)|(slice.+state.+chan)|(ment ac)|(system.+state.+chan)|(\|lc)|(penalty)|(\[timeout))" /e /r /s</v>
      </c>
      <c r="AG50" s="1" t="str">
        <f t="shared" si="28"/>
        <v>EC</v>
      </c>
    </row>
    <row r="51" spans="1:33" s="1" customFormat="1" x14ac:dyDescent="0.25">
      <c r="A51" s="50" t="s">
        <v>493</v>
      </c>
      <c r="B51" s="7">
        <v>4017</v>
      </c>
      <c r="C51" s="27" t="s">
        <v>59</v>
      </c>
      <c r="D51" s="27" t="s">
        <v>68</v>
      </c>
      <c r="E51" s="17">
        <v>42562.370659722219</v>
      </c>
      <c r="F51" s="17">
        <v>42562.371435185189</v>
      </c>
      <c r="G51" s="7">
        <v>1</v>
      </c>
      <c r="H51" s="17" t="s">
        <v>300</v>
      </c>
      <c r="I51" s="17">
        <v>42562.411620370367</v>
      </c>
      <c r="J51" s="7">
        <v>0</v>
      </c>
      <c r="K51" s="27" t="str">
        <f t="shared" si="15"/>
        <v>4017/4018</v>
      </c>
      <c r="L51" s="27" t="str">
        <f>VLOOKUP(A51,'Trips&amp;Operators'!$C$1:$E$10000,3,FALSE)</f>
        <v>YORK</v>
      </c>
      <c r="M51" s="6">
        <f t="shared" si="16"/>
        <v>4.018518517841585E-2</v>
      </c>
      <c r="N51" s="7">
        <f t="shared" si="2"/>
        <v>57.866666656918824</v>
      </c>
      <c r="O51" s="7"/>
      <c r="P51" s="7"/>
      <c r="Q51" s="28"/>
      <c r="R51" s="28"/>
      <c r="S51" s="46">
        <f t="shared" si="17"/>
        <v>1</v>
      </c>
      <c r="T51" s="72" t="str">
        <f t="shared" si="18"/>
        <v>Southbound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07:53:45-0600',mode:absolute,to:'2016-07-11 10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23.297699999999999</v>
      </c>
      <c r="Z51" s="100">
        <f t="shared" si="23"/>
        <v>1.6500000000000001E-2</v>
      </c>
      <c r="AA51" s="100">
        <f t="shared" si="24"/>
        <v>23.281199999999998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0138-11</v>
      </c>
      <c r="AE51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51" s="78" t="str">
        <f t="shared" si="27"/>
        <v>"C:\Program Files (x86)\AstroGrep\AstroGrep.exe" /spath="C:\Users\stu\Documents\Analysis\2016-02-23 RTDC Observations" /stypes="*4017*20160711*" /stext=" 15:.+((prompt.+disp)|(slice.+state.+chan)|(ment ac)|(system.+state.+chan)|(\|lc)|(penalty)|(\[timeout))" /e /r /s</v>
      </c>
      <c r="AG51" s="1" t="str">
        <f t="shared" si="28"/>
        <v>EC</v>
      </c>
    </row>
    <row r="52" spans="1:33" s="1" customFormat="1" x14ac:dyDescent="0.25">
      <c r="A52" s="50" t="s">
        <v>404</v>
      </c>
      <c r="B52" s="7">
        <v>4016</v>
      </c>
      <c r="C52" s="27" t="s">
        <v>59</v>
      </c>
      <c r="D52" s="27" t="s">
        <v>304</v>
      </c>
      <c r="E52" s="17">
        <v>42562.350555555553</v>
      </c>
      <c r="F52" s="17">
        <v>42562.352442129632</v>
      </c>
      <c r="G52" s="7">
        <v>2</v>
      </c>
      <c r="H52" s="17" t="s">
        <v>481</v>
      </c>
      <c r="I52" s="17">
        <v>42562.384872685187</v>
      </c>
      <c r="J52" s="7">
        <v>0</v>
      </c>
      <c r="K52" s="27" t="str">
        <f t="shared" si="15"/>
        <v>4015/4016</v>
      </c>
      <c r="L52" s="27" t="str">
        <f>VLOOKUP(A52,'Trips&amp;Operators'!$C$1:$E$10000,3,FALSE)</f>
        <v>STARKS</v>
      </c>
      <c r="M52" s="6">
        <f t="shared" si="16"/>
        <v>3.2430555555038154E-2</v>
      </c>
      <c r="N52" s="7">
        <f t="shared" si="2"/>
        <v>46.699999999254942</v>
      </c>
      <c r="O52" s="7"/>
      <c r="P52" s="7"/>
      <c r="Q52" s="28"/>
      <c r="R52" s="28"/>
      <c r="S52" s="46">
        <f t="shared" si="17"/>
        <v>1</v>
      </c>
      <c r="T52" s="72" t="str">
        <f t="shared" si="18"/>
        <v>NorthBound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4.5499999999999999E-2</v>
      </c>
      <c r="Z52" s="100">
        <f t="shared" si="23"/>
        <v>23.336300000000001</v>
      </c>
      <c r="AA52" s="100">
        <f t="shared" si="24"/>
        <v>23.290800000000001</v>
      </c>
      <c r="AB52" s="97" t="e">
        <f>VLOOKUP(A52,Enforcements!$C$7:$J$23,8,0)</f>
        <v>#N/A</v>
      </c>
      <c r="AC52" s="93" t="e">
        <f>VLOOKUP(A52,Enforcements!$C$7:$E$23,3,0)</f>
        <v>#N/A</v>
      </c>
      <c r="AD52" s="94" t="str">
        <f t="shared" si="25"/>
        <v>0139-11</v>
      </c>
      <c r="AE52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52" s="78" t="str">
        <f t="shared" si="27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AG52" s="1" t="str">
        <f t="shared" si="28"/>
        <v>EC</v>
      </c>
    </row>
    <row r="53" spans="1:33" x14ac:dyDescent="0.25">
      <c r="A53" s="50" t="s">
        <v>494</v>
      </c>
      <c r="B53" s="7">
        <v>4015</v>
      </c>
      <c r="C53" s="27" t="s">
        <v>59</v>
      </c>
      <c r="D53" s="27" t="s">
        <v>495</v>
      </c>
      <c r="E53" s="17">
        <v>42562.391516203701</v>
      </c>
      <c r="F53" s="17">
        <v>42562.392442129632</v>
      </c>
      <c r="G53" s="7">
        <v>1</v>
      </c>
      <c r="H53" s="17" t="s">
        <v>224</v>
      </c>
      <c r="I53" s="17">
        <v>42562.421678240738</v>
      </c>
      <c r="J53" s="7">
        <v>0</v>
      </c>
      <c r="K53" s="27" t="str">
        <f t="shared" si="15"/>
        <v>4015/4016</v>
      </c>
      <c r="L53" s="27" t="str">
        <f>VLOOKUP(A53,'Trips&amp;Operators'!$C$1:$E$10000,3,FALSE)</f>
        <v>STARKS</v>
      </c>
      <c r="M53" s="6">
        <f t="shared" si="16"/>
        <v>2.9236111106001772E-2</v>
      </c>
      <c r="N53" s="7">
        <f t="shared" si="2"/>
        <v>42.099999992642552</v>
      </c>
      <c r="O53" s="7"/>
      <c r="P53" s="7"/>
      <c r="Q53" s="28"/>
      <c r="R53" s="28"/>
      <c r="S53" s="46">
        <f t="shared" si="17"/>
        <v>1</v>
      </c>
      <c r="T53" s="72" t="str">
        <f t="shared" si="18"/>
        <v>Southbound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08:23:47-0600',mode:absolute,to:'2016-07-11 11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23.306999999999999</v>
      </c>
      <c r="Z53" s="100">
        <f t="shared" si="23"/>
        <v>1.6E-2</v>
      </c>
      <c r="AA53" s="100">
        <f t="shared" si="24"/>
        <v>23.291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0140-11</v>
      </c>
      <c r="AE53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53" s="78" t="str">
        <f t="shared" si="27"/>
        <v>"C:\Program Files (x86)\AstroGrep\AstroGrep.exe" /spath="C:\Users\stu\Documents\Analysis\2016-02-23 RTDC Observations" /stypes="*4015*20160711*"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65" t="s">
        <v>407</v>
      </c>
      <c r="B54" s="7">
        <v>4009</v>
      </c>
      <c r="C54" s="27" t="s">
        <v>59</v>
      </c>
      <c r="D54" s="27" t="s">
        <v>304</v>
      </c>
      <c r="E54" s="17">
        <v>42562.360277777778</v>
      </c>
      <c r="F54" s="17">
        <v>42562.361273148148</v>
      </c>
      <c r="G54" s="7">
        <v>1</v>
      </c>
      <c r="H54" s="17" t="s">
        <v>496</v>
      </c>
      <c r="I54" s="17">
        <v>42562.390543981484</v>
      </c>
      <c r="J54" s="7">
        <v>1</v>
      </c>
      <c r="K54" s="27" t="str">
        <f t="shared" si="15"/>
        <v>4009/4010</v>
      </c>
      <c r="L54" s="27" t="str">
        <f>VLOOKUP(A54,'Trips&amp;Operators'!$C$1:$E$10000,3,FALSE)</f>
        <v>DAVIS</v>
      </c>
      <c r="M54" s="6">
        <f t="shared" si="16"/>
        <v>2.9270833336340729E-2</v>
      </c>
      <c r="N54" s="7">
        <f t="shared" si="2"/>
        <v>42.15000000433065</v>
      </c>
      <c r="O54" s="7"/>
      <c r="P54" s="7"/>
      <c r="Q54" s="28"/>
      <c r="R54" s="28"/>
      <c r="S54" s="46">
        <f t="shared" si="17"/>
        <v>1</v>
      </c>
      <c r="T54" s="72" t="str">
        <f t="shared" si="18"/>
        <v>NorthBound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4.5499999999999999E-2</v>
      </c>
      <c r="Z54" s="100">
        <f t="shared" si="23"/>
        <v>23.327400000000001</v>
      </c>
      <c r="AA54" s="100">
        <f t="shared" si="24"/>
        <v>23.2819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0141-11</v>
      </c>
      <c r="AE54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54" s="78" t="str">
        <f t="shared" si="27"/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AG54" s="1" t="str">
        <f t="shared" si="28"/>
        <v>EC</v>
      </c>
    </row>
    <row r="55" spans="1:33" s="1" customFormat="1" x14ac:dyDescent="0.25">
      <c r="A55" s="50" t="s">
        <v>411</v>
      </c>
      <c r="B55" s="7">
        <v>4010</v>
      </c>
      <c r="C55" s="27" t="s">
        <v>59</v>
      </c>
      <c r="D55" s="27" t="s">
        <v>329</v>
      </c>
      <c r="E55" s="17">
        <v>42562.400277777779</v>
      </c>
      <c r="F55" s="17">
        <v>42562.402048611111</v>
      </c>
      <c r="G55" s="7">
        <v>2</v>
      </c>
      <c r="H55" s="17" t="s">
        <v>224</v>
      </c>
      <c r="I55" s="17">
        <v>42562.429652777777</v>
      </c>
      <c r="J55" s="7">
        <v>1</v>
      </c>
      <c r="K55" s="27" t="str">
        <f t="shared" si="15"/>
        <v>4009/4010</v>
      </c>
      <c r="L55" s="27" t="str">
        <f>VLOOKUP(A55,'Trips&amp;Operators'!$C$1:$E$10000,3,FALSE)</f>
        <v>DAVIS</v>
      </c>
      <c r="M55" s="6">
        <f t="shared" si="16"/>
        <v>2.7604166665696539E-2</v>
      </c>
      <c r="N55" s="7">
        <f t="shared" si="2"/>
        <v>39.749999998603016</v>
      </c>
      <c r="O55" s="7"/>
      <c r="P55" s="7"/>
      <c r="Q55" s="28"/>
      <c r="R55" s="28"/>
      <c r="S55" s="46">
        <f t="shared" si="17"/>
        <v>1</v>
      </c>
      <c r="T55" s="72" t="str">
        <f t="shared" si="18"/>
        <v>Southbound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23.298200000000001</v>
      </c>
      <c r="Z55" s="100">
        <f t="shared" si="23"/>
        <v>1.6E-2</v>
      </c>
      <c r="AA55" s="100">
        <f t="shared" si="24"/>
        <v>23.282200000000003</v>
      </c>
      <c r="AB55" s="97" t="e">
        <f>VLOOKUP(A55,Enforcements!$C$7:$J$23,8,0)</f>
        <v>#N/A</v>
      </c>
      <c r="AC55" s="93" t="e">
        <f>VLOOKUP(A55,Enforcements!$C$7:$E$23,3,0)</f>
        <v>#N/A</v>
      </c>
      <c r="AD55" s="94" t="str">
        <f t="shared" si="25"/>
        <v>0142-11</v>
      </c>
      <c r="AE55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55" s="78" t="str">
        <f t="shared" si="27"/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50" t="s">
        <v>497</v>
      </c>
      <c r="B56" s="7">
        <v>4031</v>
      </c>
      <c r="C56" s="27" t="s">
        <v>59</v>
      </c>
      <c r="D56" s="27" t="s">
        <v>270</v>
      </c>
      <c r="E56" s="17">
        <v>42562.373842592591</v>
      </c>
      <c r="F56" s="17">
        <v>42562.374826388892</v>
      </c>
      <c r="G56" s="7">
        <v>1</v>
      </c>
      <c r="H56" s="17" t="s">
        <v>376</v>
      </c>
      <c r="I56" s="17">
        <v>42562.406550925924</v>
      </c>
      <c r="J56" s="7">
        <v>0</v>
      </c>
      <c r="K56" s="27" t="str">
        <f t="shared" si="15"/>
        <v>4031/4032</v>
      </c>
      <c r="L56" s="27" t="str">
        <f>VLOOKUP(A56,'Trips&amp;Operators'!$C$1:$E$10000,3,FALSE)</f>
        <v>MALAVE</v>
      </c>
      <c r="M56" s="6">
        <f t="shared" si="16"/>
        <v>3.1724537031550426E-2</v>
      </c>
      <c r="N56" s="7">
        <f t="shared" si="2"/>
        <v>45.683333325432613</v>
      </c>
      <c r="O56" s="7"/>
      <c r="P56" s="7"/>
      <c r="Q56" s="28"/>
      <c r="R56" s="28"/>
      <c r="S56" s="46">
        <f t="shared" si="17"/>
        <v>1</v>
      </c>
      <c r="T56" s="72" t="str">
        <f t="shared" si="18"/>
        <v>NorthBound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07:58:20-0600',mode:absolute,to:'2016-07-11 10:45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4.7300000000000002E-2</v>
      </c>
      <c r="Z56" s="100">
        <f t="shared" si="23"/>
        <v>23.3323</v>
      </c>
      <c r="AA56" s="100">
        <f t="shared" si="24"/>
        <v>23.285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0143-11</v>
      </c>
      <c r="AE56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56" s="78" t="str">
        <f t="shared" si="27"/>
        <v>"C:\Program Files (x86)\AstroGrep\AstroGrep.exe" /spath="C:\Users\stu\Documents\Analysis\2016-02-23 RTDC Observations" /stypes="*4031*20160711*"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50" t="s">
        <v>498</v>
      </c>
      <c r="B57" s="7">
        <v>4032</v>
      </c>
      <c r="C57" s="27" t="s">
        <v>59</v>
      </c>
      <c r="D57" s="27" t="s">
        <v>339</v>
      </c>
      <c r="E57" s="17">
        <v>42562.412164351852</v>
      </c>
      <c r="F57" s="17">
        <v>42562.413113425922</v>
      </c>
      <c r="G57" s="7">
        <v>1</v>
      </c>
      <c r="H57" s="17" t="s">
        <v>499</v>
      </c>
      <c r="I57" s="17">
        <v>42562.441516203704</v>
      </c>
      <c r="J57" s="7">
        <v>0</v>
      </c>
      <c r="K57" s="27" t="str">
        <f t="shared" si="15"/>
        <v>4031/4032</v>
      </c>
      <c r="L57" s="27" t="str">
        <f>VLOOKUP(A57,'Trips&amp;Operators'!$C$1:$E$10000,3,FALSE)</f>
        <v>MALAVE</v>
      </c>
      <c r="M57" s="6">
        <f t="shared" si="16"/>
        <v>2.8402777781593613E-2</v>
      </c>
      <c r="N57" s="7">
        <f t="shared" si="2"/>
        <v>40.900000005494803</v>
      </c>
      <c r="O57" s="7"/>
      <c r="P57" s="7"/>
      <c r="Q57" s="28"/>
      <c r="R57" s="28"/>
      <c r="S57" s="46">
        <f t="shared" si="17"/>
        <v>1</v>
      </c>
      <c r="T57" s="72" t="str">
        <f t="shared" si="18"/>
        <v>Southbound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08:53:31-0600',mode:absolute,to:'2016-07-11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23.299299999999999</v>
      </c>
      <c r="Z57" s="100">
        <f t="shared" si="23"/>
        <v>1.6899999999999998E-2</v>
      </c>
      <c r="AA57" s="100">
        <f t="shared" si="24"/>
        <v>23.282399999999999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0144-11</v>
      </c>
      <c r="AE57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57" s="78" t="str">
        <f t="shared" si="27"/>
        <v>"C:\Program Files (x86)\AstroGrep\AstroGrep.exe" /spath="C:\Users\stu\Documents\Analysis\2016-02-23 RTDC Observations" /stypes="*4032*20160711*"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50" t="s">
        <v>500</v>
      </c>
      <c r="B58" s="7">
        <v>4014</v>
      </c>
      <c r="C58" s="27" t="s">
        <v>59</v>
      </c>
      <c r="D58" s="27" t="s">
        <v>70</v>
      </c>
      <c r="E58" s="17">
        <v>42562.381377314814</v>
      </c>
      <c r="F58" s="17">
        <v>42562.382476851853</v>
      </c>
      <c r="G58" s="7">
        <v>1</v>
      </c>
      <c r="H58" s="17" t="s">
        <v>373</v>
      </c>
      <c r="I58" s="17">
        <v>42562.411724537036</v>
      </c>
      <c r="J58" s="7">
        <v>0</v>
      </c>
      <c r="K58" s="27" t="str">
        <f t="shared" si="15"/>
        <v>4013/4014</v>
      </c>
      <c r="L58" s="27" t="str">
        <f>VLOOKUP(A58,'Trips&amp;Operators'!$C$1:$E$10000,3,FALSE)</f>
        <v>ACKERMAN</v>
      </c>
      <c r="M58" s="6">
        <f t="shared" si="16"/>
        <v>2.9247685182781424E-2</v>
      </c>
      <c r="N58" s="7">
        <f t="shared" si="2"/>
        <v>42.116666663205251</v>
      </c>
      <c r="O58" s="7"/>
      <c r="P58" s="7"/>
      <c r="Q58" s="28"/>
      <c r="R58" s="28"/>
      <c r="S58" s="46">
        <f t="shared" si="17"/>
        <v>1</v>
      </c>
      <c r="T58" s="72" t="str">
        <f t="shared" si="18"/>
        <v>NorthBound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08:09:11-0600',mode:absolute,to:'2016-07-11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8" s="77" t="str">
        <f t="shared" si="20"/>
        <v>N</v>
      </c>
      <c r="X58" s="103">
        <f t="shared" si="21"/>
        <v>1</v>
      </c>
      <c r="Y58" s="100">
        <f t="shared" si="22"/>
        <v>4.5699999999999998E-2</v>
      </c>
      <c r="Z58" s="100">
        <f t="shared" si="23"/>
        <v>23.3322</v>
      </c>
      <c r="AA58" s="100">
        <f t="shared" si="24"/>
        <v>23.2865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0145-11</v>
      </c>
      <c r="AE58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58" s="78" t="str">
        <f t="shared" si="27"/>
        <v>"C:\Program Files (x86)\AstroGrep\AstroGrep.exe" /spath="C:\Users\stu\Documents\Analysis\2016-02-23 RTDC Observations" /stypes="*4014*20160711*" /stext=" 15:.+((prompt.+disp)|(slice.+state.+chan)|(ment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50" t="s">
        <v>409</v>
      </c>
      <c r="B59" s="7">
        <v>4013</v>
      </c>
      <c r="C59" s="27" t="s">
        <v>59</v>
      </c>
      <c r="D59" s="27" t="s">
        <v>501</v>
      </c>
      <c r="E59" s="17">
        <v>42562.435810185183</v>
      </c>
      <c r="F59" s="17">
        <v>42562.436608796299</v>
      </c>
      <c r="G59" s="7">
        <v>1</v>
      </c>
      <c r="H59" s="17" t="s">
        <v>502</v>
      </c>
      <c r="I59" s="17">
        <v>42562.452835648146</v>
      </c>
      <c r="J59" s="7">
        <v>0</v>
      </c>
      <c r="K59" s="27" t="str">
        <f t="shared" si="15"/>
        <v>4013/4014</v>
      </c>
      <c r="L59" s="27" t="str">
        <f>VLOOKUP(A59,'Trips&amp;Operators'!$C$1:$E$10000,3,FALSE)</f>
        <v>ACKERMAN</v>
      </c>
      <c r="M59" s="6">
        <f t="shared" si="16"/>
        <v>1.6226851847022772E-2</v>
      </c>
      <c r="N59" s="7"/>
      <c r="O59" s="7"/>
      <c r="P59" s="7">
        <f>24*60*SUM($M59:$M60)</f>
        <v>29.933333331719041</v>
      </c>
      <c r="Q59" s="28"/>
      <c r="R59" s="28" t="s">
        <v>134</v>
      </c>
      <c r="S59" s="46">
        <f t="shared" si="17"/>
        <v>1</v>
      </c>
      <c r="T59" s="72" t="str">
        <f t="shared" si="18"/>
        <v>Southbound</v>
      </c>
      <c r="U59" s="108">
        <f>COUNTIFS(Variables!$M$2:$M$19,IF(T59="NorthBound","&gt;=","&lt;=")&amp;Y59,Variables!$M$2:$M$19,IF(T59="NorthBound","&lt;=","&gt;=")&amp;Z59)</f>
        <v>12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9" s="77" t="str">
        <f t="shared" si="20"/>
        <v>Y</v>
      </c>
      <c r="X59" s="103">
        <f t="shared" si="21"/>
        <v>1</v>
      </c>
      <c r="Y59" s="100">
        <f t="shared" si="22"/>
        <v>12.786099999999999</v>
      </c>
      <c r="Z59" s="100">
        <f t="shared" si="23"/>
        <v>1.6299999999999999E-2</v>
      </c>
      <c r="AA59" s="100">
        <f t="shared" si="24"/>
        <v>12.7698</v>
      </c>
      <c r="AB59" s="97" t="e">
        <f>VLOOKUP(A59,Enforcements!$C$7:$J$23,8,0)</f>
        <v>#N/A</v>
      </c>
      <c r="AC59" s="93" t="e">
        <f>VLOOKUP(A59,Enforcements!$C$7:$E$23,3,0)</f>
        <v>#N/A</v>
      </c>
      <c r="AD59" s="94" t="str">
        <f t="shared" si="25"/>
        <v>0146-11</v>
      </c>
      <c r="AE59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59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50" t="s">
        <v>409</v>
      </c>
      <c r="B60" s="7">
        <v>4013</v>
      </c>
      <c r="C60" s="27" t="s">
        <v>59</v>
      </c>
      <c r="D60" s="27" t="s">
        <v>458</v>
      </c>
      <c r="E60" s="17">
        <v>42562.420659722222</v>
      </c>
      <c r="F60" s="17">
        <v>42562.4218287037</v>
      </c>
      <c r="G60" s="7">
        <v>1</v>
      </c>
      <c r="H60" s="17" t="s">
        <v>503</v>
      </c>
      <c r="I60" s="17">
        <v>42562.426388888889</v>
      </c>
      <c r="J60" s="7">
        <v>0</v>
      </c>
      <c r="K60" s="27" t="str">
        <f t="shared" si="15"/>
        <v>4013/4014</v>
      </c>
      <c r="L60" s="27" t="str">
        <f>VLOOKUP(A60,'Trips&amp;Operators'!$C$1:$E$10000,3,FALSE)</f>
        <v>ACKERMAN</v>
      </c>
      <c r="M60" s="6">
        <f t="shared" si="16"/>
        <v>4.5601851888932288E-3</v>
      </c>
      <c r="N60" s="7"/>
      <c r="O60" s="7"/>
      <c r="P60" s="7"/>
      <c r="Q60" s="28"/>
      <c r="R60" s="28"/>
      <c r="S60" s="46"/>
      <c r="T60" s="72" t="str">
        <f t="shared" si="18"/>
        <v>Southbound</v>
      </c>
      <c r="U60" s="108">
        <f>COUNTIFS(Variables!$M$2:$M$19,IF(T60="NorthBound","&gt;=","&lt;=")&amp;Y60,Variables!$M$2:$M$19,IF(T60="NorthBound","&lt;=","&gt;=")&amp;Z60)</f>
        <v>0</v>
      </c>
      <c r="V6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09:05:45-0600',mode:absolute,to:'2016-07-11 11:14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0" s="77" t="str">
        <f t="shared" si="20"/>
        <v>Y</v>
      </c>
      <c r="X60" s="103">
        <f t="shared" si="21"/>
        <v>0</v>
      </c>
      <c r="Y60" s="100">
        <f t="shared" si="22"/>
        <v>23.2988</v>
      </c>
      <c r="Z60" s="100">
        <f t="shared" si="23"/>
        <v>22.9315</v>
      </c>
      <c r="AA60" s="100">
        <f t="shared" si="24"/>
        <v>0.36730000000000018</v>
      </c>
      <c r="AB60" s="97" t="e">
        <f>VLOOKUP(A60,Enforcements!$C$7:$J$23,8,0)</f>
        <v>#N/A</v>
      </c>
      <c r="AC60" s="93" t="e">
        <f>VLOOKUP(A60,Enforcements!$C$7:$E$23,3,0)</f>
        <v>#N/A</v>
      </c>
      <c r="AD60" s="94" t="str">
        <f t="shared" si="25"/>
        <v>0146-11</v>
      </c>
      <c r="AE60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60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50" t="s">
        <v>504</v>
      </c>
      <c r="B61" s="7">
        <v>4025</v>
      </c>
      <c r="C61" s="27" t="s">
        <v>59</v>
      </c>
      <c r="D61" s="27" t="s">
        <v>257</v>
      </c>
      <c r="E61" s="17">
        <v>42562.391550925924</v>
      </c>
      <c r="F61" s="17">
        <v>42562.392465277779</v>
      </c>
      <c r="G61" s="7">
        <v>1</v>
      </c>
      <c r="H61" s="17" t="s">
        <v>505</v>
      </c>
      <c r="I61" s="17">
        <v>42562.420555555553</v>
      </c>
      <c r="J61" s="7">
        <v>0</v>
      </c>
      <c r="K61" s="27" t="str">
        <f t="shared" si="15"/>
        <v>4025/4026</v>
      </c>
      <c r="L61" s="27" t="str">
        <f>VLOOKUP(A61,'Trips&amp;Operators'!$C$1:$E$10000,3,FALSE)</f>
        <v>BRANNON</v>
      </c>
      <c r="M61" s="6">
        <f t="shared" si="16"/>
        <v>2.8090277774026617E-2</v>
      </c>
      <c r="N61" s="7">
        <f t="shared" si="2"/>
        <v>40.449999994598329</v>
      </c>
      <c r="O61" s="7"/>
      <c r="P61" s="7"/>
      <c r="Q61" s="28"/>
      <c r="R61" s="28"/>
      <c r="S61" s="46">
        <f t="shared" si="17"/>
        <v>1</v>
      </c>
      <c r="T61" s="72" t="str">
        <f t="shared" si="18"/>
        <v>NorthBound</v>
      </c>
      <c r="U61" s="108">
        <f>COUNTIFS(Variables!$M$2:$M$19,IF(T61="NorthBound","&gt;=","&lt;=")&amp;Y61,Variables!$M$2:$M$19,IF(T61="NorthBound","&lt;=","&gt;=")&amp;Z61)</f>
        <v>12</v>
      </c>
      <c r="V6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08:23:50-0600',mode:absolute,to:'2016-07-11 11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77" t="str">
        <f t="shared" si="20"/>
        <v>N</v>
      </c>
      <c r="X61" s="103">
        <f t="shared" si="21"/>
        <v>1</v>
      </c>
      <c r="Y61" s="100">
        <f t="shared" si="22"/>
        <v>4.8800000000000003E-2</v>
      </c>
      <c r="Z61" s="100">
        <f t="shared" si="23"/>
        <v>23.329799999999999</v>
      </c>
      <c r="AA61" s="100">
        <f t="shared" si="24"/>
        <v>23.280999999999999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25"/>
        <v>0147-11</v>
      </c>
      <c r="AE61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61" s="78" t="str">
        <f t="shared" si="27"/>
        <v>"C:\Program Files (x86)\AstroGrep\AstroGrep.exe" /spath="C:\Users\stu\Documents\Analysis\2016-02-23 RTDC Observations" /stypes="*4025*20160711*"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50" t="s">
        <v>506</v>
      </c>
      <c r="B62" s="7">
        <v>4026</v>
      </c>
      <c r="C62" s="27" t="s">
        <v>59</v>
      </c>
      <c r="D62" s="27" t="s">
        <v>221</v>
      </c>
      <c r="E62" s="17">
        <v>42562.432638888888</v>
      </c>
      <c r="F62" s="17">
        <v>42562.434282407405</v>
      </c>
      <c r="G62" s="7">
        <v>2</v>
      </c>
      <c r="H62" s="17" t="s">
        <v>507</v>
      </c>
      <c r="I62" s="17">
        <v>42562.4371875</v>
      </c>
      <c r="J62" s="7">
        <v>0</v>
      </c>
      <c r="K62" s="27" t="str">
        <f t="shared" si="15"/>
        <v>4025/4026</v>
      </c>
      <c r="L62" s="27" t="str">
        <f>VLOOKUP(A62,'Trips&amp;Operators'!$C$1:$E$10000,3,FALSE)</f>
        <v>BRANNON</v>
      </c>
      <c r="M62" s="6">
        <f t="shared" si="16"/>
        <v>2.905092595028691E-3</v>
      </c>
      <c r="N62" s="7"/>
      <c r="O62" s="7"/>
      <c r="P62" s="7">
        <f t="shared" si="2"/>
        <v>4.183333336841315</v>
      </c>
      <c r="Q62" s="28"/>
      <c r="R62" s="28" t="s">
        <v>134</v>
      </c>
      <c r="S62" s="46">
        <f t="shared" si="17"/>
        <v>0</v>
      </c>
      <c r="T62" s="72" t="str">
        <f t="shared" si="18"/>
        <v>Southbound</v>
      </c>
      <c r="U62" s="108">
        <f>COUNTIFS(Variables!$M$2:$M$19,IF(T62="NorthBound","&gt;=","&lt;=")&amp;Y62,Variables!$M$2:$M$19,IF(T62="NorthBound","&lt;=","&gt;=")&amp;Z62)</f>
        <v>0</v>
      </c>
      <c r="V6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09:23:00-0600',mode:absolute,to:'2016-07-11 11:29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77" t="str">
        <f t="shared" si="20"/>
        <v>Y</v>
      </c>
      <c r="X62" s="103">
        <f t="shared" si="21"/>
        <v>1</v>
      </c>
      <c r="Y62" s="100">
        <f t="shared" si="22"/>
        <v>23.299600000000002</v>
      </c>
      <c r="Z62" s="100">
        <f t="shared" si="23"/>
        <v>22.517299999999999</v>
      </c>
      <c r="AA62" s="100">
        <f t="shared" si="24"/>
        <v>0.78230000000000288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25"/>
        <v>0148-11</v>
      </c>
      <c r="AE62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62" s="78" t="str">
        <f t="shared" si="27"/>
        <v>"C:\Program Files (x86)\AstroGrep\AstroGrep.exe" /spath="C:\Users\stu\Documents\Analysis\2016-02-23 RTDC Observations" /stypes="*4026*20160711*"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50" t="s">
        <v>508</v>
      </c>
      <c r="B63" s="7">
        <v>4020</v>
      </c>
      <c r="C63" s="27" t="s">
        <v>59</v>
      </c>
      <c r="D63" s="27" t="s">
        <v>223</v>
      </c>
      <c r="E63" s="17">
        <v>42562.404849537037</v>
      </c>
      <c r="F63" s="17">
        <v>42562.405775462961</v>
      </c>
      <c r="G63" s="7">
        <v>1</v>
      </c>
      <c r="H63" s="17" t="s">
        <v>509</v>
      </c>
      <c r="I63" s="17">
        <v>42562.433425925927</v>
      </c>
      <c r="J63" s="7">
        <v>0</v>
      </c>
      <c r="K63" s="27" t="str">
        <f t="shared" si="15"/>
        <v>4019/4020</v>
      </c>
      <c r="L63" s="27" t="str">
        <f>VLOOKUP(A63,'Trips&amp;Operators'!$C$1:$E$10000,3,FALSE)</f>
        <v>SPECTOR</v>
      </c>
      <c r="M63" s="6">
        <f t="shared" si="16"/>
        <v>2.7650462965539191E-2</v>
      </c>
      <c r="N63" s="7">
        <f t="shared" si="2"/>
        <v>39.816666670376435</v>
      </c>
      <c r="O63" s="7"/>
      <c r="P63" s="7"/>
      <c r="Q63" s="28"/>
      <c r="R63" s="28"/>
      <c r="S63" s="46">
        <f t="shared" si="17"/>
        <v>1</v>
      </c>
      <c r="T63" s="72" t="str">
        <f t="shared" si="18"/>
        <v>NorthBound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08:42:59-0600',mode:absolute,to:'2016-07-11 11:24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3" s="77" t="str">
        <f t="shared" si="20"/>
        <v>N</v>
      </c>
      <c r="X63" s="103">
        <f t="shared" si="21"/>
        <v>1</v>
      </c>
      <c r="Y63" s="100">
        <f t="shared" si="22"/>
        <v>4.8000000000000001E-2</v>
      </c>
      <c r="Z63" s="100">
        <f t="shared" si="23"/>
        <v>23.327000000000002</v>
      </c>
      <c r="AA63" s="100">
        <f t="shared" si="24"/>
        <v>23.279000000000003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25"/>
        <v>0149-11</v>
      </c>
      <c r="AE63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63" s="78" t="str">
        <f t="shared" si="27"/>
        <v>"C:\Program Files (x86)\AstroGrep\AstroGrep.exe" /spath="C:\Users\stu\Documents\Analysis\2016-02-23 RTDC Observations" /stypes="*4020*20160711*" /stext=" 16:.+((prompt.+disp)|(slice.+state.+chan)|(ment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50" t="s">
        <v>510</v>
      </c>
      <c r="B64" s="7">
        <v>4019</v>
      </c>
      <c r="C64" s="27" t="s">
        <v>59</v>
      </c>
      <c r="D64" s="27" t="s">
        <v>337</v>
      </c>
      <c r="E64" s="17">
        <v>42562.442743055559</v>
      </c>
      <c r="F64" s="17">
        <v>42562.443773148145</v>
      </c>
      <c r="G64" s="7">
        <v>1</v>
      </c>
      <c r="H64" s="17" t="s">
        <v>332</v>
      </c>
      <c r="I64" s="17">
        <v>42562.471261574072</v>
      </c>
      <c r="J64" s="7">
        <v>0</v>
      </c>
      <c r="K64" s="27" t="str">
        <f t="shared" si="15"/>
        <v>4019/4020</v>
      </c>
      <c r="L64" s="27" t="str">
        <f>VLOOKUP(A64,'Trips&amp;Operators'!$C$1:$E$10000,3,FALSE)</f>
        <v>SPECTOR</v>
      </c>
      <c r="M64" s="6">
        <f t="shared" si="16"/>
        <v>2.7488425927003846E-2</v>
      </c>
      <c r="N64" s="7">
        <f t="shared" si="2"/>
        <v>39.583333334885538</v>
      </c>
      <c r="O64" s="7"/>
      <c r="P64" s="7"/>
      <c r="Q64" s="28"/>
      <c r="R64" s="28"/>
      <c r="S64" s="46">
        <f t="shared" si="17"/>
        <v>1</v>
      </c>
      <c r="T64" s="72" t="str">
        <f t="shared" si="18"/>
        <v>Southbound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09:37:33-0600',mode:absolute,to:'2016-07-11 12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4" s="77" t="str">
        <f t="shared" si="20"/>
        <v>N</v>
      </c>
      <c r="X64" s="103">
        <f t="shared" si="21"/>
        <v>1</v>
      </c>
      <c r="Y64" s="100">
        <f t="shared" si="22"/>
        <v>23.297499999999999</v>
      </c>
      <c r="Z64" s="100">
        <f t="shared" si="23"/>
        <v>1.38E-2</v>
      </c>
      <c r="AA64" s="100">
        <f t="shared" si="24"/>
        <v>23.2837</v>
      </c>
      <c r="AB64" s="97" t="e">
        <f>VLOOKUP(A64,Enforcements!$C$7:$J$23,8,0)</f>
        <v>#N/A</v>
      </c>
      <c r="AC64" s="93" t="e">
        <f>VLOOKUP(A64,Enforcements!$C$7:$E$23,3,0)</f>
        <v>#N/A</v>
      </c>
      <c r="AD64" s="94" t="str">
        <f t="shared" si="25"/>
        <v>0150-11</v>
      </c>
      <c r="AE64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64" s="78" t="str">
        <f t="shared" si="27"/>
        <v>"C:\Program Files (x86)\AstroGrep\AstroGrep.exe" /spath="C:\Users\stu\Documents\Analysis\2016-02-23 RTDC Observations" /stypes="*4019*20160711*" /stext=" 17:.+((prompt.+disp)|(slice.+state.+chan)|(ment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511</v>
      </c>
      <c r="B65" s="7">
        <v>4018</v>
      </c>
      <c r="C65" s="27" t="s">
        <v>59</v>
      </c>
      <c r="D65" s="27" t="s">
        <v>116</v>
      </c>
      <c r="E65" s="17">
        <v>42562.413124999999</v>
      </c>
      <c r="F65" s="17">
        <v>42562.414178240739</v>
      </c>
      <c r="G65" s="7">
        <v>1</v>
      </c>
      <c r="H65" s="17" t="s">
        <v>377</v>
      </c>
      <c r="I65" s="17">
        <v>42562.441354166665</v>
      </c>
      <c r="J65" s="7">
        <v>0</v>
      </c>
      <c r="K65" s="27" t="str">
        <f t="shared" si="15"/>
        <v>4017/4018</v>
      </c>
      <c r="L65" s="27" t="str">
        <f>VLOOKUP(A65,'Trips&amp;Operators'!$C$1:$E$10000,3,FALSE)</f>
        <v>YORK</v>
      </c>
      <c r="M65" s="6">
        <f t="shared" si="16"/>
        <v>2.7175925926712807E-2</v>
      </c>
      <c r="N65" s="7">
        <f t="shared" si="2"/>
        <v>39.133333334466442</v>
      </c>
      <c r="O65" s="7"/>
      <c r="P65" s="7"/>
      <c r="Q65" s="28"/>
      <c r="R65" s="28"/>
      <c r="S65" s="46">
        <f t="shared" si="17"/>
        <v>1</v>
      </c>
      <c r="T65" s="72" t="str">
        <f t="shared" si="18"/>
        <v>NorthBound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08:54:54-0600',mode:absolute,to:'2016-07-11 11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5" s="77" t="str">
        <f t="shared" si="20"/>
        <v>N</v>
      </c>
      <c r="X65" s="103">
        <f t="shared" si="21"/>
        <v>1</v>
      </c>
      <c r="Y65" s="100">
        <f t="shared" si="22"/>
        <v>4.5100000000000001E-2</v>
      </c>
      <c r="Z65" s="100">
        <f t="shared" si="23"/>
        <v>23.328499999999998</v>
      </c>
      <c r="AA65" s="100">
        <f t="shared" si="24"/>
        <v>23.283399999999997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25"/>
        <v>0151-11</v>
      </c>
      <c r="AE65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65" s="78" t="str">
        <f t="shared" si="27"/>
        <v>"C:\Program Files (x86)\AstroGrep\AstroGrep.exe" /spath="C:\Users\stu\Documents\Analysis\2016-02-23 RTDC Observations" /stypes="*4018*20160711*" /stext=" 16:.+((prompt.+disp)|(slice.+state.+chan)|(ment ac)|(system.+state.+chan)|(\|lc)|(penalty)|(\[timeout))" /e /r /s</v>
      </c>
      <c r="AG65" s="1" t="str">
        <f t="shared" si="28"/>
        <v>EC</v>
      </c>
    </row>
    <row r="66" spans="1:33" x14ac:dyDescent="0.25">
      <c r="A66" s="50" t="s">
        <v>512</v>
      </c>
      <c r="B66" s="7">
        <v>4017</v>
      </c>
      <c r="C66" s="27" t="s">
        <v>59</v>
      </c>
      <c r="D66" s="27" t="s">
        <v>358</v>
      </c>
      <c r="E66" s="17">
        <v>42562.449942129628</v>
      </c>
      <c r="F66" s="17">
        <v>42562.450868055559</v>
      </c>
      <c r="G66" s="7">
        <v>1</v>
      </c>
      <c r="H66" s="17" t="s">
        <v>130</v>
      </c>
      <c r="I66" s="17">
        <v>42562.48065972222</v>
      </c>
      <c r="J66" s="7">
        <v>0</v>
      </c>
      <c r="K66" s="27" t="str">
        <f t="shared" si="15"/>
        <v>4017/4018</v>
      </c>
      <c r="L66" s="27" t="str">
        <f>VLOOKUP(A66,'Trips&amp;Operators'!$C$1:$E$10000,3,FALSE)</f>
        <v>YORK</v>
      </c>
      <c r="M66" s="6">
        <f t="shared" si="16"/>
        <v>2.979166666045785E-2</v>
      </c>
      <c r="N66" s="7">
        <f t="shared" si="2"/>
        <v>42.899999991059303</v>
      </c>
      <c r="O66" s="7"/>
      <c r="P66" s="7"/>
      <c r="Q66" s="28"/>
      <c r="R66" s="28" t="s">
        <v>674</v>
      </c>
      <c r="S66" s="46">
        <f t="shared" si="17"/>
        <v>1</v>
      </c>
      <c r="T66" s="72" t="str">
        <f t="shared" si="18"/>
        <v>Southbound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09:47:55-0600',mode:absolute,to:'2016-07-11 12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6" s="77" t="str">
        <f t="shared" si="20"/>
        <v>N</v>
      </c>
      <c r="X66" s="103">
        <f t="shared" si="21"/>
        <v>1</v>
      </c>
      <c r="Y66" s="100">
        <f t="shared" si="22"/>
        <v>23.296399999999998</v>
      </c>
      <c r="Z66" s="100">
        <f t="shared" si="23"/>
        <v>1.5599999999999999E-2</v>
      </c>
      <c r="AA66" s="100">
        <f t="shared" si="24"/>
        <v>23.280799999999999</v>
      </c>
      <c r="AB66" s="97" t="e">
        <f>VLOOKUP(A66,Enforcements!$C$7:$J$23,8,0)</f>
        <v>#N/A</v>
      </c>
      <c r="AC66" s="93" t="e">
        <f>VLOOKUP(A66,Enforcements!$C$7:$E$23,3,0)</f>
        <v>#N/A</v>
      </c>
      <c r="AD66" s="94" t="str">
        <f t="shared" si="25"/>
        <v>0152-11</v>
      </c>
      <c r="AE66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66" s="78" t="str">
        <f t="shared" si="27"/>
        <v>"C:\Program Files (x86)\AstroGrep\AstroGrep.exe" /spath="C:\Users\stu\Documents\Analysis\2016-02-23 RTDC Observations" /stypes="*4017*20160711*"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50" t="s">
        <v>412</v>
      </c>
      <c r="B67" s="7">
        <v>4016</v>
      </c>
      <c r="C67" s="27" t="s">
        <v>59</v>
      </c>
      <c r="D67" s="27" t="s">
        <v>340</v>
      </c>
      <c r="E67" s="17">
        <v>42562.424490740741</v>
      </c>
      <c r="F67" s="17">
        <v>42562.425335648149</v>
      </c>
      <c r="G67" s="7">
        <v>1</v>
      </c>
      <c r="H67" s="17" t="s">
        <v>513</v>
      </c>
      <c r="I67" s="17">
        <v>42562.452662037038</v>
      </c>
      <c r="J67" s="7">
        <v>1</v>
      </c>
      <c r="K67" s="27" t="str">
        <f t="shared" si="15"/>
        <v>4015/4016</v>
      </c>
      <c r="L67" s="27" t="str">
        <f>VLOOKUP(A67,'Trips&amp;Operators'!$C$1:$E$10000,3,FALSE)</f>
        <v>STARKS</v>
      </c>
      <c r="M67" s="6">
        <f t="shared" si="16"/>
        <v>2.73263888884685E-2</v>
      </c>
      <c r="N67" s="7">
        <f t="shared" si="2"/>
        <v>39.34999999939464</v>
      </c>
      <c r="O67" s="7"/>
      <c r="P67" s="7"/>
      <c r="Q67" s="28"/>
      <c r="R67" s="28"/>
      <c r="S67" s="46">
        <f t="shared" si="17"/>
        <v>1</v>
      </c>
      <c r="T67" s="72" t="str">
        <f t="shared" si="18"/>
        <v>NorthBound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7" s="77" t="str">
        <f t="shared" si="20"/>
        <v>N</v>
      </c>
      <c r="X67" s="103">
        <f t="shared" si="21"/>
        <v>1</v>
      </c>
      <c r="Y67" s="100">
        <f t="shared" si="22"/>
        <v>4.7800000000000002E-2</v>
      </c>
      <c r="Z67" s="100">
        <f t="shared" si="23"/>
        <v>23.3188</v>
      </c>
      <c r="AA67" s="100">
        <f t="shared" si="24"/>
        <v>23.271000000000001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25"/>
        <v>0153-11</v>
      </c>
      <c r="AE67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67" s="78" t="str">
        <f t="shared" si="27"/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AG67" s="1" t="str">
        <f t="shared" si="28"/>
        <v>EC</v>
      </c>
    </row>
    <row r="68" spans="1:33" s="26" customFormat="1" x14ac:dyDescent="0.25">
      <c r="A68" s="50" t="s">
        <v>514</v>
      </c>
      <c r="B68" s="7">
        <v>4015</v>
      </c>
      <c r="C68" s="27" t="s">
        <v>59</v>
      </c>
      <c r="D68" s="27" t="s">
        <v>515</v>
      </c>
      <c r="E68" s="17">
        <v>42562.465115740742</v>
      </c>
      <c r="F68" s="17">
        <v>42562.46603009259</v>
      </c>
      <c r="G68" s="7">
        <v>1</v>
      </c>
      <c r="H68" s="17" t="s">
        <v>71</v>
      </c>
      <c r="I68" s="17">
        <v>42562.492997685185</v>
      </c>
      <c r="J68" s="7">
        <v>0</v>
      </c>
      <c r="K68" s="27" t="str">
        <f t="shared" si="15"/>
        <v>4015/4016</v>
      </c>
      <c r="L68" s="27" t="str">
        <f>VLOOKUP(A68,'Trips&amp;Operators'!$C$1:$E$10000,3,FALSE)</f>
        <v>STARKS</v>
      </c>
      <c r="M68" s="6">
        <f t="shared" si="16"/>
        <v>2.6967592595610768E-2</v>
      </c>
      <c r="N68" s="7">
        <f t="shared" si="2"/>
        <v>38.833333337679505</v>
      </c>
      <c r="O68" s="7"/>
      <c r="P68" s="7"/>
      <c r="Q68" s="28"/>
      <c r="R68" s="28"/>
      <c r="S68" s="46">
        <f t="shared" si="17"/>
        <v>1</v>
      </c>
      <c r="T68" s="72" t="str">
        <f t="shared" si="18"/>
        <v>Southbound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10:09:46-0600',mode:absolute,to:'2016-07-11 12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8" s="77" t="str">
        <f t="shared" si="20"/>
        <v>N</v>
      </c>
      <c r="X68" s="103">
        <f t="shared" si="21"/>
        <v>1</v>
      </c>
      <c r="Y68" s="100">
        <f t="shared" si="22"/>
        <v>23.286899999999999</v>
      </c>
      <c r="Z68" s="100">
        <f t="shared" si="23"/>
        <v>1.49E-2</v>
      </c>
      <c r="AA68" s="100">
        <f t="shared" si="24"/>
        <v>23.271999999999998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25"/>
        <v>0154-11</v>
      </c>
      <c r="AE68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68" s="78" t="str">
        <f t="shared" si="27"/>
        <v>"C:\Program Files (x86)\AstroGrep\AstroGrep.exe" /spath="C:\Users\stu\Documents\Analysis\2016-02-23 RTDC Observations" /stypes="*4015*20160711*"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50" t="s">
        <v>516</v>
      </c>
      <c r="B69" s="7">
        <v>4009</v>
      </c>
      <c r="C69" s="27" t="s">
        <v>59</v>
      </c>
      <c r="D69" s="27" t="s">
        <v>355</v>
      </c>
      <c r="E69" s="17">
        <v>42562.433379629627</v>
      </c>
      <c r="F69" s="17">
        <v>42562.436597222222</v>
      </c>
      <c r="G69" s="7">
        <v>4</v>
      </c>
      <c r="H69" s="17" t="s">
        <v>328</v>
      </c>
      <c r="I69" s="17">
        <v>42562.462488425925</v>
      </c>
      <c r="J69" s="7">
        <v>0</v>
      </c>
      <c r="K69" s="27" t="str">
        <f t="shared" si="15"/>
        <v>4009/4010</v>
      </c>
      <c r="L69" s="27" t="str">
        <f>VLOOKUP(A69,'Trips&amp;Operators'!$C$1:$E$10000,3,FALSE)</f>
        <v>DAVIS</v>
      </c>
      <c r="M69" s="6">
        <f t="shared" si="16"/>
        <v>2.5891203702485655E-2</v>
      </c>
      <c r="N69" s="7">
        <f t="shared" si="2"/>
        <v>37.283333331579342</v>
      </c>
      <c r="O69" s="7"/>
      <c r="P69" s="7"/>
      <c r="Q69" s="28"/>
      <c r="R69" s="28"/>
      <c r="S69" s="46">
        <f t="shared" si="17"/>
        <v>1</v>
      </c>
      <c r="T69" s="72" t="str">
        <f t="shared" si="18"/>
        <v>NorthBound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09:24:04-0600',mode:absolute,to:'2016-07-11 12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9" s="77" t="str">
        <f t="shared" si="20"/>
        <v>N</v>
      </c>
      <c r="X69" s="103">
        <f t="shared" si="21"/>
        <v>1</v>
      </c>
      <c r="Y69" s="100">
        <f t="shared" si="22"/>
        <v>4.4699999999999997E-2</v>
      </c>
      <c r="Z69" s="100">
        <f t="shared" si="23"/>
        <v>23.331399999999999</v>
      </c>
      <c r="AA69" s="100">
        <f t="shared" si="24"/>
        <v>23.2867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25"/>
        <v>0155-11</v>
      </c>
      <c r="AE69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69" s="78" t="str">
        <f t="shared" si="27"/>
        <v>"C:\Program Files (x86)\AstroGrep\AstroGrep.exe" /spath="C:\Users\stu\Documents\Analysis\2016-02-23 RTDC Observations" /stypes="*4009*20160711*" /stext=" 17:.+((prompt.+disp)|(slice.+state.+chan)|(ment ac)|(system.+state.+chan)|(\|lc)|(penalty)|(\[timeout))" /e /r /s</v>
      </c>
      <c r="AG69" s="1" t="str">
        <f t="shared" si="28"/>
        <v>EC</v>
      </c>
    </row>
    <row r="70" spans="1:33" s="26" customFormat="1" x14ac:dyDescent="0.25">
      <c r="A70" s="50" t="s">
        <v>517</v>
      </c>
      <c r="B70" s="7">
        <v>4010</v>
      </c>
      <c r="C70" s="27" t="s">
        <v>59</v>
      </c>
      <c r="D70" s="27" t="s">
        <v>333</v>
      </c>
      <c r="E70" s="17">
        <v>42562.474328703705</v>
      </c>
      <c r="F70" s="17">
        <v>42562.475243055553</v>
      </c>
      <c r="G70" s="7">
        <v>1</v>
      </c>
      <c r="H70" s="17" t="s">
        <v>309</v>
      </c>
      <c r="I70" s="17">
        <v>42562.502245370371</v>
      </c>
      <c r="J70" s="7">
        <v>0</v>
      </c>
      <c r="K70" s="27" t="str">
        <f t="shared" si="15"/>
        <v>4009/4010</v>
      </c>
      <c r="L70" s="27" t="str">
        <f>VLOOKUP(A70,'Trips&amp;Operators'!$C$1:$E$10000,3,FALSE)</f>
        <v>DAVIS</v>
      </c>
      <c r="M70" s="6">
        <f t="shared" si="16"/>
        <v>2.7002314818673767E-2</v>
      </c>
      <c r="N70" s="7">
        <f t="shared" si="2"/>
        <v>38.883333338890225</v>
      </c>
      <c r="O70" s="7"/>
      <c r="P70" s="7"/>
      <c r="Q70" s="28"/>
      <c r="R70" s="28"/>
      <c r="S70" s="46">
        <f t="shared" si="17"/>
        <v>1</v>
      </c>
      <c r="T70" s="72" t="str">
        <f t="shared" si="18"/>
        <v>Southbound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10:23:02-0600',mode:absolute,to:'2016-07-11 13:03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0" s="77" t="str">
        <f t="shared" si="20"/>
        <v>N</v>
      </c>
      <c r="X70" s="103">
        <f t="shared" si="21"/>
        <v>1</v>
      </c>
      <c r="Y70" s="100">
        <f t="shared" si="22"/>
        <v>23.3</v>
      </c>
      <c r="Z70" s="100">
        <f t="shared" si="23"/>
        <v>1.54E-2</v>
      </c>
      <c r="AA70" s="100">
        <f t="shared" si="24"/>
        <v>23.284600000000001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25"/>
        <v>0156-11</v>
      </c>
      <c r="AE70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70" s="78" t="str">
        <f t="shared" si="27"/>
        <v>"C:\Program Files (x86)\AstroGrep\AstroGrep.exe" /spath="C:\Users\stu\Documents\Analysis\2016-02-23 RTDC Observations" /stypes="*4010*20160711*" /stext=" 18:.+((prompt.+disp)|(slice.+state.+chan)|(ment ac)|(system.+state.+chan)|(\|lc)|(penalty)|(\[timeout))" /e /r /s</v>
      </c>
      <c r="AG70" s="1" t="str">
        <f t="shared" si="28"/>
        <v>EC</v>
      </c>
    </row>
    <row r="71" spans="1:33" x14ac:dyDescent="0.25">
      <c r="A71" s="50" t="s">
        <v>518</v>
      </c>
      <c r="B71" s="7">
        <v>4031</v>
      </c>
      <c r="C71" s="27" t="s">
        <v>59</v>
      </c>
      <c r="D71" s="27" t="s">
        <v>223</v>
      </c>
      <c r="E71" s="17">
        <v>42562.447210648148</v>
      </c>
      <c r="F71" s="17">
        <v>42562.448009259257</v>
      </c>
      <c r="G71" s="7">
        <v>1</v>
      </c>
      <c r="H71" s="17" t="s">
        <v>330</v>
      </c>
      <c r="I71" s="17">
        <v>42562.473530092589</v>
      </c>
      <c r="J71" s="7">
        <v>0</v>
      </c>
      <c r="K71" s="27" t="str">
        <f t="shared" si="15"/>
        <v>4031/4032</v>
      </c>
      <c r="L71" s="27" t="str">
        <f>VLOOKUP(A71,'Trips&amp;Operators'!$C$1:$E$10000,3,FALSE)</f>
        <v>MALAVE</v>
      </c>
      <c r="M71" s="6">
        <f t="shared" si="16"/>
        <v>2.5520833332848269E-2</v>
      </c>
      <c r="N71" s="7">
        <f t="shared" si="2"/>
        <v>36.749999999301508</v>
      </c>
      <c r="O71" s="7"/>
      <c r="P71" s="7"/>
      <c r="Q71" s="28"/>
      <c r="R71" s="28"/>
      <c r="S71" s="46">
        <f t="shared" si="17"/>
        <v>1</v>
      </c>
      <c r="T71" s="72" t="str">
        <f t="shared" si="18"/>
        <v>NorthBound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09:43:59-0600',mode:absolute,to:'2016-07-11 12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1" s="77" t="str">
        <f t="shared" si="20"/>
        <v>N</v>
      </c>
      <c r="X71" s="103">
        <f t="shared" si="21"/>
        <v>1</v>
      </c>
      <c r="Y71" s="100">
        <f t="shared" si="22"/>
        <v>4.8000000000000001E-2</v>
      </c>
      <c r="Z71" s="100">
        <f t="shared" si="23"/>
        <v>23.328800000000001</v>
      </c>
      <c r="AA71" s="100">
        <f t="shared" si="24"/>
        <v>23.280800000000003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25"/>
        <v>0157-11</v>
      </c>
      <c r="AE71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71" s="78" t="str">
        <f t="shared" si="27"/>
        <v>"C:\Program Files (x86)\AstroGrep\AstroGrep.exe" /spath="C:\Users\stu\Documents\Analysis\2016-02-23 RTDC Observations" /stypes="*4031*20160711*" /stext=" 17:.+((prompt.+disp)|(slice.+state.+chan)|(ment ac)|(system.+state.+chan)|(\|lc)|(penalty)|(\[timeout))" /e /r /s</v>
      </c>
      <c r="AG71" s="1" t="str">
        <f t="shared" si="28"/>
        <v>EC</v>
      </c>
    </row>
    <row r="72" spans="1:33" s="26" customFormat="1" x14ac:dyDescent="0.25">
      <c r="A72" s="50" t="s">
        <v>413</v>
      </c>
      <c r="B72" s="7">
        <v>4032</v>
      </c>
      <c r="C72" s="27" t="s">
        <v>59</v>
      </c>
      <c r="D72" s="27" t="s">
        <v>334</v>
      </c>
      <c r="E72" s="17">
        <v>42562.485497685186</v>
      </c>
      <c r="F72" s="17">
        <v>42562.486192129632</v>
      </c>
      <c r="G72" s="7">
        <v>1</v>
      </c>
      <c r="H72" s="17" t="s">
        <v>61</v>
      </c>
      <c r="I72" s="17">
        <v>42562.51353009259</v>
      </c>
      <c r="J72" s="7">
        <v>1</v>
      </c>
      <c r="K72" s="27" t="str">
        <f t="shared" si="15"/>
        <v>4031/4032</v>
      </c>
      <c r="L72" s="27" t="str">
        <f>VLOOKUP(A72,'Trips&amp;Operators'!$C$1:$E$10000,3,FALSE)</f>
        <v>MALAVE</v>
      </c>
      <c r="M72" s="6">
        <f t="shared" si="16"/>
        <v>2.7337962957972195E-2</v>
      </c>
      <c r="N72" s="7">
        <f t="shared" si="2"/>
        <v>39.366666659479961</v>
      </c>
      <c r="O72" s="7"/>
      <c r="P72" s="7"/>
      <c r="Q72" s="28"/>
      <c r="R72" s="28"/>
      <c r="S72" s="46">
        <f t="shared" si="17"/>
        <v>1</v>
      </c>
      <c r="T72" s="72" t="str">
        <f t="shared" si="18"/>
        <v>Southbound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2" s="77" t="str">
        <f t="shared" si="20"/>
        <v>N</v>
      </c>
      <c r="X72" s="103">
        <f t="shared" si="21"/>
        <v>1</v>
      </c>
      <c r="Y72" s="100">
        <f t="shared" si="22"/>
        <v>23.295300000000001</v>
      </c>
      <c r="Z72" s="100">
        <f t="shared" si="23"/>
        <v>1.52E-2</v>
      </c>
      <c r="AA72" s="100">
        <f t="shared" si="24"/>
        <v>23.280100000000001</v>
      </c>
      <c r="AB72" s="97" t="e">
        <f>VLOOKUP(A72,Enforcements!$C$7:$J$23,8,0)</f>
        <v>#N/A</v>
      </c>
      <c r="AC72" s="93" t="e">
        <f>VLOOKUP(A72,Enforcements!$C$7:$E$23,3,0)</f>
        <v>#N/A</v>
      </c>
      <c r="AD72" s="94" t="str">
        <f t="shared" si="25"/>
        <v>0158-11</v>
      </c>
      <c r="AE72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72" s="78" t="str">
        <f t="shared" si="27"/>
        <v>"C:\Program Files (x86)\AstroGrep\AstroGrep.exe" /spath="C:\Users\stu\Documents\Analysis\2016-02-23 RTDC Observations" /stypes="*4032*20160711*" /stext=" 18:.+((prompt.+disp)|(slice.+state.+chan)|(ment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50" t="s">
        <v>519</v>
      </c>
      <c r="B73" s="7">
        <v>4014</v>
      </c>
      <c r="C73" s="27" t="s">
        <v>59</v>
      </c>
      <c r="D73" s="27" t="s">
        <v>367</v>
      </c>
      <c r="E73" s="17">
        <v>42562.45548611111</v>
      </c>
      <c r="F73" s="17">
        <v>42562.456608796296</v>
      </c>
      <c r="G73" s="7">
        <v>1</v>
      </c>
      <c r="H73" s="17" t="s">
        <v>520</v>
      </c>
      <c r="I73" s="17">
        <v>42562.483530092592</v>
      </c>
      <c r="J73" s="7">
        <v>0</v>
      </c>
      <c r="K73" s="27" t="str">
        <f t="shared" si="15"/>
        <v>4013/4014</v>
      </c>
      <c r="L73" s="27" t="str">
        <f>VLOOKUP(A73,'Trips&amp;Operators'!$C$1:$E$10000,3,FALSE)</f>
        <v>STEWART</v>
      </c>
      <c r="M73" s="6">
        <f t="shared" si="16"/>
        <v>2.6921296295768116E-2</v>
      </c>
      <c r="N73" s="7">
        <f t="shared" si="2"/>
        <v>38.766666665906087</v>
      </c>
      <c r="O73" s="7"/>
      <c r="P73" s="7"/>
      <c r="Q73" s="28"/>
      <c r="R73" s="28"/>
      <c r="S73" s="46">
        <f t="shared" si="17"/>
        <v>1</v>
      </c>
      <c r="T73" s="72" t="str">
        <f t="shared" si="18"/>
        <v>NorthBound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09:55:54-0600',mode:absolute,to:'2016-07-11 12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3" s="77" t="str">
        <f t="shared" si="20"/>
        <v>N</v>
      </c>
      <c r="X73" s="103">
        <f t="shared" si="21"/>
        <v>1</v>
      </c>
      <c r="Y73" s="100">
        <f t="shared" si="22"/>
        <v>4.4400000000000002E-2</v>
      </c>
      <c r="Z73" s="100">
        <f t="shared" si="23"/>
        <v>23.331499999999998</v>
      </c>
      <c r="AA73" s="100">
        <f t="shared" si="24"/>
        <v>23.287099999999999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25"/>
        <v>0159-11</v>
      </c>
      <c r="AE73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73" s="78" t="str">
        <f t="shared" si="27"/>
        <v>"C:\Program Files (x86)\AstroGrep\AstroGrep.exe" /spath="C:\Users\stu\Documents\Analysis\2016-02-23 RTDC Observations" /stypes="*4014*20160711*" /stext=" 17:.+((prompt.+disp)|(slice.+state.+chan)|(ment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50" t="s">
        <v>521</v>
      </c>
      <c r="B74" s="7">
        <v>4013</v>
      </c>
      <c r="C74" s="27" t="s">
        <v>59</v>
      </c>
      <c r="D74" s="27" t="s">
        <v>339</v>
      </c>
      <c r="E74" s="17">
        <v>42562.491805555554</v>
      </c>
      <c r="F74" s="17">
        <v>42562.493194444447</v>
      </c>
      <c r="G74" s="7">
        <v>1</v>
      </c>
      <c r="H74" s="17" t="s">
        <v>310</v>
      </c>
      <c r="I74" s="17">
        <v>42562.523194444446</v>
      </c>
      <c r="J74" s="7">
        <v>0</v>
      </c>
      <c r="K74" s="27" t="str">
        <f t="shared" si="15"/>
        <v>4013/4014</v>
      </c>
      <c r="L74" s="27" t="str">
        <f>VLOOKUP(A74,'Trips&amp;Operators'!$C$1:$E$10000,3,FALSE)</f>
        <v>STEWART</v>
      </c>
      <c r="M74" s="6">
        <f t="shared" si="16"/>
        <v>2.9999999998835847E-2</v>
      </c>
      <c r="N74" s="7">
        <f t="shared" si="2"/>
        <v>43.199999998323619</v>
      </c>
      <c r="O74" s="7"/>
      <c r="P74" s="7"/>
      <c r="Q74" s="28"/>
      <c r="R74" s="28"/>
      <c r="S74" s="46">
        <f t="shared" si="17"/>
        <v>1</v>
      </c>
      <c r="T74" s="72" t="str">
        <f t="shared" si="18"/>
        <v>Southbound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10:48:12-0600',mode:absolute,to:'2016-07-11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4" s="77" t="str">
        <f t="shared" si="20"/>
        <v>N</v>
      </c>
      <c r="X74" s="103">
        <f t="shared" si="21"/>
        <v>1</v>
      </c>
      <c r="Y74" s="100">
        <f t="shared" si="22"/>
        <v>23.299299999999999</v>
      </c>
      <c r="Z74" s="100">
        <f t="shared" si="23"/>
        <v>1.4999999999999999E-2</v>
      </c>
      <c r="AA74" s="100">
        <f t="shared" si="24"/>
        <v>23.284299999999998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25"/>
        <v>0160-11</v>
      </c>
      <c r="AE74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74" s="78" t="str">
        <f t="shared" si="27"/>
        <v>"C:\Program Files (x86)\AstroGrep\AstroGrep.exe" /spath="C:\Users\stu\Documents\Analysis\2016-02-23 RTDC Observations" /stypes="*4013*20160711*"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50" t="s">
        <v>522</v>
      </c>
      <c r="B75" s="7">
        <v>4025</v>
      </c>
      <c r="C75" s="27" t="s">
        <v>59</v>
      </c>
      <c r="D75" s="27" t="s">
        <v>355</v>
      </c>
      <c r="E75" s="17">
        <v>42562.462592592594</v>
      </c>
      <c r="F75" s="17">
        <v>42562.464108796295</v>
      </c>
      <c r="G75" s="7">
        <v>2</v>
      </c>
      <c r="H75" s="17" t="s">
        <v>523</v>
      </c>
      <c r="I75" s="17">
        <v>42562.494293981479</v>
      </c>
      <c r="J75" s="7">
        <v>0</v>
      </c>
      <c r="K75" s="27" t="str">
        <f t="shared" si="15"/>
        <v>4025/4026</v>
      </c>
      <c r="L75" s="27" t="str">
        <f>VLOOKUP(A75,'Trips&amp;Operators'!$C$1:$E$10000,3,FALSE)</f>
        <v>BARTLETT</v>
      </c>
      <c r="M75" s="6">
        <f t="shared" si="16"/>
        <v>3.0185185183654539E-2</v>
      </c>
      <c r="N75" s="7">
        <f t="shared" si="2"/>
        <v>43.466666664462537</v>
      </c>
      <c r="O75" s="7"/>
      <c r="P75" s="7"/>
      <c r="Q75" s="28"/>
      <c r="R75" s="28"/>
      <c r="S75" s="46">
        <f t="shared" si="17"/>
        <v>1</v>
      </c>
      <c r="T75" s="72" t="str">
        <f t="shared" si="18"/>
        <v>NorthBound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10:06:08-0600',mode:absolute,to:'2016-07-11 12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5" s="77" t="str">
        <f t="shared" si="20"/>
        <v>N</v>
      </c>
      <c r="X75" s="103">
        <f t="shared" si="21"/>
        <v>1</v>
      </c>
      <c r="Y75" s="100">
        <f t="shared" si="22"/>
        <v>4.4699999999999997E-2</v>
      </c>
      <c r="Z75" s="100">
        <f t="shared" si="23"/>
        <v>23.328399999999998</v>
      </c>
      <c r="AA75" s="100">
        <f t="shared" si="24"/>
        <v>23.2837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25"/>
        <v>0161-11</v>
      </c>
      <c r="AE75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75" s="78" t="str">
        <f t="shared" si="27"/>
        <v>"C:\Program Files (x86)\AstroGrep\AstroGrep.exe" /spath="C:\Users\stu\Documents\Analysis\2016-02-23 RTDC Observations" /stypes="*4025*20160711*" /stext=" 17:.+((prompt.+disp)|(slice.+state.+chan)|(ment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50" t="s">
        <v>524</v>
      </c>
      <c r="B76" s="7">
        <v>4026</v>
      </c>
      <c r="C76" s="27" t="s">
        <v>59</v>
      </c>
      <c r="D76" s="27" t="s">
        <v>318</v>
      </c>
      <c r="E76" s="17">
        <v>42562.50172453704</v>
      </c>
      <c r="F76" s="17">
        <v>42562.502951388888</v>
      </c>
      <c r="G76" s="7">
        <v>1</v>
      </c>
      <c r="H76" s="17" t="s">
        <v>130</v>
      </c>
      <c r="I76" s="17">
        <v>42562.534537037034</v>
      </c>
      <c r="J76" s="7">
        <v>0</v>
      </c>
      <c r="K76" s="27" t="str">
        <f t="shared" si="15"/>
        <v>4025/4026</v>
      </c>
      <c r="L76" s="27" t="str">
        <f>VLOOKUP(A76,'Trips&amp;Operators'!$C$1:$E$10000,3,FALSE)</f>
        <v>BARTLETT</v>
      </c>
      <c r="M76" s="6">
        <f t="shared" si="16"/>
        <v>3.1585648146574385E-2</v>
      </c>
      <c r="N76" s="7">
        <f t="shared" ref="N76:P139" si="29">24*60*SUM($M76:$M76)</f>
        <v>45.483333331067115</v>
      </c>
      <c r="O76" s="7"/>
      <c r="P76" s="7"/>
      <c r="Q76" s="28"/>
      <c r="R76" s="28"/>
      <c r="S76" s="46">
        <f t="shared" si="17"/>
        <v>1</v>
      </c>
      <c r="T76" s="72" t="str">
        <f t="shared" si="18"/>
        <v>Southbound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11:02:29-0600',mode:absolute,to:'2016-07-11 13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6" s="77" t="str">
        <f t="shared" si="20"/>
        <v>N</v>
      </c>
      <c r="X76" s="103">
        <f t="shared" si="21"/>
        <v>1</v>
      </c>
      <c r="Y76" s="100">
        <f t="shared" si="22"/>
        <v>23.2973</v>
      </c>
      <c r="Z76" s="100">
        <f t="shared" si="23"/>
        <v>1.5599999999999999E-2</v>
      </c>
      <c r="AA76" s="100">
        <f t="shared" si="24"/>
        <v>23.281700000000001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25"/>
        <v>0162-11</v>
      </c>
      <c r="AE76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76" s="78" t="str">
        <f t="shared" si="27"/>
        <v>"C:\Program Files (x86)\AstroGrep\AstroGrep.exe" /spath="C:\Users\stu\Documents\Analysis\2016-02-23 RTDC Observations" /stypes="*4026*20160711*"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50" t="s">
        <v>525</v>
      </c>
      <c r="B77" s="7">
        <v>4020</v>
      </c>
      <c r="C77" s="27" t="s">
        <v>59</v>
      </c>
      <c r="D77" s="27" t="s">
        <v>258</v>
      </c>
      <c r="E77" s="17">
        <v>42562.47314814815</v>
      </c>
      <c r="F77" s="17">
        <v>42562.475486111114</v>
      </c>
      <c r="G77" s="7">
        <v>3</v>
      </c>
      <c r="H77" s="17" t="s">
        <v>366</v>
      </c>
      <c r="I77" s="17">
        <v>42562.505277777775</v>
      </c>
      <c r="J77" s="7">
        <v>0</v>
      </c>
      <c r="K77" s="27" t="str">
        <f t="shared" si="15"/>
        <v>4019/4020</v>
      </c>
      <c r="L77" s="27" t="str">
        <f>VLOOKUP(A77,'Trips&amp;Operators'!$C$1:$E$10000,3,FALSE)</f>
        <v>SHOOK</v>
      </c>
      <c r="M77" s="6">
        <f t="shared" si="16"/>
        <v>2.979166666045785E-2</v>
      </c>
      <c r="N77" s="7">
        <f t="shared" si="29"/>
        <v>42.899999991059303</v>
      </c>
      <c r="O77" s="7"/>
      <c r="P77" s="7"/>
      <c r="Q77" s="28"/>
      <c r="R77" s="28"/>
      <c r="S77" s="46">
        <f t="shared" si="17"/>
        <v>1</v>
      </c>
      <c r="T77" s="72" t="str">
        <f t="shared" si="18"/>
        <v>NorthBound</v>
      </c>
      <c r="U77" s="108">
        <f>COUNTIFS(Variables!$M$2:$M$19,IF(T77="NorthBound","&gt;=","&lt;=")&amp;Y77,Variables!$M$2:$M$19,IF(T77="NorthBound","&lt;=","&gt;=")&amp;Z77)</f>
        <v>12</v>
      </c>
      <c r="V7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10:21:20-0600',mode:absolute,to:'2016-07-11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7" s="77" t="str">
        <f t="shared" si="20"/>
        <v>N</v>
      </c>
      <c r="X77" s="103">
        <f t="shared" si="21"/>
        <v>1</v>
      </c>
      <c r="Y77" s="100">
        <f t="shared" si="22"/>
        <v>4.53E-2</v>
      </c>
      <c r="Z77" s="100">
        <f t="shared" si="23"/>
        <v>23.333200000000001</v>
      </c>
      <c r="AA77" s="100">
        <f t="shared" si="24"/>
        <v>23.2879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si="25"/>
        <v>0163-11</v>
      </c>
      <c r="AE77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77" s="78" t="str">
        <f t="shared" si="27"/>
        <v>"C:\Program Files (x86)\AstroGrep\AstroGrep.exe" /spath="C:\Users\stu\Documents\Analysis\2016-02-23 RTDC Observations" /stypes="*4020*20160711*" /stext=" 18:.+((prompt.+disp)|(slice.+state.+chan)|(ment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50" t="s">
        <v>417</v>
      </c>
      <c r="B78" s="7">
        <v>4019</v>
      </c>
      <c r="C78" s="27" t="s">
        <v>59</v>
      </c>
      <c r="D78" s="27" t="s">
        <v>526</v>
      </c>
      <c r="E78" s="17">
        <v>42562.507511574076</v>
      </c>
      <c r="F78" s="17">
        <v>42562.508796296293</v>
      </c>
      <c r="G78" s="7">
        <v>1</v>
      </c>
      <c r="H78" s="17" t="s">
        <v>468</v>
      </c>
      <c r="I78" s="17">
        <v>42562.544374999998</v>
      </c>
      <c r="J78" s="7">
        <v>1</v>
      </c>
      <c r="K78" s="27" t="str">
        <f t="shared" ref="K78:K141" si="30">IF(ISEVEN(B78),(B78-1)&amp;"/"&amp;B78,B78&amp;"/"&amp;(B78+1))</f>
        <v>4019/4020</v>
      </c>
      <c r="L78" s="27" t="str">
        <f>VLOOKUP(A78,'Trips&amp;Operators'!$C$1:$E$10000,3,FALSE)</f>
        <v>SHOOK</v>
      </c>
      <c r="M78" s="6">
        <f t="shared" ref="M78:M141" si="31">I78-F78</f>
        <v>3.5578703704231884E-2</v>
      </c>
      <c r="N78" s="7">
        <f t="shared" si="29"/>
        <v>51.233333334093913</v>
      </c>
      <c r="O78" s="7"/>
      <c r="P78" s="7"/>
      <c r="Q78" s="28"/>
      <c r="R78" s="28"/>
      <c r="S78" s="46">
        <f t="shared" ref="S78:S141" si="32">SUM(U78:U78)/12</f>
        <v>1</v>
      </c>
      <c r="T78" s="72" t="str">
        <f t="shared" ref="T78:T141" si="33">IF(ISEVEN(LEFT(A78,3)),"Southbound","NorthBound")</f>
        <v>Southbound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ref="V78:V141" si="34">"https://search-rtdc-monitor-bjffxe2xuh6vdkpspy63sjmuny.us-east-1.es.amazonaws.com/_plugin/kibana/#/discover/Steve-Slow-Train-Analysis-(2080s-and-2083s)?_g=(refreshInterval:(display:Off,section:0,value:0),time:(from:'"&amp;TEXT(E78-1/24,"yyyy-MM-DD hh:mm:ss")&amp;"-0600',mode:absolute,to:'"&amp;TEXT(I78+1/24,"yyyy-MM-DD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8" s="77" t="str">
        <f t="shared" ref="W78:W141" si="35">IF(AA78&lt;23,"Y","N")</f>
        <v>N</v>
      </c>
      <c r="X78" s="103">
        <f t="shared" ref="X78:X141" si="36">VALUE(LEFT(A78,3))-VALUE(LEFT(A77,3))</f>
        <v>1</v>
      </c>
      <c r="Y78" s="100">
        <f t="shared" ref="Y78:Y141" si="37">RIGHT(D78,LEN(D78)-4)/10000</f>
        <v>23.302099999999999</v>
      </c>
      <c r="Z78" s="100">
        <f t="shared" ref="Z78:Z141" si="38">RIGHT(H78,LEN(H78)-4)/10000</f>
        <v>1.7000000000000001E-2</v>
      </c>
      <c r="AA78" s="100">
        <f t="shared" ref="AA78:AA141" si="39">ABS(Z78-Y78)</f>
        <v>23.2851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ref="AD78:AD141" si="40">IF(LEN(A78)=6,"0"&amp;A78,A78)</f>
        <v>0164-11</v>
      </c>
      <c r="AE78" s="78" t="str">
        <f t="shared" ref="AE78:AE141" si="41">"aws s3 cp "&amp;s3_bucket&amp;"/RTDC"&amp;B78&amp;"/"&amp;TEXT(F78,"YYYY-MM-DD")&amp;"/ "&amp;search_path&amp;"\RTDC"&amp;B78&amp;"\"&amp;TEXT(F78,"YYYY-MM-DD")&amp;" --recursive &amp; """&amp;walkandungz&amp;""" "&amp;search_path&amp;"\RTDC"&amp;B78&amp;"\"&amp;TEXT(F78,"YYYY-MM-DD")
&amp;" &amp; "&amp;"aws s3 cp "&amp;s3_bucket&amp;"/RTDC"&amp;B78&amp;"/"&amp;TEXT(F78+1,"YYYY-MM-DD")&amp;"/ "&amp;search_path&amp;"\RTDC"&amp;B78&amp;"\"&amp;TEXT(F78+1,"YYYY-MM-DD")&amp;" --recursive &amp; """&amp;walkandungz&amp;""" "&amp;search_path&amp;"\RTDC"&amp;B78&amp;"\"&amp;TEXT(F78+1,"YYYY-MM-DD")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78" s="78" t="str">
        <f t="shared" ref="AF78:AF141" si="42">astrogrep_path&amp;" /spath="&amp;search_path&amp;" /stypes=""*"&amp;B78&amp;"*"&amp;TEXT(I78-utc_offset/24,"YYYYMMDD")&amp;"*"" /stext="" "&amp;TEXT(I78-utc_offset/24,"HH")&amp;search_regexp&amp;""" /e /r /s"</f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AG78" s="1" t="str">
        <f t="shared" ref="AG78:AG141" si="43">IF(VALUE(LEFT(A78,3))&lt;300,"EC","NWGL")</f>
        <v>EC</v>
      </c>
    </row>
    <row r="79" spans="1:33" x14ac:dyDescent="0.25">
      <c r="A79" s="50" t="s">
        <v>527</v>
      </c>
      <c r="B79" s="7">
        <v>4018</v>
      </c>
      <c r="C79" s="27" t="s">
        <v>59</v>
      </c>
      <c r="D79" s="27" t="s">
        <v>270</v>
      </c>
      <c r="E79" s="17">
        <v>42562.4846412037</v>
      </c>
      <c r="F79" s="17">
        <v>42562.486284722225</v>
      </c>
      <c r="G79" s="7">
        <v>2</v>
      </c>
      <c r="H79" s="17" t="s">
        <v>353</v>
      </c>
      <c r="I79" s="17">
        <v>42562.51425925926</v>
      </c>
      <c r="J79" s="7">
        <v>0</v>
      </c>
      <c r="K79" s="27" t="str">
        <f t="shared" si="30"/>
        <v>4017/4018</v>
      </c>
      <c r="L79" s="27" t="str">
        <f>VLOOKUP(A79,'Trips&amp;Operators'!$C$1:$E$10000,3,FALSE)</f>
        <v>MAYBERRY</v>
      </c>
      <c r="M79" s="6">
        <f t="shared" si="31"/>
        <v>2.7974537035333924E-2</v>
      </c>
      <c r="N79" s="7">
        <f t="shared" si="29"/>
        <v>40.283333330880851</v>
      </c>
      <c r="O79" s="7"/>
      <c r="P79" s="7"/>
      <c r="Q79" s="28"/>
      <c r="R79" s="28"/>
      <c r="S79" s="46">
        <f t="shared" si="32"/>
        <v>1</v>
      </c>
      <c r="T79" s="72" t="str">
        <f t="shared" si="33"/>
        <v>NorthBound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10:37:53-0600',mode:absolute,to:'2016-07-11 13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9" s="77" t="str">
        <f t="shared" si="35"/>
        <v>N</v>
      </c>
      <c r="X79" s="103">
        <f t="shared" si="36"/>
        <v>1</v>
      </c>
      <c r="Y79" s="100">
        <f t="shared" si="37"/>
        <v>4.7300000000000002E-2</v>
      </c>
      <c r="Z79" s="100">
        <f t="shared" si="38"/>
        <v>23.3307</v>
      </c>
      <c r="AA79" s="100">
        <f t="shared" si="39"/>
        <v>23.2834</v>
      </c>
      <c r="AB79" s="97" t="e">
        <f>VLOOKUP(A79,Enforcements!$C$7:$J$23,8,0)</f>
        <v>#N/A</v>
      </c>
      <c r="AC79" s="93" t="e">
        <f>VLOOKUP(A79,Enforcements!$C$7:$E$23,3,0)</f>
        <v>#N/A</v>
      </c>
      <c r="AD79" s="94" t="str">
        <f t="shared" si="40"/>
        <v>0165-11</v>
      </c>
      <c r="AE79" s="78" t="str">
        <f t="shared" si="41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79" s="78" t="str">
        <f t="shared" si="42"/>
        <v>"C:\Program Files (x86)\AstroGrep\AstroGrep.exe" /spath="C:\Users\stu\Documents\Analysis\2016-02-23 RTDC Observations" /stypes="*4018*20160711*" /stext=" 18:.+((prompt.+disp)|(slice.+state.+chan)|(ment ac)|(system.+state.+chan)|(\|lc)|(penalty)|(\[timeout))" /e /r /s</v>
      </c>
      <c r="AG79" s="1" t="str">
        <f t="shared" si="43"/>
        <v>EC</v>
      </c>
    </row>
    <row r="80" spans="1:33" x14ac:dyDescent="0.25">
      <c r="A80" s="50" t="s">
        <v>415</v>
      </c>
      <c r="B80" s="7">
        <v>4017</v>
      </c>
      <c r="C80" s="27" t="s">
        <v>59</v>
      </c>
      <c r="D80" s="27" t="s">
        <v>68</v>
      </c>
      <c r="E80" s="17">
        <v>42562.525173611109</v>
      </c>
      <c r="F80" s="17">
        <v>42562.526585648149</v>
      </c>
      <c r="G80" s="7">
        <v>2</v>
      </c>
      <c r="H80" s="17" t="s">
        <v>363</v>
      </c>
      <c r="I80" s="17">
        <v>42562.557395833333</v>
      </c>
      <c r="J80" s="7">
        <v>4</v>
      </c>
      <c r="K80" s="27" t="str">
        <f t="shared" si="30"/>
        <v>4017/4018</v>
      </c>
      <c r="L80" s="27" t="str">
        <f>VLOOKUP(A80,'Trips&amp;Operators'!$C$1:$E$10000,3,FALSE)</f>
        <v>MAYBERRY</v>
      </c>
      <c r="M80" s="6">
        <f t="shared" si="31"/>
        <v>3.0810185184236616E-2</v>
      </c>
      <c r="N80" s="7">
        <f t="shared" si="29"/>
        <v>44.366666665300727</v>
      </c>
      <c r="O80" s="7"/>
      <c r="P80" s="7"/>
      <c r="Q80" s="28"/>
      <c r="R80" s="28"/>
      <c r="S80" s="46">
        <f t="shared" si="32"/>
        <v>1</v>
      </c>
      <c r="T80" s="72" t="str">
        <f t="shared" si="33"/>
        <v>Southbound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0" s="77" t="str">
        <f t="shared" si="35"/>
        <v>N</v>
      </c>
      <c r="X80" s="103">
        <f t="shared" si="36"/>
        <v>1</v>
      </c>
      <c r="Y80" s="100">
        <f t="shared" si="37"/>
        <v>23.297699999999999</v>
      </c>
      <c r="Z80" s="100">
        <f t="shared" si="38"/>
        <v>1.78E-2</v>
      </c>
      <c r="AA80" s="100">
        <f t="shared" si="39"/>
        <v>23.279899999999998</v>
      </c>
      <c r="AB80" s="97">
        <f>VLOOKUP(A80,Enforcements!$C$7:$J$23,8,0)</f>
        <v>228668</v>
      </c>
      <c r="AC80" s="93" t="str">
        <f>VLOOKUP(A80,Enforcements!$C$7:$E$23,3,0)</f>
        <v>PERMANENT SPEED RESTRICTION</v>
      </c>
      <c r="AD80" s="94" t="str">
        <f t="shared" si="40"/>
        <v>0166-11</v>
      </c>
      <c r="AE80" s="78" t="str">
        <f t="shared" si="41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80" s="78" t="str">
        <f t="shared" si="42"/>
        <v>"C:\Program Files (x86)\AstroGrep\AstroGrep.exe" /spath="C:\Users\stu\Documents\Analysis\2016-02-23 RTDC Observations" /stypes="*4017*20160711*" /stext=" 19:.+((prompt.+disp)|(slice.+state.+chan)|(ment ac)|(system.+state.+chan)|(\|lc)|(penalty)|(\[timeout))" /e /r /s</v>
      </c>
      <c r="AG80" s="1" t="str">
        <f t="shared" si="43"/>
        <v>EC</v>
      </c>
    </row>
    <row r="81" spans="1:33" x14ac:dyDescent="0.25">
      <c r="A81" s="50" t="s">
        <v>414</v>
      </c>
      <c r="B81" s="7">
        <v>4016</v>
      </c>
      <c r="C81" s="27" t="s">
        <v>59</v>
      </c>
      <c r="D81" s="27" t="s">
        <v>258</v>
      </c>
      <c r="E81" s="17">
        <v>42562.49763888889</v>
      </c>
      <c r="F81" s="17">
        <v>42562.499560185184</v>
      </c>
      <c r="G81" s="7">
        <v>2</v>
      </c>
      <c r="H81" s="17" t="s">
        <v>360</v>
      </c>
      <c r="I81" s="17">
        <v>42562.526018518518</v>
      </c>
      <c r="J81" s="7">
        <v>1</v>
      </c>
      <c r="K81" s="27" t="str">
        <f t="shared" si="30"/>
        <v>4015/4016</v>
      </c>
      <c r="L81" s="27" t="str">
        <f>VLOOKUP(A81,'Trips&amp;Operators'!$C$1:$E$10000,3,FALSE)</f>
        <v>STARKS</v>
      </c>
      <c r="M81" s="6">
        <f t="shared" si="31"/>
        <v>2.6458333333721384E-2</v>
      </c>
      <c r="N81" s="7">
        <f t="shared" si="29"/>
        <v>38.100000000558794</v>
      </c>
      <c r="O81" s="7"/>
      <c r="P81" s="7"/>
      <c r="Q81" s="28"/>
      <c r="R81" s="28"/>
      <c r="S81" s="46">
        <f t="shared" si="32"/>
        <v>1</v>
      </c>
      <c r="T81" s="72" t="str">
        <f t="shared" si="33"/>
        <v>NorthBound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1" s="77" t="str">
        <f t="shared" si="35"/>
        <v>N</v>
      </c>
      <c r="X81" s="103">
        <f t="shared" si="36"/>
        <v>1</v>
      </c>
      <c r="Y81" s="100">
        <f t="shared" si="37"/>
        <v>4.53E-2</v>
      </c>
      <c r="Z81" s="100">
        <f t="shared" si="38"/>
        <v>23.331199999999999</v>
      </c>
      <c r="AA81" s="100">
        <f t="shared" si="39"/>
        <v>23.285899999999998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40"/>
        <v>0167-11</v>
      </c>
      <c r="AE81" s="78" t="str">
        <f t="shared" si="41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81" s="78" t="str">
        <f t="shared" si="42"/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AG81" s="1" t="str">
        <f t="shared" si="43"/>
        <v>EC</v>
      </c>
    </row>
    <row r="82" spans="1:33" x14ac:dyDescent="0.25">
      <c r="A82" s="50" t="s">
        <v>416</v>
      </c>
      <c r="B82" s="7">
        <v>4015</v>
      </c>
      <c r="C82" s="27" t="s">
        <v>59</v>
      </c>
      <c r="D82" s="27" t="s">
        <v>327</v>
      </c>
      <c r="E82" s="17">
        <v>42562.536076388889</v>
      </c>
      <c r="F82" s="17">
        <v>42562.537256944444</v>
      </c>
      <c r="G82" s="7">
        <v>1</v>
      </c>
      <c r="H82" s="17" t="s">
        <v>60</v>
      </c>
      <c r="I82" s="17">
        <v>42562.56490740741</v>
      </c>
      <c r="J82" s="7">
        <v>2</v>
      </c>
      <c r="K82" s="27" t="str">
        <f t="shared" si="30"/>
        <v>4015/4016</v>
      </c>
      <c r="L82" s="27" t="str">
        <f>VLOOKUP(A82,'Trips&amp;Operators'!$C$1:$E$10000,3,FALSE)</f>
        <v>STARKS</v>
      </c>
      <c r="M82" s="6">
        <f t="shared" si="31"/>
        <v>2.7650462965539191E-2</v>
      </c>
      <c r="N82" s="7">
        <f t="shared" si="29"/>
        <v>39.816666670376435</v>
      </c>
      <c r="O82" s="7"/>
      <c r="P82" s="7"/>
      <c r="Q82" s="28"/>
      <c r="R82" s="28"/>
      <c r="S82" s="46">
        <f t="shared" si="32"/>
        <v>1</v>
      </c>
      <c r="T82" s="72" t="str">
        <f t="shared" si="33"/>
        <v>Southbound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2" s="77" t="str">
        <f t="shared" si="35"/>
        <v>N</v>
      </c>
      <c r="X82" s="103">
        <f t="shared" si="36"/>
        <v>1</v>
      </c>
      <c r="Y82" s="100">
        <f t="shared" si="37"/>
        <v>23.299800000000001</v>
      </c>
      <c r="Z82" s="100">
        <f t="shared" si="38"/>
        <v>1.4500000000000001E-2</v>
      </c>
      <c r="AA82" s="100">
        <f t="shared" si="39"/>
        <v>23.285299999999999</v>
      </c>
      <c r="AB82" s="97" t="e">
        <f>VLOOKUP(A82,Enforcements!$C$7:$J$23,8,0)</f>
        <v>#N/A</v>
      </c>
      <c r="AC82" s="93" t="e">
        <f>VLOOKUP(A82,Enforcements!$C$7:$E$23,3,0)</f>
        <v>#N/A</v>
      </c>
      <c r="AD82" s="94" t="str">
        <f t="shared" si="40"/>
        <v>0168-11</v>
      </c>
      <c r="AE82" s="78" t="str">
        <f t="shared" si="41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82" s="78" t="str">
        <f t="shared" si="42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AG82" s="1" t="str">
        <f t="shared" si="43"/>
        <v>EC</v>
      </c>
    </row>
    <row r="83" spans="1:33" x14ac:dyDescent="0.25">
      <c r="A83" s="50" t="s">
        <v>528</v>
      </c>
      <c r="B83" s="7">
        <v>4009</v>
      </c>
      <c r="C83" s="27" t="s">
        <v>59</v>
      </c>
      <c r="D83" s="27" t="s">
        <v>270</v>
      </c>
      <c r="E83" s="17">
        <v>42562.505729166667</v>
      </c>
      <c r="F83" s="17">
        <v>42562.507962962962</v>
      </c>
      <c r="G83" s="7">
        <v>3</v>
      </c>
      <c r="H83" s="17" t="s">
        <v>529</v>
      </c>
      <c r="I83" s="17">
        <v>42562.535219907404</v>
      </c>
      <c r="J83" s="7">
        <v>0</v>
      </c>
      <c r="K83" s="27" t="str">
        <f t="shared" si="30"/>
        <v>4009/4010</v>
      </c>
      <c r="L83" s="27" t="str">
        <f>VLOOKUP(A83,'Trips&amp;Operators'!$C$1:$E$10000,3,FALSE)</f>
        <v>LOCKLEAR</v>
      </c>
      <c r="M83" s="6">
        <f t="shared" si="31"/>
        <v>2.7256944442342501E-2</v>
      </c>
      <c r="N83" s="7">
        <f t="shared" si="29"/>
        <v>39.249999996973202</v>
      </c>
      <c r="O83" s="7"/>
      <c r="P83" s="7"/>
      <c r="Q83" s="28"/>
      <c r="R83" s="28"/>
      <c r="S83" s="46">
        <f t="shared" si="32"/>
        <v>1</v>
      </c>
      <c r="T83" s="72" t="str">
        <f t="shared" si="33"/>
        <v>NorthBound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11:08:15-0600',mode:absolute,to:'2016-07-11 13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3" s="77" t="str">
        <f t="shared" si="35"/>
        <v>N</v>
      </c>
      <c r="X83" s="103">
        <f t="shared" si="36"/>
        <v>1</v>
      </c>
      <c r="Y83" s="100">
        <f t="shared" si="37"/>
        <v>4.7300000000000002E-2</v>
      </c>
      <c r="Z83" s="100">
        <f t="shared" si="38"/>
        <v>23.3324</v>
      </c>
      <c r="AA83" s="100">
        <f t="shared" si="39"/>
        <v>23.2851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40"/>
        <v>0169-11</v>
      </c>
      <c r="AE83" s="78" t="str">
        <f t="shared" si="41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83" s="78" t="str">
        <f t="shared" si="42"/>
        <v>"C:\Program Files (x86)\AstroGrep\AstroGrep.exe" /spath="C:\Users\stu\Documents\Analysis\2016-02-23 RTDC Observations" /stypes="*4009*20160711*" /stext=" 18:.+((prompt.+disp)|(slice.+state.+chan)|(ment ac)|(system.+state.+chan)|(\|lc)|(penalty)|(\[timeout))" /e /r /s</v>
      </c>
      <c r="AG83" s="1" t="str">
        <f t="shared" si="43"/>
        <v>EC</v>
      </c>
    </row>
    <row r="84" spans="1:33" x14ac:dyDescent="0.25">
      <c r="A84" s="50" t="s">
        <v>530</v>
      </c>
      <c r="B84" s="7">
        <v>4010</v>
      </c>
      <c r="C84" s="27" t="s">
        <v>59</v>
      </c>
      <c r="D84" s="27" t="s">
        <v>531</v>
      </c>
      <c r="E84" s="17">
        <v>42562.545590277776</v>
      </c>
      <c r="F84" s="17">
        <v>42562.546539351853</v>
      </c>
      <c r="G84" s="7">
        <v>1</v>
      </c>
      <c r="H84" s="17" t="s">
        <v>224</v>
      </c>
      <c r="I84" s="17">
        <v>42562.575011574074</v>
      </c>
      <c r="J84" s="7">
        <v>0</v>
      </c>
      <c r="K84" s="27" t="str">
        <f t="shared" si="30"/>
        <v>4009/4010</v>
      </c>
      <c r="L84" s="27" t="str">
        <f>VLOOKUP(A84,'Trips&amp;Operators'!$C$1:$E$10000,3,FALSE)</f>
        <v>LOCKLEAR</v>
      </c>
      <c r="M84" s="6">
        <f t="shared" si="31"/>
        <v>2.8472222220443655E-2</v>
      </c>
      <c r="N84" s="7">
        <f t="shared" si="29"/>
        <v>40.999999997438863</v>
      </c>
      <c r="O84" s="7"/>
      <c r="P84" s="7"/>
      <c r="Q84" s="28"/>
      <c r="R84" s="28"/>
      <c r="S84" s="46">
        <f t="shared" si="32"/>
        <v>1</v>
      </c>
      <c r="T84" s="72" t="str">
        <f t="shared" si="33"/>
        <v>Southbound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12:05:39-0600',mode:absolute,to:'2016-07-11 14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4" s="77" t="str">
        <f t="shared" si="35"/>
        <v>N</v>
      </c>
      <c r="X84" s="103">
        <f t="shared" si="36"/>
        <v>1</v>
      </c>
      <c r="Y84" s="100">
        <f t="shared" si="37"/>
        <v>23.300699999999999</v>
      </c>
      <c r="Z84" s="100">
        <f t="shared" si="38"/>
        <v>1.6E-2</v>
      </c>
      <c r="AA84" s="100">
        <f t="shared" si="39"/>
        <v>23.284700000000001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40"/>
        <v>0170-11</v>
      </c>
      <c r="AE84" s="78" t="str">
        <f t="shared" si="41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84" s="78" t="str">
        <f t="shared" si="42"/>
        <v>"C:\Program Files (x86)\AstroGrep\AstroGrep.exe" /spath="C:\Users\stu\Documents\Analysis\2016-02-23 RTDC Observations" /stypes="*4010*20160711*" /stext=" 19:.+((prompt.+disp)|(slice.+state.+chan)|(ment ac)|(system.+state.+chan)|(\|lc)|(penalty)|(\[timeout))" /e /r /s</v>
      </c>
      <c r="AG84" s="1" t="str">
        <f t="shared" si="43"/>
        <v>EC</v>
      </c>
    </row>
    <row r="85" spans="1:33" x14ac:dyDescent="0.25">
      <c r="A85" s="50" t="s">
        <v>532</v>
      </c>
      <c r="B85" s="7">
        <v>4031</v>
      </c>
      <c r="C85" s="27" t="s">
        <v>59</v>
      </c>
      <c r="D85" s="27" t="s">
        <v>270</v>
      </c>
      <c r="E85" s="17">
        <v>42562.516064814816</v>
      </c>
      <c r="F85" s="17">
        <v>42562.517465277779</v>
      </c>
      <c r="G85" s="7">
        <v>2</v>
      </c>
      <c r="H85" s="17" t="s">
        <v>240</v>
      </c>
      <c r="I85" s="17">
        <v>42562.545775462961</v>
      </c>
      <c r="J85" s="7">
        <v>0</v>
      </c>
      <c r="K85" s="27" t="str">
        <f t="shared" si="30"/>
        <v>4031/4032</v>
      </c>
      <c r="L85" s="27" t="str">
        <f>VLOOKUP(A85,'Trips&amp;Operators'!$C$1:$E$10000,3,FALSE)</f>
        <v>REBOLETTI</v>
      </c>
      <c r="M85" s="6">
        <f t="shared" si="31"/>
        <v>2.8310185181908309E-2</v>
      </c>
      <c r="N85" s="7">
        <f t="shared" si="29"/>
        <v>40.766666661947966</v>
      </c>
      <c r="O85" s="7"/>
      <c r="P85" s="7"/>
      <c r="Q85" s="28"/>
      <c r="R85" s="28"/>
      <c r="S85" s="46">
        <f t="shared" si="32"/>
        <v>1</v>
      </c>
      <c r="T85" s="72" t="str">
        <f t="shared" si="33"/>
        <v>NorthBound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11:23:08-0600',mode:absolute,to:'2016-07-11 14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5" s="77" t="str">
        <f t="shared" si="35"/>
        <v>N</v>
      </c>
      <c r="X85" s="103">
        <f t="shared" si="36"/>
        <v>1</v>
      </c>
      <c r="Y85" s="100">
        <f t="shared" si="37"/>
        <v>4.7300000000000002E-2</v>
      </c>
      <c r="Z85" s="100">
        <f t="shared" si="38"/>
        <v>23.3291</v>
      </c>
      <c r="AA85" s="100">
        <f t="shared" si="39"/>
        <v>23.2818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40"/>
        <v>0171-11</v>
      </c>
      <c r="AE85" s="78" t="str">
        <f t="shared" si="41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85" s="78" t="str">
        <f t="shared" si="42"/>
        <v>"C:\Program Files (x86)\AstroGrep\AstroGrep.exe" /spath="C:\Users\stu\Documents\Analysis\2016-02-23 RTDC Observations" /stypes="*4031*20160711*" /stext=" 19:.+((prompt.+disp)|(slice.+state.+chan)|(ment ac)|(system.+state.+chan)|(\|lc)|(penalty)|(\[timeout))" /e /r /s</v>
      </c>
      <c r="AG85" s="1" t="str">
        <f t="shared" si="43"/>
        <v>EC</v>
      </c>
    </row>
    <row r="86" spans="1:33" x14ac:dyDescent="0.25">
      <c r="A86" s="50" t="s">
        <v>533</v>
      </c>
      <c r="B86" s="7">
        <v>4032</v>
      </c>
      <c r="C86" s="27" t="s">
        <v>59</v>
      </c>
      <c r="D86" s="27" t="s">
        <v>221</v>
      </c>
      <c r="E86" s="17">
        <v>42562.555821759262</v>
      </c>
      <c r="F86" s="17">
        <v>42562.556863425925</v>
      </c>
      <c r="G86" s="7">
        <v>1</v>
      </c>
      <c r="H86" s="17" t="s">
        <v>111</v>
      </c>
      <c r="I86" s="17">
        <v>42562.586111111108</v>
      </c>
      <c r="J86" s="7">
        <v>0</v>
      </c>
      <c r="K86" s="27" t="str">
        <f t="shared" si="30"/>
        <v>4031/4032</v>
      </c>
      <c r="L86" s="27" t="str">
        <f>VLOOKUP(A86,'Trips&amp;Operators'!$C$1:$E$10000,3,FALSE)</f>
        <v>REBOLETTI</v>
      </c>
      <c r="M86" s="6">
        <f t="shared" si="31"/>
        <v>2.9247685182781424E-2</v>
      </c>
      <c r="N86" s="7">
        <f t="shared" si="29"/>
        <v>42.116666663205251</v>
      </c>
      <c r="O86" s="7"/>
      <c r="P86" s="7"/>
      <c r="Q86" s="28"/>
      <c r="R86" s="28"/>
      <c r="S86" s="46">
        <f t="shared" si="32"/>
        <v>1</v>
      </c>
      <c r="T86" s="72" t="str">
        <f t="shared" si="33"/>
        <v>Southbound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12:20:23-0600',mode:absolute,to:'2016-07-11 15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6" s="77" t="str">
        <f t="shared" si="35"/>
        <v>N</v>
      </c>
      <c r="X86" s="103">
        <f t="shared" si="36"/>
        <v>1</v>
      </c>
      <c r="Y86" s="100">
        <f t="shared" si="37"/>
        <v>23.299600000000002</v>
      </c>
      <c r="Z86" s="100">
        <f t="shared" si="38"/>
        <v>1.43E-2</v>
      </c>
      <c r="AA86" s="100">
        <f t="shared" si="39"/>
        <v>23.285300000000003</v>
      </c>
      <c r="AB86" s="97" t="e">
        <f>VLOOKUP(A86,Enforcements!$C$7:$J$23,8,0)</f>
        <v>#N/A</v>
      </c>
      <c r="AC86" s="93" t="e">
        <f>VLOOKUP(A86,Enforcements!$C$7:$E$23,3,0)</f>
        <v>#N/A</v>
      </c>
      <c r="AD86" s="94" t="str">
        <f t="shared" si="40"/>
        <v>0172-11</v>
      </c>
      <c r="AE86" s="78" t="str">
        <f t="shared" si="41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86" s="78" t="str">
        <f t="shared" si="42"/>
        <v>"C:\Program Files (x86)\AstroGrep\AstroGrep.exe" /spath="C:\Users\stu\Documents\Analysis\2016-02-23 RTDC Observations" /stypes="*4032*20160711*" /stext=" 20:.+((prompt.+disp)|(slice.+state.+chan)|(ment ac)|(system.+state.+chan)|(\|lc)|(penalty)|(\[timeout))" /e /r /s</v>
      </c>
      <c r="AG86" s="1" t="str">
        <f t="shared" si="43"/>
        <v>EC</v>
      </c>
    </row>
    <row r="87" spans="1:33" x14ac:dyDescent="0.25">
      <c r="A87" s="50" t="s">
        <v>534</v>
      </c>
      <c r="B87" s="7">
        <v>4014</v>
      </c>
      <c r="C87" s="27" t="s">
        <v>59</v>
      </c>
      <c r="D87" s="27" t="s">
        <v>258</v>
      </c>
      <c r="E87" s="17">
        <v>42562.526886574073</v>
      </c>
      <c r="F87" s="17">
        <v>42562.52783564815</v>
      </c>
      <c r="G87" s="7">
        <v>1</v>
      </c>
      <c r="H87" s="17" t="s">
        <v>535</v>
      </c>
      <c r="I87" s="17">
        <v>42562.55673611111</v>
      </c>
      <c r="J87" s="7">
        <v>0</v>
      </c>
      <c r="K87" s="27" t="str">
        <f t="shared" si="30"/>
        <v>4013/4014</v>
      </c>
      <c r="L87" s="27" t="str">
        <f>VLOOKUP(A87,'Trips&amp;Operators'!$C$1:$E$10000,3,FALSE)</f>
        <v>STEWART</v>
      </c>
      <c r="M87" s="6">
        <f t="shared" si="31"/>
        <v>2.8900462959427387E-2</v>
      </c>
      <c r="N87" s="7">
        <f t="shared" si="29"/>
        <v>41.616666661575437</v>
      </c>
      <c r="O87" s="7"/>
      <c r="P87" s="7"/>
      <c r="Q87" s="28"/>
      <c r="R87" s="28"/>
      <c r="S87" s="46">
        <f t="shared" si="32"/>
        <v>1</v>
      </c>
      <c r="T87" s="72" t="str">
        <f t="shared" si="33"/>
        <v>NorthBound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11:38:43-0600',mode:absolute,to:'2016-07-11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7" s="77" t="str">
        <f t="shared" si="35"/>
        <v>N</v>
      </c>
      <c r="X87" s="103">
        <f t="shared" si="36"/>
        <v>1</v>
      </c>
      <c r="Y87" s="100">
        <f t="shared" si="37"/>
        <v>4.53E-2</v>
      </c>
      <c r="Z87" s="100">
        <f t="shared" si="38"/>
        <v>23.325299999999999</v>
      </c>
      <c r="AA87" s="100">
        <f t="shared" si="39"/>
        <v>23.279999999999998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40"/>
        <v>0173-11</v>
      </c>
      <c r="AE87" s="78" t="str">
        <f t="shared" si="41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87" s="78" t="str">
        <f t="shared" si="42"/>
        <v>"C:\Program Files (x86)\AstroGrep\AstroGrep.exe" /spath="C:\Users\stu\Documents\Analysis\2016-02-23 RTDC Observations" /stypes="*4014*20160711*" /stext=" 19:.+((prompt.+disp)|(slice.+state.+chan)|(ment ac)|(system.+state.+chan)|(\|lc)|(penalty)|(\[timeout))" /e /r /s</v>
      </c>
      <c r="AG87" s="1" t="str">
        <f t="shared" si="43"/>
        <v>EC</v>
      </c>
    </row>
    <row r="88" spans="1:33" x14ac:dyDescent="0.25">
      <c r="A88" s="50" t="s">
        <v>536</v>
      </c>
      <c r="B88" s="7">
        <v>4013</v>
      </c>
      <c r="C88" s="27" t="s">
        <v>59</v>
      </c>
      <c r="D88" s="27" t="s">
        <v>364</v>
      </c>
      <c r="E88" s="17">
        <v>42562.566458333335</v>
      </c>
      <c r="F88" s="17">
        <v>42562.567361111112</v>
      </c>
      <c r="G88" s="7">
        <v>1</v>
      </c>
      <c r="H88" s="17" t="s">
        <v>326</v>
      </c>
      <c r="I88" s="17">
        <v>42562.597893518519</v>
      </c>
      <c r="J88" s="7">
        <v>0</v>
      </c>
      <c r="K88" s="27" t="str">
        <f t="shared" si="30"/>
        <v>4013/4014</v>
      </c>
      <c r="L88" s="27" t="str">
        <f>VLOOKUP(A88,'Trips&amp;Operators'!$C$1:$E$10000,3,FALSE)</f>
        <v>STEWART</v>
      </c>
      <c r="M88" s="6">
        <f t="shared" si="31"/>
        <v>3.0532407407008577E-2</v>
      </c>
      <c r="N88" s="7">
        <f t="shared" si="29"/>
        <v>43.966666666092351</v>
      </c>
      <c r="O88" s="7"/>
      <c r="P88" s="7"/>
      <c r="Q88" s="28"/>
      <c r="R88" s="28"/>
      <c r="S88" s="46">
        <f t="shared" si="32"/>
        <v>1</v>
      </c>
      <c r="T88" s="72" t="str">
        <f t="shared" si="33"/>
        <v>Southbound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12:35:42-0600',mode:absolute,to:'2016-07-11 15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8" s="77" t="str">
        <f t="shared" si="35"/>
        <v>N</v>
      </c>
      <c r="X88" s="103">
        <f t="shared" si="36"/>
        <v>1</v>
      </c>
      <c r="Y88" s="100">
        <f t="shared" si="37"/>
        <v>23.299399999999999</v>
      </c>
      <c r="Z88" s="100">
        <f t="shared" si="38"/>
        <v>1.47E-2</v>
      </c>
      <c r="AA88" s="100">
        <f t="shared" si="39"/>
        <v>23.284699999999997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40"/>
        <v>0174-11</v>
      </c>
      <c r="AE88" s="78" t="str">
        <f t="shared" si="41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88" s="78" t="str">
        <f t="shared" si="42"/>
        <v>"C:\Program Files (x86)\AstroGrep\AstroGrep.exe" /spath="C:\Users\stu\Documents\Analysis\2016-02-23 RTDC Observations" /stypes="*4013*20160711*" /stext=" 20:.+((prompt.+disp)|(slice.+state.+chan)|(ment ac)|(system.+state.+chan)|(\|lc)|(penalty)|(\[timeout))" /e /r /s</v>
      </c>
      <c r="AG88" s="1" t="str">
        <f t="shared" si="43"/>
        <v>EC</v>
      </c>
    </row>
    <row r="89" spans="1:33" x14ac:dyDescent="0.25">
      <c r="A89" s="50" t="s">
        <v>537</v>
      </c>
      <c r="B89" s="7">
        <v>4025</v>
      </c>
      <c r="C89" s="27" t="s">
        <v>59</v>
      </c>
      <c r="D89" s="27" t="s">
        <v>305</v>
      </c>
      <c r="E89" s="17">
        <v>42562.538206018522</v>
      </c>
      <c r="F89" s="17">
        <v>42562.539097222223</v>
      </c>
      <c r="G89" s="7">
        <v>1</v>
      </c>
      <c r="H89" s="17" t="s">
        <v>377</v>
      </c>
      <c r="I89" s="17">
        <v>42562.56759259259</v>
      </c>
      <c r="J89" s="7">
        <v>0</v>
      </c>
      <c r="K89" s="27" t="str">
        <f t="shared" si="30"/>
        <v>4025/4026</v>
      </c>
      <c r="L89" s="27" t="str">
        <f>VLOOKUP(A89,'Trips&amp;Operators'!$C$1:$E$10000,3,FALSE)</f>
        <v>BARTLETT</v>
      </c>
      <c r="M89" s="6">
        <f t="shared" si="31"/>
        <v>2.8495370366727002E-2</v>
      </c>
      <c r="N89" s="7">
        <f t="shared" si="29"/>
        <v>41.033333328086883</v>
      </c>
      <c r="O89" s="7"/>
      <c r="P89" s="7"/>
      <c r="Q89" s="28"/>
      <c r="R89" s="28"/>
      <c r="S89" s="46">
        <f t="shared" si="32"/>
        <v>1</v>
      </c>
      <c r="T89" s="72" t="str">
        <f t="shared" si="33"/>
        <v>NorthBound</v>
      </c>
      <c r="U89" s="108">
        <f>COUNTIFS(Variables!$M$2:$M$19,IF(T89="NorthBound","&gt;=","&lt;=")&amp;Y89,Variables!$M$2:$M$19,IF(T89="NorthBound","&lt;=","&gt;=")&amp;Z89)</f>
        <v>12</v>
      </c>
      <c r="V8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11:55:01-0600',mode:absolute,to:'2016-07-11 14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9" s="77" t="str">
        <f t="shared" si="35"/>
        <v>N</v>
      </c>
      <c r="X89" s="103">
        <f t="shared" si="36"/>
        <v>1</v>
      </c>
      <c r="Y89" s="100">
        <f t="shared" si="37"/>
        <v>4.6899999999999997E-2</v>
      </c>
      <c r="Z89" s="100">
        <f t="shared" si="38"/>
        <v>23.328499999999998</v>
      </c>
      <c r="AA89" s="100">
        <f t="shared" si="39"/>
        <v>23.281599999999997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40"/>
        <v>0175-11</v>
      </c>
      <c r="AE89" s="78" t="str">
        <f t="shared" si="41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89" s="78" t="str">
        <f t="shared" si="42"/>
        <v>"C:\Program Files (x86)\AstroGrep\AstroGrep.exe" /spath="C:\Users\stu\Documents\Analysis\2016-02-23 RTDC Observations" /stypes="*4025*20160711*" /stext=" 19:.+((prompt.+disp)|(slice.+state.+chan)|(ment ac)|(system.+state.+chan)|(\|lc)|(penalty)|(\[timeout))" /e /r /s</v>
      </c>
      <c r="AG89" s="1" t="str">
        <f t="shared" si="43"/>
        <v>EC</v>
      </c>
    </row>
    <row r="90" spans="1:33" x14ac:dyDescent="0.25">
      <c r="A90" s="50" t="s">
        <v>421</v>
      </c>
      <c r="B90" s="7">
        <v>4026</v>
      </c>
      <c r="C90" s="27" t="s">
        <v>59</v>
      </c>
      <c r="D90" s="27" t="s">
        <v>320</v>
      </c>
      <c r="E90" s="17">
        <v>42562.576006944444</v>
      </c>
      <c r="F90" s="17">
        <v>42562.577175925922</v>
      </c>
      <c r="G90" s="7">
        <v>1</v>
      </c>
      <c r="H90" s="17" t="s">
        <v>309</v>
      </c>
      <c r="I90" s="17">
        <v>42562.607800925929</v>
      </c>
      <c r="J90" s="7">
        <v>1</v>
      </c>
      <c r="K90" s="27" t="str">
        <f t="shared" si="30"/>
        <v>4025/4026</v>
      </c>
      <c r="L90" s="27" t="str">
        <f>VLOOKUP(A90,'Trips&amp;Operators'!$C$1:$E$10000,3,FALSE)</f>
        <v>BARTLETT</v>
      </c>
      <c r="M90" s="6">
        <f t="shared" si="31"/>
        <v>3.0625000006693881E-2</v>
      </c>
      <c r="N90" s="7">
        <f t="shared" si="29"/>
        <v>44.100000009639189</v>
      </c>
      <c r="O90" s="7"/>
      <c r="P90" s="7"/>
      <c r="Q90" s="28"/>
      <c r="R90" s="28"/>
      <c r="S90" s="46">
        <f t="shared" si="32"/>
        <v>1</v>
      </c>
      <c r="T90" s="72" t="str">
        <f t="shared" si="33"/>
        <v>Southbound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0" s="77" t="str">
        <f t="shared" si="35"/>
        <v>N</v>
      </c>
      <c r="X90" s="103">
        <f t="shared" si="36"/>
        <v>1</v>
      </c>
      <c r="Y90" s="100">
        <f t="shared" si="37"/>
        <v>23.297599999999999</v>
      </c>
      <c r="Z90" s="100">
        <f t="shared" si="38"/>
        <v>1.54E-2</v>
      </c>
      <c r="AA90" s="100">
        <f t="shared" si="39"/>
        <v>23.2822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40"/>
        <v>0176-11</v>
      </c>
      <c r="AE90" s="78" t="str">
        <f t="shared" si="41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90" s="78" t="str">
        <f t="shared" si="42"/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AG90" s="1" t="str">
        <f t="shared" si="43"/>
        <v>EC</v>
      </c>
    </row>
    <row r="91" spans="1:33" x14ac:dyDescent="0.25">
      <c r="A91" s="50" t="s">
        <v>538</v>
      </c>
      <c r="B91" s="7">
        <v>4020</v>
      </c>
      <c r="C91" s="27" t="s">
        <v>59</v>
      </c>
      <c r="D91" s="27" t="s">
        <v>304</v>
      </c>
      <c r="E91" s="17">
        <v>42562.546284722222</v>
      </c>
      <c r="F91" s="17">
        <v>42562.547581018516</v>
      </c>
      <c r="G91" s="7">
        <v>1</v>
      </c>
      <c r="H91" s="17" t="s">
        <v>362</v>
      </c>
      <c r="I91" s="17">
        <v>42562.57949074074</v>
      </c>
      <c r="J91" s="7">
        <v>0</v>
      </c>
      <c r="K91" s="27" t="str">
        <f t="shared" si="30"/>
        <v>4019/4020</v>
      </c>
      <c r="L91" s="27" t="str">
        <f>VLOOKUP(A91,'Trips&amp;Operators'!$C$1:$E$10000,3,FALSE)</f>
        <v>SHOOK</v>
      </c>
      <c r="M91" s="6">
        <f t="shared" si="31"/>
        <v>3.1909722223645076E-2</v>
      </c>
      <c r="N91" s="7">
        <f t="shared" si="29"/>
        <v>45.95000000204891</v>
      </c>
      <c r="O91" s="7"/>
      <c r="P91" s="7"/>
      <c r="Q91" s="28"/>
      <c r="R91" s="28"/>
      <c r="S91" s="46">
        <f t="shared" si="32"/>
        <v>1</v>
      </c>
      <c r="T91" s="72" t="str">
        <f t="shared" si="33"/>
        <v>NorthBound</v>
      </c>
      <c r="U91" s="108">
        <f>COUNTIFS(Variables!$M$2:$M$19,IF(T91="NorthBound","&gt;=","&lt;=")&amp;Y91,Variables!$M$2:$M$19,IF(T91="NorthBound","&lt;=","&gt;=")&amp;Z91)</f>
        <v>12</v>
      </c>
      <c r="V9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12:06:39-0600',mode:absolute,to:'2016-07-11 14:54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1" s="77" t="str">
        <f t="shared" si="35"/>
        <v>N</v>
      </c>
      <c r="X91" s="103">
        <f t="shared" si="36"/>
        <v>1</v>
      </c>
      <c r="Y91" s="100">
        <f t="shared" si="37"/>
        <v>4.5499999999999999E-2</v>
      </c>
      <c r="Z91" s="100">
        <f t="shared" si="38"/>
        <v>23.332000000000001</v>
      </c>
      <c r="AA91" s="100">
        <f t="shared" si="39"/>
        <v>23.2865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40"/>
        <v>0177-11</v>
      </c>
      <c r="AE91" s="78" t="str">
        <f t="shared" si="41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91" s="78" t="str">
        <f t="shared" si="42"/>
        <v>"C:\Program Files (x86)\AstroGrep\AstroGrep.exe" /spath="C:\Users\stu\Documents\Analysis\2016-02-23 RTDC Observations" /stypes="*4020*20160711*" /stext=" 19:.+((prompt.+disp)|(slice.+state.+chan)|(ment ac)|(system.+state.+chan)|(\|lc)|(penalty)|(\[timeout))" /e /r /s</v>
      </c>
      <c r="AG91" s="1" t="str">
        <f t="shared" si="43"/>
        <v>EC</v>
      </c>
    </row>
    <row r="92" spans="1:33" x14ac:dyDescent="0.25">
      <c r="A92" s="50" t="s">
        <v>422</v>
      </c>
      <c r="B92" s="7">
        <v>4019</v>
      </c>
      <c r="C92" s="27" t="s">
        <v>59</v>
      </c>
      <c r="D92" s="27" t="s">
        <v>539</v>
      </c>
      <c r="E92" s="17">
        <v>42562.585810185185</v>
      </c>
      <c r="F92" s="17">
        <v>42562.587071759262</v>
      </c>
      <c r="G92" s="7">
        <v>1</v>
      </c>
      <c r="H92" s="17" t="s">
        <v>153</v>
      </c>
      <c r="I92" s="17">
        <v>42562.618055555555</v>
      </c>
      <c r="J92" s="7">
        <v>1</v>
      </c>
      <c r="K92" s="27" t="str">
        <f t="shared" si="30"/>
        <v>4019/4020</v>
      </c>
      <c r="L92" s="27" t="str">
        <f>VLOOKUP(A92,'Trips&amp;Operators'!$C$1:$E$10000,3,FALSE)</f>
        <v>SHOOK</v>
      </c>
      <c r="M92" s="6">
        <f t="shared" si="31"/>
        <v>3.0983796292275656E-2</v>
      </c>
      <c r="N92" s="7">
        <f t="shared" si="29"/>
        <v>44.616666660876945</v>
      </c>
      <c r="O92" s="7"/>
      <c r="P92" s="7"/>
      <c r="Q92" s="28"/>
      <c r="R92" s="28"/>
      <c r="S92" s="46">
        <f t="shared" si="32"/>
        <v>1</v>
      </c>
      <c r="T92" s="72" t="str">
        <f t="shared" si="33"/>
        <v>Southbound</v>
      </c>
      <c r="U92" s="108">
        <f>COUNTIFS(Variables!$M$2:$M$19,IF(T92="NorthBound","&gt;=","&lt;=")&amp;Y92,Variables!$M$2:$M$19,IF(T92="NorthBound","&lt;=","&gt;=")&amp;Z92)</f>
        <v>12</v>
      </c>
      <c r="V9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2" s="77" t="str">
        <f t="shared" si="35"/>
        <v>N</v>
      </c>
      <c r="X92" s="103">
        <f t="shared" si="36"/>
        <v>1</v>
      </c>
      <c r="Y92" s="100">
        <f t="shared" si="37"/>
        <v>23.3017</v>
      </c>
      <c r="Z92" s="100">
        <f t="shared" si="38"/>
        <v>1.61E-2</v>
      </c>
      <c r="AA92" s="100">
        <f t="shared" si="39"/>
        <v>23.285599999999999</v>
      </c>
      <c r="AB92" s="97" t="e">
        <f>VLOOKUP(A92,Enforcements!$C$7:$J$23,8,0)</f>
        <v>#N/A</v>
      </c>
      <c r="AC92" s="93" t="e">
        <f>VLOOKUP(A92,Enforcements!$C$7:$E$23,3,0)</f>
        <v>#N/A</v>
      </c>
      <c r="AD92" s="94" t="str">
        <f t="shared" si="40"/>
        <v>0178-11</v>
      </c>
      <c r="AE92" s="78" t="str">
        <f t="shared" si="41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92" s="78" t="str">
        <f t="shared" si="42"/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AG92" s="1" t="str">
        <f t="shared" si="43"/>
        <v>EC</v>
      </c>
    </row>
    <row r="93" spans="1:33" x14ac:dyDescent="0.25">
      <c r="A93" s="50" t="s">
        <v>418</v>
      </c>
      <c r="B93" s="7">
        <v>4018</v>
      </c>
      <c r="C93" s="27" t="s">
        <v>59</v>
      </c>
      <c r="D93" s="27" t="s">
        <v>540</v>
      </c>
      <c r="E93" s="17">
        <v>42562.559756944444</v>
      </c>
      <c r="F93" s="17">
        <v>42562.56077546296</v>
      </c>
      <c r="G93" s="7">
        <v>1</v>
      </c>
      <c r="H93" s="17" t="s">
        <v>541</v>
      </c>
      <c r="I93" s="17">
        <v>42562.588043981479</v>
      </c>
      <c r="J93" s="7">
        <v>3</v>
      </c>
      <c r="K93" s="27" t="str">
        <f t="shared" si="30"/>
        <v>4017/4018</v>
      </c>
      <c r="L93" s="27" t="str">
        <f>VLOOKUP(A93,'Trips&amp;Operators'!$C$1:$E$10000,3,FALSE)</f>
        <v>MAYBERRY</v>
      </c>
      <c r="M93" s="6">
        <f t="shared" si="31"/>
        <v>2.7268518519122154E-2</v>
      </c>
      <c r="N93" s="7">
        <f t="shared" si="29"/>
        <v>39.266666667535901</v>
      </c>
      <c r="O93" s="7"/>
      <c r="P93" s="7"/>
      <c r="Q93" s="28"/>
      <c r="R93" s="28"/>
      <c r="S93" s="46">
        <f t="shared" si="32"/>
        <v>1</v>
      </c>
      <c r="T93" s="72" t="str">
        <f t="shared" si="33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77" t="str">
        <f t="shared" si="35"/>
        <v>N</v>
      </c>
      <c r="X93" s="103">
        <f t="shared" si="36"/>
        <v>1</v>
      </c>
      <c r="Y93" s="100">
        <f t="shared" si="37"/>
        <v>4.3700000000000003E-2</v>
      </c>
      <c r="Z93" s="100">
        <f t="shared" si="38"/>
        <v>23.319800000000001</v>
      </c>
      <c r="AA93" s="100">
        <f t="shared" si="39"/>
        <v>23.2761</v>
      </c>
      <c r="AB93" s="97">
        <f>VLOOKUP(A93,Enforcements!$C$7:$J$23,8,0)</f>
        <v>58783</v>
      </c>
      <c r="AC93" s="93" t="str">
        <f>VLOOKUP(A93,Enforcements!$C$7:$E$23,3,0)</f>
        <v>GRADE CROSSING</v>
      </c>
      <c r="AD93" s="94" t="str">
        <f t="shared" si="40"/>
        <v>0179-11</v>
      </c>
      <c r="AE93" s="78" t="str">
        <f t="shared" si="41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3" s="78" t="str">
        <f t="shared" si="42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3" s="1" t="str">
        <f t="shared" si="43"/>
        <v>EC</v>
      </c>
    </row>
    <row r="94" spans="1:33" x14ac:dyDescent="0.25">
      <c r="A94" s="50" t="s">
        <v>418</v>
      </c>
      <c r="B94" s="7">
        <v>4018</v>
      </c>
      <c r="C94" s="27" t="s">
        <v>59</v>
      </c>
      <c r="D94" s="27" t="s">
        <v>311</v>
      </c>
      <c r="E94" s="17">
        <v>42562.559756944444</v>
      </c>
      <c r="F94" s="17">
        <v>42562.5622337963</v>
      </c>
      <c r="G94" s="7">
        <v>3</v>
      </c>
      <c r="H94" s="17" t="s">
        <v>541</v>
      </c>
      <c r="I94" s="17">
        <v>42562.588043981479</v>
      </c>
      <c r="J94" s="7">
        <v>3</v>
      </c>
      <c r="K94" s="27" t="str">
        <f t="shared" si="30"/>
        <v>4017/4018</v>
      </c>
      <c r="L94" s="27" t="str">
        <f>VLOOKUP(A94,'Trips&amp;Operators'!$C$1:$E$10000,3,FALSE)</f>
        <v>MAYBERRY</v>
      </c>
      <c r="M94" s="6">
        <f t="shared" si="31"/>
        <v>2.5810185179580003E-2</v>
      </c>
      <c r="N94" s="7">
        <f t="shared" si="29"/>
        <v>37.166666658595204</v>
      </c>
      <c r="O94" s="7"/>
      <c r="P94" s="7"/>
      <c r="Q94" s="28"/>
      <c r="R94" s="28"/>
      <c r="S94" s="46">
        <f t="shared" si="32"/>
        <v>1</v>
      </c>
      <c r="T94" s="72" t="str">
        <f t="shared" si="33"/>
        <v>NorthBound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77" t="str">
        <f t="shared" si="35"/>
        <v>N</v>
      </c>
      <c r="X94" s="103">
        <f t="shared" si="36"/>
        <v>0</v>
      </c>
      <c r="Y94" s="100">
        <f t="shared" si="37"/>
        <v>4.6399999999999997E-2</v>
      </c>
      <c r="Z94" s="100">
        <f t="shared" si="38"/>
        <v>23.319800000000001</v>
      </c>
      <c r="AA94" s="100">
        <f t="shared" si="39"/>
        <v>23.273400000000002</v>
      </c>
      <c r="AB94" s="97">
        <f>VLOOKUP(A94,Enforcements!$C$7:$J$23,8,0)</f>
        <v>58783</v>
      </c>
      <c r="AC94" s="93" t="str">
        <f>VLOOKUP(A94,Enforcements!$C$7:$E$23,3,0)</f>
        <v>GRADE CROSSING</v>
      </c>
      <c r="AD94" s="94" t="str">
        <f t="shared" si="40"/>
        <v>0179-11</v>
      </c>
      <c r="AE94" s="78" t="str">
        <f t="shared" si="41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4" s="78" t="str">
        <f t="shared" si="42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4" s="1" t="str">
        <f t="shared" si="43"/>
        <v>EC</v>
      </c>
    </row>
    <row r="95" spans="1:33" x14ac:dyDescent="0.25">
      <c r="A95" s="50" t="s">
        <v>420</v>
      </c>
      <c r="B95" s="7">
        <v>4017</v>
      </c>
      <c r="C95" s="27" t="s">
        <v>59</v>
      </c>
      <c r="D95" s="27" t="s">
        <v>542</v>
      </c>
      <c r="E95" s="17">
        <v>42562.597662037035</v>
      </c>
      <c r="F95" s="17">
        <v>42562.598576388889</v>
      </c>
      <c r="G95" s="7">
        <v>1</v>
      </c>
      <c r="H95" s="17" t="s">
        <v>60</v>
      </c>
      <c r="I95" s="17">
        <v>42562.626909722225</v>
      </c>
      <c r="J95" s="7">
        <v>2</v>
      </c>
      <c r="K95" s="27" t="str">
        <f t="shared" si="30"/>
        <v>4017/4018</v>
      </c>
      <c r="L95" s="27" t="str">
        <f>VLOOKUP(A95,'Trips&amp;Operators'!$C$1:$E$10000,3,FALSE)</f>
        <v>MAYBERRY</v>
      </c>
      <c r="M95" s="6">
        <f t="shared" si="31"/>
        <v>2.8333333335467614E-2</v>
      </c>
      <c r="N95" s="7">
        <f t="shared" si="29"/>
        <v>40.800000003073364</v>
      </c>
      <c r="O95" s="7"/>
      <c r="P95" s="7"/>
      <c r="Q95" s="28"/>
      <c r="R95" s="28"/>
      <c r="S95" s="46">
        <f t="shared" si="32"/>
        <v>1</v>
      </c>
      <c r="T95" s="72" t="str">
        <f t="shared" si="33"/>
        <v>Southbound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77" t="str">
        <f t="shared" si="35"/>
        <v>N</v>
      </c>
      <c r="X95" s="103">
        <f t="shared" si="36"/>
        <v>1</v>
      </c>
      <c r="Y95" s="100">
        <f t="shared" si="37"/>
        <v>23.289200000000001</v>
      </c>
      <c r="Z95" s="100">
        <f t="shared" si="38"/>
        <v>1.4500000000000001E-2</v>
      </c>
      <c r="AA95" s="100">
        <f t="shared" si="39"/>
        <v>23.274699999999999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40"/>
        <v>0180-11</v>
      </c>
      <c r="AE95" s="78" t="str">
        <f t="shared" si="41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95" s="78" t="str">
        <f t="shared" si="42"/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AG95" s="1" t="str">
        <f t="shared" si="43"/>
        <v>EC</v>
      </c>
    </row>
    <row r="96" spans="1:33" x14ac:dyDescent="0.25">
      <c r="A96" s="50" t="s">
        <v>543</v>
      </c>
      <c r="B96" s="7">
        <v>4016</v>
      </c>
      <c r="C96" s="27" t="s">
        <v>59</v>
      </c>
      <c r="D96" s="27" t="s">
        <v>375</v>
      </c>
      <c r="E96" s="17">
        <v>42562.568692129629</v>
      </c>
      <c r="F96" s="17">
        <v>42562.569826388892</v>
      </c>
      <c r="G96" s="7">
        <v>1</v>
      </c>
      <c r="H96" s="17" t="s">
        <v>463</v>
      </c>
      <c r="I96" s="17">
        <v>42562.599386574075</v>
      </c>
      <c r="J96" s="7">
        <v>0</v>
      </c>
      <c r="K96" s="27" t="str">
        <f t="shared" si="30"/>
        <v>4015/4016</v>
      </c>
      <c r="L96" s="27" t="str">
        <f>VLOOKUP(A96,'Trips&amp;Operators'!$C$1:$E$10000,3,FALSE)</f>
        <v>YOUNG</v>
      </c>
      <c r="M96" s="6">
        <f t="shared" si="31"/>
        <v>2.9560185183072463E-2</v>
      </c>
      <c r="N96" s="7">
        <f t="shared" si="29"/>
        <v>42.566666663624346</v>
      </c>
      <c r="O96" s="7"/>
      <c r="P96" s="7"/>
      <c r="Q96" s="28"/>
      <c r="R96" s="28"/>
      <c r="S96" s="46">
        <f t="shared" si="32"/>
        <v>1</v>
      </c>
      <c r="T96" s="72" t="str">
        <f t="shared" si="33"/>
        <v>NorthBound</v>
      </c>
      <c r="U96" s="108">
        <f>COUNTIFS(Variables!$M$2:$M$19,IF(T96="NorthBound","&gt;=","&lt;=")&amp;Y96,Variables!$M$2:$M$19,IF(T96="NorthBound","&lt;=","&gt;=")&amp;Z96)</f>
        <v>12</v>
      </c>
      <c r="V9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12:38:55-0600',mode:absolute,to:'2016-07-11 15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6" s="77" t="str">
        <f t="shared" si="35"/>
        <v>N</v>
      </c>
      <c r="X96" s="103">
        <f t="shared" si="36"/>
        <v>1</v>
      </c>
      <c r="Y96" s="100">
        <f t="shared" si="37"/>
        <v>4.3799999999999999E-2</v>
      </c>
      <c r="Z96" s="100">
        <f t="shared" si="38"/>
        <v>23.330100000000002</v>
      </c>
      <c r="AA96" s="100">
        <f t="shared" si="39"/>
        <v>23.286300000000001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40"/>
        <v>0181-11</v>
      </c>
      <c r="AE96" s="78" t="str">
        <f t="shared" si="41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96" s="78" t="str">
        <f t="shared" si="42"/>
        <v>"C:\Program Files (x86)\AstroGrep\AstroGrep.exe" /spath="C:\Users\stu\Documents\Analysis\2016-02-23 RTDC Observations" /stypes="*4016*20160711*" /stext=" 20:.+((prompt.+disp)|(slice.+state.+chan)|(ment ac)|(system.+state.+chan)|(\|lc)|(penalty)|(\[timeout))" /e /r /s</v>
      </c>
      <c r="AG96" s="1" t="str">
        <f t="shared" si="43"/>
        <v>EC</v>
      </c>
    </row>
    <row r="97" spans="1:33" x14ac:dyDescent="0.25">
      <c r="A97" s="50" t="s">
        <v>544</v>
      </c>
      <c r="B97" s="7">
        <v>4015</v>
      </c>
      <c r="C97" s="27" t="s">
        <v>59</v>
      </c>
      <c r="D97" s="27" t="s">
        <v>458</v>
      </c>
      <c r="E97" s="17">
        <v>42562.606238425928</v>
      </c>
      <c r="F97" s="17">
        <v>42562.607199074075</v>
      </c>
      <c r="G97" s="7">
        <v>1</v>
      </c>
      <c r="H97" s="17" t="s">
        <v>545</v>
      </c>
      <c r="I97" s="17">
        <v>42562.640300925923</v>
      </c>
      <c r="J97" s="7">
        <v>0</v>
      </c>
      <c r="K97" s="27" t="str">
        <f t="shared" si="30"/>
        <v>4015/4016</v>
      </c>
      <c r="L97" s="27" t="str">
        <f>VLOOKUP(A97,'Trips&amp;Operators'!$C$1:$E$10000,3,FALSE)</f>
        <v>STARKS</v>
      </c>
      <c r="M97" s="6">
        <f t="shared" si="31"/>
        <v>3.3101851848186925E-2</v>
      </c>
      <c r="N97" s="7">
        <f t="shared" si="29"/>
        <v>47.666666661389172</v>
      </c>
      <c r="O97" s="7"/>
      <c r="P97" s="7"/>
      <c r="Q97" s="28"/>
      <c r="R97" s="28"/>
      <c r="S97" s="46">
        <f t="shared" si="32"/>
        <v>1</v>
      </c>
      <c r="T97" s="72" t="str">
        <f t="shared" si="33"/>
        <v>Southbound</v>
      </c>
      <c r="U97" s="108">
        <f>COUNTIFS(Variables!$M$2:$M$19,IF(T97="NorthBound","&gt;=","&lt;=")&amp;Y97,Variables!$M$2:$M$19,IF(T97="NorthBound","&lt;=","&gt;=")&amp;Z97)</f>
        <v>12</v>
      </c>
      <c r="V9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13:32:59-0600',mode:absolute,to:'2016-07-11 16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7" s="77" t="str">
        <f t="shared" si="35"/>
        <v>N</v>
      </c>
      <c r="X97" s="103">
        <f t="shared" si="36"/>
        <v>1</v>
      </c>
      <c r="Y97" s="100">
        <f t="shared" si="37"/>
        <v>23.2988</v>
      </c>
      <c r="Z97" s="100">
        <f t="shared" si="38"/>
        <v>2.0299999999999999E-2</v>
      </c>
      <c r="AA97" s="100">
        <f t="shared" si="39"/>
        <v>23.278500000000001</v>
      </c>
      <c r="AB97" s="97" t="e">
        <f>VLOOKUP(A97,Enforcements!$C$7:$J$23,8,0)</f>
        <v>#N/A</v>
      </c>
      <c r="AC97" s="93" t="e">
        <f>VLOOKUP(A97,Enforcements!$C$7:$E$23,3,0)</f>
        <v>#N/A</v>
      </c>
      <c r="AD97" s="94" t="str">
        <f t="shared" si="40"/>
        <v>0182-11</v>
      </c>
      <c r="AE97" s="78" t="str">
        <f t="shared" si="41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97" s="78" t="str">
        <f t="shared" si="42"/>
        <v>"C:\Program Files (x86)\AstroGrep\AstroGrep.exe" /spath="C:\Users\stu\Documents\Analysis\2016-02-23 RTDC Observations" /stypes="*4015*20160711*" /stext=" 21:.+((prompt.+disp)|(slice.+state.+chan)|(ment ac)|(system.+state.+chan)|(\|lc)|(penalty)|(\[timeout))" /e /r /s</v>
      </c>
      <c r="AG97" s="1" t="str">
        <f t="shared" si="43"/>
        <v>EC</v>
      </c>
    </row>
    <row r="98" spans="1:33" x14ac:dyDescent="0.25">
      <c r="A98" s="50" t="s">
        <v>419</v>
      </c>
      <c r="B98" s="7">
        <v>4009</v>
      </c>
      <c r="C98" s="27" t="s">
        <v>59</v>
      </c>
      <c r="D98" s="27" t="s">
        <v>546</v>
      </c>
      <c r="E98" s="17">
        <v>42562.581319444442</v>
      </c>
      <c r="F98" s="17">
        <v>42562.58222222222</v>
      </c>
      <c r="G98" s="7">
        <v>1</v>
      </c>
      <c r="H98" s="17" t="s">
        <v>366</v>
      </c>
      <c r="I98" s="17">
        <v>42562.608888888892</v>
      </c>
      <c r="J98" s="7">
        <v>1</v>
      </c>
      <c r="K98" s="27" t="str">
        <f t="shared" si="30"/>
        <v>4009/4010</v>
      </c>
      <c r="L98" s="27" t="str">
        <f>VLOOKUP(A98,'Trips&amp;Operators'!$C$1:$E$10000,3,FALSE)</f>
        <v>LOCKLEAR</v>
      </c>
      <c r="M98" s="6">
        <f t="shared" si="31"/>
        <v>2.6666666672099382E-2</v>
      </c>
      <c r="N98" s="7">
        <f t="shared" si="29"/>
        <v>38.40000000782311</v>
      </c>
      <c r="O98" s="7"/>
      <c r="P98" s="7"/>
      <c r="Q98" s="28"/>
      <c r="R98" s="28"/>
      <c r="S98" s="46">
        <f t="shared" si="32"/>
        <v>1</v>
      </c>
      <c r="T98" s="72" t="str">
        <f t="shared" si="33"/>
        <v>NorthBound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8" s="77" t="str">
        <f t="shared" si="35"/>
        <v>N</v>
      </c>
      <c r="X98" s="103">
        <f t="shared" si="36"/>
        <v>1</v>
      </c>
      <c r="Y98" s="100">
        <f t="shared" si="37"/>
        <v>4.7699999999999999E-2</v>
      </c>
      <c r="Z98" s="100">
        <f t="shared" si="38"/>
        <v>23.333200000000001</v>
      </c>
      <c r="AA98" s="100">
        <f t="shared" si="39"/>
        <v>23.285500000000003</v>
      </c>
      <c r="AB98" s="97" t="e">
        <f>VLOOKUP(A98,Enforcements!$C$7:$J$23,8,0)</f>
        <v>#N/A</v>
      </c>
      <c r="AC98" s="93" t="e">
        <f>VLOOKUP(A98,Enforcements!$C$7:$E$23,3,0)</f>
        <v>#N/A</v>
      </c>
      <c r="AD98" s="94" t="str">
        <f t="shared" si="40"/>
        <v>0183-11</v>
      </c>
      <c r="AE98" s="78" t="str">
        <f t="shared" si="41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98" s="78" t="str">
        <f t="shared" si="42"/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AG98" s="1" t="str">
        <f t="shared" si="43"/>
        <v>EC</v>
      </c>
    </row>
    <row r="99" spans="1:33" x14ac:dyDescent="0.25">
      <c r="A99" s="50" t="s">
        <v>547</v>
      </c>
      <c r="B99" s="7">
        <v>4010</v>
      </c>
      <c r="C99" s="27" t="s">
        <v>59</v>
      </c>
      <c r="D99" s="27" t="s">
        <v>548</v>
      </c>
      <c r="E99" s="17">
        <v>42562.619375000002</v>
      </c>
      <c r="F99" s="17">
        <v>42562.620069444441</v>
      </c>
      <c r="G99" s="7">
        <v>1</v>
      </c>
      <c r="H99" s="17" t="s">
        <v>153</v>
      </c>
      <c r="I99" s="17">
        <v>42562.647789351853</v>
      </c>
      <c r="J99" s="7">
        <v>0</v>
      </c>
      <c r="K99" s="27" t="str">
        <f t="shared" si="30"/>
        <v>4009/4010</v>
      </c>
      <c r="L99" s="27" t="str">
        <f>VLOOKUP(A99,'Trips&amp;Operators'!$C$1:$E$10000,3,FALSE)</f>
        <v>LOCKLEAR</v>
      </c>
      <c r="M99" s="6">
        <f t="shared" si="31"/>
        <v>2.771990741166519E-2</v>
      </c>
      <c r="N99" s="7">
        <f t="shared" si="29"/>
        <v>39.916666672797874</v>
      </c>
      <c r="O99" s="7"/>
      <c r="P99" s="7"/>
      <c r="Q99" s="28"/>
      <c r="R99" s="28"/>
      <c r="S99" s="46">
        <f t="shared" si="32"/>
        <v>1</v>
      </c>
      <c r="T99" s="72" t="str">
        <f t="shared" si="33"/>
        <v>Southbound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13:51:54-0600',mode:absolute,to:'2016-07-11 16:32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9" s="77" t="str">
        <f t="shared" si="35"/>
        <v>N</v>
      </c>
      <c r="X99" s="103">
        <f t="shared" si="36"/>
        <v>1</v>
      </c>
      <c r="Y99" s="100">
        <f t="shared" si="37"/>
        <v>23.302700000000002</v>
      </c>
      <c r="Z99" s="100">
        <f t="shared" si="38"/>
        <v>1.61E-2</v>
      </c>
      <c r="AA99" s="100">
        <f t="shared" si="39"/>
        <v>23.2866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40"/>
        <v>0184-11</v>
      </c>
      <c r="AE99" s="78" t="str">
        <f t="shared" si="41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99" s="78" t="str">
        <f t="shared" si="42"/>
        <v>"C:\Program Files (x86)\AstroGrep\AstroGrep.exe" /spath="C:\Users\stu\Documents\Analysis\2016-02-23 RTDC Observations" /stypes="*4010*20160711*" /stext=" 21:.+((prompt.+disp)|(slice.+state.+chan)|(ment ac)|(system.+state.+chan)|(\|lc)|(penalty)|(\[timeout))" /e /r /s</v>
      </c>
      <c r="AG99" s="1" t="str">
        <f t="shared" si="43"/>
        <v>EC</v>
      </c>
    </row>
    <row r="100" spans="1:33" x14ac:dyDescent="0.25">
      <c r="A100" s="50" t="s">
        <v>549</v>
      </c>
      <c r="B100" s="7">
        <v>4031</v>
      </c>
      <c r="C100" s="27" t="s">
        <v>59</v>
      </c>
      <c r="D100" s="27" t="s">
        <v>116</v>
      </c>
      <c r="E100" s="17">
        <v>42562.587731481479</v>
      </c>
      <c r="F100" s="17">
        <v>42562.588946759257</v>
      </c>
      <c r="G100" s="7">
        <v>1</v>
      </c>
      <c r="H100" s="17" t="s">
        <v>362</v>
      </c>
      <c r="I100" s="17">
        <v>42562.618495370371</v>
      </c>
      <c r="J100" s="7">
        <v>0</v>
      </c>
      <c r="K100" s="27" t="str">
        <f t="shared" si="30"/>
        <v>4031/4032</v>
      </c>
      <c r="L100" s="27" t="str">
        <f>VLOOKUP(A100,'Trips&amp;Operators'!$C$1:$E$10000,3,FALSE)</f>
        <v>REBOLETTI</v>
      </c>
      <c r="M100" s="6">
        <f t="shared" si="31"/>
        <v>2.9548611113568768E-2</v>
      </c>
      <c r="N100" s="7">
        <f t="shared" si="29"/>
        <v>42.550000003539026</v>
      </c>
      <c r="O100" s="7"/>
      <c r="P100" s="7"/>
      <c r="Q100" s="28"/>
      <c r="R100" s="28"/>
      <c r="S100" s="46">
        <f t="shared" si="32"/>
        <v>1</v>
      </c>
      <c r="T100" s="72" t="str">
        <f t="shared" si="33"/>
        <v>NorthBound</v>
      </c>
      <c r="U100" s="108">
        <f>COUNTIFS(Variables!$M$2:$M$19,IF(T100="NorthBound","&gt;=","&lt;=")&amp;Y100,Variables!$M$2:$M$19,IF(T100="NorthBound","&lt;=","&gt;=")&amp;Z100)</f>
        <v>12</v>
      </c>
      <c r="V10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13:06:20-0600',mode:absolute,to:'2016-07-11 15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77" t="str">
        <f t="shared" si="35"/>
        <v>N</v>
      </c>
      <c r="X100" s="103">
        <f t="shared" si="36"/>
        <v>1</v>
      </c>
      <c r="Y100" s="100">
        <f t="shared" si="37"/>
        <v>4.5100000000000001E-2</v>
      </c>
      <c r="Z100" s="100">
        <f t="shared" si="38"/>
        <v>23.332000000000001</v>
      </c>
      <c r="AA100" s="100">
        <f t="shared" si="39"/>
        <v>23.286899999999999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40"/>
        <v>0185-11</v>
      </c>
      <c r="AE100" s="78" t="str">
        <f t="shared" si="41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00" s="78" t="str">
        <f t="shared" si="42"/>
        <v>"C:\Program Files (x86)\AstroGrep\AstroGrep.exe" /spath="C:\Users\stu\Documents\Analysis\2016-02-23 RTDC Observations" /stypes="*4031*20160711*" /stext=" 20:.+((prompt.+disp)|(slice.+state.+chan)|(ment ac)|(system.+state.+chan)|(\|lc)|(penalty)|(\[timeout))" /e /r /s</v>
      </c>
      <c r="AG100" s="1" t="str">
        <f t="shared" si="43"/>
        <v>EC</v>
      </c>
    </row>
    <row r="101" spans="1:33" x14ac:dyDescent="0.25">
      <c r="A101" s="50" t="s">
        <v>550</v>
      </c>
      <c r="B101" s="7">
        <v>4032</v>
      </c>
      <c r="C101" s="27" t="s">
        <v>59</v>
      </c>
      <c r="D101" s="27" t="s">
        <v>551</v>
      </c>
      <c r="E101" s="17">
        <v>42562.626539351855</v>
      </c>
      <c r="F101" s="17">
        <v>42562.627662037034</v>
      </c>
      <c r="G101" s="7">
        <v>1</v>
      </c>
      <c r="H101" s="17" t="s">
        <v>111</v>
      </c>
      <c r="I101" s="17">
        <v>42562.658506944441</v>
      </c>
      <c r="J101" s="7">
        <v>0</v>
      </c>
      <c r="K101" s="27" t="str">
        <f t="shared" si="30"/>
        <v>4031/4032</v>
      </c>
      <c r="L101" s="27" t="str">
        <f>VLOOKUP(A101,'Trips&amp;Operators'!$C$1:$E$10000,3,FALSE)</f>
        <v>REBOLETTI</v>
      </c>
      <c r="M101" s="6">
        <f t="shared" si="31"/>
        <v>3.0844907407299615E-2</v>
      </c>
      <c r="N101" s="7">
        <f t="shared" si="29"/>
        <v>44.416666666511446</v>
      </c>
      <c r="O101" s="7"/>
      <c r="P101" s="7"/>
      <c r="Q101" s="28"/>
      <c r="R101" s="28"/>
      <c r="S101" s="46">
        <f t="shared" si="32"/>
        <v>1</v>
      </c>
      <c r="T101" s="72" t="str">
        <f t="shared" si="33"/>
        <v>Southbound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14:02:13-0600',mode:absolute,to:'2016-07-11 16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77" t="str">
        <f t="shared" si="35"/>
        <v>N</v>
      </c>
      <c r="X101" s="103">
        <f t="shared" si="36"/>
        <v>1</v>
      </c>
      <c r="Y101" s="100">
        <f t="shared" si="37"/>
        <v>23.300899999999999</v>
      </c>
      <c r="Z101" s="100">
        <f t="shared" si="38"/>
        <v>1.43E-2</v>
      </c>
      <c r="AA101" s="100">
        <f t="shared" si="39"/>
        <v>23.2866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40"/>
        <v>0186-11</v>
      </c>
      <c r="AE101" s="78" t="str">
        <f t="shared" si="41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01" s="78" t="str">
        <f t="shared" si="42"/>
        <v>"C:\Program Files (x86)\AstroGrep\AstroGrep.exe" /spath="C:\Users\stu\Documents\Analysis\2016-02-23 RTDC Observations" /stypes="*4032*20160711*" /stext=" 21:.+((prompt.+disp)|(slice.+state.+chan)|(ment ac)|(system.+state.+chan)|(\|lc)|(penalty)|(\[timeout))" /e /r /s</v>
      </c>
      <c r="AG101" s="1" t="str">
        <f t="shared" si="43"/>
        <v>EC</v>
      </c>
    </row>
    <row r="102" spans="1:33" x14ac:dyDescent="0.25">
      <c r="A102" s="50" t="s">
        <v>423</v>
      </c>
      <c r="B102" s="7">
        <v>4014</v>
      </c>
      <c r="C102" s="27" t="s">
        <v>59</v>
      </c>
      <c r="D102" s="27" t="s">
        <v>152</v>
      </c>
      <c r="E102" s="17">
        <v>42562.600798611114</v>
      </c>
      <c r="F102" s="17">
        <v>42562.601817129631</v>
      </c>
      <c r="G102" s="7">
        <v>1</v>
      </c>
      <c r="H102" s="17" t="s">
        <v>552</v>
      </c>
      <c r="I102" s="17">
        <v>42562.629050925927</v>
      </c>
      <c r="J102" s="7">
        <v>1</v>
      </c>
      <c r="K102" s="27" t="str">
        <f t="shared" si="30"/>
        <v>4013/4014</v>
      </c>
      <c r="L102" s="27" t="str">
        <f>VLOOKUP(A102,'Trips&amp;Operators'!$C$1:$E$10000,3,FALSE)</f>
        <v>STEWART</v>
      </c>
      <c r="M102" s="6">
        <f t="shared" si="31"/>
        <v>2.7233796296059154E-2</v>
      </c>
      <c r="N102" s="7">
        <f t="shared" si="29"/>
        <v>39.216666666325182</v>
      </c>
      <c r="O102" s="7"/>
      <c r="P102" s="7"/>
      <c r="Q102" s="28"/>
      <c r="R102" s="28"/>
      <c r="S102" s="46">
        <f t="shared" si="32"/>
        <v>1</v>
      </c>
      <c r="T102" s="72" t="str">
        <f t="shared" si="33"/>
        <v>NorthBound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2" s="77" t="str">
        <f t="shared" si="35"/>
        <v>N</v>
      </c>
      <c r="X102" s="103">
        <f t="shared" si="36"/>
        <v>1</v>
      </c>
      <c r="Y102" s="100">
        <f t="shared" si="37"/>
        <v>4.4900000000000002E-2</v>
      </c>
      <c r="Z102" s="100">
        <f t="shared" si="38"/>
        <v>23.3215</v>
      </c>
      <c r="AA102" s="100">
        <f t="shared" si="39"/>
        <v>23.276600000000002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40"/>
        <v>0187-11</v>
      </c>
      <c r="AE102" s="78" t="str">
        <f t="shared" si="41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02" s="78" t="str">
        <f t="shared" si="42"/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AG102" s="1" t="str">
        <f t="shared" si="43"/>
        <v>EC</v>
      </c>
    </row>
    <row r="103" spans="1:33" x14ac:dyDescent="0.25">
      <c r="A103" s="50" t="s">
        <v>425</v>
      </c>
      <c r="B103" s="7">
        <v>4013</v>
      </c>
      <c r="C103" s="27" t="s">
        <v>59</v>
      </c>
      <c r="D103" s="27" t="s">
        <v>553</v>
      </c>
      <c r="E103" s="17">
        <v>42562.640706018516</v>
      </c>
      <c r="F103" s="17">
        <v>42562.641597222224</v>
      </c>
      <c r="G103" s="7">
        <v>1</v>
      </c>
      <c r="H103" s="17" t="s">
        <v>554</v>
      </c>
      <c r="I103" s="17">
        <v>42562.669016203705</v>
      </c>
      <c r="J103" s="7">
        <v>1</v>
      </c>
      <c r="K103" s="27" t="str">
        <f t="shared" si="30"/>
        <v>4013/4014</v>
      </c>
      <c r="L103" s="27" t="str">
        <f>VLOOKUP(A103,'Trips&amp;Operators'!$C$1:$E$10000,3,FALSE)</f>
        <v>STEWART</v>
      </c>
      <c r="M103" s="6">
        <f t="shared" si="31"/>
        <v>2.7418981480877846E-2</v>
      </c>
      <c r="N103" s="7">
        <f t="shared" si="29"/>
        <v>39.483333332464099</v>
      </c>
      <c r="O103" s="7"/>
      <c r="P103" s="7"/>
      <c r="Q103" s="28"/>
      <c r="R103" s="28"/>
      <c r="S103" s="46">
        <f t="shared" si="32"/>
        <v>1</v>
      </c>
      <c r="T103" s="72" t="str">
        <f t="shared" si="33"/>
        <v>Southbound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3" s="77" t="str">
        <f t="shared" si="35"/>
        <v>N</v>
      </c>
      <c r="X103" s="103">
        <f t="shared" si="36"/>
        <v>1</v>
      </c>
      <c r="Y103" s="100">
        <f t="shared" si="37"/>
        <v>23.290900000000001</v>
      </c>
      <c r="Z103" s="100">
        <f t="shared" si="38"/>
        <v>2.4E-2</v>
      </c>
      <c r="AA103" s="100">
        <f t="shared" si="39"/>
        <v>23.2669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40"/>
        <v>0188-11</v>
      </c>
      <c r="AE103" s="78" t="str">
        <f t="shared" si="41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03" s="78" t="str">
        <f t="shared" si="42"/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AG103" s="1" t="str">
        <f t="shared" si="43"/>
        <v>EC</v>
      </c>
    </row>
    <row r="104" spans="1:33" x14ac:dyDescent="0.25">
      <c r="A104" s="50" t="s">
        <v>555</v>
      </c>
      <c r="B104" s="7">
        <v>4025</v>
      </c>
      <c r="C104" s="27" t="s">
        <v>59</v>
      </c>
      <c r="D104" s="27" t="s">
        <v>311</v>
      </c>
      <c r="E104" s="17">
        <v>42562.609652777777</v>
      </c>
      <c r="F104" s="17">
        <v>42562.611064814817</v>
      </c>
      <c r="G104" s="7">
        <v>2</v>
      </c>
      <c r="H104" s="17" t="s">
        <v>353</v>
      </c>
      <c r="I104" s="17">
        <v>42562.640266203707</v>
      </c>
      <c r="J104" s="7">
        <v>0</v>
      </c>
      <c r="K104" s="27" t="str">
        <f t="shared" si="30"/>
        <v>4025/4026</v>
      </c>
      <c r="L104" s="27" t="str">
        <f>VLOOKUP(A104,'Trips&amp;Operators'!$C$1:$E$10000,3,FALSE)</f>
        <v>BARTLETT</v>
      </c>
      <c r="M104" s="6">
        <f t="shared" si="31"/>
        <v>2.920138889021473E-2</v>
      </c>
      <c r="N104" s="7">
        <f t="shared" si="29"/>
        <v>42.050000001909211</v>
      </c>
      <c r="O104" s="7"/>
      <c r="P104" s="7"/>
      <c r="Q104" s="28"/>
      <c r="R104" s="28"/>
      <c r="S104" s="46">
        <f t="shared" si="32"/>
        <v>1</v>
      </c>
      <c r="T104" s="72" t="str">
        <f t="shared" si="33"/>
        <v>NorthBound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13:37:54-0600',mode:absolute,to:'2016-07-11 16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4" s="77" t="str">
        <f t="shared" si="35"/>
        <v>N</v>
      </c>
      <c r="X104" s="103">
        <f t="shared" si="36"/>
        <v>1</v>
      </c>
      <c r="Y104" s="100">
        <f t="shared" si="37"/>
        <v>4.6399999999999997E-2</v>
      </c>
      <c r="Z104" s="100">
        <f t="shared" si="38"/>
        <v>23.3307</v>
      </c>
      <c r="AA104" s="100">
        <f t="shared" si="39"/>
        <v>23.284300000000002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40"/>
        <v>0189-11</v>
      </c>
      <c r="AE104" s="78" t="str">
        <f t="shared" si="41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04" s="78" t="str">
        <f t="shared" si="42"/>
        <v>"C:\Program Files (x86)\AstroGrep\AstroGrep.exe" /spath="C:\Users\stu\Documents\Analysis\2016-02-23 RTDC Observations" /stypes="*4025*20160711*" /stext=" 21:.+((prompt.+disp)|(slice.+state.+chan)|(ment ac)|(system.+state.+chan)|(\|lc)|(penalty)|(\[timeout))" /e /r /s</v>
      </c>
      <c r="AG104" s="1" t="str">
        <f t="shared" si="43"/>
        <v>EC</v>
      </c>
    </row>
    <row r="105" spans="1:33" x14ac:dyDescent="0.25">
      <c r="A105" s="50" t="s">
        <v>556</v>
      </c>
      <c r="B105" s="7">
        <v>4026</v>
      </c>
      <c r="C105" s="27" t="s">
        <v>59</v>
      </c>
      <c r="D105" s="27" t="s">
        <v>354</v>
      </c>
      <c r="E105" s="17">
        <v>42562.644999999997</v>
      </c>
      <c r="F105" s="17">
        <v>42562.645949074074</v>
      </c>
      <c r="G105" s="7">
        <v>1</v>
      </c>
      <c r="H105" s="17" t="s">
        <v>502</v>
      </c>
      <c r="I105" s="17">
        <v>42562.682893518519</v>
      </c>
      <c r="J105" s="7">
        <v>0</v>
      </c>
      <c r="K105" s="27" t="str">
        <f t="shared" si="30"/>
        <v>4025/4026</v>
      </c>
      <c r="L105" s="27" t="str">
        <f>VLOOKUP(A105,'Trips&amp;Operators'!$C$1:$E$10000,3,FALSE)</f>
        <v>BARTLETT</v>
      </c>
      <c r="M105" s="6">
        <f t="shared" si="31"/>
        <v>3.6944444444088731E-2</v>
      </c>
      <c r="N105" s="7">
        <f t="shared" si="29"/>
        <v>53.199999999487773</v>
      </c>
      <c r="O105" s="7"/>
      <c r="P105" s="7"/>
      <c r="Q105" s="28"/>
      <c r="R105" s="28"/>
      <c r="S105" s="46">
        <f t="shared" si="32"/>
        <v>1</v>
      </c>
      <c r="T105" s="72" t="str">
        <f t="shared" si="33"/>
        <v>Southbound</v>
      </c>
      <c r="U105" s="108">
        <f>COUNTIFS(Variables!$M$2:$M$19,IF(T105="NorthBound","&gt;=","&lt;=")&amp;Y105,Variables!$M$2:$M$19,IF(T105="NorthBound","&lt;=","&gt;=")&amp;Z105)</f>
        <v>12</v>
      </c>
      <c r="V10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14:28:48-0600',mode:absolute,to:'2016-07-11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5" s="77" t="str">
        <f t="shared" si="35"/>
        <v>N</v>
      </c>
      <c r="X105" s="103">
        <f t="shared" si="36"/>
        <v>1</v>
      </c>
      <c r="Y105" s="100">
        <f t="shared" si="37"/>
        <v>23.298999999999999</v>
      </c>
      <c r="Z105" s="100">
        <f t="shared" si="38"/>
        <v>1.6299999999999999E-2</v>
      </c>
      <c r="AA105" s="100">
        <f t="shared" si="39"/>
        <v>23.282699999999998</v>
      </c>
      <c r="AB105" s="97" t="e">
        <f>VLOOKUP(A105,Enforcements!$C$7:$J$23,8,0)</f>
        <v>#N/A</v>
      </c>
      <c r="AC105" s="93" t="e">
        <f>VLOOKUP(A105,Enforcements!$C$7:$E$23,3,0)</f>
        <v>#N/A</v>
      </c>
      <c r="AD105" s="94" t="str">
        <f t="shared" si="40"/>
        <v>0190-11</v>
      </c>
      <c r="AE105" s="78" t="str">
        <f t="shared" si="41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05" s="78" t="str">
        <f t="shared" si="42"/>
        <v>"C:\Program Files (x86)\AstroGrep\AstroGrep.exe" /spath="C:\Users\stu\Documents\Analysis\2016-02-23 RTDC Observations" /stypes="*4026*20160711*" /stext=" 22:.+((prompt.+disp)|(slice.+state.+chan)|(ment ac)|(system.+state.+chan)|(\|lc)|(penalty)|(\[timeout))" /e /r /s</v>
      </c>
      <c r="AG105" s="1" t="str">
        <f t="shared" si="43"/>
        <v>EC</v>
      </c>
    </row>
    <row r="106" spans="1:33" x14ac:dyDescent="0.25">
      <c r="A106" s="50" t="s">
        <v>557</v>
      </c>
      <c r="B106" s="7">
        <v>4020</v>
      </c>
      <c r="C106" s="27" t="s">
        <v>59</v>
      </c>
      <c r="D106" s="27" t="s">
        <v>305</v>
      </c>
      <c r="E106" s="17">
        <v>42562.61990740741</v>
      </c>
      <c r="F106" s="17">
        <v>42562.620879629627</v>
      </c>
      <c r="G106" s="7">
        <v>1</v>
      </c>
      <c r="H106" s="17" t="s">
        <v>558</v>
      </c>
      <c r="I106" s="17">
        <v>42562.651122685187</v>
      </c>
      <c r="J106" s="7">
        <v>0</v>
      </c>
      <c r="K106" s="27" t="str">
        <f t="shared" si="30"/>
        <v>4019/4020</v>
      </c>
      <c r="L106" s="27" t="str">
        <f>VLOOKUP(A106,'Trips&amp;Operators'!$C$1:$E$10000,3,FALSE)</f>
        <v>SHOOK</v>
      </c>
      <c r="M106" s="6">
        <f t="shared" si="31"/>
        <v>3.0243055560276844E-2</v>
      </c>
      <c r="N106" s="7">
        <f t="shared" si="29"/>
        <v>43.550000006798655</v>
      </c>
      <c r="O106" s="7"/>
      <c r="P106" s="7"/>
      <c r="Q106" s="28"/>
      <c r="R106" s="28"/>
      <c r="S106" s="46">
        <f t="shared" si="32"/>
        <v>1</v>
      </c>
      <c r="T106" s="72" t="str">
        <f t="shared" si="33"/>
        <v>NorthBound</v>
      </c>
      <c r="U106" s="108">
        <f>COUNTIFS(Variables!$M$2:$M$19,IF(T106="NorthBound","&gt;=","&lt;=")&amp;Y106,Variables!$M$2:$M$19,IF(T106="NorthBound","&lt;=","&gt;=")&amp;Z106)</f>
        <v>12</v>
      </c>
      <c r="V10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13:52:40-0600',mode:absolute,to:'2016-07-11 16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6" s="77" t="str">
        <f t="shared" si="35"/>
        <v>N</v>
      </c>
      <c r="X106" s="103">
        <f t="shared" si="36"/>
        <v>1</v>
      </c>
      <c r="Y106" s="100">
        <f t="shared" si="37"/>
        <v>4.6899999999999997E-2</v>
      </c>
      <c r="Z106" s="100">
        <f t="shared" si="38"/>
        <v>23.3368</v>
      </c>
      <c r="AA106" s="100">
        <f t="shared" si="39"/>
        <v>23.289899999999999</v>
      </c>
      <c r="AB106" s="97" t="e">
        <f>VLOOKUP(A106,Enforcements!$C$7:$J$23,8,0)</f>
        <v>#N/A</v>
      </c>
      <c r="AC106" s="93" t="e">
        <f>VLOOKUP(A106,Enforcements!$C$7:$E$23,3,0)</f>
        <v>#N/A</v>
      </c>
      <c r="AD106" s="94" t="str">
        <f t="shared" si="40"/>
        <v>0191-11</v>
      </c>
      <c r="AE106" s="78" t="str">
        <f t="shared" si="41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06" s="78" t="str">
        <f t="shared" si="42"/>
        <v>"C:\Program Files (x86)\AstroGrep\AstroGrep.exe" /spath="C:\Users\stu\Documents\Analysis\2016-02-23 RTDC Observations" /stypes="*4020*20160711*" /stext=" 21:.+((prompt.+disp)|(slice.+state.+chan)|(ment ac)|(system.+state.+chan)|(\|lc)|(penalty)|(\[timeout))" /e /r /s</v>
      </c>
      <c r="AG106" s="1" t="str">
        <f t="shared" si="43"/>
        <v>EC</v>
      </c>
    </row>
    <row r="107" spans="1:33" x14ac:dyDescent="0.25">
      <c r="A107" s="50" t="s">
        <v>427</v>
      </c>
      <c r="B107" s="7">
        <v>4019</v>
      </c>
      <c r="C107" s="27" t="s">
        <v>59</v>
      </c>
      <c r="D107" s="27" t="s">
        <v>474</v>
      </c>
      <c r="E107" s="17">
        <v>42562.659201388888</v>
      </c>
      <c r="F107" s="17">
        <v>42562.660092592596</v>
      </c>
      <c r="G107" s="7">
        <v>1</v>
      </c>
      <c r="H107" s="17" t="s">
        <v>309</v>
      </c>
      <c r="I107" s="17">
        <v>42562.694155092591</v>
      </c>
      <c r="J107" s="7">
        <v>1</v>
      </c>
      <c r="K107" s="27" t="str">
        <f t="shared" si="30"/>
        <v>4019/4020</v>
      </c>
      <c r="L107" s="27" t="str">
        <f>VLOOKUP(A107,'Trips&amp;Operators'!$C$1:$E$10000,3,FALSE)</f>
        <v>SHOOK</v>
      </c>
      <c r="M107" s="6">
        <f t="shared" si="31"/>
        <v>3.4062499995343387E-2</v>
      </c>
      <c r="N107" s="7">
        <f t="shared" si="29"/>
        <v>49.049999993294477</v>
      </c>
      <c r="O107" s="7"/>
      <c r="P107" s="7"/>
      <c r="Q107" s="28"/>
      <c r="R107" s="28"/>
      <c r="S107" s="46">
        <f t="shared" si="32"/>
        <v>1</v>
      </c>
      <c r="T107" s="72" t="str">
        <f t="shared" si="33"/>
        <v>Southbound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7" s="77" t="str">
        <f t="shared" si="35"/>
        <v>N</v>
      </c>
      <c r="X107" s="103">
        <f t="shared" si="36"/>
        <v>1</v>
      </c>
      <c r="Y107" s="100">
        <f t="shared" si="37"/>
        <v>23.300599999999999</v>
      </c>
      <c r="Z107" s="100">
        <f t="shared" si="38"/>
        <v>1.54E-2</v>
      </c>
      <c r="AA107" s="100">
        <f t="shared" si="39"/>
        <v>23.2852</v>
      </c>
      <c r="AB107" s="97">
        <f>VLOOKUP(A107,Enforcements!$C$7:$J$23,8,0)</f>
        <v>48048</v>
      </c>
      <c r="AC107" s="93" t="str">
        <f>VLOOKUP(A107,Enforcements!$C$7:$E$23,3,0)</f>
        <v>GRADE CROSSING</v>
      </c>
      <c r="AD107" s="94" t="str">
        <f t="shared" si="40"/>
        <v>0192-11</v>
      </c>
      <c r="AE107" s="78" t="str">
        <f t="shared" si="41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07" s="78" t="str">
        <f t="shared" si="42"/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AG107" s="1" t="str">
        <f t="shared" si="43"/>
        <v>EC</v>
      </c>
    </row>
    <row r="108" spans="1:33" x14ac:dyDescent="0.25">
      <c r="A108" s="50" t="s">
        <v>424</v>
      </c>
      <c r="B108" s="7">
        <v>4018</v>
      </c>
      <c r="C108" s="27" t="s">
        <v>59</v>
      </c>
      <c r="D108" s="27" t="s">
        <v>222</v>
      </c>
      <c r="E108" s="17">
        <v>42562.629733796297</v>
      </c>
      <c r="F108" s="17">
        <v>42562.631990740738</v>
      </c>
      <c r="G108" s="7">
        <v>3</v>
      </c>
      <c r="H108" s="17" t="s">
        <v>559</v>
      </c>
      <c r="I108" s="17">
        <v>42562.660752314812</v>
      </c>
      <c r="J108" s="7">
        <v>1</v>
      </c>
      <c r="K108" s="27" t="str">
        <f t="shared" si="30"/>
        <v>4017/4018</v>
      </c>
      <c r="L108" s="27" t="str">
        <f>VLOOKUP(A108,'Trips&amp;Operators'!$C$1:$E$10000,3,FALSE)</f>
        <v>MAYBERRY</v>
      </c>
      <c r="M108" s="6">
        <f t="shared" si="31"/>
        <v>2.8761574074451346E-2</v>
      </c>
      <c r="N108" s="7">
        <f t="shared" si="29"/>
        <v>41.416666667209938</v>
      </c>
      <c r="O108" s="7"/>
      <c r="P108" s="7"/>
      <c r="Q108" s="28"/>
      <c r="R108" s="28"/>
      <c r="S108" s="46">
        <f t="shared" si="32"/>
        <v>1</v>
      </c>
      <c r="T108" s="72" t="str">
        <f t="shared" si="33"/>
        <v>NorthBound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77" t="str">
        <f t="shared" si="35"/>
        <v>N</v>
      </c>
      <c r="X108" s="103">
        <f t="shared" si="36"/>
        <v>1</v>
      </c>
      <c r="Y108" s="100">
        <f t="shared" si="37"/>
        <v>4.6699999999999998E-2</v>
      </c>
      <c r="Z108" s="100">
        <f t="shared" si="38"/>
        <v>23.324100000000001</v>
      </c>
      <c r="AA108" s="100">
        <f t="shared" si="39"/>
        <v>23.2774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40"/>
        <v>0193-11</v>
      </c>
      <c r="AE108" s="78" t="str">
        <f t="shared" si="41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08" s="78" t="str">
        <f t="shared" si="42"/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AG108" s="1" t="str">
        <f t="shared" si="43"/>
        <v>EC</v>
      </c>
    </row>
    <row r="109" spans="1:33" x14ac:dyDescent="0.25">
      <c r="A109" s="50" t="s">
        <v>426</v>
      </c>
      <c r="B109" s="7">
        <v>4017</v>
      </c>
      <c r="C109" s="27" t="s">
        <v>59</v>
      </c>
      <c r="D109" s="27" t="s">
        <v>560</v>
      </c>
      <c r="E109" s="17">
        <v>42562.662708333337</v>
      </c>
      <c r="F109" s="17">
        <v>42562.663472222222</v>
      </c>
      <c r="G109" s="7">
        <v>1</v>
      </c>
      <c r="H109" s="17" t="s">
        <v>554</v>
      </c>
      <c r="I109" s="17">
        <v>42562.702430555553</v>
      </c>
      <c r="J109" s="7">
        <v>3</v>
      </c>
      <c r="K109" s="27" t="str">
        <f t="shared" si="30"/>
        <v>4017/4018</v>
      </c>
      <c r="L109" s="27" t="str">
        <f>VLOOKUP(A109,'Trips&amp;Operators'!$C$1:$E$10000,3,FALSE)</f>
        <v>MAYBERRY</v>
      </c>
      <c r="M109" s="6">
        <f t="shared" si="31"/>
        <v>3.8958333330811001E-2</v>
      </c>
      <c r="N109" s="7">
        <f t="shared" si="29"/>
        <v>56.099999996367842</v>
      </c>
      <c r="O109" s="7"/>
      <c r="P109" s="7"/>
      <c r="Q109" s="28"/>
      <c r="R109" s="28"/>
      <c r="S109" s="46">
        <f t="shared" si="32"/>
        <v>1</v>
      </c>
      <c r="T109" s="72" t="str">
        <f t="shared" si="33"/>
        <v>Southbound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77" t="str">
        <f t="shared" si="35"/>
        <v>N</v>
      </c>
      <c r="X109" s="103">
        <f t="shared" si="36"/>
        <v>1</v>
      </c>
      <c r="Y109" s="100">
        <f t="shared" si="37"/>
        <v>23.2925</v>
      </c>
      <c r="Z109" s="100">
        <f t="shared" si="38"/>
        <v>2.4E-2</v>
      </c>
      <c r="AA109" s="100">
        <f t="shared" si="39"/>
        <v>23.2685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40"/>
        <v>0194-11</v>
      </c>
      <c r="AE109" s="78" t="str">
        <f t="shared" si="41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09" s="78" t="str">
        <f t="shared" si="42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AG109" s="1" t="str">
        <f t="shared" si="43"/>
        <v>EC</v>
      </c>
    </row>
    <row r="110" spans="1:33" x14ac:dyDescent="0.25">
      <c r="A110" s="50" t="s">
        <v>561</v>
      </c>
      <c r="B110" s="7">
        <v>4016</v>
      </c>
      <c r="C110" s="27" t="s">
        <v>59</v>
      </c>
      <c r="D110" s="27" t="s">
        <v>562</v>
      </c>
      <c r="E110" s="17">
        <v>42562.642569444448</v>
      </c>
      <c r="F110" s="17">
        <v>42562.646018518521</v>
      </c>
      <c r="G110" s="7">
        <v>4</v>
      </c>
      <c r="H110" s="17" t="s">
        <v>319</v>
      </c>
      <c r="I110" s="17">
        <v>42562.673136574071</v>
      </c>
      <c r="J110" s="7">
        <v>0</v>
      </c>
      <c r="K110" s="27" t="str">
        <f t="shared" si="30"/>
        <v>4015/4016</v>
      </c>
      <c r="L110" s="27" t="str">
        <f>VLOOKUP(A110,'Trips&amp;Operators'!$C$1:$E$10000,3,FALSE)</f>
        <v>YOUNG</v>
      </c>
      <c r="M110" s="6">
        <f t="shared" si="31"/>
        <v>2.7118055550090503E-2</v>
      </c>
      <c r="N110" s="7">
        <f t="shared" si="29"/>
        <v>39.049999992130324</v>
      </c>
      <c r="O110" s="7"/>
      <c r="P110" s="7"/>
      <c r="Q110" s="28"/>
      <c r="R110" s="28"/>
      <c r="S110" s="46">
        <f t="shared" si="32"/>
        <v>1</v>
      </c>
      <c r="T110" s="72" t="str">
        <f t="shared" si="33"/>
        <v>NorthBound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14:25:18-0600',mode:absolute,to:'2016-07-11 17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0" s="77" t="str">
        <f t="shared" si="35"/>
        <v>N</v>
      </c>
      <c r="X110" s="103">
        <f t="shared" si="36"/>
        <v>1</v>
      </c>
      <c r="Y110" s="100">
        <f t="shared" si="37"/>
        <v>5.3100000000000001E-2</v>
      </c>
      <c r="Z110" s="100">
        <f t="shared" si="38"/>
        <v>23.329699999999999</v>
      </c>
      <c r="AA110" s="100">
        <f t="shared" si="39"/>
        <v>23.276599999999998</v>
      </c>
      <c r="AB110" s="97" t="e">
        <f>VLOOKUP(A110,Enforcements!$C$7:$J$23,8,0)</f>
        <v>#N/A</v>
      </c>
      <c r="AC110" s="93" t="e">
        <f>VLOOKUP(A110,Enforcements!$C$7:$E$23,3,0)</f>
        <v>#N/A</v>
      </c>
      <c r="AD110" s="94" t="str">
        <f t="shared" si="40"/>
        <v>0195-11</v>
      </c>
      <c r="AE110" s="78" t="str">
        <f t="shared" si="41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10" s="78" t="str">
        <f t="shared" si="42"/>
        <v>"C:\Program Files (x86)\AstroGrep\AstroGrep.exe" /spath="C:\Users\stu\Documents\Analysis\2016-02-23 RTDC Observations" /stypes="*4016*20160711*" /stext=" 22:.+((prompt.+disp)|(slice.+state.+chan)|(ment ac)|(system.+state.+chan)|(\|lc)|(penalty)|(\[timeout))" /e /r /s</v>
      </c>
      <c r="AG110" s="1" t="str">
        <f t="shared" si="43"/>
        <v>EC</v>
      </c>
    </row>
    <row r="111" spans="1:33" x14ac:dyDescent="0.25">
      <c r="A111" s="50" t="s">
        <v>428</v>
      </c>
      <c r="B111" s="7">
        <v>4015</v>
      </c>
      <c r="C111" s="27" t="s">
        <v>59</v>
      </c>
      <c r="D111" s="27" t="s">
        <v>313</v>
      </c>
      <c r="E111" s="17">
        <v>42562.674884259257</v>
      </c>
      <c r="F111" s="17">
        <v>42562.678020833337</v>
      </c>
      <c r="G111" s="7">
        <v>4</v>
      </c>
      <c r="H111" s="17" t="s">
        <v>224</v>
      </c>
      <c r="I111" s="17">
        <v>42562.71671296296</v>
      </c>
      <c r="J111" s="7">
        <v>1</v>
      </c>
      <c r="K111" s="27" t="str">
        <f t="shared" si="30"/>
        <v>4015/4016</v>
      </c>
      <c r="L111" s="27" t="str">
        <f>VLOOKUP(A111,'Trips&amp;Operators'!$C$1:$E$10000,3,FALSE)</f>
        <v>STARKS</v>
      </c>
      <c r="M111" s="6">
        <f t="shared" si="31"/>
        <v>3.8692129623086657E-2</v>
      </c>
      <c r="N111" s="7">
        <f t="shared" si="29"/>
        <v>55.716666657244787</v>
      </c>
      <c r="O111" s="7"/>
      <c r="P111" s="7"/>
      <c r="Q111" s="28"/>
      <c r="R111" s="28"/>
      <c r="S111" s="46">
        <f t="shared" si="32"/>
        <v>1</v>
      </c>
      <c r="T111" s="72" t="str">
        <f t="shared" si="33"/>
        <v>Southbound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1" s="77" t="str">
        <f t="shared" si="35"/>
        <v>N</v>
      </c>
      <c r="X111" s="103">
        <f t="shared" si="36"/>
        <v>1</v>
      </c>
      <c r="Y111" s="100">
        <f t="shared" si="37"/>
        <v>23.2987</v>
      </c>
      <c r="Z111" s="100">
        <f t="shared" si="38"/>
        <v>1.6E-2</v>
      </c>
      <c r="AA111" s="100">
        <f t="shared" si="39"/>
        <v>23.282700000000002</v>
      </c>
      <c r="AB111" s="97">
        <f>VLOOKUP(A111,Enforcements!$C$7:$J$23,8,0)</f>
        <v>48048</v>
      </c>
      <c r="AC111" s="93" t="str">
        <f>VLOOKUP(A111,Enforcements!$C$7:$E$23,3,0)</f>
        <v>GRADE CROSSING</v>
      </c>
      <c r="AD111" s="94" t="str">
        <f t="shared" si="40"/>
        <v>0196-11</v>
      </c>
      <c r="AE111" s="78" t="str">
        <f t="shared" si="41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11" s="78" t="str">
        <f t="shared" si="42"/>
        <v>"C:\Program Files (x86)\AstroGrep\AstroGrep.exe" /spath="C:\Users\stu\Documents\Analysis\2016-02-23 RTDC Observations" /stypes="*4015*20160711*" /stext=" 23:.+((prompt.+disp)|(slice.+state.+chan)|(ment ac)|(system.+state.+chan)|(\|lc)|(penalty)|(\[timeout))" /e /r /s</v>
      </c>
      <c r="AG111" s="1" t="str">
        <f t="shared" si="43"/>
        <v>EC</v>
      </c>
    </row>
    <row r="112" spans="1:33" x14ac:dyDescent="0.25">
      <c r="A112" s="50" t="s">
        <v>563</v>
      </c>
      <c r="B112" s="7">
        <v>4009</v>
      </c>
      <c r="C112" s="27" t="s">
        <v>59</v>
      </c>
      <c r="D112" s="27" t="s">
        <v>270</v>
      </c>
      <c r="E112" s="17">
        <v>42562.653645833336</v>
      </c>
      <c r="F112" s="17">
        <v>42562.654513888891</v>
      </c>
      <c r="G112" s="7">
        <v>1</v>
      </c>
      <c r="H112" s="17" t="s">
        <v>359</v>
      </c>
      <c r="I112" s="17">
        <v>42562.68074074074</v>
      </c>
      <c r="J112" s="7">
        <v>0</v>
      </c>
      <c r="K112" s="27" t="str">
        <f t="shared" si="30"/>
        <v>4009/4010</v>
      </c>
      <c r="L112" s="27" t="str">
        <f>VLOOKUP(A112,'Trips&amp;Operators'!$C$1:$E$10000,3,FALSE)</f>
        <v>LOCKLEAR</v>
      </c>
      <c r="M112" s="6">
        <f t="shared" si="31"/>
        <v>2.622685184906004E-2</v>
      </c>
      <c r="N112" s="7">
        <f t="shared" si="29"/>
        <v>37.766666662646458</v>
      </c>
      <c r="O112" s="7"/>
      <c r="P112" s="7"/>
      <c r="Q112" s="28"/>
      <c r="R112" s="28"/>
      <c r="S112" s="46">
        <f t="shared" si="32"/>
        <v>1</v>
      </c>
      <c r="T112" s="72" t="str">
        <f t="shared" si="33"/>
        <v>NorthBound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14:41:15-0600',mode:absolute,to:'2016-07-11 17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2" s="77" t="str">
        <f t="shared" si="35"/>
        <v>N</v>
      </c>
      <c r="X112" s="103">
        <f t="shared" si="36"/>
        <v>1</v>
      </c>
      <c r="Y112" s="100">
        <f t="shared" si="37"/>
        <v>4.7300000000000002E-2</v>
      </c>
      <c r="Z112" s="100">
        <f t="shared" si="38"/>
        <v>23.3337</v>
      </c>
      <c r="AA112" s="100">
        <f t="shared" si="39"/>
        <v>23.2864</v>
      </c>
      <c r="AB112" s="97" t="e">
        <f>VLOOKUP(A112,Enforcements!$C$7:$J$23,8,0)</f>
        <v>#N/A</v>
      </c>
      <c r="AC112" s="93" t="e">
        <f>VLOOKUP(A112,Enforcements!$C$7:$E$23,3,0)</f>
        <v>#N/A</v>
      </c>
      <c r="AD112" s="94" t="str">
        <f t="shared" si="40"/>
        <v>0197-11</v>
      </c>
      <c r="AE112" s="78" t="str">
        <f t="shared" si="41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12" s="78" t="str">
        <f t="shared" si="42"/>
        <v>"C:\Program Files (x86)\AstroGrep\AstroGrep.exe" /spath="C:\Users\stu\Documents\Analysis\2016-02-23 RTDC Observations" /stypes="*4009*20160711*" /stext=" 22:.+((prompt.+disp)|(slice.+state.+chan)|(ment ac)|(system.+state.+chan)|(\|lc)|(penalty)|(\[timeout))" /e /r /s</v>
      </c>
      <c r="AG112" s="1" t="str">
        <f t="shared" si="43"/>
        <v>EC</v>
      </c>
    </row>
    <row r="113" spans="1:33" x14ac:dyDescent="0.25">
      <c r="A113" s="50" t="s">
        <v>429</v>
      </c>
      <c r="B113" s="7">
        <v>4010</v>
      </c>
      <c r="C113" s="27" t="s">
        <v>59</v>
      </c>
      <c r="D113" s="27" t="s">
        <v>372</v>
      </c>
      <c r="E113" s="17">
        <v>42562.690740740742</v>
      </c>
      <c r="F113" s="17">
        <v>42562.691689814812</v>
      </c>
      <c r="G113" s="7">
        <v>1</v>
      </c>
      <c r="H113" s="17" t="s">
        <v>130</v>
      </c>
      <c r="I113" s="17">
        <v>42562.722604166665</v>
      </c>
      <c r="J113" s="7">
        <v>1</v>
      </c>
      <c r="K113" s="27" t="str">
        <f t="shared" si="30"/>
        <v>4009/4010</v>
      </c>
      <c r="L113" s="27" t="str">
        <f>VLOOKUP(A113,'Trips&amp;Operators'!$C$1:$E$10000,3,FALSE)</f>
        <v>LOCKLEAR</v>
      </c>
      <c r="M113" s="6">
        <f t="shared" si="31"/>
        <v>3.0914351853425615E-2</v>
      </c>
      <c r="N113" s="7">
        <f t="shared" si="29"/>
        <v>44.516666668932885</v>
      </c>
      <c r="O113" s="7"/>
      <c r="P113" s="7"/>
      <c r="Q113" s="28"/>
      <c r="R113" s="28"/>
      <c r="S113" s="46">
        <f t="shared" si="32"/>
        <v>1</v>
      </c>
      <c r="T113" s="72" t="str">
        <f t="shared" si="33"/>
        <v>Southbound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3" s="77" t="str">
        <f t="shared" si="35"/>
        <v>N</v>
      </c>
      <c r="X113" s="103">
        <f t="shared" si="36"/>
        <v>1</v>
      </c>
      <c r="Y113" s="100">
        <f t="shared" si="37"/>
        <v>23.3005</v>
      </c>
      <c r="Z113" s="100">
        <f t="shared" si="38"/>
        <v>1.5599999999999999E-2</v>
      </c>
      <c r="AA113" s="100">
        <f t="shared" si="39"/>
        <v>23.2849</v>
      </c>
      <c r="AB113" s="97">
        <f>VLOOKUP(A113,Enforcements!$C$7:$J$23,8,0)</f>
        <v>48048</v>
      </c>
      <c r="AC113" s="93" t="str">
        <f>VLOOKUP(A113,Enforcements!$C$7:$E$23,3,0)</f>
        <v>GRADE CROSSING</v>
      </c>
      <c r="AD113" s="94" t="str">
        <f t="shared" si="40"/>
        <v>0198-11</v>
      </c>
      <c r="AE113" s="78" t="str">
        <f t="shared" si="41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13" s="78" t="str">
        <f t="shared" si="42"/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AG113" s="1" t="str">
        <f t="shared" si="43"/>
        <v>EC</v>
      </c>
    </row>
    <row r="114" spans="1:33" x14ac:dyDescent="0.25">
      <c r="A114" s="50" t="s">
        <v>564</v>
      </c>
      <c r="B114" s="7">
        <v>4031</v>
      </c>
      <c r="C114" s="27" t="s">
        <v>59</v>
      </c>
      <c r="D114" s="27" t="s">
        <v>304</v>
      </c>
      <c r="E114" s="17">
        <v>42562.66033564815</v>
      </c>
      <c r="F114" s="17">
        <v>42562.661423611113</v>
      </c>
      <c r="G114" s="7">
        <v>1</v>
      </c>
      <c r="H114" s="17" t="s">
        <v>315</v>
      </c>
      <c r="I114" s="17">
        <v>42562.69425925926</v>
      </c>
      <c r="J114" s="7">
        <v>0</v>
      </c>
      <c r="K114" s="27" t="str">
        <f t="shared" si="30"/>
        <v>4031/4032</v>
      </c>
      <c r="L114" s="27" t="str">
        <f>VLOOKUP(A114,'Trips&amp;Operators'!$C$1:$E$10000,3,FALSE)</f>
        <v>REBOLETTI</v>
      </c>
      <c r="M114" s="6">
        <f t="shared" si="31"/>
        <v>3.2835648147738539E-2</v>
      </c>
      <c r="N114" s="7">
        <f t="shared" si="29"/>
        <v>47.283333332743496</v>
      </c>
      <c r="O114" s="7"/>
      <c r="P114" s="7"/>
      <c r="Q114" s="28"/>
      <c r="R114" s="28"/>
      <c r="S114" s="46">
        <f t="shared" si="32"/>
        <v>1</v>
      </c>
      <c r="T114" s="72" t="str">
        <f t="shared" si="33"/>
        <v>NorthBound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14:50:53-0600',mode:absolute,to:'2016-07-11 17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77" t="str">
        <f t="shared" si="35"/>
        <v>N</v>
      </c>
      <c r="X114" s="103">
        <f t="shared" si="36"/>
        <v>1</v>
      </c>
      <c r="Y114" s="100">
        <f t="shared" si="37"/>
        <v>4.5499999999999999E-2</v>
      </c>
      <c r="Z114" s="100">
        <f t="shared" si="38"/>
        <v>23.331</v>
      </c>
      <c r="AA114" s="100">
        <f t="shared" si="39"/>
        <v>23.285499999999999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40"/>
        <v>0199-11</v>
      </c>
      <c r="AE114" s="78" t="str">
        <f t="shared" si="41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14" s="78" t="str">
        <f t="shared" si="42"/>
        <v>"C:\Program Files (x86)\AstroGrep\AstroGrep.exe" /spath="C:\Users\stu\Documents\Analysis\2016-02-23 RTDC Observations" /stypes="*4031*20160711*" /stext=" 22:.+((prompt.+disp)|(slice.+state.+chan)|(ment ac)|(system.+state.+chan)|(\|lc)|(penalty)|(\[timeout))" /e /r /s</v>
      </c>
      <c r="AG114" s="1" t="str">
        <f t="shared" si="43"/>
        <v>EC</v>
      </c>
    </row>
    <row r="115" spans="1:33" x14ac:dyDescent="0.25">
      <c r="A115" s="50" t="s">
        <v>565</v>
      </c>
      <c r="B115" s="7">
        <v>4032</v>
      </c>
      <c r="C115" s="27" t="s">
        <v>59</v>
      </c>
      <c r="D115" s="27" t="s">
        <v>364</v>
      </c>
      <c r="E115" s="17">
        <v>42562.702534722222</v>
      </c>
      <c r="F115" s="17">
        <v>42562.703622685185</v>
      </c>
      <c r="G115" s="7">
        <v>1</v>
      </c>
      <c r="H115" s="17" t="s">
        <v>566</v>
      </c>
      <c r="I115" s="17">
        <v>42562.73814814815</v>
      </c>
      <c r="J115" s="7">
        <v>0</v>
      </c>
      <c r="K115" s="27" t="str">
        <f t="shared" si="30"/>
        <v>4031/4032</v>
      </c>
      <c r="L115" s="27" t="str">
        <f>VLOOKUP(A115,'Trips&amp;Operators'!$C$1:$E$10000,3,FALSE)</f>
        <v>REBOLETTI</v>
      </c>
      <c r="M115" s="6">
        <f t="shared" si="31"/>
        <v>3.4525462964666076E-2</v>
      </c>
      <c r="N115" s="7"/>
      <c r="O115" s="7"/>
      <c r="P115" s="7">
        <f t="shared" si="29"/>
        <v>49.716666669119149</v>
      </c>
      <c r="Q115" s="28"/>
      <c r="R115" s="28" t="s">
        <v>675</v>
      </c>
      <c r="S115" s="46">
        <f t="shared" si="32"/>
        <v>1</v>
      </c>
      <c r="T115" s="72" t="str">
        <f t="shared" si="33"/>
        <v>Southbound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15:51:39-0600',mode:absolute,to:'2016-07-11 18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5" s="77" t="str">
        <f t="shared" si="35"/>
        <v>Y</v>
      </c>
      <c r="X115" s="103">
        <f t="shared" si="36"/>
        <v>1</v>
      </c>
      <c r="Y115" s="100">
        <f t="shared" si="37"/>
        <v>23.299399999999999</v>
      </c>
      <c r="Z115" s="100">
        <f t="shared" si="38"/>
        <v>0.50039999999999996</v>
      </c>
      <c r="AA115" s="100">
        <f t="shared" si="39"/>
        <v>22.798999999999999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40"/>
        <v>0200-11</v>
      </c>
      <c r="AE115" s="78" t="str">
        <f t="shared" si="41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15" s="78" t="str">
        <f t="shared" si="42"/>
        <v>"C:\Program Files (x86)\AstroGrep\AstroGrep.exe" /spath="C:\Users\stu\Documents\Analysis\2016-02-23 RTDC Observations" /stypes="*4032*20160711*" /stext=" 23:.+((prompt.+disp)|(slice.+state.+chan)|(ment ac)|(system.+state.+chan)|(\|lc)|(penalty)|(\[timeout))" /e /r /s</v>
      </c>
      <c r="AG115" s="1" t="str">
        <f t="shared" si="43"/>
        <v>EC</v>
      </c>
    </row>
    <row r="116" spans="1:33" x14ac:dyDescent="0.25">
      <c r="A116" s="50" t="s">
        <v>567</v>
      </c>
      <c r="B116" s="7">
        <v>4014</v>
      </c>
      <c r="C116" s="27" t="s">
        <v>59</v>
      </c>
      <c r="D116" s="27" t="s">
        <v>568</v>
      </c>
      <c r="E116" s="17">
        <v>42562.673391203702</v>
      </c>
      <c r="F116" s="17">
        <v>42562.674363425926</v>
      </c>
      <c r="G116" s="7">
        <v>1</v>
      </c>
      <c r="H116" s="17" t="s">
        <v>569</v>
      </c>
      <c r="I116" s="17">
        <v>42562.706759259258</v>
      </c>
      <c r="J116" s="7">
        <v>0</v>
      </c>
      <c r="K116" s="27" t="str">
        <f t="shared" si="30"/>
        <v>4013/4014</v>
      </c>
      <c r="L116" s="27" t="str">
        <f>VLOOKUP(A116,'Trips&amp;Operators'!$C$1:$E$10000,3,FALSE)</f>
        <v>STEWART</v>
      </c>
      <c r="M116" s="6">
        <f t="shared" si="31"/>
        <v>3.2395833331975155E-2</v>
      </c>
      <c r="N116" s="7">
        <f t="shared" si="29"/>
        <v>46.649999998044223</v>
      </c>
      <c r="O116" s="7"/>
      <c r="P116" s="7"/>
      <c r="Q116" s="28"/>
      <c r="R116" s="28"/>
      <c r="S116" s="46">
        <f t="shared" si="32"/>
        <v>1</v>
      </c>
      <c r="T116" s="72" t="str">
        <f t="shared" si="33"/>
        <v>NorthBound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15:09:41-0600',mode:absolute,to:'2016-07-11 17:57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6" s="77" t="str">
        <f t="shared" si="35"/>
        <v>N</v>
      </c>
      <c r="X116" s="103">
        <f t="shared" si="36"/>
        <v>1</v>
      </c>
      <c r="Y116" s="100">
        <f t="shared" si="37"/>
        <v>5.4899999999999997E-2</v>
      </c>
      <c r="Z116" s="100">
        <f t="shared" si="38"/>
        <v>23.3184</v>
      </c>
      <c r="AA116" s="100">
        <f t="shared" si="39"/>
        <v>23.263500000000001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40"/>
        <v>0201-11</v>
      </c>
      <c r="AE116" s="78" t="str">
        <f t="shared" si="41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16" s="78" t="str">
        <f t="shared" si="42"/>
        <v>"C:\Program Files (x86)\AstroGrep\AstroGrep.exe" /spath="C:\Users\stu\Documents\Analysis\2016-02-23 RTDC Observations" /stypes="*4014*20160711*" /stext=" 22:.+((prompt.+disp)|(slice.+state.+chan)|(ment ac)|(system.+state.+chan)|(\|lc)|(penalty)|(\[timeout))" /e /r /s</v>
      </c>
      <c r="AG116" s="1" t="str">
        <f t="shared" si="43"/>
        <v>EC</v>
      </c>
    </row>
    <row r="117" spans="1:33" x14ac:dyDescent="0.25">
      <c r="A117" s="50" t="s">
        <v>570</v>
      </c>
      <c r="B117" s="7">
        <v>4013</v>
      </c>
      <c r="C117" s="27" t="s">
        <v>59</v>
      </c>
      <c r="D117" s="27" t="s">
        <v>571</v>
      </c>
      <c r="E117" s="17">
        <v>42562.712581018517</v>
      </c>
      <c r="F117" s="17">
        <v>42562.713750000003</v>
      </c>
      <c r="G117" s="7">
        <v>1</v>
      </c>
      <c r="H117" s="17" t="s">
        <v>572</v>
      </c>
      <c r="I117" s="17">
        <v>42562.743333333332</v>
      </c>
      <c r="J117" s="7">
        <v>0</v>
      </c>
      <c r="K117" s="27" t="str">
        <f t="shared" si="30"/>
        <v>4013/4014</v>
      </c>
      <c r="L117" s="27" t="str">
        <f>VLOOKUP(A117,'Trips&amp;Operators'!$C$1:$E$10000,3,FALSE)</f>
        <v>STEWART</v>
      </c>
      <c r="M117" s="6">
        <f t="shared" si="31"/>
        <v>2.958333332935581E-2</v>
      </c>
      <c r="N117" s="7"/>
      <c r="O117" s="7"/>
      <c r="P117" s="7">
        <f t="shared" si="29"/>
        <v>42.599999994272366</v>
      </c>
      <c r="Q117" s="28"/>
      <c r="R117" s="28" t="s">
        <v>675</v>
      </c>
      <c r="S117" s="46">
        <f t="shared" si="32"/>
        <v>1</v>
      </c>
      <c r="T117" s="72" t="str">
        <f t="shared" si="33"/>
        <v>Southbound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16:06:07-0600',mode:absolute,to:'2016-07-11 18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7" s="77" t="str">
        <f t="shared" si="35"/>
        <v>Y</v>
      </c>
      <c r="X117" s="103">
        <f t="shared" si="36"/>
        <v>1</v>
      </c>
      <c r="Y117" s="100">
        <f t="shared" si="37"/>
        <v>23.284199999999998</v>
      </c>
      <c r="Z117" s="100">
        <f t="shared" si="38"/>
        <v>1.7764</v>
      </c>
      <c r="AA117" s="100">
        <f t="shared" si="39"/>
        <v>21.5078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40"/>
        <v>0202-11</v>
      </c>
      <c r="AE117" s="78" t="str">
        <f t="shared" si="41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17" s="78" t="str">
        <f t="shared" si="42"/>
        <v>"C:\Program Files (x86)\AstroGrep\AstroGrep.exe" /spath="C:\Users\stu\Documents\Analysis\2016-02-23 RTDC Observations" /stypes="*4013*20160711*" /stext=" 23:.+((prompt.+disp)|(slice.+state.+chan)|(ment ac)|(system.+state.+chan)|(\|lc)|(penalty)|(\[timeout))" /e /r /s</v>
      </c>
      <c r="AG117" s="1" t="str">
        <f t="shared" si="43"/>
        <v>EC</v>
      </c>
    </row>
    <row r="118" spans="1:33" x14ac:dyDescent="0.25">
      <c r="A118" s="50" t="s">
        <v>573</v>
      </c>
      <c r="B118" s="7">
        <v>4025</v>
      </c>
      <c r="C118" s="27" t="s">
        <v>59</v>
      </c>
      <c r="D118" s="27" t="s">
        <v>304</v>
      </c>
      <c r="E118" s="17">
        <v>42562.684317129628</v>
      </c>
      <c r="F118" s="17">
        <v>42562.685150462959</v>
      </c>
      <c r="G118" s="7">
        <v>1</v>
      </c>
      <c r="H118" s="17" t="s">
        <v>151</v>
      </c>
      <c r="I118" s="17">
        <v>42562.714444444442</v>
      </c>
      <c r="J118" s="7">
        <v>0</v>
      </c>
      <c r="K118" s="27" t="str">
        <f t="shared" si="30"/>
        <v>4025/4026</v>
      </c>
      <c r="L118" s="27" t="str">
        <f>VLOOKUP(A118,'Trips&amp;Operators'!$C$1:$E$10000,3,FALSE)</f>
        <v>BARTLETT</v>
      </c>
      <c r="M118" s="6">
        <f t="shared" si="31"/>
        <v>2.9293981482624076E-2</v>
      </c>
      <c r="N118" s="7">
        <f t="shared" si="29"/>
        <v>42.18333333497867</v>
      </c>
      <c r="O118" s="7"/>
      <c r="P118" s="7"/>
      <c r="Q118" s="28"/>
      <c r="R118" s="28"/>
      <c r="S118" s="46">
        <f t="shared" si="32"/>
        <v>1</v>
      </c>
      <c r="T118" s="72" t="str">
        <f t="shared" si="33"/>
        <v>NorthBound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15:25:25-0600',mode:absolute,to:'2016-07-11 18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8" s="77" t="str">
        <f t="shared" si="35"/>
        <v>N</v>
      </c>
      <c r="X118" s="103">
        <f t="shared" si="36"/>
        <v>1</v>
      </c>
      <c r="Y118" s="100">
        <f t="shared" si="37"/>
        <v>4.5499999999999999E-2</v>
      </c>
      <c r="Z118" s="100">
        <f t="shared" si="38"/>
        <v>23.330200000000001</v>
      </c>
      <c r="AA118" s="100">
        <f t="shared" si="39"/>
        <v>23.284700000000001</v>
      </c>
      <c r="AB118" s="97" t="e">
        <f>VLOOKUP(A118,Enforcements!$C$7:$J$23,8,0)</f>
        <v>#N/A</v>
      </c>
      <c r="AC118" s="93" t="e">
        <f>VLOOKUP(A118,Enforcements!$C$7:$E$23,3,0)</f>
        <v>#N/A</v>
      </c>
      <c r="AD118" s="94" t="str">
        <f t="shared" si="40"/>
        <v>0203-11</v>
      </c>
      <c r="AE118" s="78" t="str">
        <f t="shared" si="41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18" s="78" t="str">
        <f t="shared" si="42"/>
        <v>"C:\Program Files (x86)\AstroGrep\AstroGrep.exe" /spath="C:\Users\stu\Documents\Analysis\2016-02-23 RTDC Observations" /stypes="*4025*20160711*" /stext=" 23:.+((prompt.+disp)|(slice.+state.+chan)|(ment ac)|(system.+state.+chan)|(\|lc)|(penalty)|(\[timeout))" /e /r /s</v>
      </c>
      <c r="AG118" s="1" t="str">
        <f t="shared" si="43"/>
        <v>EC</v>
      </c>
    </row>
    <row r="119" spans="1:33" x14ac:dyDescent="0.25">
      <c r="A119" s="50" t="s">
        <v>574</v>
      </c>
      <c r="B119" s="7">
        <v>4026</v>
      </c>
      <c r="C119" s="27" t="s">
        <v>59</v>
      </c>
      <c r="D119" s="27" t="s">
        <v>313</v>
      </c>
      <c r="E119" s="17">
        <v>42562.721122685187</v>
      </c>
      <c r="F119" s="17">
        <v>42562.722337962965</v>
      </c>
      <c r="G119" s="7">
        <v>1</v>
      </c>
      <c r="H119" s="17" t="s">
        <v>575</v>
      </c>
      <c r="I119" s="17">
        <v>42562.759942129633</v>
      </c>
      <c r="J119" s="7">
        <v>0</v>
      </c>
      <c r="K119" s="27" t="str">
        <f t="shared" si="30"/>
        <v>4025/4026</v>
      </c>
      <c r="L119" s="27" t="str">
        <f>VLOOKUP(A119,'Trips&amp;Operators'!$C$1:$E$10000,3,FALSE)</f>
        <v>BARTLETT</v>
      </c>
      <c r="M119" s="6">
        <f t="shared" si="31"/>
        <v>3.7604166667733807E-2</v>
      </c>
      <c r="N119" s="7"/>
      <c r="O119" s="7"/>
      <c r="P119" s="7">
        <f t="shared" si="29"/>
        <v>54.150000001536682</v>
      </c>
      <c r="Q119" s="28"/>
      <c r="R119" s="28" t="s">
        <v>675</v>
      </c>
      <c r="S119" s="46">
        <f t="shared" si="32"/>
        <v>1</v>
      </c>
      <c r="T119" s="72" t="str">
        <f t="shared" si="33"/>
        <v>Southbound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16:18:25-0600',mode:absolute,to:'2016-07-11 19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9" s="77" t="str">
        <f t="shared" si="35"/>
        <v>Y</v>
      </c>
      <c r="X119" s="103">
        <f t="shared" si="36"/>
        <v>1</v>
      </c>
      <c r="Y119" s="100">
        <f t="shared" si="37"/>
        <v>23.2987</v>
      </c>
      <c r="Z119" s="100">
        <f t="shared" si="38"/>
        <v>0.85509999999999997</v>
      </c>
      <c r="AA119" s="100">
        <f t="shared" si="39"/>
        <v>22.4436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40"/>
        <v>0204-11</v>
      </c>
      <c r="AE119" s="78" t="str">
        <f t="shared" si="41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19" s="78" t="str">
        <f t="shared" si="42"/>
        <v>"C:\Program Files (x86)\AstroGrep\AstroGrep.exe" /spath="C:\Users\stu\Documents\Analysis\2016-02-23 RTDC Observations" /stypes="*4026*20160712*" /stext=" 00:.+((prompt.+disp)|(slice.+state.+chan)|(ment ac)|(system.+state.+chan)|(\|lc)|(penalty)|(\[timeout))" /e /r /s</v>
      </c>
      <c r="AG119" s="1" t="str">
        <f t="shared" si="43"/>
        <v>EC</v>
      </c>
    </row>
    <row r="120" spans="1:33" x14ac:dyDescent="0.25">
      <c r="A120" s="50" t="s">
        <v>431</v>
      </c>
      <c r="B120" s="7">
        <v>4020</v>
      </c>
      <c r="C120" s="27" t="s">
        <v>59</v>
      </c>
      <c r="D120" s="27" t="s">
        <v>341</v>
      </c>
      <c r="E120" s="17">
        <v>42562.695879629631</v>
      </c>
      <c r="F120" s="17">
        <v>42562.696840277778</v>
      </c>
      <c r="G120" s="7">
        <v>1</v>
      </c>
      <c r="H120" s="17" t="s">
        <v>463</v>
      </c>
      <c r="I120" s="17">
        <v>42562.725462962961</v>
      </c>
      <c r="J120" s="7">
        <v>1</v>
      </c>
      <c r="K120" s="27" t="str">
        <f t="shared" si="30"/>
        <v>4019/4020</v>
      </c>
      <c r="L120" s="27" t="str">
        <f>VLOOKUP(A120,'Trips&amp;Operators'!$C$1:$E$10000,3,FALSE)</f>
        <v>SHOOK</v>
      </c>
      <c r="M120" s="6">
        <f t="shared" si="31"/>
        <v>2.8622685182199348E-2</v>
      </c>
      <c r="N120" s="7">
        <f t="shared" si="29"/>
        <v>41.216666662367061</v>
      </c>
      <c r="O120" s="7"/>
      <c r="P120" s="7"/>
      <c r="Q120" s="28"/>
      <c r="R120" s="28"/>
      <c r="S120" s="46">
        <f t="shared" si="32"/>
        <v>1</v>
      </c>
      <c r="T120" s="72" t="str">
        <f t="shared" si="33"/>
        <v>NorthBound</v>
      </c>
      <c r="U120" s="108">
        <f>COUNTIFS(Variables!$M$2:$M$19,IF(T120="NorthBound","&gt;=","&lt;=")&amp;Y120,Variables!$M$2:$M$19,IF(T120="NorthBound","&lt;=","&gt;=")&amp;Z120)</f>
        <v>12</v>
      </c>
      <c r="V12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0" s="77" t="str">
        <f t="shared" si="35"/>
        <v>N</v>
      </c>
      <c r="X120" s="103">
        <f t="shared" si="36"/>
        <v>1</v>
      </c>
      <c r="Y120" s="100">
        <f t="shared" si="37"/>
        <v>4.7100000000000003E-2</v>
      </c>
      <c r="Z120" s="100">
        <f t="shared" si="38"/>
        <v>23.330100000000002</v>
      </c>
      <c r="AA120" s="100">
        <f t="shared" si="39"/>
        <v>23.283000000000001</v>
      </c>
      <c r="AB120" s="97" t="e">
        <f>VLOOKUP(A120,Enforcements!$C$7:$J$23,8,0)</f>
        <v>#N/A</v>
      </c>
      <c r="AC120" s="93" t="e">
        <f>VLOOKUP(A120,Enforcements!$C$7:$E$23,3,0)</f>
        <v>#N/A</v>
      </c>
      <c r="AD120" s="94" t="str">
        <f t="shared" si="40"/>
        <v>0205-11</v>
      </c>
      <c r="AE120" s="78" t="str">
        <f t="shared" si="41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20" s="78" t="str">
        <f t="shared" si="42"/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AG120" s="1" t="str">
        <f t="shared" si="43"/>
        <v>EC</v>
      </c>
    </row>
    <row r="121" spans="1:33" x14ac:dyDescent="0.25">
      <c r="A121" s="50" t="s">
        <v>576</v>
      </c>
      <c r="B121" s="7">
        <v>4019</v>
      </c>
      <c r="C121" s="27" t="s">
        <v>59</v>
      </c>
      <c r="D121" s="27" t="s">
        <v>577</v>
      </c>
      <c r="E121" s="17">
        <v>42562.731481481482</v>
      </c>
      <c r="F121" s="17">
        <v>42562.732546296298</v>
      </c>
      <c r="G121" s="7">
        <v>1</v>
      </c>
      <c r="H121" s="17" t="s">
        <v>578</v>
      </c>
      <c r="I121" s="17">
        <v>42562.769479166665</v>
      </c>
      <c r="J121" s="7">
        <v>0</v>
      </c>
      <c r="K121" s="27" t="str">
        <f t="shared" si="30"/>
        <v>4019/4020</v>
      </c>
      <c r="L121" s="27" t="str">
        <f>VLOOKUP(A121,'Trips&amp;Operators'!$C$1:$E$10000,3,FALSE)</f>
        <v>SHOOK</v>
      </c>
      <c r="M121" s="6">
        <f t="shared" si="31"/>
        <v>3.6932870367309079E-2</v>
      </c>
      <c r="N121" s="7"/>
      <c r="O121" s="7"/>
      <c r="P121" s="7">
        <f t="shared" si="29"/>
        <v>53.183333328925073</v>
      </c>
      <c r="Q121" s="28"/>
      <c r="R121" s="28" t="s">
        <v>675</v>
      </c>
      <c r="S121" s="46">
        <f t="shared" si="32"/>
        <v>1</v>
      </c>
      <c r="T121" s="72" t="str">
        <f t="shared" si="33"/>
        <v>Southbound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16:33:20-0600',mode:absolute,to:'2016-07-11 19:28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1" s="77" t="str">
        <f t="shared" si="35"/>
        <v>Y</v>
      </c>
      <c r="X121" s="103">
        <f t="shared" si="36"/>
        <v>1</v>
      </c>
      <c r="Y121" s="100">
        <f t="shared" si="37"/>
        <v>23.296500000000002</v>
      </c>
      <c r="Z121" s="100">
        <f t="shared" si="38"/>
        <v>0.50290000000000001</v>
      </c>
      <c r="AA121" s="100">
        <f t="shared" si="39"/>
        <v>22.793600000000001</v>
      </c>
      <c r="AB121" s="97" t="e">
        <f>VLOOKUP(A121,Enforcements!$C$7:$J$23,8,0)</f>
        <v>#N/A</v>
      </c>
      <c r="AC121" s="93" t="e">
        <f>VLOOKUP(A121,Enforcements!$C$7:$E$23,3,0)</f>
        <v>#N/A</v>
      </c>
      <c r="AD121" s="94" t="str">
        <f t="shared" si="40"/>
        <v>0206-11</v>
      </c>
      <c r="AE121" s="78" t="str">
        <f t="shared" si="41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21" s="78" t="str">
        <f t="shared" si="42"/>
        <v>"C:\Program Files (x86)\AstroGrep\AstroGrep.exe" /spath="C:\Users\stu\Documents\Analysis\2016-02-23 RTDC Observations" /stypes="*4019*20160712*" /stext=" 00:.+((prompt.+disp)|(slice.+state.+chan)|(ment ac)|(system.+state.+chan)|(\|lc)|(penalty)|(\[timeout))" /e /r /s</v>
      </c>
      <c r="AG121" s="1" t="str">
        <f t="shared" si="43"/>
        <v>EC</v>
      </c>
    </row>
    <row r="122" spans="1:33" x14ac:dyDescent="0.25">
      <c r="A122" s="50" t="s">
        <v>430</v>
      </c>
      <c r="B122" s="7">
        <v>4018</v>
      </c>
      <c r="C122" s="27" t="s">
        <v>59</v>
      </c>
      <c r="D122" s="27" t="s">
        <v>579</v>
      </c>
      <c r="E122" s="17">
        <v>42562.703645833331</v>
      </c>
      <c r="F122" s="17">
        <v>42562.704583333332</v>
      </c>
      <c r="G122" s="7">
        <v>1</v>
      </c>
      <c r="H122" s="17" t="s">
        <v>580</v>
      </c>
      <c r="I122" s="17">
        <v>42562.735034722224</v>
      </c>
      <c r="J122" s="7">
        <v>4</v>
      </c>
      <c r="K122" s="27" t="str">
        <f t="shared" si="30"/>
        <v>4017/4018</v>
      </c>
      <c r="L122" s="27" t="str">
        <f>VLOOKUP(A122,'Trips&amp;Operators'!$C$1:$E$10000,3,FALSE)</f>
        <v>MAYBERRY</v>
      </c>
      <c r="M122" s="6">
        <f t="shared" si="31"/>
        <v>3.0451388891378883E-2</v>
      </c>
      <c r="N122" s="7">
        <f t="shared" si="29"/>
        <v>43.850000003585592</v>
      </c>
      <c r="O122" s="7"/>
      <c r="P122" s="7"/>
      <c r="Q122" s="28"/>
      <c r="R122" s="28"/>
      <c r="S122" s="46">
        <f t="shared" si="32"/>
        <v>1</v>
      </c>
      <c r="T122" s="72" t="str">
        <f t="shared" si="33"/>
        <v>NorthBound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77" t="str">
        <f t="shared" si="35"/>
        <v>N</v>
      </c>
      <c r="X122" s="103">
        <f t="shared" si="36"/>
        <v>1</v>
      </c>
      <c r="Y122" s="100">
        <f t="shared" si="37"/>
        <v>5.28E-2</v>
      </c>
      <c r="Z122" s="100">
        <f t="shared" si="38"/>
        <v>23.318300000000001</v>
      </c>
      <c r="AA122" s="100">
        <f t="shared" si="39"/>
        <v>23.265499999999999</v>
      </c>
      <c r="AB122" s="97">
        <f>VLOOKUP(A122,Enforcements!$C$7:$J$23,8,0)</f>
        <v>47865</v>
      </c>
      <c r="AC122" s="93" t="str">
        <f>VLOOKUP(A122,Enforcements!$C$7:$E$23,3,0)</f>
        <v>GRADE CROSSING</v>
      </c>
      <c r="AD122" s="94" t="str">
        <f t="shared" si="40"/>
        <v>0207-11</v>
      </c>
      <c r="AE122" s="78" t="str">
        <f t="shared" si="41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22" s="78" t="str">
        <f t="shared" si="42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AG122" s="1" t="str">
        <f t="shared" si="43"/>
        <v>EC</v>
      </c>
    </row>
    <row r="123" spans="1:33" x14ac:dyDescent="0.25">
      <c r="A123" s="50" t="s">
        <v>432</v>
      </c>
      <c r="B123" s="7">
        <v>4017</v>
      </c>
      <c r="C123" s="27" t="s">
        <v>59</v>
      </c>
      <c r="D123" s="27" t="s">
        <v>581</v>
      </c>
      <c r="E123" s="17">
        <v>42562.745370370372</v>
      </c>
      <c r="F123" s="17">
        <v>42562.746400462966</v>
      </c>
      <c r="G123" s="7">
        <v>1</v>
      </c>
      <c r="H123" s="17" t="s">
        <v>582</v>
      </c>
      <c r="I123" s="17">
        <v>42562.775231481479</v>
      </c>
      <c r="J123" s="7">
        <v>2</v>
      </c>
      <c r="K123" s="27" t="str">
        <f t="shared" si="30"/>
        <v>4017/4018</v>
      </c>
      <c r="L123" s="27" t="str">
        <f>VLOOKUP(A123,'Trips&amp;Operators'!$C$1:$E$10000,3,FALSE)</f>
        <v>MAYBERRY</v>
      </c>
      <c r="M123" s="6">
        <f t="shared" si="31"/>
        <v>2.8831018513301387E-2</v>
      </c>
      <c r="N123" s="7"/>
      <c r="O123" s="7"/>
      <c r="P123" s="7">
        <f t="shared" si="29"/>
        <v>41.516666659153998</v>
      </c>
      <c r="Q123" s="28"/>
      <c r="R123" s="28" t="s">
        <v>675</v>
      </c>
      <c r="S123" s="46">
        <f t="shared" si="32"/>
        <v>1</v>
      </c>
      <c r="T123" s="72" t="str">
        <f t="shared" si="33"/>
        <v>Southbound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77" t="str">
        <f t="shared" si="35"/>
        <v>Y</v>
      </c>
      <c r="X123" s="103">
        <f t="shared" si="36"/>
        <v>1</v>
      </c>
      <c r="Y123" s="100">
        <f t="shared" si="37"/>
        <v>23.287400000000002</v>
      </c>
      <c r="Z123" s="100">
        <f t="shared" si="38"/>
        <v>0.89600000000000002</v>
      </c>
      <c r="AA123" s="100">
        <f t="shared" si="39"/>
        <v>22.391400000000001</v>
      </c>
      <c r="AB123" s="97">
        <f>VLOOKUP(A123,Enforcements!$C$7:$J$23,8,0)</f>
        <v>21848</v>
      </c>
      <c r="AC123" s="93" t="str">
        <f>VLOOKUP(A123,Enforcements!$C$7:$E$23,3,0)</f>
        <v>PERMANENT SPEED RESTRICTION</v>
      </c>
      <c r="AD123" s="94" t="str">
        <f t="shared" si="40"/>
        <v>0208-11</v>
      </c>
      <c r="AE123" s="78" t="str">
        <f t="shared" si="41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23" s="78" t="str">
        <f t="shared" si="42"/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AG123" s="1" t="str">
        <f t="shared" si="43"/>
        <v>EC</v>
      </c>
    </row>
    <row r="124" spans="1:33" x14ac:dyDescent="0.25">
      <c r="A124" s="50" t="s">
        <v>583</v>
      </c>
      <c r="B124" s="7">
        <v>4016</v>
      </c>
      <c r="C124" s="27" t="s">
        <v>59</v>
      </c>
      <c r="D124" s="27" t="s">
        <v>335</v>
      </c>
      <c r="E124" s="17">
        <v>42562.71806712963</v>
      </c>
      <c r="F124" s="17">
        <v>42562.720104166663</v>
      </c>
      <c r="G124" s="7">
        <v>2</v>
      </c>
      <c r="H124" s="17" t="s">
        <v>302</v>
      </c>
      <c r="I124" s="17">
        <v>42562.750844907408</v>
      </c>
      <c r="J124" s="7">
        <v>0</v>
      </c>
      <c r="K124" s="27" t="str">
        <f t="shared" si="30"/>
        <v>4015/4016</v>
      </c>
      <c r="L124" s="27" t="str">
        <f>VLOOKUP(A124,'Trips&amp;Operators'!$C$1:$E$10000,3,FALSE)</f>
        <v>MAELZER</v>
      </c>
      <c r="M124" s="6">
        <f t="shared" si="31"/>
        <v>3.0740740745386574E-2</v>
      </c>
      <c r="N124" s="7">
        <f t="shared" si="29"/>
        <v>44.266666673356667</v>
      </c>
      <c r="O124" s="7"/>
      <c r="P124" s="7"/>
      <c r="Q124" s="28"/>
      <c r="R124" s="28"/>
      <c r="S124" s="46">
        <f t="shared" si="32"/>
        <v>1</v>
      </c>
      <c r="T124" s="72" t="str">
        <f t="shared" si="33"/>
        <v>NorthBound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16:14:01-0600',mode:absolute,to:'2016-07-11 19:01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4" s="77" t="str">
        <f t="shared" si="35"/>
        <v>N</v>
      </c>
      <c r="X124" s="103">
        <f t="shared" si="36"/>
        <v>1</v>
      </c>
      <c r="Y124" s="100">
        <f t="shared" si="37"/>
        <v>4.3999999999999997E-2</v>
      </c>
      <c r="Z124" s="100">
        <f t="shared" si="38"/>
        <v>23.329899999999999</v>
      </c>
      <c r="AA124" s="100">
        <f t="shared" si="39"/>
        <v>23.285899999999998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si="40"/>
        <v>0209-11</v>
      </c>
      <c r="AE124" s="78" t="str">
        <f t="shared" si="41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24" s="78" t="str">
        <f t="shared" si="42"/>
        <v>"C:\Program Files (x86)\AstroGrep\AstroGrep.exe" /spath="C:\Users\stu\Documents\Analysis\2016-02-23 RTDC Observations" /stypes="*4016*20160712*" /stext=" 00:.+((prompt.+disp)|(slice.+state.+chan)|(ment ac)|(system.+state.+chan)|(\|lc)|(penalty)|(\[timeout))" /e /r /s</v>
      </c>
      <c r="AG124" s="1" t="str">
        <f t="shared" si="43"/>
        <v>EC</v>
      </c>
    </row>
    <row r="125" spans="1:33" x14ac:dyDescent="0.25">
      <c r="A125" s="50" t="s">
        <v>584</v>
      </c>
      <c r="B125" s="7">
        <v>4015</v>
      </c>
      <c r="C125" s="27" t="s">
        <v>59</v>
      </c>
      <c r="D125" s="27" t="s">
        <v>337</v>
      </c>
      <c r="E125" s="17">
        <v>42562.753206018519</v>
      </c>
      <c r="F125" s="17">
        <v>42562.756215277775</v>
      </c>
      <c r="G125" s="7">
        <v>4</v>
      </c>
      <c r="H125" s="17" t="s">
        <v>585</v>
      </c>
      <c r="I125" s="17">
        <v>42562.782546296294</v>
      </c>
      <c r="J125" s="7">
        <v>0</v>
      </c>
      <c r="K125" s="27" t="str">
        <f t="shared" si="30"/>
        <v>4015/4016</v>
      </c>
      <c r="L125" s="27" t="str">
        <f>VLOOKUP(A125,'Trips&amp;Operators'!$C$1:$E$10000,3,FALSE)</f>
        <v>MAELZER</v>
      </c>
      <c r="M125" s="6">
        <f t="shared" si="31"/>
        <v>2.6331018518249039E-2</v>
      </c>
      <c r="N125" s="7"/>
      <c r="O125" s="7"/>
      <c r="P125" s="7">
        <f t="shared" si="29"/>
        <v>37.916666666278616</v>
      </c>
      <c r="Q125" s="28"/>
      <c r="R125" s="28" t="s">
        <v>675</v>
      </c>
      <c r="S125" s="46">
        <f t="shared" si="32"/>
        <v>1</v>
      </c>
      <c r="T125" s="72" t="str">
        <f t="shared" si="33"/>
        <v>Southbound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17:04:37-0600',mode:absolute,to:'2016-07-11 19:46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5" s="77" t="str">
        <f t="shared" si="35"/>
        <v>Y</v>
      </c>
      <c r="X125" s="103">
        <f t="shared" si="36"/>
        <v>1</v>
      </c>
      <c r="Y125" s="100">
        <f t="shared" si="37"/>
        <v>23.297499999999999</v>
      </c>
      <c r="Z125" s="100">
        <f t="shared" si="38"/>
        <v>0.90790000000000004</v>
      </c>
      <c r="AA125" s="100">
        <f t="shared" si="39"/>
        <v>22.389599999999998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40"/>
        <v>0210-11</v>
      </c>
      <c r="AE125" s="78" t="str">
        <f t="shared" si="41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25" s="78" t="str">
        <f t="shared" si="42"/>
        <v>"C:\Program Files (x86)\AstroGrep\AstroGrep.exe" /spath="C:\Users\stu\Documents\Analysis\2016-02-23 RTDC Observations" /stypes="*4015*20160712*" /stext=" 00:.+((prompt.+disp)|(slice.+state.+chan)|(ment ac)|(system.+state.+chan)|(\|lc)|(penalty)|(\[timeout))" /e /r /s</v>
      </c>
      <c r="AG125" s="1" t="str">
        <f t="shared" si="43"/>
        <v>EC</v>
      </c>
    </row>
    <row r="126" spans="1:33" x14ac:dyDescent="0.25">
      <c r="A126" s="50" t="s">
        <v>586</v>
      </c>
      <c r="B126" s="7">
        <v>4009</v>
      </c>
      <c r="C126" s="27" t="s">
        <v>59</v>
      </c>
      <c r="D126" s="27" t="s">
        <v>587</v>
      </c>
      <c r="E126" s="17">
        <v>42562.735613425924</v>
      </c>
      <c r="F126" s="17">
        <v>42562.736597222225</v>
      </c>
      <c r="G126" s="7">
        <v>1</v>
      </c>
      <c r="H126" s="17" t="s">
        <v>360</v>
      </c>
      <c r="I126" s="17">
        <v>42562.76290509259</v>
      </c>
      <c r="J126" s="7">
        <v>0</v>
      </c>
      <c r="K126" s="27" t="str">
        <f t="shared" si="30"/>
        <v>4009/4010</v>
      </c>
      <c r="L126" s="27" t="str">
        <f>VLOOKUP(A126,'Trips&amp;Operators'!$C$1:$E$10000,3,FALSE)</f>
        <v>YOUNG</v>
      </c>
      <c r="M126" s="6">
        <f t="shared" si="31"/>
        <v>2.6307870364689734E-2</v>
      </c>
      <c r="N126" s="7"/>
      <c r="O126" s="7"/>
      <c r="P126" s="7">
        <f t="shared" si="29"/>
        <v>37.883333325153217</v>
      </c>
      <c r="Q126" s="28"/>
      <c r="R126" s="28" t="s">
        <v>675</v>
      </c>
      <c r="S126" s="46">
        <f t="shared" si="32"/>
        <v>1</v>
      </c>
      <c r="T126" s="72" t="str">
        <f t="shared" si="33"/>
        <v>NorthBound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16:39:17-0600',mode:absolute,to:'2016-07-11 19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6" s="77" t="str">
        <f t="shared" si="35"/>
        <v>Y</v>
      </c>
      <c r="X126" s="103">
        <f t="shared" si="36"/>
        <v>1</v>
      </c>
      <c r="Y126" s="100">
        <f t="shared" si="37"/>
        <v>1.9129</v>
      </c>
      <c r="Z126" s="100">
        <f t="shared" si="38"/>
        <v>23.331199999999999</v>
      </c>
      <c r="AA126" s="100">
        <f t="shared" si="39"/>
        <v>21.418299999999999</v>
      </c>
      <c r="AB126" s="97" t="e">
        <f>VLOOKUP(A126,Enforcements!$C$7:$J$23,8,0)</f>
        <v>#N/A</v>
      </c>
      <c r="AC126" s="93" t="e">
        <f>VLOOKUP(A126,Enforcements!$C$7:$E$23,3,0)</f>
        <v>#N/A</v>
      </c>
      <c r="AD126" s="94" t="str">
        <f t="shared" si="40"/>
        <v>0211-11</v>
      </c>
      <c r="AE126" s="78" t="str">
        <f t="shared" si="41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26" s="78" t="str">
        <f t="shared" si="42"/>
        <v>"C:\Program Files (x86)\AstroGrep\AstroGrep.exe" /spath="C:\Users\stu\Documents\Analysis\2016-02-23 RTDC Observations" /stypes="*4009*20160712*" /stext=" 00:.+((prompt.+disp)|(slice.+state.+chan)|(ment ac)|(system.+state.+chan)|(\|lc)|(penalty)|(\[timeout))" /e /r /s</v>
      </c>
      <c r="AG126" s="1" t="str">
        <f t="shared" si="43"/>
        <v>EC</v>
      </c>
    </row>
    <row r="127" spans="1:33" x14ac:dyDescent="0.25">
      <c r="A127" s="50" t="s">
        <v>433</v>
      </c>
      <c r="B127" s="7">
        <v>4010</v>
      </c>
      <c r="C127" s="27" t="s">
        <v>59</v>
      </c>
      <c r="D127" s="27" t="s">
        <v>221</v>
      </c>
      <c r="E127" s="17">
        <v>42562.764675925922</v>
      </c>
      <c r="F127" s="17">
        <v>42562.765740740739</v>
      </c>
      <c r="G127" s="7">
        <v>1</v>
      </c>
      <c r="H127" s="17" t="s">
        <v>61</v>
      </c>
      <c r="I127" s="17">
        <v>42562.798101851855</v>
      </c>
      <c r="J127" s="7">
        <v>1</v>
      </c>
      <c r="K127" s="27" t="str">
        <f t="shared" si="30"/>
        <v>4009/4010</v>
      </c>
      <c r="L127" s="27" t="str">
        <f>VLOOKUP(A127,'Trips&amp;Operators'!$C$1:$E$10000,3,FALSE)</f>
        <v>YOUNG</v>
      </c>
      <c r="M127" s="6">
        <f t="shared" si="31"/>
        <v>3.2361111116188113E-2</v>
      </c>
      <c r="N127" s="7">
        <f t="shared" si="29"/>
        <v>46.600000007310882</v>
      </c>
      <c r="O127" s="7"/>
      <c r="P127" s="7"/>
      <c r="Q127" s="28"/>
      <c r="R127" s="28"/>
      <c r="S127" s="46">
        <f t="shared" si="32"/>
        <v>1</v>
      </c>
      <c r="T127" s="72" t="str">
        <f t="shared" si="33"/>
        <v>Southbound</v>
      </c>
      <c r="U127" s="108">
        <f>COUNTIFS(Variables!$M$2:$M$19,IF(T127="NorthBound","&gt;=","&lt;=")&amp;Y127,Variables!$M$2:$M$19,IF(T127="NorthBound","&lt;=","&gt;=")&amp;Z127)</f>
        <v>12</v>
      </c>
      <c r="V12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7" s="77" t="str">
        <f t="shared" si="35"/>
        <v>N</v>
      </c>
      <c r="X127" s="103">
        <f t="shared" si="36"/>
        <v>1</v>
      </c>
      <c r="Y127" s="100">
        <f t="shared" si="37"/>
        <v>23.299600000000002</v>
      </c>
      <c r="Z127" s="100">
        <f t="shared" si="38"/>
        <v>1.52E-2</v>
      </c>
      <c r="AA127" s="100">
        <f t="shared" si="39"/>
        <v>23.284400000000002</v>
      </c>
      <c r="AB127" s="97">
        <f>VLOOKUP(A127,Enforcements!$C$7:$J$23,8,0)</f>
        <v>229055</v>
      </c>
      <c r="AC127" s="93" t="str">
        <f>VLOOKUP(A127,Enforcements!$C$7:$E$23,3,0)</f>
        <v>PERMANENT SPEED RESTRICTION</v>
      </c>
      <c r="AD127" s="94" t="str">
        <f t="shared" si="40"/>
        <v>0212-11</v>
      </c>
      <c r="AE127" s="78" t="str">
        <f t="shared" si="41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27" s="78" t="str">
        <f t="shared" si="42"/>
        <v>"C:\Program Files (x86)\AstroGrep\AstroGrep.exe" /spath="C:\Users\stu\Documents\Analysis\2016-02-23 RTDC Observations" /stypes="*4010*20160712*" /stext=" 01:.+((prompt.+disp)|(slice.+state.+chan)|(ment ac)|(system.+state.+chan)|(\|lc)|(penalty)|(\[timeout))" /e /r /s</v>
      </c>
      <c r="AG127" s="1" t="str">
        <f t="shared" si="43"/>
        <v>EC</v>
      </c>
    </row>
    <row r="128" spans="1:33" x14ac:dyDescent="0.25">
      <c r="A128" s="50" t="s">
        <v>588</v>
      </c>
      <c r="B128" s="7">
        <v>4031</v>
      </c>
      <c r="C128" s="27" t="s">
        <v>59</v>
      </c>
      <c r="D128" s="27" t="s">
        <v>589</v>
      </c>
      <c r="E128" s="17">
        <v>42562.757916666669</v>
      </c>
      <c r="F128" s="17">
        <v>42562.758553240739</v>
      </c>
      <c r="G128" s="7">
        <v>0</v>
      </c>
      <c r="H128" s="17" t="s">
        <v>368</v>
      </c>
      <c r="I128" s="17">
        <v>42562.776388888888</v>
      </c>
      <c r="J128" s="7">
        <v>0</v>
      </c>
      <c r="K128" s="27" t="str">
        <f t="shared" si="30"/>
        <v>4031/4032</v>
      </c>
      <c r="L128" s="27" t="str">
        <f>VLOOKUP(A128,'Trips&amp;Operators'!$C$1:$E$10000,3,FALSE)</f>
        <v>NEWELL</v>
      </c>
      <c r="M128" s="6">
        <f t="shared" si="31"/>
        <v>1.7835648148320615E-2</v>
      </c>
      <c r="N128" s="7"/>
      <c r="O128" s="7"/>
      <c r="P128" s="7">
        <f t="shared" si="29"/>
        <v>25.683333333581686</v>
      </c>
      <c r="Q128" s="28"/>
      <c r="R128" s="28" t="s">
        <v>675</v>
      </c>
      <c r="S128" s="46">
        <f t="shared" si="32"/>
        <v>0.75</v>
      </c>
      <c r="T128" s="72" t="str">
        <f t="shared" si="33"/>
        <v>NorthBound</v>
      </c>
      <c r="U128" s="108">
        <f>COUNTIFS(Variables!$M$2:$M$19,IF(T128="NorthBound","&gt;=","&lt;=")&amp;Y128,Variables!$M$2:$M$19,IF(T128="NorthBound","&lt;=","&gt;=")&amp;Z128)</f>
        <v>9</v>
      </c>
      <c r="V12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17:11:24-0600',mode:absolute,to:'2016-07-11 19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8" s="77" t="str">
        <f t="shared" si="35"/>
        <v>Y</v>
      </c>
      <c r="X128" s="103">
        <f t="shared" si="36"/>
        <v>1</v>
      </c>
      <c r="Y128" s="100">
        <f t="shared" si="37"/>
        <v>3.7179000000000002</v>
      </c>
      <c r="Z128" s="100">
        <f t="shared" si="38"/>
        <v>23.331600000000002</v>
      </c>
      <c r="AA128" s="100">
        <f t="shared" si="39"/>
        <v>19.613700000000001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40"/>
        <v>0213-11</v>
      </c>
      <c r="AE128" s="78" t="str">
        <f t="shared" si="41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8" s="78" t="str">
        <f t="shared" si="42"/>
        <v>"C:\Program Files (x86)\AstroGrep\AstroGrep.exe" /spath="C:\Users\stu\Documents\Analysis\2016-02-23 RTDC Observations" /stypes="*4031*20160712*" /stext=" 00:.+((prompt.+disp)|(slice.+state.+chan)|(ment ac)|(system.+state.+chan)|(\|lc)|(penalty)|(\[timeout))" /e /r /s</v>
      </c>
      <c r="AG128" s="1" t="str">
        <f t="shared" si="43"/>
        <v>EC</v>
      </c>
    </row>
    <row r="129" spans="1:33" x14ac:dyDescent="0.25">
      <c r="A129" s="50" t="s">
        <v>588</v>
      </c>
      <c r="B129" s="7">
        <v>4031</v>
      </c>
      <c r="C129" s="27" t="s">
        <v>59</v>
      </c>
      <c r="D129" s="27" t="s">
        <v>341</v>
      </c>
      <c r="E129" s="17">
        <v>42562.742534722223</v>
      </c>
      <c r="F129" s="17">
        <v>42562.744189814817</v>
      </c>
      <c r="G129" s="7">
        <v>2</v>
      </c>
      <c r="H129" s="17" t="s">
        <v>305</v>
      </c>
      <c r="I129" s="17">
        <v>42562.74422453704</v>
      </c>
      <c r="J129" s="7">
        <v>0</v>
      </c>
      <c r="K129" s="27" t="str">
        <f t="shared" si="30"/>
        <v>4031/4032</v>
      </c>
      <c r="L129" s="27" t="str">
        <f>VLOOKUP(A129,'Trips&amp;Operators'!$C$1:$E$10000,3,FALSE)</f>
        <v>NEWELL</v>
      </c>
      <c r="M129" s="6">
        <f t="shared" si="31"/>
        <v>3.4722223062999547E-5</v>
      </c>
      <c r="N129" s="7"/>
      <c r="O129" s="7"/>
      <c r="P129" s="7"/>
      <c r="Q129" s="28"/>
      <c r="R129" s="28"/>
      <c r="S129" s="46"/>
      <c r="T129" s="72" t="str">
        <f t="shared" si="33"/>
        <v>NorthBound</v>
      </c>
      <c r="U129" s="108">
        <f>COUNTIFS(Variables!$M$2:$M$19,IF(T129="NorthBound","&gt;=","&lt;=")&amp;Y129,Variables!$M$2:$M$19,IF(T129="NorthBound","&lt;=","&gt;=")&amp;Z129)</f>
        <v>0</v>
      </c>
      <c r="V12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16:49:15-0600',mode:absolute,to:'2016-07-11 18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9" s="77" t="str">
        <f t="shared" si="35"/>
        <v>Y</v>
      </c>
      <c r="X129" s="103">
        <f t="shared" si="36"/>
        <v>0</v>
      </c>
      <c r="Y129" s="100">
        <f t="shared" si="37"/>
        <v>4.7100000000000003E-2</v>
      </c>
      <c r="Z129" s="100">
        <f t="shared" si="38"/>
        <v>4.6899999999999997E-2</v>
      </c>
      <c r="AA129" s="100">
        <f t="shared" si="39"/>
        <v>2.0000000000000573E-4</v>
      </c>
      <c r="AB129" s="97" t="e">
        <f>VLOOKUP(A129,Enforcements!$C$7:$J$23,8,0)</f>
        <v>#N/A</v>
      </c>
      <c r="AC129" s="93" t="e">
        <f>VLOOKUP(A129,Enforcements!$C$7:$E$23,3,0)</f>
        <v>#N/A</v>
      </c>
      <c r="AD129" s="94" t="str">
        <f t="shared" si="40"/>
        <v>0213-11</v>
      </c>
      <c r="AE129" s="78" t="str">
        <f t="shared" si="41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9" s="78" t="str">
        <f t="shared" si="42"/>
        <v>"C:\Program Files (x86)\AstroGrep\AstroGrep.exe" /spath="C:\Users\stu\Documents\Analysis\2016-02-23 RTDC Observations" /stypes="*4031*20160711*" /stext=" 23:.+((prompt.+disp)|(slice.+state.+chan)|(ment ac)|(system.+state.+chan)|(\|lc)|(penalty)|(\[timeout))" /e /r /s</v>
      </c>
      <c r="AG129" s="1" t="str">
        <f t="shared" si="43"/>
        <v>EC</v>
      </c>
    </row>
    <row r="130" spans="1:33" x14ac:dyDescent="0.25">
      <c r="A130" s="50" t="s">
        <v>434</v>
      </c>
      <c r="B130" s="7">
        <v>4032</v>
      </c>
      <c r="C130" s="27" t="s">
        <v>59</v>
      </c>
      <c r="D130" s="27" t="s">
        <v>322</v>
      </c>
      <c r="E130" s="17">
        <v>42562.778101851851</v>
      </c>
      <c r="F130" s="17">
        <v>42562.779085648152</v>
      </c>
      <c r="G130" s="7">
        <v>1</v>
      </c>
      <c r="H130" s="17" t="s">
        <v>61</v>
      </c>
      <c r="I130" s="17">
        <v>42562.807256944441</v>
      </c>
      <c r="J130" s="7">
        <v>2</v>
      </c>
      <c r="K130" s="27" t="str">
        <f t="shared" si="30"/>
        <v>4031/4032</v>
      </c>
      <c r="L130" s="27" t="str">
        <f>VLOOKUP(A130,'Trips&amp;Operators'!$C$1:$E$10000,3,FALSE)</f>
        <v>NEWELL</v>
      </c>
      <c r="M130" s="6">
        <f t="shared" si="31"/>
        <v>2.8171296289656311E-2</v>
      </c>
      <c r="N130" s="7">
        <f t="shared" si="29"/>
        <v>40.566666657105088</v>
      </c>
      <c r="O130" s="7"/>
      <c r="P130" s="7"/>
      <c r="Q130" s="28"/>
      <c r="R130" s="28"/>
      <c r="S130" s="46">
        <f t="shared" si="32"/>
        <v>1</v>
      </c>
      <c r="T130" s="72" t="str">
        <f t="shared" si="33"/>
        <v>Southbound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0" s="77" t="str">
        <f t="shared" si="35"/>
        <v>N</v>
      </c>
      <c r="X130" s="103">
        <f t="shared" si="36"/>
        <v>1</v>
      </c>
      <c r="Y130" s="100">
        <f t="shared" si="37"/>
        <v>23.2986</v>
      </c>
      <c r="Z130" s="100">
        <f t="shared" si="38"/>
        <v>1.52E-2</v>
      </c>
      <c r="AA130" s="100">
        <f t="shared" si="39"/>
        <v>23.2834</v>
      </c>
      <c r="AB130" s="97">
        <f>VLOOKUP(A130,Enforcements!$C$7:$J$23,8,0)</f>
        <v>15167</v>
      </c>
      <c r="AC130" s="93" t="str">
        <f>VLOOKUP(A130,Enforcements!$C$7:$E$23,3,0)</f>
        <v>PERMANENT SPEED RESTRICTION</v>
      </c>
      <c r="AD130" s="94" t="str">
        <f t="shared" si="40"/>
        <v>0214-11</v>
      </c>
      <c r="AE130" s="78" t="str">
        <f t="shared" si="41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30" s="78" t="str">
        <f t="shared" si="42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AG130" s="1" t="str">
        <f t="shared" si="43"/>
        <v>EC</v>
      </c>
    </row>
    <row r="131" spans="1:33" x14ac:dyDescent="0.25">
      <c r="A131" s="50" t="s">
        <v>590</v>
      </c>
      <c r="B131" s="7">
        <v>4014</v>
      </c>
      <c r="C131" s="27" t="s">
        <v>59</v>
      </c>
      <c r="D131" s="27" t="s">
        <v>591</v>
      </c>
      <c r="E131" s="17">
        <v>42562.766608796293</v>
      </c>
      <c r="F131" s="17">
        <v>42562.767546296294</v>
      </c>
      <c r="G131" s="7">
        <v>1</v>
      </c>
      <c r="H131" s="17" t="s">
        <v>303</v>
      </c>
      <c r="I131" s="17">
        <v>42562.789722222224</v>
      </c>
      <c r="J131" s="7">
        <v>0</v>
      </c>
      <c r="K131" s="27" t="str">
        <f t="shared" si="30"/>
        <v>4013/4014</v>
      </c>
      <c r="L131" s="27" t="str">
        <f>VLOOKUP(A131,'Trips&amp;Operators'!$C$1:$E$10000,3,FALSE)</f>
        <v>REBOLETTI</v>
      </c>
      <c r="M131" s="6">
        <f t="shared" si="31"/>
        <v>2.2175925929332152E-2</v>
      </c>
      <c r="N131" s="7"/>
      <c r="O131" s="7"/>
      <c r="P131" s="7">
        <f>24*60*SUM($M131:$M132)</f>
        <v>36.45000001299195</v>
      </c>
      <c r="Q131" s="28"/>
      <c r="R131" s="28" t="s">
        <v>675</v>
      </c>
      <c r="S131" s="46">
        <f t="shared" si="32"/>
        <v>1</v>
      </c>
      <c r="T131" s="72" t="str">
        <f t="shared" si="33"/>
        <v>NorthBound</v>
      </c>
      <c r="U131" s="108">
        <f>COUNTIFS(Variables!$M$2:$M$19,IF(T131="NorthBound","&gt;=","&lt;=")&amp;Y131,Variables!$M$2:$M$19,IF(T131="NorthBound","&lt;=","&gt;=")&amp;Z131)</f>
        <v>12</v>
      </c>
      <c r="V13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17:23:55-0600',mode:absolute,to:'2016-07-11 19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1" s="77" t="str">
        <f t="shared" si="35"/>
        <v>Y</v>
      </c>
      <c r="X131" s="103">
        <f t="shared" si="36"/>
        <v>1</v>
      </c>
      <c r="Y131" s="100">
        <f t="shared" si="37"/>
        <v>1.9132</v>
      </c>
      <c r="Z131" s="100">
        <f t="shared" si="38"/>
        <v>23.3276</v>
      </c>
      <c r="AA131" s="100">
        <f t="shared" si="39"/>
        <v>21.414400000000001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40"/>
        <v>0215-11</v>
      </c>
      <c r="AE131" s="78" t="str">
        <f t="shared" si="41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1" s="78" t="str">
        <f t="shared" si="42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1" s="1" t="str">
        <f t="shared" si="43"/>
        <v>EC</v>
      </c>
    </row>
    <row r="132" spans="1:33" x14ac:dyDescent="0.25">
      <c r="A132" s="50" t="s">
        <v>590</v>
      </c>
      <c r="B132" s="7">
        <v>4014</v>
      </c>
      <c r="C132" s="27" t="s">
        <v>59</v>
      </c>
      <c r="D132" s="27" t="s">
        <v>183</v>
      </c>
      <c r="E132" s="17">
        <v>42562.757349537038</v>
      </c>
      <c r="F132" s="17">
        <v>42562.758425925924</v>
      </c>
      <c r="G132" s="7">
        <v>1</v>
      </c>
      <c r="H132" s="17" t="s">
        <v>270</v>
      </c>
      <c r="I132" s="17">
        <v>42562.761562500003</v>
      </c>
      <c r="J132" s="7">
        <v>0</v>
      </c>
      <c r="K132" s="27" t="str">
        <f t="shared" si="30"/>
        <v>4013/4014</v>
      </c>
      <c r="L132" s="27" t="str">
        <f>VLOOKUP(A132,'Trips&amp;Operators'!$C$1:$E$10000,3,FALSE)</f>
        <v>REBOLETTI</v>
      </c>
      <c r="M132" s="6">
        <f t="shared" si="31"/>
        <v>3.1365740796900354E-3</v>
      </c>
      <c r="N132" s="7"/>
      <c r="O132" s="7"/>
      <c r="P132" s="7"/>
      <c r="Q132" s="28"/>
      <c r="R132" s="28"/>
      <c r="S132" s="46"/>
      <c r="T132" s="72" t="str">
        <f t="shared" si="33"/>
        <v>NorthBound</v>
      </c>
      <c r="U132" s="108">
        <f>COUNTIFS(Variables!$M$2:$M$19,IF(T132="NorthBound","&gt;=","&lt;=")&amp;Y132,Variables!$M$2:$M$19,IF(T132="NorthBound","&lt;=","&gt;=")&amp;Z132)</f>
        <v>0</v>
      </c>
      <c r="V132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17:10:35-0600',mode:absolute,to:'2016-07-11 19:16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2" s="77" t="str">
        <f t="shared" si="35"/>
        <v>Y</v>
      </c>
      <c r="X132" s="103">
        <f t="shared" si="36"/>
        <v>0</v>
      </c>
      <c r="Y132" s="100">
        <f t="shared" si="37"/>
        <v>4.58E-2</v>
      </c>
      <c r="Z132" s="100">
        <f t="shared" si="38"/>
        <v>4.7300000000000002E-2</v>
      </c>
      <c r="AA132" s="100">
        <f t="shared" si="39"/>
        <v>1.5000000000000013E-3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40"/>
        <v>0215-11</v>
      </c>
      <c r="AE132" s="78" t="str">
        <f t="shared" si="41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2" s="78" t="str">
        <f t="shared" si="42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2" s="1" t="str">
        <f t="shared" si="43"/>
        <v>EC</v>
      </c>
    </row>
    <row r="133" spans="1:33" x14ac:dyDescent="0.25">
      <c r="A133" s="50" t="s">
        <v>592</v>
      </c>
      <c r="B133" s="7">
        <v>4013</v>
      </c>
      <c r="C133" s="27" t="s">
        <v>59</v>
      </c>
      <c r="D133" s="27" t="s">
        <v>593</v>
      </c>
      <c r="E133" s="17">
        <v>42562.792870370373</v>
      </c>
      <c r="F133" s="17">
        <v>42562.794039351851</v>
      </c>
      <c r="G133" s="7">
        <v>1</v>
      </c>
      <c r="H133" s="17" t="s">
        <v>365</v>
      </c>
      <c r="I133" s="17">
        <v>42562.82</v>
      </c>
      <c r="J133" s="7">
        <v>0</v>
      </c>
      <c r="K133" s="27" t="str">
        <f t="shared" si="30"/>
        <v>4013/4014</v>
      </c>
      <c r="L133" s="27" t="str">
        <f>VLOOKUP(A133,'Trips&amp;Operators'!$C$1:$E$10000,3,FALSE)</f>
        <v>REBOLETTI</v>
      </c>
      <c r="M133" s="6">
        <f t="shared" si="31"/>
        <v>2.5960648148611654E-2</v>
      </c>
      <c r="N133" s="7">
        <f t="shared" si="29"/>
        <v>37.383333334000781</v>
      </c>
      <c r="O133" s="7"/>
      <c r="P133" s="7"/>
      <c r="Q133" s="28"/>
      <c r="R133" s="28"/>
      <c r="S133" s="46">
        <f t="shared" si="32"/>
        <v>1</v>
      </c>
      <c r="T133" s="72" t="str">
        <f t="shared" si="33"/>
        <v>Southbound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18:01:44-0600',mode:absolute,to:'2016-07-11 20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3" s="77" t="str">
        <f t="shared" si="35"/>
        <v>N</v>
      </c>
      <c r="X133" s="103">
        <f t="shared" si="36"/>
        <v>1</v>
      </c>
      <c r="Y133" s="100">
        <f t="shared" si="37"/>
        <v>23.298100000000002</v>
      </c>
      <c r="Z133" s="100">
        <f t="shared" si="38"/>
        <v>1.67E-2</v>
      </c>
      <c r="AA133" s="100">
        <f t="shared" si="39"/>
        <v>23.281400000000001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40"/>
        <v>0216-11</v>
      </c>
      <c r="AE133" s="78" t="str">
        <f t="shared" si="41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33" s="78" t="str">
        <f t="shared" si="42"/>
        <v>"C:\Program Files (x86)\AstroGrep\AstroGrep.exe" /spath="C:\Users\stu\Documents\Analysis\2016-02-23 RTDC Observations" /stypes="*4013*20160712*" /stext=" 01:.+((prompt.+disp)|(slice.+state.+chan)|(ment ac)|(system.+state.+chan)|(\|lc)|(penalty)|(\[timeout))" /e /r /s</v>
      </c>
      <c r="AG133" s="1" t="str">
        <f t="shared" si="43"/>
        <v>EC</v>
      </c>
    </row>
    <row r="134" spans="1:33" s="26" customFormat="1" x14ac:dyDescent="0.25">
      <c r="A134" s="50" t="s">
        <v>594</v>
      </c>
      <c r="B134" s="7">
        <v>4025</v>
      </c>
      <c r="C134" s="27" t="s">
        <v>59</v>
      </c>
      <c r="D134" s="27" t="s">
        <v>595</v>
      </c>
      <c r="E134" s="17">
        <v>42562.775868055556</v>
      </c>
      <c r="F134" s="17">
        <v>42562.776689814818</v>
      </c>
      <c r="G134" s="7">
        <v>1</v>
      </c>
      <c r="H134" s="17" t="s">
        <v>463</v>
      </c>
      <c r="I134" s="17">
        <v>42562.79855324074</v>
      </c>
      <c r="J134" s="7">
        <v>0</v>
      </c>
      <c r="K134" s="27" t="str">
        <f t="shared" si="30"/>
        <v>4025/4026</v>
      </c>
      <c r="L134" s="27" t="str">
        <f>VLOOKUP(A134,'Trips&amp;Operators'!$C$1:$E$10000,3,FALSE)</f>
        <v>CHANDLER</v>
      </c>
      <c r="M134" s="6">
        <f t="shared" si="31"/>
        <v>2.1863425921765156E-2</v>
      </c>
      <c r="N134" s="7"/>
      <c r="O134" s="7"/>
      <c r="P134" s="7"/>
      <c r="Q134" s="28"/>
      <c r="R134" s="28"/>
      <c r="S134" s="46"/>
      <c r="T134" s="72" t="str">
        <f t="shared" si="33"/>
        <v>NorthBound</v>
      </c>
      <c r="U134" s="108">
        <f>COUNTIFS(Variables!$M$2:$M$19,IF(T134="NorthBound","&gt;=","&lt;=")&amp;Y134,Variables!$M$2:$M$19,IF(T134="NorthBound","&lt;=","&gt;=")&amp;Z134)</f>
        <v>12</v>
      </c>
      <c r="V134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17:37:15-0600',mode:absolute,to:'2016-07-11 20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77" t="str">
        <f t="shared" si="35"/>
        <v>Y</v>
      </c>
      <c r="X134" s="103">
        <f t="shared" si="36"/>
        <v>1</v>
      </c>
      <c r="Y134" s="100">
        <f t="shared" si="37"/>
        <v>1.9140999999999999</v>
      </c>
      <c r="Z134" s="100">
        <f t="shared" si="38"/>
        <v>23.330100000000002</v>
      </c>
      <c r="AA134" s="100">
        <f t="shared" si="39"/>
        <v>21.416</v>
      </c>
      <c r="AB134" s="97" t="e">
        <f>VLOOKUP(A134,Enforcements!$C$7:$J$23,8,0)</f>
        <v>#N/A</v>
      </c>
      <c r="AC134" s="93" t="e">
        <f>VLOOKUP(A134,Enforcements!$C$7:$E$23,3,0)</f>
        <v>#N/A</v>
      </c>
      <c r="AD134" s="94" t="str">
        <f t="shared" si="40"/>
        <v>0217-11</v>
      </c>
      <c r="AE134" s="78" t="str">
        <f t="shared" si="41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4" s="78" t="str">
        <f t="shared" si="42"/>
        <v>"C:\Program Files (x86)\AstroGrep\AstroGrep.exe" /spath="C:\Users\stu\Documents\Analysis\2016-02-23 RTDC Observations" /stypes="*4025*20160712*" /stext=" 01:.+((prompt.+disp)|(slice.+state.+chan)|(ment ac)|(system.+state.+chan)|(\|lc)|(penalty)|(\[timeout))" /e /r /s</v>
      </c>
      <c r="AG134" s="1" t="str">
        <f t="shared" si="43"/>
        <v>EC</v>
      </c>
    </row>
    <row r="135" spans="1:33" x14ac:dyDescent="0.25">
      <c r="A135" s="50" t="s">
        <v>594</v>
      </c>
      <c r="B135" s="7">
        <v>4025</v>
      </c>
      <c r="C135" s="27" t="s">
        <v>59</v>
      </c>
      <c r="D135" s="27" t="s">
        <v>66</v>
      </c>
      <c r="E135" s="17">
        <v>42562.768865740742</v>
      </c>
      <c r="F135" s="17">
        <v>42562.770543981482</v>
      </c>
      <c r="G135" s="7">
        <v>2</v>
      </c>
      <c r="H135" s="17" t="s">
        <v>596</v>
      </c>
      <c r="I135" s="17">
        <v>42562.772349537037</v>
      </c>
      <c r="J135" s="7">
        <v>0</v>
      </c>
      <c r="K135" s="27" t="str">
        <f t="shared" si="30"/>
        <v>4025/4026</v>
      </c>
      <c r="L135" s="27" t="str">
        <f>VLOOKUP(A135,'Trips&amp;Operators'!$C$1:$E$10000,3,FALSE)</f>
        <v>CHANDLER</v>
      </c>
      <c r="M135" s="6">
        <f t="shared" si="31"/>
        <v>1.8055555556202307E-3</v>
      </c>
      <c r="N135" s="7"/>
      <c r="O135" s="7"/>
      <c r="P135" s="7">
        <f>24*60*SUM($M135:$M136)</f>
        <v>39.533333333674818</v>
      </c>
      <c r="Q135" s="28"/>
      <c r="R135" s="28" t="s">
        <v>675</v>
      </c>
      <c r="S135" s="46">
        <f>SUM(U134:U135)/12</f>
        <v>1</v>
      </c>
      <c r="T135" s="72" t="str">
        <f t="shared" si="33"/>
        <v>NorthBound</v>
      </c>
      <c r="U135" s="108">
        <f>COUNTIFS(Variables!$M$2:$M$19,IF(T135="NorthBound","&gt;=","&lt;=")&amp;Y135,Variables!$M$2:$M$19,IF(T135="NorthBound","&lt;=","&gt;=")&amp;Z135)</f>
        <v>0</v>
      </c>
      <c r="V135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17:27:10-0600',mode:absolute,to:'2016-07-11 19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5" s="77" t="str">
        <f t="shared" si="35"/>
        <v>Y</v>
      </c>
      <c r="X135" s="103">
        <f t="shared" si="36"/>
        <v>0</v>
      </c>
      <c r="Y135" s="100">
        <f t="shared" si="37"/>
        <v>4.5999999999999999E-2</v>
      </c>
      <c r="Z135" s="100">
        <f t="shared" si="38"/>
        <v>9.0700000000000003E-2</v>
      </c>
      <c r="AA135" s="100">
        <f t="shared" si="39"/>
        <v>4.4700000000000004E-2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40"/>
        <v>0217-11</v>
      </c>
      <c r="AE135" s="78" t="str">
        <f t="shared" si="41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5" s="78" t="str">
        <f t="shared" si="42"/>
        <v>"C:\Program Files (x86)\AstroGrep\AstroGrep.exe" /spath="C:\Users\stu\Documents\Analysis\2016-02-23 RTDC Observations" /stypes="*4025*20160712*" /stext=" 00:.+((prompt.+disp)|(slice.+state.+chan)|(ment ac)|(system.+state.+chan)|(\|lc)|(penalty)|(\[timeout))" /e /r /s</v>
      </c>
      <c r="AG135" s="1" t="str">
        <f t="shared" si="43"/>
        <v>EC</v>
      </c>
    </row>
    <row r="136" spans="1:33" s="26" customFormat="1" x14ac:dyDescent="0.25">
      <c r="A136" s="50" t="s">
        <v>597</v>
      </c>
      <c r="B136" s="7">
        <v>4026</v>
      </c>
      <c r="C136" s="27" t="s">
        <v>59</v>
      </c>
      <c r="D136" s="27" t="s">
        <v>68</v>
      </c>
      <c r="E136" s="17">
        <v>42562.80059027778</v>
      </c>
      <c r="F136" s="17">
        <v>42562.801631944443</v>
      </c>
      <c r="G136" s="7">
        <v>1</v>
      </c>
      <c r="H136" s="17" t="s">
        <v>300</v>
      </c>
      <c r="I136" s="17">
        <v>42562.827280092592</v>
      </c>
      <c r="J136" s="7">
        <v>0</v>
      </c>
      <c r="K136" s="27" t="str">
        <f t="shared" si="30"/>
        <v>4025/4026</v>
      </c>
      <c r="L136" s="27" t="str">
        <f>VLOOKUP(A136,'Trips&amp;Operators'!$C$1:$E$10000,3,FALSE)</f>
        <v>CHANDLER</v>
      </c>
      <c r="M136" s="6">
        <f t="shared" si="31"/>
        <v>2.5648148148320615E-2</v>
      </c>
      <c r="N136" s="7">
        <f t="shared" si="29"/>
        <v>36.933333333581686</v>
      </c>
      <c r="O136" s="7"/>
      <c r="P136" s="7"/>
      <c r="Q136" s="28"/>
      <c r="R136" s="28"/>
      <c r="S136" s="46">
        <f t="shared" si="32"/>
        <v>1</v>
      </c>
      <c r="T136" s="72" t="str">
        <f t="shared" si="33"/>
        <v>Southbound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18:12:51-0600',mode:absolute,to:'2016-07-11 20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6" s="77" t="str">
        <f t="shared" si="35"/>
        <v>N</v>
      </c>
      <c r="X136" s="103">
        <f t="shared" si="36"/>
        <v>1</v>
      </c>
      <c r="Y136" s="100">
        <f t="shared" si="37"/>
        <v>23.297699999999999</v>
      </c>
      <c r="Z136" s="100">
        <f t="shared" si="38"/>
        <v>1.6500000000000001E-2</v>
      </c>
      <c r="AA136" s="100">
        <f t="shared" si="39"/>
        <v>23.281199999999998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40"/>
        <v>0218-11</v>
      </c>
      <c r="AE136" s="78" t="str">
        <f t="shared" si="41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36" s="78" t="str">
        <f t="shared" si="42"/>
        <v>"C:\Program Files (x86)\AstroGrep\AstroGrep.exe" /spath="C:\Users\stu\Documents\Analysis\2016-02-23 RTDC Observations" /stypes="*4026*20160712*" /stext=" 01:.+((prompt.+disp)|(slice.+state.+chan)|(ment ac)|(system.+state.+chan)|(\|lc)|(penalty)|(\[timeout))" /e /r /s</v>
      </c>
      <c r="AG136" s="1" t="str">
        <f t="shared" si="43"/>
        <v>EC</v>
      </c>
    </row>
    <row r="137" spans="1:33" s="26" customFormat="1" x14ac:dyDescent="0.25">
      <c r="A137" s="50" t="s">
        <v>598</v>
      </c>
      <c r="B137" s="7">
        <v>4020</v>
      </c>
      <c r="C137" s="27" t="s">
        <v>59</v>
      </c>
      <c r="D137" s="27" t="s">
        <v>599</v>
      </c>
      <c r="E137" s="17">
        <v>42562.781111111108</v>
      </c>
      <c r="F137" s="17">
        <v>42562.781851851854</v>
      </c>
      <c r="G137" s="7">
        <v>1</v>
      </c>
      <c r="H137" s="17" t="s">
        <v>302</v>
      </c>
      <c r="I137" s="17">
        <v>42562.808009259257</v>
      </c>
      <c r="J137" s="7">
        <v>0</v>
      </c>
      <c r="K137" s="27" t="str">
        <f t="shared" si="30"/>
        <v>4019/4020</v>
      </c>
      <c r="L137" s="27" t="str">
        <f>VLOOKUP(A137,'Trips&amp;Operators'!$C$1:$E$10000,3,FALSE)</f>
        <v>KILLION</v>
      </c>
      <c r="M137" s="6">
        <f t="shared" si="31"/>
        <v>2.6157407402934041E-2</v>
      </c>
      <c r="N137" s="7"/>
      <c r="O137" s="7"/>
      <c r="P137" s="7">
        <f>24*60*SUM($M137:$M138)</f>
        <v>42.016666660783812</v>
      </c>
      <c r="Q137" s="28"/>
      <c r="R137" s="28" t="s">
        <v>675</v>
      </c>
      <c r="S137" s="46">
        <f t="shared" si="32"/>
        <v>1</v>
      </c>
      <c r="T137" s="72" t="str">
        <f t="shared" si="33"/>
        <v>NorthBound</v>
      </c>
      <c r="U137" s="108">
        <f>COUNTIFS(Variables!$M$2:$M$19,IF(T137="NorthBound","&gt;=","&lt;=")&amp;Y137,Variables!$M$2:$M$19,IF(T137="NorthBound","&lt;=","&gt;=")&amp;Z137)</f>
        <v>12</v>
      </c>
      <c r="V137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17:44:48-0600',mode:absolute,to:'2016-07-11 20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7" s="77" t="str">
        <f t="shared" si="35"/>
        <v>Y</v>
      </c>
      <c r="X137" s="103">
        <f t="shared" si="36"/>
        <v>1</v>
      </c>
      <c r="Y137" s="100">
        <f t="shared" si="37"/>
        <v>1.9134</v>
      </c>
      <c r="Z137" s="100">
        <f t="shared" si="38"/>
        <v>23.329899999999999</v>
      </c>
      <c r="AA137" s="100">
        <f t="shared" si="39"/>
        <v>21.416499999999999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40"/>
        <v>0219-11</v>
      </c>
      <c r="AE137" s="78" t="str">
        <f t="shared" si="41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7" s="78" t="str">
        <f t="shared" si="42"/>
        <v>"C:\Program Files (x86)\AstroGrep\AstroGrep.exe" /spath="C:\Users\stu\Documents\Analysis\2016-02-23 RTDC Observations" /stypes="*4020*20160712*" /stext=" 01:.+((prompt.+disp)|(slice.+state.+chan)|(ment ac)|(system.+state.+chan)|(\|lc)|(penalty)|(\[timeout))" /e /r /s</v>
      </c>
      <c r="AG137" s="1" t="str">
        <f t="shared" si="43"/>
        <v>EC</v>
      </c>
    </row>
    <row r="138" spans="1:33" s="26" customFormat="1" x14ac:dyDescent="0.25">
      <c r="A138" s="50" t="s">
        <v>598</v>
      </c>
      <c r="B138" s="7">
        <v>4020</v>
      </c>
      <c r="C138" s="27" t="s">
        <v>59</v>
      </c>
      <c r="D138" s="27" t="s">
        <v>341</v>
      </c>
      <c r="E138" s="17">
        <v>42562.773368055554</v>
      </c>
      <c r="F138" s="17">
        <v>42562.774930555555</v>
      </c>
      <c r="G138" s="7">
        <v>2</v>
      </c>
      <c r="H138" s="17" t="s">
        <v>600</v>
      </c>
      <c r="I138" s="17">
        <v>42562.777951388889</v>
      </c>
      <c r="J138" s="7">
        <v>0</v>
      </c>
      <c r="K138" s="27" t="str">
        <f t="shared" si="30"/>
        <v>4019/4020</v>
      </c>
      <c r="L138" s="27" t="str">
        <f>VLOOKUP(A138,'Trips&amp;Operators'!$C$1:$E$10000,3,FALSE)</f>
        <v>KILLION</v>
      </c>
      <c r="M138" s="6">
        <f t="shared" si="31"/>
        <v>3.0208333337213844E-3</v>
      </c>
      <c r="N138" s="7"/>
      <c r="O138" s="7"/>
      <c r="P138" s="7"/>
      <c r="Q138" s="28"/>
      <c r="R138" s="28"/>
      <c r="S138" s="46"/>
      <c r="T138" s="72" t="str">
        <f t="shared" si="33"/>
        <v>NorthBound</v>
      </c>
      <c r="U138" s="108">
        <f>COUNTIFS(Variables!$M$2:$M$19,IF(T138="NorthBound","&gt;=","&lt;=")&amp;Y138,Variables!$M$2:$M$19,IF(T138="NorthBound","&lt;=","&gt;=")&amp;Z138)</f>
        <v>0</v>
      </c>
      <c r="V138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17:33:39-0600',mode:absolute,to:'2016-07-11 19:40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8" s="77" t="str">
        <f t="shared" si="35"/>
        <v>Y</v>
      </c>
      <c r="X138" s="103">
        <f t="shared" si="36"/>
        <v>0</v>
      </c>
      <c r="Y138" s="100">
        <f t="shared" si="37"/>
        <v>4.7100000000000003E-2</v>
      </c>
      <c r="Z138" s="100">
        <f t="shared" si="38"/>
        <v>8.3000000000000004E-2</v>
      </c>
      <c r="AA138" s="100">
        <f t="shared" si="39"/>
        <v>3.5900000000000001E-2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40"/>
        <v>0219-11</v>
      </c>
      <c r="AE138" s="78" t="str">
        <f t="shared" si="41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8" s="78" t="str">
        <f t="shared" si="42"/>
        <v>"C:\Program Files (x86)\AstroGrep\AstroGrep.exe" /spath="C:\Users\stu\Documents\Analysis\2016-02-23 RTDC Observations" /stypes="*4020*20160712*" /stext=" 00:.+((prompt.+disp)|(slice.+state.+chan)|(ment ac)|(system.+state.+chan)|(\|lc)|(penalty)|(\[timeout))" /e /r /s</v>
      </c>
      <c r="AG138" s="1" t="str">
        <f t="shared" si="43"/>
        <v>EC</v>
      </c>
    </row>
    <row r="139" spans="1:33" s="26" customFormat="1" x14ac:dyDescent="0.25">
      <c r="A139" s="50" t="s">
        <v>601</v>
      </c>
      <c r="B139" s="7">
        <v>4019</v>
      </c>
      <c r="C139" s="27" t="s">
        <v>59</v>
      </c>
      <c r="D139" s="27" t="s">
        <v>314</v>
      </c>
      <c r="E139" s="17">
        <v>42562.808854166666</v>
      </c>
      <c r="F139" s="17">
        <v>42562.810127314813</v>
      </c>
      <c r="G139" s="7">
        <v>1</v>
      </c>
      <c r="H139" s="17" t="s">
        <v>71</v>
      </c>
      <c r="I139" s="17">
        <v>42562.838217592594</v>
      </c>
      <c r="J139" s="7">
        <v>0</v>
      </c>
      <c r="K139" s="27" t="str">
        <f t="shared" si="30"/>
        <v>4019/4020</v>
      </c>
      <c r="L139" s="27" t="str">
        <f>VLOOKUP(A139,'Trips&amp;Operators'!$C$1:$E$10000,3,FALSE)</f>
        <v>KILLION</v>
      </c>
      <c r="M139" s="6">
        <f t="shared" si="31"/>
        <v>2.8090277781302575E-2</v>
      </c>
      <c r="N139" s="7">
        <f t="shared" si="29"/>
        <v>40.450000005075708</v>
      </c>
      <c r="O139" s="7"/>
      <c r="P139" s="7"/>
      <c r="Q139" s="28"/>
      <c r="R139" s="28"/>
      <c r="S139" s="46">
        <f t="shared" si="32"/>
        <v>1</v>
      </c>
      <c r="T139" s="72" t="str">
        <f t="shared" si="33"/>
        <v>Southbound</v>
      </c>
      <c r="U139" s="108">
        <f>COUNTIFS(Variables!$M$2:$M$19,IF(T139="NorthBound","&gt;=","&lt;=")&amp;Y139,Variables!$M$2:$M$19,IF(T139="NorthBound","&lt;=","&gt;=")&amp;Z139)</f>
        <v>12</v>
      </c>
      <c r="V139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18:24:45-0600',mode:absolute,to:'2016-07-11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9" s="77" t="str">
        <f t="shared" si="35"/>
        <v>N</v>
      </c>
      <c r="X139" s="103">
        <f t="shared" si="36"/>
        <v>1</v>
      </c>
      <c r="Y139" s="100">
        <f t="shared" si="37"/>
        <v>23.297799999999999</v>
      </c>
      <c r="Z139" s="100">
        <f t="shared" si="38"/>
        <v>1.49E-2</v>
      </c>
      <c r="AA139" s="100">
        <f t="shared" si="39"/>
        <v>23.282899999999998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40"/>
        <v>0220-11</v>
      </c>
      <c r="AE139" s="78" t="str">
        <f t="shared" si="41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39" s="78" t="str">
        <f t="shared" si="42"/>
        <v>"C:\Program Files (x86)\AstroGrep\AstroGrep.exe" /spath="C:\Users\stu\Documents\Analysis\2016-02-23 RTDC Observations" /stypes="*4019*20160712*" /stext=" 02:.+((prompt.+disp)|(slice.+state.+chan)|(ment ac)|(system.+state.+chan)|(\|lc)|(penalty)|(\[timeout))" /e /r /s</v>
      </c>
      <c r="AG139" s="1" t="str">
        <f t="shared" si="43"/>
        <v>EC</v>
      </c>
    </row>
    <row r="140" spans="1:33" s="26" customFormat="1" x14ac:dyDescent="0.25">
      <c r="A140" s="50" t="s">
        <v>602</v>
      </c>
      <c r="B140" s="7">
        <v>4016</v>
      </c>
      <c r="C140" s="27" t="s">
        <v>59</v>
      </c>
      <c r="D140" s="27" t="s">
        <v>323</v>
      </c>
      <c r="E140" s="17">
        <v>42562.787199074075</v>
      </c>
      <c r="F140" s="17">
        <v>42562.788171296299</v>
      </c>
      <c r="G140" s="7">
        <v>1</v>
      </c>
      <c r="H140" s="17" t="s">
        <v>374</v>
      </c>
      <c r="I140" s="17">
        <v>42562.818495370368</v>
      </c>
      <c r="J140" s="7">
        <v>0</v>
      </c>
      <c r="K140" s="27" t="str">
        <f t="shared" si="30"/>
        <v>4015/4016</v>
      </c>
      <c r="L140" s="27" t="str">
        <f>VLOOKUP(A140,'Trips&amp;Operators'!$C$1:$E$10000,3,FALSE)</f>
        <v>MAELZER</v>
      </c>
      <c r="M140" s="6">
        <f t="shared" si="31"/>
        <v>3.032407406863058E-2</v>
      </c>
      <c r="N140" s="7">
        <f t="shared" ref="N140:N163" si="44">24*60*SUM($M140:$M140)</f>
        <v>43.666666658828035</v>
      </c>
      <c r="O140" s="7"/>
      <c r="P140" s="7"/>
      <c r="Q140" s="28"/>
      <c r="R140" s="28"/>
      <c r="S140" s="46">
        <f t="shared" si="32"/>
        <v>1</v>
      </c>
      <c r="T140" s="72" t="str">
        <f t="shared" si="33"/>
        <v>NorthBound</v>
      </c>
      <c r="U140" s="108">
        <f>COUNTIFS(Variables!$M$2:$M$19,IF(T140="NorthBound","&gt;=","&lt;=")&amp;Y140,Variables!$M$2:$M$19,IF(T140="NorthBound","&lt;=","&gt;=")&amp;Z140)</f>
        <v>12</v>
      </c>
      <c r="V140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17:53:34-0600',mode:absolute,to:'2016-07-11 20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77" t="str">
        <f t="shared" si="35"/>
        <v>N</v>
      </c>
      <c r="X140" s="103">
        <f t="shared" si="36"/>
        <v>1</v>
      </c>
      <c r="Y140" s="100">
        <f t="shared" si="37"/>
        <v>4.6199999999999998E-2</v>
      </c>
      <c r="Z140" s="100">
        <f t="shared" si="38"/>
        <v>23.331099999999999</v>
      </c>
      <c r="AA140" s="100">
        <f t="shared" si="39"/>
        <v>23.2849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si="40"/>
        <v>0221-11</v>
      </c>
      <c r="AE140" s="78" t="str">
        <f t="shared" si="41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40" s="78" t="str">
        <f t="shared" si="42"/>
        <v>"C:\Program Files (x86)\AstroGrep\AstroGrep.exe" /spath="C:\Users\stu\Documents\Analysis\2016-02-23 RTDC Observations" /stypes="*4016*20160712*" /stext=" 01:.+((prompt.+disp)|(slice.+state.+chan)|(ment ac)|(system.+state.+chan)|(\|lc)|(penalty)|(\[timeout))" /e /r /s</v>
      </c>
      <c r="AG140" s="1" t="str">
        <f t="shared" si="43"/>
        <v>EC</v>
      </c>
    </row>
    <row r="141" spans="1:33" s="26" customFormat="1" x14ac:dyDescent="0.25">
      <c r="A141" s="50" t="s">
        <v>603</v>
      </c>
      <c r="B141" s="7">
        <v>4015</v>
      </c>
      <c r="C141" s="27" t="s">
        <v>59</v>
      </c>
      <c r="D141" s="27" t="s">
        <v>356</v>
      </c>
      <c r="E141" s="17">
        <v>42562.825439814813</v>
      </c>
      <c r="F141" s="17">
        <v>42562.82640046296</v>
      </c>
      <c r="G141" s="7">
        <v>1</v>
      </c>
      <c r="H141" s="17" t="s">
        <v>310</v>
      </c>
      <c r="I141" s="17">
        <v>42562.857627314814</v>
      </c>
      <c r="J141" s="7">
        <v>0</v>
      </c>
      <c r="K141" s="27" t="str">
        <f t="shared" si="30"/>
        <v>4015/4016</v>
      </c>
      <c r="L141" s="27" t="str">
        <f>VLOOKUP(A141,'Trips&amp;Operators'!$C$1:$E$10000,3,FALSE)</f>
        <v>MAELZER</v>
      </c>
      <c r="M141" s="6">
        <f t="shared" si="31"/>
        <v>3.1226851853716653E-2</v>
      </c>
      <c r="N141" s="7">
        <f t="shared" si="44"/>
        <v>44.96666666935198</v>
      </c>
      <c r="O141" s="7"/>
      <c r="P141" s="7"/>
      <c r="Q141" s="28"/>
      <c r="R141" s="28"/>
      <c r="S141" s="46">
        <f t="shared" si="32"/>
        <v>1</v>
      </c>
      <c r="T141" s="72" t="str">
        <f t="shared" si="33"/>
        <v>Southbound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si="34"/>
        <v>https://search-rtdc-monitor-bjffxe2xuh6vdkpspy63sjmuny.us-east-1.es.amazonaws.com/_plugin/kibana/#/discover/Steve-Slow-Train-Analysis-(2080s-and-2083s)?_g=(refreshInterval:(display:Off,section:0,value:0),time:(from:'2016-07-11 18:48:38-0600',mode:absolute,to:'2016-07-11 21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77" t="str">
        <f t="shared" si="35"/>
        <v>N</v>
      </c>
      <c r="X141" s="103">
        <f t="shared" si="36"/>
        <v>1</v>
      </c>
      <c r="Y141" s="100">
        <f t="shared" si="37"/>
        <v>23.299199999999999</v>
      </c>
      <c r="Z141" s="100">
        <f t="shared" si="38"/>
        <v>1.4999999999999999E-2</v>
      </c>
      <c r="AA141" s="100">
        <f t="shared" si="39"/>
        <v>23.284199999999998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si="40"/>
        <v>0222-11</v>
      </c>
      <c r="AE141" s="78" t="str">
        <f t="shared" si="41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1" s="78" t="str">
        <f t="shared" si="42"/>
        <v>"C:\Program Files (x86)\AstroGrep\AstroGrep.exe" /spath="C:\Users\stu\Documents\Analysis\2016-02-23 RTDC Observations" /stypes="*4015*20160712*" /stext=" 02:.+((prompt.+disp)|(slice.+state.+chan)|(ment ac)|(system.+state.+chan)|(\|lc)|(penalty)|(\[timeout))" /e /r /s</v>
      </c>
      <c r="AG141" s="1" t="str">
        <f t="shared" si="43"/>
        <v>EC</v>
      </c>
    </row>
    <row r="142" spans="1:33" s="26" customFormat="1" x14ac:dyDescent="0.25">
      <c r="A142" s="50" t="s">
        <v>435</v>
      </c>
      <c r="B142" s="7">
        <v>4031</v>
      </c>
      <c r="C142" s="27" t="s">
        <v>59</v>
      </c>
      <c r="D142" s="27" t="s">
        <v>341</v>
      </c>
      <c r="E142" s="17">
        <v>42562.80872685185</v>
      </c>
      <c r="F142" s="17">
        <v>42562.810289351852</v>
      </c>
      <c r="G142" s="7">
        <v>2</v>
      </c>
      <c r="H142" s="17" t="s">
        <v>319</v>
      </c>
      <c r="I142" s="17">
        <v>42562.837175925924</v>
      </c>
      <c r="J142" s="7">
        <v>1</v>
      </c>
      <c r="K142" s="27" t="str">
        <f t="shared" ref="K142:K164" si="45">IF(ISEVEN(B142),(B142-1)&amp;"/"&amp;B142,B142&amp;"/"&amp;(B142+1))</f>
        <v>4031/4032</v>
      </c>
      <c r="L142" s="27" t="str">
        <f>VLOOKUP(A142,'Trips&amp;Operators'!$C$1:$E$10000,3,FALSE)</f>
        <v>NEWELL</v>
      </c>
      <c r="M142" s="6">
        <f t="shared" ref="M142:M164" si="46">I142-F142</f>
        <v>2.6886574072705116E-2</v>
      </c>
      <c r="N142" s="7">
        <f t="shared" si="44"/>
        <v>38.716666664695367</v>
      </c>
      <c r="O142" s="7"/>
      <c r="P142" s="7"/>
      <c r="Q142" s="28"/>
      <c r="R142" s="28"/>
      <c r="S142" s="46">
        <f t="shared" ref="S142:S163" si="47">SUM(U142:U142)/12</f>
        <v>1</v>
      </c>
      <c r="T142" s="72" t="str">
        <f t="shared" ref="T142:T163" si="48">IF(ISEVEN(LEFT(A142,3)),"Southbound","NorthBound")</f>
        <v>NorthBound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ref="V142:V163" si="49">"https://search-rtdc-monitor-bjffxe2xuh6vdkpspy63sjmuny.us-east-1.es.amazonaws.com/_plugin/kibana/#/discover/Steve-Slow-Train-Analysis-(2080s-and-2083s)?_g=(refreshInterval:(display:Off,section:0,value:0),time:(from:'"&amp;TEXT(E142-1/24,"yyyy-MM-DD hh:mm:ss")&amp;"-0600',mode:absolute,to:'"&amp;TEXT(I142+1/24,"yyyy-MM-DD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2" s="77" t="str">
        <f t="shared" ref="W142:W163" si="50">IF(AA142&lt;23,"Y","N")</f>
        <v>N</v>
      </c>
      <c r="X142" s="103">
        <f t="shared" ref="X142:X163" si="51">VALUE(LEFT(A142,3))-VALUE(LEFT(A141,3))</f>
        <v>1</v>
      </c>
      <c r="Y142" s="100">
        <f t="shared" ref="Y142:Y164" si="52">RIGHT(D142,LEN(D142)-4)/10000</f>
        <v>4.7100000000000003E-2</v>
      </c>
      <c r="Z142" s="100">
        <f t="shared" ref="Z142:Z164" si="53">RIGHT(H142,LEN(H142)-4)/10000</f>
        <v>23.329699999999999</v>
      </c>
      <c r="AA142" s="100">
        <f t="shared" ref="AA142:AA164" si="54">ABS(Z142-Y142)</f>
        <v>23.282599999999999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ref="AD142:AD164" si="55">IF(LEN(A142)=6,"0"&amp;A142,A142)</f>
        <v>0223-11</v>
      </c>
      <c r="AE142" s="78" t="str">
        <f t="shared" ref="AE142:AE164" si="56">"aws s3 cp "&amp;s3_bucket&amp;"/RTDC"&amp;B142&amp;"/"&amp;TEXT(F142,"YYYY-MM-DD")&amp;"/ "&amp;search_path&amp;"\RTDC"&amp;B142&amp;"\"&amp;TEXT(F142,"YYYY-MM-DD")&amp;" --recursive &amp; """&amp;walkandungz&amp;""" "&amp;search_path&amp;"\RTDC"&amp;B142&amp;"\"&amp;TEXT(F142,"YYYY-MM-DD")
&amp;" &amp; "&amp;"aws s3 cp "&amp;s3_bucket&amp;"/RTDC"&amp;B142&amp;"/"&amp;TEXT(F142+1,"YYYY-MM-DD")&amp;"/ "&amp;search_path&amp;"\RTDC"&amp;B142&amp;"\"&amp;TEXT(F142+1,"YYYY-MM-DD")&amp;" --recursive &amp; """&amp;walkandungz&amp;""" "&amp;search_path&amp;"\RTDC"&amp;B142&amp;"\"&amp;TEXT(F142+1,"YYYY-MM-DD")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42" s="78" t="str">
        <f t="shared" ref="AF142:AF164" si="57">astrogrep_path&amp;" /spath="&amp;search_path&amp;" /stypes=""*"&amp;B142&amp;"*"&amp;TEXT(I142-utc_offset/24,"YYYYMMDD")&amp;"*"" /stext="" "&amp;TEXT(I142-utc_offset/24,"HH")&amp;search_regexp&amp;""" /e /r /s"</f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AG142" s="1" t="str">
        <f t="shared" ref="AG142:AG164" si="58">IF(VALUE(LEFT(A142,3))&lt;300,"EC","NWGL")</f>
        <v>EC</v>
      </c>
    </row>
    <row r="143" spans="1:33" s="26" customFormat="1" x14ac:dyDescent="0.25">
      <c r="A143" s="50" t="s">
        <v>436</v>
      </c>
      <c r="B143" s="7">
        <v>4032</v>
      </c>
      <c r="C143" s="27" t="s">
        <v>59</v>
      </c>
      <c r="D143" s="27" t="s">
        <v>354</v>
      </c>
      <c r="E143" s="17">
        <v>42562.846284722225</v>
      </c>
      <c r="F143" s="17">
        <v>42562.847326388888</v>
      </c>
      <c r="G143" s="7">
        <v>1</v>
      </c>
      <c r="H143" s="17" t="s">
        <v>321</v>
      </c>
      <c r="I143" s="17">
        <v>42562.877083333333</v>
      </c>
      <c r="J143" s="7">
        <v>1</v>
      </c>
      <c r="K143" s="27" t="str">
        <f t="shared" si="45"/>
        <v>4031/4032</v>
      </c>
      <c r="L143" s="27" t="str">
        <f>VLOOKUP(A143,'Trips&amp;Operators'!$C$1:$E$10000,3,FALSE)</f>
        <v>NEWELL</v>
      </c>
      <c r="M143" s="6">
        <f t="shared" si="46"/>
        <v>2.9756944444670808E-2</v>
      </c>
      <c r="N143" s="7">
        <f t="shared" si="44"/>
        <v>42.850000000325963</v>
      </c>
      <c r="O143" s="7"/>
      <c r="P143" s="7"/>
      <c r="Q143" s="28"/>
      <c r="R143" s="28"/>
      <c r="S143" s="46">
        <f t="shared" si="47"/>
        <v>1</v>
      </c>
      <c r="T143" s="72" t="str">
        <f t="shared" si="48"/>
        <v>Southbound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3" s="77" t="str">
        <f t="shared" si="50"/>
        <v>N</v>
      </c>
      <c r="X143" s="103">
        <f t="shared" si="51"/>
        <v>1</v>
      </c>
      <c r="Y143" s="100">
        <f t="shared" si="52"/>
        <v>23.298999999999999</v>
      </c>
      <c r="Z143" s="100">
        <f t="shared" si="53"/>
        <v>1.3899999999999999E-2</v>
      </c>
      <c r="AA143" s="100">
        <f t="shared" si="54"/>
        <v>23.2851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si="55"/>
        <v>0224-11</v>
      </c>
      <c r="AE143" s="78" t="str">
        <f t="shared" si="5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43" s="78" t="str">
        <f t="shared" si="57"/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AG143" s="1" t="str">
        <f t="shared" si="58"/>
        <v>EC</v>
      </c>
    </row>
    <row r="144" spans="1:33" s="26" customFormat="1" x14ac:dyDescent="0.25">
      <c r="A144" s="50" t="s">
        <v>604</v>
      </c>
      <c r="B144" s="7">
        <v>4025</v>
      </c>
      <c r="C144" s="27" t="s">
        <v>59</v>
      </c>
      <c r="D144" s="27" t="s">
        <v>222</v>
      </c>
      <c r="E144" s="17">
        <v>42562.831608796296</v>
      </c>
      <c r="F144" s="17">
        <v>42562.832777777781</v>
      </c>
      <c r="G144" s="7">
        <v>1</v>
      </c>
      <c r="H144" s="17" t="s">
        <v>463</v>
      </c>
      <c r="I144" s="17">
        <v>42562.858101851853</v>
      </c>
      <c r="J144" s="7">
        <v>0</v>
      </c>
      <c r="K144" s="27" t="str">
        <f t="shared" si="45"/>
        <v>4025/4026</v>
      </c>
      <c r="L144" s="27" t="str">
        <f>VLOOKUP(A144,'Trips&amp;Operators'!$C$1:$E$10000,3,FALSE)</f>
        <v>CHANDLER</v>
      </c>
      <c r="M144" s="6">
        <f t="shared" si="46"/>
        <v>2.5324074071249925E-2</v>
      </c>
      <c r="N144" s="7">
        <f t="shared" si="44"/>
        <v>36.466666662599891</v>
      </c>
      <c r="O144" s="7"/>
      <c r="P144" s="7"/>
      <c r="Q144" s="28"/>
      <c r="R144" s="28"/>
      <c r="S144" s="46">
        <f t="shared" si="47"/>
        <v>1</v>
      </c>
      <c r="T144" s="72" t="str">
        <f t="shared" si="48"/>
        <v>NorthBound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18:57:31-0600',mode:absolute,to:'2016-07-11 21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77" t="str">
        <f t="shared" si="50"/>
        <v>N</v>
      </c>
      <c r="X144" s="103">
        <f t="shared" si="51"/>
        <v>1</v>
      </c>
      <c r="Y144" s="100">
        <f t="shared" si="52"/>
        <v>4.6699999999999998E-2</v>
      </c>
      <c r="Z144" s="100">
        <f t="shared" si="53"/>
        <v>23.330100000000002</v>
      </c>
      <c r="AA144" s="100">
        <f t="shared" si="54"/>
        <v>23.2834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5"/>
        <v>0225-11</v>
      </c>
      <c r="AE144" s="78" t="str">
        <f t="shared" si="5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44" s="78" t="str">
        <f t="shared" si="57"/>
        <v>"C:\Program Files (x86)\AstroGrep\AstroGrep.exe" /spath="C:\Users\stu\Documents\Analysis\2016-02-23 RTDC Observations" /stypes="*4025*20160712*" /stext=" 02:.+((prompt.+disp)|(slice.+state.+chan)|(ment ac)|(system.+state.+chan)|(\|lc)|(penalty)|(\[timeout))" /e /r /s</v>
      </c>
      <c r="AG144" s="1" t="str">
        <f t="shared" si="58"/>
        <v>EC</v>
      </c>
    </row>
    <row r="145" spans="1:33" s="26" customFormat="1" x14ac:dyDescent="0.25">
      <c r="A145" s="50" t="s">
        <v>605</v>
      </c>
      <c r="B145" s="7">
        <v>4026</v>
      </c>
      <c r="C145" s="27" t="s">
        <v>59</v>
      </c>
      <c r="D145" s="27" t="s">
        <v>324</v>
      </c>
      <c r="E145" s="17">
        <v>42562.868946759256</v>
      </c>
      <c r="F145" s="17">
        <v>42562.869930555556</v>
      </c>
      <c r="G145" s="7">
        <v>1</v>
      </c>
      <c r="H145" s="17" t="s">
        <v>224</v>
      </c>
      <c r="I145" s="17">
        <v>42562.898969907408</v>
      </c>
      <c r="J145" s="7">
        <v>0</v>
      </c>
      <c r="K145" s="27" t="str">
        <f t="shared" si="45"/>
        <v>4025/4026</v>
      </c>
      <c r="L145" s="27" t="str">
        <f>VLOOKUP(A145,'Trips&amp;Operators'!$C$1:$E$10000,3,FALSE)</f>
        <v>CHANDLER</v>
      </c>
      <c r="M145" s="6">
        <f t="shared" si="46"/>
        <v>2.9039351851679385E-2</v>
      </c>
      <c r="N145" s="7">
        <f t="shared" si="44"/>
        <v>41.816666666418314</v>
      </c>
      <c r="O145" s="7"/>
      <c r="P145" s="7"/>
      <c r="Q145" s="28"/>
      <c r="R145" s="28"/>
      <c r="S145" s="46">
        <f t="shared" si="47"/>
        <v>1</v>
      </c>
      <c r="T145" s="72" t="str">
        <f t="shared" si="48"/>
        <v>Southbound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19:51:17-0600',mode:absolute,to:'2016-07-11 22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77" t="str">
        <f t="shared" si="50"/>
        <v>N</v>
      </c>
      <c r="X145" s="103">
        <f t="shared" si="51"/>
        <v>1</v>
      </c>
      <c r="Y145" s="100">
        <f t="shared" si="52"/>
        <v>23.297999999999998</v>
      </c>
      <c r="Z145" s="100">
        <f t="shared" si="53"/>
        <v>1.6E-2</v>
      </c>
      <c r="AA145" s="100">
        <f t="shared" si="54"/>
        <v>23.282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5"/>
        <v>0226-11</v>
      </c>
      <c r="AE145" s="78" t="str">
        <f t="shared" si="5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45" s="78" t="str">
        <f t="shared" si="57"/>
        <v>"C:\Program Files (x86)\AstroGrep\AstroGrep.exe" /spath="C:\Users\stu\Documents\Analysis\2016-02-23 RTDC Observations" /stypes="*4026*20160712*" /stext=" 03:.+((prompt.+disp)|(slice.+state.+chan)|(ment ac)|(system.+state.+chan)|(\|lc)|(penalty)|(\[timeout))" /e /r /s</v>
      </c>
      <c r="AG145" s="1" t="str">
        <f t="shared" si="58"/>
        <v>EC</v>
      </c>
    </row>
    <row r="146" spans="1:33" s="26" customFormat="1" x14ac:dyDescent="0.25">
      <c r="A146" s="50" t="s">
        <v>437</v>
      </c>
      <c r="B146" s="7">
        <v>4020</v>
      </c>
      <c r="C146" s="27" t="s">
        <v>59</v>
      </c>
      <c r="D146" s="27" t="s">
        <v>258</v>
      </c>
      <c r="E146" s="17">
        <v>42562.848425925928</v>
      </c>
      <c r="F146" s="17">
        <v>42562.849259259259</v>
      </c>
      <c r="G146" s="7">
        <v>1</v>
      </c>
      <c r="H146" s="17" t="s">
        <v>523</v>
      </c>
      <c r="I146" s="17">
        <v>42562.879571759258</v>
      </c>
      <c r="J146" s="7">
        <v>1</v>
      </c>
      <c r="K146" s="27" t="str">
        <f t="shared" si="45"/>
        <v>4019/4020</v>
      </c>
      <c r="L146" s="27" t="str">
        <f>VLOOKUP(A146,'Trips&amp;Operators'!$C$1:$E$10000,3,FALSE)</f>
        <v>KILLION</v>
      </c>
      <c r="M146" s="6">
        <f t="shared" si="46"/>
        <v>3.0312499999126885E-2</v>
      </c>
      <c r="N146" s="7">
        <f t="shared" si="44"/>
        <v>43.649999998742715</v>
      </c>
      <c r="O146" s="7"/>
      <c r="P146" s="7"/>
      <c r="Q146" s="28"/>
      <c r="R146" s="28"/>
      <c r="S146" s="46">
        <f t="shared" si="47"/>
        <v>1</v>
      </c>
      <c r="T146" s="72" t="str">
        <f t="shared" si="48"/>
        <v>NorthBound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6" s="77" t="str">
        <f t="shared" si="50"/>
        <v>N</v>
      </c>
      <c r="X146" s="103">
        <f t="shared" si="51"/>
        <v>1</v>
      </c>
      <c r="Y146" s="100">
        <f t="shared" si="52"/>
        <v>4.53E-2</v>
      </c>
      <c r="Z146" s="100">
        <f t="shared" si="53"/>
        <v>23.328399999999998</v>
      </c>
      <c r="AA146" s="100">
        <f t="shared" si="54"/>
        <v>23.283099999999997</v>
      </c>
      <c r="AB146" s="97" t="e">
        <f>VLOOKUP(A146,Enforcements!$C$7:$J$23,8,0)</f>
        <v>#N/A</v>
      </c>
      <c r="AC146" s="93" t="e">
        <f>VLOOKUP(A146,Enforcements!$C$7:$E$23,3,0)</f>
        <v>#N/A</v>
      </c>
      <c r="AD146" s="94" t="str">
        <f t="shared" si="55"/>
        <v>0227-11</v>
      </c>
      <c r="AE146" s="78" t="str">
        <f t="shared" si="5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46" s="78" t="str">
        <f t="shared" si="57"/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AG146" s="1" t="str">
        <f t="shared" si="58"/>
        <v>EC</v>
      </c>
    </row>
    <row r="147" spans="1:33" s="26" customFormat="1" x14ac:dyDescent="0.25">
      <c r="A147" s="50" t="s">
        <v>438</v>
      </c>
      <c r="B147" s="7">
        <v>4019</v>
      </c>
      <c r="C147" s="27" t="s">
        <v>59</v>
      </c>
      <c r="D147" s="27" t="s">
        <v>314</v>
      </c>
      <c r="E147" s="17">
        <v>42562.885972222219</v>
      </c>
      <c r="F147" s="17">
        <v>42562.886817129627</v>
      </c>
      <c r="G147" s="7">
        <v>1</v>
      </c>
      <c r="H147" s="17" t="s">
        <v>111</v>
      </c>
      <c r="I147" s="17">
        <v>42562.919409722221</v>
      </c>
      <c r="J147" s="7">
        <v>1</v>
      </c>
      <c r="K147" s="27" t="str">
        <f t="shared" si="45"/>
        <v>4019/4020</v>
      </c>
      <c r="L147" s="27" t="str">
        <f>VLOOKUP(A147,'Trips&amp;Operators'!$C$1:$E$10000,3,FALSE)</f>
        <v>KILLION</v>
      </c>
      <c r="M147" s="6">
        <f t="shared" si="46"/>
        <v>3.2592592593573499E-2</v>
      </c>
      <c r="N147" s="7">
        <f t="shared" si="44"/>
        <v>46.933333334745839</v>
      </c>
      <c r="O147" s="7"/>
      <c r="P147" s="7"/>
      <c r="Q147" s="28"/>
      <c r="R147" s="28"/>
      <c r="S147" s="46">
        <f t="shared" si="47"/>
        <v>1</v>
      </c>
      <c r="T147" s="72" t="str">
        <f t="shared" si="48"/>
        <v>Southbound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7" s="77" t="str">
        <f t="shared" si="50"/>
        <v>N</v>
      </c>
      <c r="X147" s="103">
        <f t="shared" si="51"/>
        <v>1</v>
      </c>
      <c r="Y147" s="100">
        <f t="shared" si="52"/>
        <v>23.297799999999999</v>
      </c>
      <c r="Z147" s="100">
        <f t="shared" si="53"/>
        <v>1.43E-2</v>
      </c>
      <c r="AA147" s="100">
        <f t="shared" si="54"/>
        <v>23.2835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5"/>
        <v>0228-11</v>
      </c>
      <c r="AE147" s="78" t="str">
        <f t="shared" si="5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47" s="78" t="str">
        <f t="shared" si="57"/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AG147" s="1" t="str">
        <f t="shared" si="58"/>
        <v>EC</v>
      </c>
    </row>
    <row r="148" spans="1:33" s="26" customFormat="1" x14ac:dyDescent="0.25">
      <c r="A148" s="50" t="s">
        <v>606</v>
      </c>
      <c r="B148" s="7">
        <v>4016</v>
      </c>
      <c r="C148" s="27" t="s">
        <v>59</v>
      </c>
      <c r="D148" s="27" t="s">
        <v>270</v>
      </c>
      <c r="E148" s="17">
        <v>42562.87232638889</v>
      </c>
      <c r="F148" s="17">
        <v>42562.873449074075</v>
      </c>
      <c r="G148" s="7">
        <v>1</v>
      </c>
      <c r="H148" s="17" t="s">
        <v>302</v>
      </c>
      <c r="I148" s="17">
        <v>42562.899942129632</v>
      </c>
      <c r="J148" s="7">
        <v>0</v>
      </c>
      <c r="K148" s="27" t="str">
        <f t="shared" si="45"/>
        <v>4015/4016</v>
      </c>
      <c r="L148" s="27" t="str">
        <f>VLOOKUP(A148,'Trips&amp;Operators'!$C$1:$E$10000,3,FALSE)</f>
        <v>MAELZER</v>
      </c>
      <c r="M148" s="6">
        <f t="shared" si="46"/>
        <v>2.6493055556784384E-2</v>
      </c>
      <c r="N148" s="7">
        <f t="shared" si="44"/>
        <v>38.150000001769513</v>
      </c>
      <c r="O148" s="7"/>
      <c r="P148" s="7"/>
      <c r="Q148" s="28"/>
      <c r="R148" s="28"/>
      <c r="S148" s="46">
        <f t="shared" si="47"/>
        <v>1</v>
      </c>
      <c r="T148" s="72" t="str">
        <f t="shared" si="48"/>
        <v>NorthBound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19:56:09-0600',mode:absolute,to:'2016-07-11 22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77" t="str">
        <f t="shared" si="50"/>
        <v>N</v>
      </c>
      <c r="X148" s="103">
        <f t="shared" si="51"/>
        <v>1</v>
      </c>
      <c r="Y148" s="100">
        <f t="shared" si="52"/>
        <v>4.7300000000000002E-2</v>
      </c>
      <c r="Z148" s="100">
        <f t="shared" si="53"/>
        <v>23.329899999999999</v>
      </c>
      <c r="AA148" s="100">
        <f t="shared" si="54"/>
        <v>23.282599999999999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5"/>
        <v>0229-11</v>
      </c>
      <c r="AE148" s="78" t="str">
        <f t="shared" si="5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48" s="78" t="str">
        <f t="shared" si="57"/>
        <v>"C:\Program Files (x86)\AstroGrep\AstroGrep.exe" /spath="C:\Users\stu\Documents\Analysis\2016-02-23 RTDC Observations" /stypes="*4016*20160712*" /stext=" 03:.+((prompt.+disp)|(slice.+state.+chan)|(ment ac)|(system.+state.+chan)|(\|lc)|(penalty)|(\[timeout))" /e /r /s</v>
      </c>
      <c r="AG148" s="1" t="str">
        <f t="shared" si="58"/>
        <v>EC</v>
      </c>
    </row>
    <row r="149" spans="1:33" s="26" customFormat="1" x14ac:dyDescent="0.25">
      <c r="A149" s="50" t="s">
        <v>440</v>
      </c>
      <c r="B149" s="7">
        <v>4015</v>
      </c>
      <c r="C149" s="27" t="s">
        <v>59</v>
      </c>
      <c r="D149" s="27" t="s">
        <v>68</v>
      </c>
      <c r="E149" s="17">
        <v>42562.910046296296</v>
      </c>
      <c r="F149" s="17">
        <v>42562.910914351851</v>
      </c>
      <c r="G149" s="7">
        <v>1</v>
      </c>
      <c r="H149" s="17" t="s">
        <v>363</v>
      </c>
      <c r="I149" s="17">
        <v>42562.940891203703</v>
      </c>
      <c r="J149" s="7">
        <v>1</v>
      </c>
      <c r="K149" s="27" t="str">
        <f t="shared" si="45"/>
        <v>4015/4016</v>
      </c>
      <c r="L149" s="27" t="str">
        <f>VLOOKUP(A149,'Trips&amp;Operators'!$C$1:$E$10000,3,FALSE)</f>
        <v>MAELZER</v>
      </c>
      <c r="M149" s="6">
        <f t="shared" si="46"/>
        <v>2.99768518525525E-2</v>
      </c>
      <c r="N149" s="7">
        <f t="shared" si="44"/>
        <v>43.166666667675599</v>
      </c>
      <c r="O149" s="7"/>
      <c r="P149" s="7"/>
      <c r="Q149" s="28"/>
      <c r="R149" s="28"/>
      <c r="S149" s="46">
        <f t="shared" si="47"/>
        <v>1</v>
      </c>
      <c r="T149" s="72" t="str">
        <f t="shared" si="48"/>
        <v>Southbound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77" t="str">
        <f t="shared" si="50"/>
        <v>N</v>
      </c>
      <c r="X149" s="103">
        <f t="shared" si="51"/>
        <v>1</v>
      </c>
      <c r="Y149" s="100">
        <f t="shared" si="52"/>
        <v>23.297699999999999</v>
      </c>
      <c r="Z149" s="100">
        <f t="shared" si="53"/>
        <v>1.78E-2</v>
      </c>
      <c r="AA149" s="100">
        <f t="shared" si="54"/>
        <v>23.279899999999998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5"/>
        <v>0230-11</v>
      </c>
      <c r="AE149" s="78" t="str">
        <f t="shared" si="5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9" s="78" t="str">
        <f t="shared" si="57"/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AG149" s="1" t="str">
        <f t="shared" si="58"/>
        <v>EC</v>
      </c>
    </row>
    <row r="150" spans="1:33" s="26" customFormat="1" x14ac:dyDescent="0.25">
      <c r="A150" s="50" t="s">
        <v>439</v>
      </c>
      <c r="B150" s="7">
        <v>4031</v>
      </c>
      <c r="C150" s="27" t="s">
        <v>59</v>
      </c>
      <c r="D150" s="27" t="s">
        <v>152</v>
      </c>
      <c r="E150" s="17">
        <v>42562.878819444442</v>
      </c>
      <c r="F150" s="17">
        <v>42562.879814814813</v>
      </c>
      <c r="G150" s="7">
        <v>1</v>
      </c>
      <c r="H150" s="17" t="s">
        <v>239</v>
      </c>
      <c r="I150" s="17">
        <v>42562.9215625</v>
      </c>
      <c r="J150" s="7">
        <v>1</v>
      </c>
      <c r="K150" s="27" t="str">
        <f t="shared" si="45"/>
        <v>4031/4032</v>
      </c>
      <c r="L150" s="27" t="str">
        <f>VLOOKUP(A150,'Trips&amp;Operators'!$C$1:$E$10000,3,FALSE)</f>
        <v>NEWELL</v>
      </c>
      <c r="M150" s="6">
        <f t="shared" si="46"/>
        <v>4.1747685187146999E-2</v>
      </c>
      <c r="N150" s="7">
        <f t="shared" si="44"/>
        <v>60.116666669491678</v>
      </c>
      <c r="O150" s="7"/>
      <c r="P150" s="7"/>
      <c r="Q150" s="28"/>
      <c r="R150" s="28"/>
      <c r="S150" s="46">
        <f t="shared" si="47"/>
        <v>1</v>
      </c>
      <c r="T150" s="72" t="str">
        <f t="shared" si="48"/>
        <v>NorthBound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0" s="77" t="str">
        <f t="shared" si="50"/>
        <v>N</v>
      </c>
      <c r="X150" s="103">
        <f t="shared" si="51"/>
        <v>1</v>
      </c>
      <c r="Y150" s="100">
        <f t="shared" si="52"/>
        <v>4.4900000000000002E-2</v>
      </c>
      <c r="Z150" s="100">
        <f t="shared" si="53"/>
        <v>23.330300000000001</v>
      </c>
      <c r="AA150" s="100">
        <f t="shared" si="54"/>
        <v>23.285400000000003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5"/>
        <v>0231-11</v>
      </c>
      <c r="AE150" s="78" t="str">
        <f t="shared" si="5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0" s="78" t="str">
        <f t="shared" si="57"/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AG150" s="1" t="str">
        <f t="shared" si="58"/>
        <v>EC</v>
      </c>
    </row>
    <row r="151" spans="1:33" s="26" customFormat="1" x14ac:dyDescent="0.25">
      <c r="A151" s="50" t="s">
        <v>607</v>
      </c>
      <c r="B151" s="7">
        <v>4032</v>
      </c>
      <c r="C151" s="27" t="s">
        <v>59</v>
      </c>
      <c r="D151" s="27" t="s">
        <v>314</v>
      </c>
      <c r="E151" s="17">
        <v>42562.923182870371</v>
      </c>
      <c r="F151" s="17">
        <v>42562.923935185187</v>
      </c>
      <c r="G151" s="7">
        <v>1</v>
      </c>
      <c r="H151" s="17" t="s">
        <v>309</v>
      </c>
      <c r="I151" s="17">
        <v>42562.960104166668</v>
      </c>
      <c r="J151" s="7">
        <v>0</v>
      </c>
      <c r="K151" s="27" t="str">
        <f t="shared" si="45"/>
        <v>4031/4032</v>
      </c>
      <c r="L151" s="27" t="str">
        <f>VLOOKUP(A151,'Trips&amp;Operators'!$C$1:$E$10000,3,FALSE)</f>
        <v>NEWELL</v>
      </c>
      <c r="M151" s="6">
        <f t="shared" si="46"/>
        <v>3.6168981481750961E-2</v>
      </c>
      <c r="N151" s="7">
        <f t="shared" si="44"/>
        <v>52.083333333721384</v>
      </c>
      <c r="O151" s="7"/>
      <c r="P151" s="7"/>
      <c r="Q151" s="28"/>
      <c r="R151" s="28"/>
      <c r="S151" s="46">
        <f t="shared" si="47"/>
        <v>1</v>
      </c>
      <c r="T151" s="72" t="str">
        <f t="shared" si="48"/>
        <v>Southbound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21:09:23-0600',mode:absolute,to:'2016-07-12 00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1" s="77" t="str">
        <f t="shared" si="50"/>
        <v>N</v>
      </c>
      <c r="X151" s="103">
        <f t="shared" si="51"/>
        <v>1</v>
      </c>
      <c r="Y151" s="100">
        <f t="shared" si="52"/>
        <v>23.297799999999999</v>
      </c>
      <c r="Z151" s="100">
        <f t="shared" si="53"/>
        <v>1.54E-2</v>
      </c>
      <c r="AA151" s="100">
        <f t="shared" si="54"/>
        <v>23.282399999999999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5"/>
        <v>0232-11</v>
      </c>
      <c r="AE151" s="78" t="str">
        <f t="shared" si="5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51" s="78" t="str">
        <f t="shared" si="57"/>
        <v>"C:\Program Files (x86)\AstroGrep\AstroGrep.exe" /spath="C:\Users\stu\Documents\Analysis\2016-02-23 RTDC Observations" /stypes="*4032*20160712*" /stext=" 05:.+((prompt.+disp)|(slice.+state.+chan)|(ment ac)|(system.+state.+chan)|(\|lc)|(penalty)|(\[timeout))" /e /r /s</v>
      </c>
      <c r="AG151" s="1" t="str">
        <f t="shared" si="58"/>
        <v>EC</v>
      </c>
    </row>
    <row r="152" spans="1:33" s="26" customFormat="1" x14ac:dyDescent="0.25">
      <c r="A152" s="50" t="s">
        <v>608</v>
      </c>
      <c r="B152" s="7">
        <v>4025</v>
      </c>
      <c r="C152" s="27" t="s">
        <v>59</v>
      </c>
      <c r="D152" s="27" t="s">
        <v>325</v>
      </c>
      <c r="E152" s="17">
        <v>42562.913576388892</v>
      </c>
      <c r="F152" s="17">
        <v>42562.916898148149</v>
      </c>
      <c r="G152" s="7">
        <v>4</v>
      </c>
      <c r="H152" s="17" t="s">
        <v>330</v>
      </c>
      <c r="I152" s="17">
        <v>42562.941631944443</v>
      </c>
      <c r="J152" s="7">
        <v>0</v>
      </c>
      <c r="K152" s="27" t="str">
        <f t="shared" si="45"/>
        <v>4025/4026</v>
      </c>
      <c r="L152" s="27" t="str">
        <f>VLOOKUP(A152,'Trips&amp;Operators'!$C$1:$E$10000,3,FALSE)</f>
        <v>CHANDLER</v>
      </c>
      <c r="M152" s="6">
        <f t="shared" si="46"/>
        <v>2.4733796293730848E-2</v>
      </c>
      <c r="N152" s="7">
        <f t="shared" si="44"/>
        <v>35.61666666297242</v>
      </c>
      <c r="O152" s="7"/>
      <c r="P152" s="7"/>
      <c r="Q152" s="28"/>
      <c r="R152" s="28"/>
      <c r="S152" s="46">
        <f t="shared" si="47"/>
        <v>1</v>
      </c>
      <c r="T152" s="72" t="str">
        <f t="shared" si="48"/>
        <v>NorthBound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20:55:33-0600',mode:absolute,to:'2016-07-11 23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2" s="77" t="str">
        <f t="shared" si="50"/>
        <v>N</v>
      </c>
      <c r="X152" s="103">
        <f t="shared" si="51"/>
        <v>1</v>
      </c>
      <c r="Y152" s="100">
        <f t="shared" si="52"/>
        <v>4.6600000000000003E-2</v>
      </c>
      <c r="Z152" s="100">
        <f t="shared" si="53"/>
        <v>23.328800000000001</v>
      </c>
      <c r="AA152" s="100">
        <f t="shared" si="54"/>
        <v>23.2822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5"/>
        <v>0233-11</v>
      </c>
      <c r="AE152" s="78" t="str">
        <f t="shared" si="5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52" s="78" t="str">
        <f t="shared" si="57"/>
        <v>"C:\Program Files (x86)\AstroGrep\AstroGrep.exe" /spath="C:\Users\stu\Documents\Analysis\2016-02-23 RTDC Observations" /stypes="*4025*20160712*" /stext=" 04:.+((prompt.+disp)|(slice.+state.+chan)|(ment ac)|(system.+state.+chan)|(\|lc)|(penalty)|(\[timeout))" /e /r /s</v>
      </c>
      <c r="AG152" s="1" t="str">
        <f t="shared" si="58"/>
        <v>EC</v>
      </c>
    </row>
    <row r="153" spans="1:33" s="26" customFormat="1" x14ac:dyDescent="0.25">
      <c r="A153" s="50" t="s">
        <v>609</v>
      </c>
      <c r="B153" s="7">
        <v>4026</v>
      </c>
      <c r="C153" s="27" t="s">
        <v>59</v>
      </c>
      <c r="D153" s="27" t="s">
        <v>318</v>
      </c>
      <c r="E153" s="17">
        <v>42562.949918981481</v>
      </c>
      <c r="F153" s="17">
        <v>42562.950960648152</v>
      </c>
      <c r="G153" s="7">
        <v>1</v>
      </c>
      <c r="H153" s="17" t="s">
        <v>130</v>
      </c>
      <c r="I153" s="17">
        <v>42562.982303240744</v>
      </c>
      <c r="J153" s="7">
        <v>0</v>
      </c>
      <c r="K153" s="27" t="str">
        <f t="shared" si="45"/>
        <v>4025/4026</v>
      </c>
      <c r="L153" s="27" t="str">
        <f>VLOOKUP(A153,'Trips&amp;Operators'!$C$1:$E$10000,3,FALSE)</f>
        <v>CHANDLER</v>
      </c>
      <c r="M153" s="6">
        <f t="shared" si="46"/>
        <v>3.1342592592409346E-2</v>
      </c>
      <c r="N153" s="7">
        <f t="shared" si="44"/>
        <v>45.133333333069459</v>
      </c>
      <c r="O153" s="7"/>
      <c r="P153" s="7"/>
      <c r="Q153" s="28"/>
      <c r="R153" s="28"/>
      <c r="S153" s="46">
        <f t="shared" si="47"/>
        <v>1</v>
      </c>
      <c r="T153" s="72" t="str">
        <f t="shared" si="48"/>
        <v>Southbound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21:47:53-0600',mode:absolute,to:'2016-07-12 00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3" s="77" t="str">
        <f t="shared" si="50"/>
        <v>N</v>
      </c>
      <c r="X153" s="103">
        <f t="shared" si="51"/>
        <v>1</v>
      </c>
      <c r="Y153" s="100">
        <f t="shared" si="52"/>
        <v>23.2973</v>
      </c>
      <c r="Z153" s="100">
        <f t="shared" si="53"/>
        <v>1.5599999999999999E-2</v>
      </c>
      <c r="AA153" s="100">
        <f t="shared" si="54"/>
        <v>23.281700000000001</v>
      </c>
      <c r="AB153" s="97" t="e">
        <f>VLOOKUP(A153,Enforcements!$C$7:$J$23,8,0)</f>
        <v>#N/A</v>
      </c>
      <c r="AC153" s="93" t="e">
        <f>VLOOKUP(A153,Enforcements!$C$7:$E$23,3,0)</f>
        <v>#N/A</v>
      </c>
      <c r="AD153" s="94" t="str">
        <f t="shared" si="55"/>
        <v>0234-11</v>
      </c>
      <c r="AE153" s="78" t="str">
        <f t="shared" si="5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53" s="78" t="str">
        <f t="shared" si="57"/>
        <v>"C:\Program Files (x86)\AstroGrep\AstroGrep.exe" /spath="C:\Users\stu\Documents\Analysis\2016-02-23 RTDC Observations" /stypes="*4026*20160712*" /stext=" 05:.+((prompt.+disp)|(slice.+state.+chan)|(ment ac)|(system.+state.+chan)|(\|lc)|(penalty)|(\[timeout))" /e /r /s</v>
      </c>
      <c r="AG153" s="1" t="str">
        <f t="shared" si="58"/>
        <v>EC</v>
      </c>
    </row>
    <row r="154" spans="1:33" s="26" customFormat="1" x14ac:dyDescent="0.25">
      <c r="A154" s="50" t="s">
        <v>610</v>
      </c>
      <c r="B154" s="7">
        <v>4020</v>
      </c>
      <c r="C154" s="27" t="s">
        <v>59</v>
      </c>
      <c r="D154" s="27" t="s">
        <v>378</v>
      </c>
      <c r="E154" s="17">
        <v>42562.934282407405</v>
      </c>
      <c r="F154" s="17">
        <v>42562.935219907406</v>
      </c>
      <c r="G154" s="7">
        <v>1</v>
      </c>
      <c r="H154" s="17" t="s">
        <v>366</v>
      </c>
      <c r="I154" s="17">
        <v>42562.962337962963</v>
      </c>
      <c r="J154" s="7">
        <v>0</v>
      </c>
      <c r="K154" s="27" t="str">
        <f t="shared" si="45"/>
        <v>4019/4020</v>
      </c>
      <c r="L154" s="27" t="str">
        <f>VLOOKUP(A154,'Trips&amp;Operators'!$C$1:$E$10000,3,FALSE)</f>
        <v>KILLION</v>
      </c>
      <c r="M154" s="6">
        <f t="shared" si="46"/>
        <v>2.7118055557366461E-2</v>
      </c>
      <c r="N154" s="7">
        <f t="shared" si="44"/>
        <v>39.050000002607703</v>
      </c>
      <c r="O154" s="7"/>
      <c r="P154" s="7"/>
      <c r="Q154" s="28"/>
      <c r="R154" s="28"/>
      <c r="S154" s="46">
        <f t="shared" si="47"/>
        <v>1</v>
      </c>
      <c r="T154" s="72" t="str">
        <f t="shared" si="48"/>
        <v>NorthBound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21:25:22-0600',mode:absolute,to:'2016-07-12 00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4" s="77" t="str">
        <f t="shared" si="50"/>
        <v>N</v>
      </c>
      <c r="X154" s="103">
        <f t="shared" si="51"/>
        <v>1</v>
      </c>
      <c r="Y154" s="100">
        <f t="shared" si="52"/>
        <v>4.4200000000000003E-2</v>
      </c>
      <c r="Z154" s="100">
        <f t="shared" si="53"/>
        <v>23.333200000000001</v>
      </c>
      <c r="AA154" s="100">
        <f t="shared" si="54"/>
        <v>23.289000000000001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5"/>
        <v>0235-11</v>
      </c>
      <c r="AE154" s="78" t="str">
        <f t="shared" si="5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54" s="78" t="str">
        <f t="shared" si="57"/>
        <v>"C:\Program Files (x86)\AstroGrep\AstroGrep.exe" /spath="C:\Users\stu\Documents\Analysis\2016-02-23 RTDC Observations" /stypes="*4020*20160712*" /stext=" 05:.+((prompt.+disp)|(slice.+state.+chan)|(ment ac)|(system.+state.+chan)|(\|lc)|(penalty)|(\[timeout))" /e /r /s</v>
      </c>
      <c r="AG154" s="1" t="str">
        <f t="shared" si="58"/>
        <v>EC</v>
      </c>
    </row>
    <row r="155" spans="1:33" s="26" customFormat="1" x14ac:dyDescent="0.25">
      <c r="A155" s="50" t="s">
        <v>611</v>
      </c>
      <c r="B155" s="7">
        <v>4019</v>
      </c>
      <c r="C155" s="27" t="s">
        <v>59</v>
      </c>
      <c r="D155" s="27" t="s">
        <v>612</v>
      </c>
      <c r="E155" s="17">
        <v>42562.973217592589</v>
      </c>
      <c r="F155" s="17">
        <v>42562.974027777775</v>
      </c>
      <c r="G155" s="7">
        <v>1</v>
      </c>
      <c r="H155" s="17" t="s">
        <v>369</v>
      </c>
      <c r="I155" s="17">
        <v>42563.002002314817</v>
      </c>
      <c r="J155" s="7">
        <v>0</v>
      </c>
      <c r="K155" s="27" t="str">
        <f t="shared" si="45"/>
        <v>4019/4020</v>
      </c>
      <c r="L155" s="27" t="str">
        <f>VLOOKUP(A155,'Trips&amp;Operators'!$C$1:$E$10000,3,FALSE)</f>
        <v>KILLION</v>
      </c>
      <c r="M155" s="6">
        <f t="shared" si="46"/>
        <v>2.7974537042609882E-2</v>
      </c>
      <c r="N155" s="7">
        <f t="shared" si="44"/>
        <v>40.28333334135823</v>
      </c>
      <c r="O155" s="7"/>
      <c r="P155" s="7"/>
      <c r="Q155" s="28"/>
      <c r="R155" s="28"/>
      <c r="S155" s="46">
        <f t="shared" si="47"/>
        <v>1</v>
      </c>
      <c r="T155" s="72" t="str">
        <f t="shared" si="48"/>
        <v>Southbound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22:21:26-0600',mode:absolute,to:'2016-07-12 01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5" s="77" t="str">
        <f t="shared" si="50"/>
        <v>N</v>
      </c>
      <c r="X155" s="103">
        <f t="shared" si="51"/>
        <v>1</v>
      </c>
      <c r="Y155" s="100">
        <f t="shared" si="52"/>
        <v>23.3001</v>
      </c>
      <c r="Z155" s="100">
        <f t="shared" si="53"/>
        <v>1.2500000000000001E-2</v>
      </c>
      <c r="AA155" s="100">
        <f t="shared" si="54"/>
        <v>23.287600000000001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5"/>
        <v>0236-11</v>
      </c>
      <c r="AE155" s="78" t="str">
        <f t="shared" si="5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55" s="78" t="str">
        <f t="shared" si="57"/>
        <v>"C:\Program Files (x86)\AstroGrep\AstroGrep.exe" /spath="C:\Users\stu\Documents\Analysis\2016-02-23 RTDC Observations" /stypes="*4019*20160712*" /stext=" 06:.+((prompt.+disp)|(slice.+state.+chan)|(ment ac)|(system.+state.+chan)|(\|lc)|(penalty)|(\[timeout))" /e /r /s</v>
      </c>
      <c r="AG155" s="1" t="str">
        <f t="shared" si="58"/>
        <v>EC</v>
      </c>
    </row>
    <row r="156" spans="1:33" x14ac:dyDescent="0.25">
      <c r="A156" s="50" t="s">
        <v>613</v>
      </c>
      <c r="B156" s="7">
        <v>4016</v>
      </c>
      <c r="C156" s="27" t="s">
        <v>59</v>
      </c>
      <c r="D156" s="27" t="s">
        <v>614</v>
      </c>
      <c r="E156" s="17">
        <v>42562.953912037039</v>
      </c>
      <c r="F156" s="17">
        <v>42562.954895833333</v>
      </c>
      <c r="G156" s="7">
        <v>1</v>
      </c>
      <c r="H156" s="17" t="s">
        <v>371</v>
      </c>
      <c r="I156" s="17">
        <v>42562.983923611115</v>
      </c>
      <c r="J156" s="7">
        <v>0</v>
      </c>
      <c r="K156" s="27" t="str">
        <f t="shared" si="45"/>
        <v>4015/4016</v>
      </c>
      <c r="L156" s="27" t="str">
        <f>VLOOKUP(A156,'Trips&amp;Operators'!$C$1:$E$10000,3,FALSE)</f>
        <v>MAELZER</v>
      </c>
      <c r="M156" s="6">
        <f t="shared" si="46"/>
        <v>2.902777778217569E-2</v>
      </c>
      <c r="N156" s="7">
        <f t="shared" si="44"/>
        <v>41.800000006332994</v>
      </c>
      <c r="O156" s="7"/>
      <c r="P156" s="7"/>
      <c r="Q156" s="28"/>
      <c r="R156" s="28"/>
      <c r="S156" s="46">
        <f t="shared" si="47"/>
        <v>1</v>
      </c>
      <c r="T156" s="72" t="str">
        <f t="shared" si="48"/>
        <v>NorthBound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21:53:38-0600',mode:absolute,to:'2016-07-12 00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6" s="77" t="str">
        <f t="shared" si="50"/>
        <v>N</v>
      </c>
      <c r="X156" s="103">
        <f t="shared" si="51"/>
        <v>1</v>
      </c>
      <c r="Y156" s="100">
        <f t="shared" si="52"/>
        <v>4.7500000000000001E-2</v>
      </c>
      <c r="Z156" s="100">
        <f t="shared" si="53"/>
        <v>23.330500000000001</v>
      </c>
      <c r="AA156" s="100">
        <f t="shared" si="54"/>
        <v>23.283000000000001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5"/>
        <v>0237-11</v>
      </c>
      <c r="AE156" s="78" t="str">
        <f t="shared" si="5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56" s="78" t="str">
        <f t="shared" si="57"/>
        <v>"C:\Program Files (x86)\AstroGrep\AstroGrep.exe" /spath="C:\Users\stu\Documents\Analysis\2016-02-23 RTDC Observations" /stypes="*4016*20160712*" /stext=" 05:.+((prompt.+disp)|(slice.+state.+chan)|(ment ac)|(system.+state.+chan)|(\|lc)|(penalty)|(\[timeout))" /e /r /s</v>
      </c>
      <c r="AG156" s="1" t="str">
        <f t="shared" si="58"/>
        <v>EC</v>
      </c>
    </row>
    <row r="157" spans="1:33" x14ac:dyDescent="0.25">
      <c r="A157" s="50" t="s">
        <v>615</v>
      </c>
      <c r="B157" s="7">
        <v>4015</v>
      </c>
      <c r="C157" s="27" t="s">
        <v>59</v>
      </c>
      <c r="D157" s="27" t="s">
        <v>329</v>
      </c>
      <c r="E157" s="17">
        <v>42562.992835648147</v>
      </c>
      <c r="F157" s="17">
        <v>42562.993715277778</v>
      </c>
      <c r="G157" s="7">
        <v>1</v>
      </c>
      <c r="H157" s="17" t="s">
        <v>130</v>
      </c>
      <c r="I157" s="17">
        <v>42563.023888888885</v>
      </c>
      <c r="J157" s="7">
        <v>0</v>
      </c>
      <c r="K157" s="27" t="str">
        <f t="shared" si="45"/>
        <v>4015/4016</v>
      </c>
      <c r="L157" s="27" t="str">
        <f>VLOOKUP(A157,'Trips&amp;Operators'!$C$1:$E$10000,3,FALSE)</f>
        <v>MAELZER</v>
      </c>
      <c r="M157" s="6">
        <f t="shared" si="46"/>
        <v>3.0173611106874887E-2</v>
      </c>
      <c r="N157" s="7">
        <f t="shared" si="44"/>
        <v>43.449999993899837</v>
      </c>
      <c r="O157" s="7"/>
      <c r="P157" s="7"/>
      <c r="Q157" s="28"/>
      <c r="R157" s="28"/>
      <c r="S157" s="46">
        <f t="shared" si="47"/>
        <v>1</v>
      </c>
      <c r="T157" s="72" t="str">
        <f t="shared" si="48"/>
        <v>Southbound</v>
      </c>
      <c r="U157" s="108">
        <f>COUNTIFS(Variables!$M$2:$M$19,IF(T157="NorthBound","&gt;=","&lt;=")&amp;Y157,Variables!$M$2:$M$19,IF(T157="NorthBound","&lt;=","&gt;=")&amp;Z157)</f>
        <v>12</v>
      </c>
      <c r="V157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22:49:41-0600',mode:absolute,to:'2016-07-12 01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7" s="77" t="str">
        <f t="shared" si="50"/>
        <v>N</v>
      </c>
      <c r="X157" s="103">
        <f t="shared" si="51"/>
        <v>1</v>
      </c>
      <c r="Y157" s="100">
        <f t="shared" si="52"/>
        <v>23.298200000000001</v>
      </c>
      <c r="Z157" s="100">
        <f t="shared" si="53"/>
        <v>1.5599999999999999E-2</v>
      </c>
      <c r="AA157" s="100">
        <f t="shared" si="54"/>
        <v>23.282600000000002</v>
      </c>
      <c r="AB157" s="97" t="e">
        <f>VLOOKUP(A157,Enforcements!$C$7:$J$23,8,0)</f>
        <v>#N/A</v>
      </c>
      <c r="AC157" s="93" t="e">
        <f>VLOOKUP(A157,Enforcements!$C$7:$E$23,3,0)</f>
        <v>#N/A</v>
      </c>
      <c r="AD157" s="94" t="str">
        <f t="shared" si="55"/>
        <v>0238-11</v>
      </c>
      <c r="AE157" s="78" t="str">
        <f t="shared" si="5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57" s="78" t="str">
        <f t="shared" si="57"/>
        <v>"C:\Program Files (x86)\AstroGrep\AstroGrep.exe" /spath="C:\Users\stu\Documents\Analysis\2016-02-23 RTDC Observations" /stypes="*4015*20160712*" /stext=" 06:.+((prompt.+disp)|(slice.+state.+chan)|(ment ac)|(system.+state.+chan)|(\|lc)|(penalty)|(\[timeout))" /e /r /s</v>
      </c>
      <c r="AG157" s="1" t="str">
        <f t="shared" si="58"/>
        <v>EC</v>
      </c>
    </row>
    <row r="158" spans="1:33" x14ac:dyDescent="0.25">
      <c r="A158" s="50" t="s">
        <v>441</v>
      </c>
      <c r="B158" s="7">
        <v>4031</v>
      </c>
      <c r="C158" s="27" t="s">
        <v>59</v>
      </c>
      <c r="D158" s="27" t="s">
        <v>222</v>
      </c>
      <c r="E158" s="17">
        <v>42562.964490740742</v>
      </c>
      <c r="F158" s="17">
        <v>42562.965520833335</v>
      </c>
      <c r="G158" s="7">
        <v>1</v>
      </c>
      <c r="H158" s="17" t="s">
        <v>360</v>
      </c>
      <c r="I158" s="17">
        <v>42563.003784722219</v>
      </c>
      <c r="J158" s="7">
        <v>1</v>
      </c>
      <c r="K158" s="27" t="str">
        <f t="shared" si="45"/>
        <v>4031/4032</v>
      </c>
      <c r="L158" s="27" t="str">
        <f>VLOOKUP(A158,'Trips&amp;Operators'!$C$1:$E$10000,3,FALSE)</f>
        <v>NEWELL</v>
      </c>
      <c r="M158" s="6">
        <f t="shared" si="46"/>
        <v>3.8263888884102926E-2</v>
      </c>
      <c r="N158" s="7">
        <f t="shared" si="44"/>
        <v>55.099999993108213</v>
      </c>
      <c r="O158" s="7"/>
      <c r="P158" s="7"/>
      <c r="Q158" s="28"/>
      <c r="R158" s="28"/>
      <c r="S158" s="46">
        <f t="shared" si="47"/>
        <v>1</v>
      </c>
      <c r="T158" s="72" t="str">
        <f t="shared" si="48"/>
        <v>NorthBound</v>
      </c>
      <c r="U158" s="108">
        <f>COUNTIFS(Variables!$M$2:$M$19,IF(T158="NorthBound","&gt;=","&lt;=")&amp;Y158,Variables!$M$2:$M$19,IF(T158="NorthBound","&lt;=","&gt;=")&amp;Z158)</f>
        <v>12</v>
      </c>
      <c r="V158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8" s="77" t="str">
        <f t="shared" si="50"/>
        <v>N</v>
      </c>
      <c r="X158" s="103">
        <f t="shared" si="51"/>
        <v>1</v>
      </c>
      <c r="Y158" s="100">
        <f t="shared" si="52"/>
        <v>4.6699999999999998E-2</v>
      </c>
      <c r="Z158" s="100">
        <f t="shared" si="53"/>
        <v>23.331199999999999</v>
      </c>
      <c r="AA158" s="100">
        <f t="shared" si="54"/>
        <v>23.284499999999998</v>
      </c>
      <c r="AB158" s="97" t="e">
        <f>VLOOKUP(A158,Enforcements!$C$7:$J$23,8,0)</f>
        <v>#N/A</v>
      </c>
      <c r="AC158" s="93" t="e">
        <f>VLOOKUP(A158,Enforcements!$C$7:$E$23,3,0)</f>
        <v>#N/A</v>
      </c>
      <c r="AD158" s="94" t="str">
        <f t="shared" si="55"/>
        <v>0239-11</v>
      </c>
      <c r="AE158" s="78" t="str">
        <f t="shared" si="5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8" s="78" t="str">
        <f t="shared" si="57"/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AG158" s="1" t="str">
        <f t="shared" si="58"/>
        <v>EC</v>
      </c>
    </row>
    <row r="159" spans="1:33" x14ac:dyDescent="0.25">
      <c r="A159" s="50" t="s">
        <v>616</v>
      </c>
      <c r="B159" s="7">
        <v>4032</v>
      </c>
      <c r="C159" s="27" t="s">
        <v>59</v>
      </c>
      <c r="D159" s="27" t="s">
        <v>68</v>
      </c>
      <c r="E159" s="17">
        <v>42563.013912037037</v>
      </c>
      <c r="F159" s="17">
        <v>42563.014999999999</v>
      </c>
      <c r="G159" s="7">
        <v>1</v>
      </c>
      <c r="H159" s="17" t="s">
        <v>499</v>
      </c>
      <c r="I159" s="17">
        <v>42563.044664351852</v>
      </c>
      <c r="J159" s="7">
        <v>0</v>
      </c>
      <c r="K159" s="27" t="str">
        <f t="shared" si="45"/>
        <v>4031/4032</v>
      </c>
      <c r="L159" s="27" t="str">
        <f>VLOOKUP(A159,'Trips&amp;Operators'!$C$1:$E$10000,3,FALSE)</f>
        <v>NEWELL</v>
      </c>
      <c r="M159" s="6">
        <f t="shared" si="46"/>
        <v>2.9664351852261461E-2</v>
      </c>
      <c r="N159" s="7">
        <f t="shared" si="44"/>
        <v>42.716666667256504</v>
      </c>
      <c r="O159" s="7"/>
      <c r="P159" s="7"/>
      <c r="Q159" s="28"/>
      <c r="R159" s="28"/>
      <c r="S159" s="46">
        <f t="shared" si="47"/>
        <v>1</v>
      </c>
      <c r="T159" s="72" t="str">
        <f t="shared" si="48"/>
        <v>Southbound</v>
      </c>
      <c r="U159" s="108">
        <f>COUNTIFS(Variables!$M$2:$M$19,IF(T159="NorthBound","&gt;=","&lt;=")&amp;Y159,Variables!$M$2:$M$19,IF(T159="NorthBound","&lt;=","&gt;=")&amp;Z159)</f>
        <v>12</v>
      </c>
      <c r="V159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23:20:02-0600',mode:absolute,to:'2016-07-12 02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9" s="77" t="str">
        <f t="shared" si="50"/>
        <v>N</v>
      </c>
      <c r="X159" s="103">
        <f t="shared" si="51"/>
        <v>1</v>
      </c>
      <c r="Y159" s="100">
        <f t="shared" si="52"/>
        <v>23.297699999999999</v>
      </c>
      <c r="Z159" s="100">
        <f t="shared" si="53"/>
        <v>1.6899999999999998E-2</v>
      </c>
      <c r="AA159" s="100">
        <f t="shared" si="54"/>
        <v>23.280799999999999</v>
      </c>
      <c r="AB159" s="97" t="e">
        <f>VLOOKUP(A159,Enforcements!$C$7:$J$23,8,0)</f>
        <v>#N/A</v>
      </c>
      <c r="AC159" s="93" t="e">
        <f>VLOOKUP(A159,Enforcements!$C$7:$E$23,3,0)</f>
        <v>#N/A</v>
      </c>
      <c r="AD159" s="94" t="str">
        <f t="shared" si="55"/>
        <v>0240-11</v>
      </c>
      <c r="AE159" s="78" t="str">
        <f t="shared" si="56"/>
        <v>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 &amp; aws s3 cp s3://rtdc.mdm.uploadarchive/RTDC4032/2016-07-13/ "C:\Users\stu\Documents\Analysis\2016-02-23 RTDC Observations"\RTDC4032\2016-07-13 --recursive &amp; "C:\Users\stu\Documents\GitHub\mrs-test-scripts\Headless Mode &amp; Sideloading\WalkAndUnGZ.bat" "C:\Users\stu\Documents\Analysis\2016-02-23 RTDC Observations"\RTDC4032\2016-07-13</v>
      </c>
      <c r="AF159" s="78" t="str">
        <f t="shared" si="57"/>
        <v>"C:\Program Files (x86)\AstroGrep\AstroGrep.exe" /spath="C:\Users\stu\Documents\Analysis\2016-02-23 RTDC Observations" /stypes="*4032*20160712*" /stext=" 07:.+((prompt.+disp)|(slice.+state.+chan)|(ment ac)|(system.+state.+chan)|(\|lc)|(penalty)|(\[timeout))" /e /r /s</v>
      </c>
      <c r="AG159" s="1" t="str">
        <f t="shared" si="58"/>
        <v>EC</v>
      </c>
    </row>
    <row r="160" spans="1:33" x14ac:dyDescent="0.25">
      <c r="A160" s="50" t="s">
        <v>617</v>
      </c>
      <c r="B160" s="7">
        <v>4025</v>
      </c>
      <c r="C160" s="27" t="s">
        <v>59</v>
      </c>
      <c r="D160" s="27" t="s">
        <v>341</v>
      </c>
      <c r="E160" s="17">
        <v>42562.993831018517</v>
      </c>
      <c r="F160" s="17">
        <v>42562.994791666664</v>
      </c>
      <c r="G160" s="7">
        <v>1</v>
      </c>
      <c r="H160" s="17" t="s">
        <v>302</v>
      </c>
      <c r="I160" s="17">
        <v>42563.024791666663</v>
      </c>
      <c r="J160" s="7">
        <v>0</v>
      </c>
      <c r="K160" s="27" t="str">
        <f t="shared" si="45"/>
        <v>4025/4026</v>
      </c>
      <c r="L160" s="27" t="str">
        <f>VLOOKUP(A160,'Trips&amp;Operators'!$C$1:$E$10000,3,FALSE)</f>
        <v>CHANDLER</v>
      </c>
      <c r="M160" s="6">
        <f t="shared" si="46"/>
        <v>2.9999999998835847E-2</v>
      </c>
      <c r="N160" s="7">
        <f t="shared" si="44"/>
        <v>43.199999998323619</v>
      </c>
      <c r="O160" s="7"/>
      <c r="P160" s="7"/>
      <c r="Q160" s="28"/>
      <c r="R160" s="28"/>
      <c r="S160" s="46">
        <f t="shared" si="47"/>
        <v>1</v>
      </c>
      <c r="T160" s="72" t="str">
        <f t="shared" si="48"/>
        <v>NorthBound</v>
      </c>
      <c r="U160" s="108">
        <f>COUNTIFS(Variables!$M$2:$M$19,IF(T160="NorthBound","&gt;=","&lt;=")&amp;Y160,Variables!$M$2:$M$19,IF(T160="NorthBound","&lt;=","&gt;=")&amp;Z160)</f>
        <v>12</v>
      </c>
      <c r="V160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22:51:07-0600',mode:absolute,to:'2016-07-12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0" s="77" t="str">
        <f t="shared" si="50"/>
        <v>N</v>
      </c>
      <c r="X160" s="103">
        <f t="shared" si="51"/>
        <v>1</v>
      </c>
      <c r="Y160" s="100">
        <f t="shared" si="52"/>
        <v>4.7100000000000003E-2</v>
      </c>
      <c r="Z160" s="100">
        <f t="shared" si="53"/>
        <v>23.329899999999999</v>
      </c>
      <c r="AA160" s="100">
        <f t="shared" si="54"/>
        <v>23.282799999999998</v>
      </c>
      <c r="AB160" s="97" t="e">
        <f>VLOOKUP(A160,Enforcements!$C$7:$J$23,8,0)</f>
        <v>#N/A</v>
      </c>
      <c r="AC160" s="93" t="e">
        <f>VLOOKUP(A160,Enforcements!$C$7:$E$23,3,0)</f>
        <v>#N/A</v>
      </c>
      <c r="AD160" s="94" t="str">
        <f t="shared" si="55"/>
        <v>0241-11</v>
      </c>
      <c r="AE160" s="78" t="str">
        <f t="shared" si="5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60" s="78" t="str">
        <f t="shared" si="57"/>
        <v>"C:\Program Files (x86)\AstroGrep\AstroGrep.exe" /spath="C:\Users\stu\Documents\Analysis\2016-02-23 RTDC Observations" /stypes="*4025*20160712*" /stext=" 06:.+((prompt.+disp)|(slice.+state.+chan)|(ment ac)|(system.+state.+chan)|(\|lc)|(penalty)|(\[timeout))" /e /r /s</v>
      </c>
      <c r="AG160" s="1" t="str">
        <f t="shared" si="58"/>
        <v>EC</v>
      </c>
    </row>
    <row r="161" spans="1:33" x14ac:dyDescent="0.25">
      <c r="A161" s="50" t="s">
        <v>618</v>
      </c>
      <c r="B161" s="7">
        <v>4026</v>
      </c>
      <c r="C161" s="27" t="s">
        <v>59</v>
      </c>
      <c r="D161" s="27" t="s">
        <v>317</v>
      </c>
      <c r="E161" s="17">
        <v>42563.034178240741</v>
      </c>
      <c r="F161" s="17">
        <v>42563.035127314812</v>
      </c>
      <c r="G161" s="7">
        <v>1</v>
      </c>
      <c r="H161" s="17" t="s">
        <v>363</v>
      </c>
      <c r="I161" s="17">
        <v>42563.067974537036</v>
      </c>
      <c r="J161" s="7">
        <v>0</v>
      </c>
      <c r="K161" s="27" t="str">
        <f t="shared" si="45"/>
        <v>4025/4026</v>
      </c>
      <c r="L161" s="27" t="str">
        <f>VLOOKUP(A161,'Trips&amp;Operators'!$C$1:$E$10000,3,FALSE)</f>
        <v>CHANDLER</v>
      </c>
      <c r="M161" s="6">
        <f t="shared" si="46"/>
        <v>3.2847222224518191E-2</v>
      </c>
      <c r="N161" s="7">
        <f t="shared" si="44"/>
        <v>47.300000003306195</v>
      </c>
      <c r="O161" s="7"/>
      <c r="P161" s="7"/>
      <c r="Q161" s="28"/>
      <c r="R161" s="28"/>
      <c r="S161" s="46">
        <f t="shared" si="47"/>
        <v>1</v>
      </c>
      <c r="T161" s="72" t="str">
        <f t="shared" si="48"/>
        <v>Southbound</v>
      </c>
      <c r="U161" s="108">
        <f>COUNTIFS(Variables!$M$2:$M$19,IF(T161="NorthBound","&gt;=","&lt;=")&amp;Y161,Variables!$M$2:$M$19,IF(T161="NorthBound","&lt;=","&gt;=")&amp;Z161)</f>
        <v>12</v>
      </c>
      <c r="V161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23:49:13-0600',mode:absolute,to:'2016-07-12 02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1" s="77" t="str">
        <f t="shared" si="50"/>
        <v>N</v>
      </c>
      <c r="X161" s="103">
        <f t="shared" si="51"/>
        <v>1</v>
      </c>
      <c r="Y161" s="100">
        <f t="shared" si="52"/>
        <v>23.296900000000001</v>
      </c>
      <c r="Z161" s="100">
        <f t="shared" si="53"/>
        <v>1.78E-2</v>
      </c>
      <c r="AA161" s="100">
        <f t="shared" si="54"/>
        <v>23.2791</v>
      </c>
      <c r="AB161" s="97" t="e">
        <f>VLOOKUP(A161,Enforcements!$C$7:$J$23,8,0)</f>
        <v>#N/A</v>
      </c>
      <c r="AC161" s="93" t="e">
        <f>VLOOKUP(A161,Enforcements!$C$7:$E$23,3,0)</f>
        <v>#N/A</v>
      </c>
      <c r="AD161" s="94" t="str">
        <f t="shared" si="55"/>
        <v>0242-11</v>
      </c>
      <c r="AE161" s="78" t="str">
        <f t="shared" si="56"/>
        <v>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 &amp; 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</v>
      </c>
      <c r="AF161" s="78" t="str">
        <f t="shared" si="57"/>
        <v>"C:\Program Files (x86)\AstroGrep\AstroGrep.exe" /spath="C:\Users\stu\Documents\Analysis\2016-02-23 RTDC Observations" /stypes="*4026*20160712*" /stext=" 07:.+((prompt.+disp)|(slice.+state.+chan)|(ment ac)|(system.+state.+chan)|(\|lc)|(penalty)|(\[timeout))" /e /r /s</v>
      </c>
      <c r="AG161" s="1" t="str">
        <f t="shared" si="58"/>
        <v>EC</v>
      </c>
    </row>
    <row r="162" spans="1:33" x14ac:dyDescent="0.25">
      <c r="A162" s="50" t="s">
        <v>619</v>
      </c>
      <c r="B162" s="7">
        <v>4020</v>
      </c>
      <c r="C162" s="27" t="s">
        <v>59</v>
      </c>
      <c r="D162" s="27" t="s">
        <v>540</v>
      </c>
      <c r="E162" s="17">
        <v>42563.0159375</v>
      </c>
      <c r="F162" s="17">
        <v>42563.016759259262</v>
      </c>
      <c r="G162" s="7">
        <v>1</v>
      </c>
      <c r="H162" s="17" t="s">
        <v>620</v>
      </c>
      <c r="I162" s="17">
        <v>42563.045636574076</v>
      </c>
      <c r="J162" s="7">
        <v>0</v>
      </c>
      <c r="K162" s="27" t="str">
        <f t="shared" si="45"/>
        <v>4019/4020</v>
      </c>
      <c r="L162" s="27" t="str">
        <f>VLOOKUP(A162,'Trips&amp;Operators'!$C$1:$E$10000,3,FALSE)</f>
        <v>KILLION</v>
      </c>
      <c r="M162" s="6">
        <f t="shared" si="46"/>
        <v>2.8877314813144039E-2</v>
      </c>
      <c r="N162" s="7">
        <f t="shared" si="44"/>
        <v>41.583333330927417</v>
      </c>
      <c r="O162" s="7"/>
      <c r="P162" s="7"/>
      <c r="Q162" s="28"/>
      <c r="R162" s="28"/>
      <c r="S162" s="46">
        <f t="shared" si="47"/>
        <v>1</v>
      </c>
      <c r="T162" s="72" t="str">
        <f t="shared" si="48"/>
        <v>NorthBound</v>
      </c>
      <c r="U162" s="108">
        <f>COUNTIFS(Variables!$M$2:$M$19,IF(T162="NorthBound","&gt;=","&lt;=")&amp;Y162,Variables!$M$2:$M$19,IF(T162="NorthBound","&lt;=","&gt;=")&amp;Z162)</f>
        <v>12</v>
      </c>
      <c r="V162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https://search-rtdc-monitor-bjffxe2xuh6vdkpspy63sjmuny.us-east-1.es.amazonaws.com/_plugin/kibana/#/discover/Steve-Slow-Train-Analysis-(2080s-and-2083s)?_g=(refreshInterval:(display:Off,section:0,value:0),time:(from:'2016-07-11 23:22:57-0600',mode:absolute,to:'2016-07-12 02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2" s="77" t="str">
        <f t="shared" si="50"/>
        <v>N</v>
      </c>
      <c r="X162" s="103">
        <f t="shared" si="51"/>
        <v>1</v>
      </c>
      <c r="Y162" s="100">
        <f t="shared" si="52"/>
        <v>4.3700000000000003E-2</v>
      </c>
      <c r="Z162" s="100">
        <f t="shared" si="53"/>
        <v>23.337199999999999</v>
      </c>
      <c r="AA162" s="100">
        <f t="shared" si="54"/>
        <v>23.293499999999998</v>
      </c>
      <c r="AB162" s="97" t="e">
        <f>VLOOKUP(A162,Enforcements!$C$7:$J$23,8,0)</f>
        <v>#N/A</v>
      </c>
      <c r="AC162" s="93" t="e">
        <f>VLOOKUP(A162,Enforcements!$C$7:$E$23,3,0)</f>
        <v>#N/A</v>
      </c>
      <c r="AD162" s="94" t="str">
        <f t="shared" si="55"/>
        <v>0243-11</v>
      </c>
      <c r="AE162" s="78" t="str">
        <f t="shared" si="56"/>
        <v>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 &amp; aws s3 cp s3://rtdc.mdm.uploadarchive/RTDC4020/2016-07-13/ "C:\Users\stu\Documents\Analysis\2016-02-23 RTDC Observations"\RTDC4020\2016-07-13 --recursive &amp; "C:\Users\stu\Documents\GitHub\mrs-test-scripts\Headless Mode &amp; Sideloading\WalkAndUnGZ.bat" "C:\Users\stu\Documents\Analysis\2016-02-23 RTDC Observations"\RTDC4020\2016-07-13</v>
      </c>
      <c r="AF162" s="78" t="str">
        <f t="shared" si="57"/>
        <v>"C:\Program Files (x86)\AstroGrep\AstroGrep.exe" /spath="C:\Users\stu\Documents\Analysis\2016-02-23 RTDC Observations" /stypes="*4020*20160712*" /stext=" 07:.+((prompt.+disp)|(slice.+state.+chan)|(ment ac)|(system.+state.+chan)|(\|lc)|(penalty)|(\[timeout))" /e /r /s</v>
      </c>
      <c r="AG162" s="1" t="str">
        <f t="shared" si="58"/>
        <v>EC</v>
      </c>
    </row>
    <row r="163" spans="1:33" x14ac:dyDescent="0.25">
      <c r="A163" s="50" t="s">
        <v>621</v>
      </c>
      <c r="B163" s="7">
        <v>4019</v>
      </c>
      <c r="C163" s="27" t="s">
        <v>59</v>
      </c>
      <c r="D163" s="27" t="s">
        <v>622</v>
      </c>
      <c r="E163" s="17">
        <v>42563.055937500001</v>
      </c>
      <c r="F163" s="17">
        <v>42563.056967592594</v>
      </c>
      <c r="G163" s="7">
        <v>1</v>
      </c>
      <c r="H163" s="17" t="s">
        <v>321</v>
      </c>
      <c r="I163" s="17">
        <v>42563.085127314815</v>
      </c>
      <c r="J163" s="7">
        <v>0</v>
      </c>
      <c r="K163" s="27" t="str">
        <f t="shared" si="45"/>
        <v>4019/4020</v>
      </c>
      <c r="L163" s="27" t="str">
        <f>VLOOKUP(A163,'Trips&amp;Operators'!$C$1:$E$10000,3,FALSE)</f>
        <v>KILLION</v>
      </c>
      <c r="M163" s="6">
        <f t="shared" si="46"/>
        <v>2.8159722220152617E-2</v>
      </c>
      <c r="N163" s="7">
        <f t="shared" si="44"/>
        <v>40.549999997019768</v>
      </c>
      <c r="O163" s="7"/>
      <c r="P163" s="7"/>
      <c r="Q163" s="28"/>
      <c r="R163" s="28"/>
      <c r="S163" s="46">
        <f t="shared" si="47"/>
        <v>1</v>
      </c>
      <c r="T163" s="72" t="str">
        <f t="shared" si="48"/>
        <v>Southbound</v>
      </c>
      <c r="U163" s="108">
        <f>COUNTIFS(Variables!$M$2:$M$19,IF(T163="NorthBound","&gt;=","&lt;=")&amp;Y163,Variables!$M$2:$M$19,IF(T163="NorthBound","&lt;=","&gt;=")&amp;Z163)</f>
        <v>12</v>
      </c>
      <c r="V163" s="77" t="str">
        <f t="shared" si="49"/>
        <v>https://search-rtdc-monitor-bjffxe2xuh6vdkpspy63sjmuny.us-east-1.es.amazonaws.com/_plugin/kibana/#/discover/Steve-Slow-Train-Analysis-(2080s-and-2083s)?_g=(refreshInterval:(display:Off,section:0,value:0),time:(from:'2016-07-12 00:20:33-0600',mode:absolute,to:'2016-07-12 03:02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3" s="77" t="str">
        <f t="shared" si="50"/>
        <v>N</v>
      </c>
      <c r="X163" s="103">
        <f t="shared" si="51"/>
        <v>1</v>
      </c>
      <c r="Y163" s="100">
        <f t="shared" si="52"/>
        <v>23.304400000000001</v>
      </c>
      <c r="Z163" s="100">
        <f t="shared" si="53"/>
        <v>1.3899999999999999E-2</v>
      </c>
      <c r="AA163" s="100">
        <f t="shared" si="54"/>
        <v>23.290500000000002</v>
      </c>
      <c r="AB163" s="97" t="e">
        <f>VLOOKUP(A163,Enforcements!$C$7:$J$23,8,0)</f>
        <v>#N/A</v>
      </c>
      <c r="AC163" s="93" t="e">
        <f>VLOOKUP(A163,Enforcements!$C$7:$E$23,3,0)</f>
        <v>#N/A</v>
      </c>
      <c r="AD163" s="94" t="str">
        <f t="shared" si="55"/>
        <v>0244-11</v>
      </c>
      <c r="AE163" s="78" t="str">
        <f t="shared" si="56"/>
        <v>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 &amp; aws s3 cp s3://rtdc.mdm.uploadarchive/RTDC4019/2016-07-13/ "C:\Users\stu\Documents\Analysis\2016-02-23 RTDC Observations"\RTDC4019\2016-07-13 --recursive &amp; "C:\Users\stu\Documents\GitHub\mrs-test-scripts\Headless Mode &amp; Sideloading\WalkAndUnGZ.bat" "C:\Users\stu\Documents\Analysis\2016-02-23 RTDC Observations"\RTDC4019\2016-07-13</v>
      </c>
      <c r="AF163" s="78" t="str">
        <f t="shared" si="57"/>
        <v>"C:\Program Files (x86)\AstroGrep\AstroGrep.exe" /spath="C:\Users\stu\Documents\Analysis\2016-02-23 RTDC Observations" /stypes="*4019*20160712*" /stext=" 08:.+((prompt.+disp)|(slice.+state.+chan)|(ment ac)|(system.+state.+chan)|(\|lc)|(penalty)|(\[timeout))" /e /r /s</v>
      </c>
      <c r="AG163" s="1" t="str">
        <f t="shared" si="58"/>
        <v>EC</v>
      </c>
    </row>
    <row r="164" spans="1:33" x14ac:dyDescent="0.25">
      <c r="A164" s="50" t="s">
        <v>623</v>
      </c>
      <c r="B164" s="7">
        <v>4040</v>
      </c>
      <c r="C164" s="27" t="s">
        <v>59</v>
      </c>
      <c r="D164" s="27" t="s">
        <v>540</v>
      </c>
      <c r="E164" s="17">
        <v>42562.260208333333</v>
      </c>
      <c r="F164" s="17">
        <v>42562.261192129627</v>
      </c>
      <c r="G164" s="7">
        <v>1</v>
      </c>
      <c r="H164" s="17" t="s">
        <v>367</v>
      </c>
      <c r="I164" s="17">
        <v>42562.264687499999</v>
      </c>
      <c r="J164" s="7">
        <v>0</v>
      </c>
      <c r="K164" s="27" t="str">
        <f t="shared" si="45"/>
        <v>4039/4040</v>
      </c>
      <c r="L164" s="27" t="str">
        <f>VLOOKUP(A164,'Trips&amp;Operators'!$C$1:$E$10000,3,FALSE)</f>
        <v>ROCHA</v>
      </c>
      <c r="M164" s="6">
        <f t="shared" si="46"/>
        <v>3.4953703725477681E-3</v>
      </c>
      <c r="N164" s="7"/>
      <c r="O164" s="7"/>
      <c r="P164" s="7"/>
      <c r="Q164" s="28"/>
      <c r="R164" s="28"/>
      <c r="S164" s="46"/>
      <c r="T164" s="72"/>
      <c r="U164" s="108"/>
      <c r="V164" s="77"/>
      <c r="W164" s="77"/>
      <c r="X164" s="103"/>
      <c r="Y164" s="100">
        <f t="shared" si="52"/>
        <v>4.3700000000000003E-2</v>
      </c>
      <c r="Z164" s="100">
        <f t="shared" si="53"/>
        <v>4.4400000000000002E-2</v>
      </c>
      <c r="AA164" s="100">
        <f t="shared" si="54"/>
        <v>6.9999999999999923E-4</v>
      </c>
      <c r="AB164" s="97" t="e">
        <f>VLOOKUP(A164,Enforcements!$C$7:$J$23,8,0)</f>
        <v>#N/A</v>
      </c>
      <c r="AC164" s="93" t="e">
        <f>VLOOKUP(A164,Enforcements!$C$7:$E$23,3,0)</f>
        <v>#N/A</v>
      </c>
      <c r="AD164" s="94" t="str">
        <f t="shared" si="55"/>
        <v>0803-11</v>
      </c>
      <c r="AE164" s="78" t="str">
        <f t="shared" si="56"/>
        <v>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 &amp; aws s3 cp s3://rtdc.mdm.uploadarchive/RTDC4040/2016-07-12/ "C:\Users\stu\Documents\Analysis\2016-02-23 RTDC Observations"\RTDC4040\2016-07-12 --recursive &amp; "C:\Users\stu\Documents\GitHub\mrs-test-scripts\Headless Mode &amp; Sideloading\WalkAndUnGZ.bat" "C:\Users\stu\Documents\Analysis\2016-02-23 RTDC Observations"\RTDC4040\2016-07-12</v>
      </c>
      <c r="AF164" s="78" t="str">
        <f t="shared" si="57"/>
        <v>"C:\Program Files (x86)\AstroGrep\AstroGrep.exe" /spath="C:\Users\stu\Documents\Analysis\2016-02-23 RTDC Observations" /stypes="*4040*20160711*" /stext=" 12:.+((prompt.+disp)|(slice.+state.+chan)|(ment ac)|(system.+state.+chan)|(\|lc)|(penalty)|(\[timeout))" /e /r /s</v>
      </c>
      <c r="AG164" s="1" t="str">
        <f t="shared" si="58"/>
        <v>NWGL</v>
      </c>
    </row>
  </sheetData>
  <autoFilter ref="A12:AD164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53" priority="76" operator="equal">
      <formula>"Y"</formula>
    </cfRule>
  </conditionalFormatting>
  <conditionalFormatting sqref="X13:X1048576">
    <cfRule type="cellIs" dxfId="52" priority="59" operator="greaterThan">
      <formula>1</formula>
    </cfRule>
  </conditionalFormatting>
  <conditionalFormatting sqref="X12:X1048576">
    <cfRule type="cellIs" dxfId="51" priority="56" operator="equal">
      <formula>0</formula>
    </cfRule>
  </conditionalFormatting>
  <conditionalFormatting sqref="A13:S164">
    <cfRule type="expression" dxfId="50" priority="52">
      <formula>$O13&gt;0</formula>
    </cfRule>
  </conditionalFormatting>
  <conditionalFormatting sqref="A13:S164">
    <cfRule type="expression" dxfId="49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85" zoomScaleNormal="85" workbookViewId="0">
      <selection activeCell="L14" sqref="L14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COUNTIF($M$7:$M$672,"=Y")</f>
        <v>6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COUNTA($M$7:$M$672)-M2</f>
        <v>54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3" t="str">
        <f>"Eagle P3 Braking Events - "&amp;TEXT(Variables!$A$2,"YYYY-mm-dd")</f>
        <v>Eagle P3 Braking Events - 2016-07-11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232</v>
      </c>
      <c r="Q6" s="84" t="s">
        <v>69</v>
      </c>
      <c r="R6" s="85" t="s">
        <v>231</v>
      </c>
      <c r="S6" s="82" t="s">
        <v>225</v>
      </c>
      <c r="T6" s="86" t="s">
        <v>226</v>
      </c>
      <c r="U6" s="87" t="s">
        <v>298</v>
      </c>
      <c r="V6" s="72" t="s">
        <v>343</v>
      </c>
    </row>
    <row r="7" spans="1:22" s="1" customFormat="1" x14ac:dyDescent="0.25">
      <c r="A7" s="80">
        <v>42562.715821759259</v>
      </c>
      <c r="B7" s="66" t="s">
        <v>74</v>
      </c>
      <c r="C7" s="42" t="s">
        <v>430</v>
      </c>
      <c r="D7" s="42" t="s">
        <v>50</v>
      </c>
      <c r="E7" s="66" t="s">
        <v>285</v>
      </c>
      <c r="F7" s="68">
        <v>0</v>
      </c>
      <c r="G7" s="68">
        <v>397</v>
      </c>
      <c r="H7" s="68">
        <v>45996</v>
      </c>
      <c r="I7" s="66" t="s">
        <v>286</v>
      </c>
      <c r="J7" s="68">
        <v>47865</v>
      </c>
      <c r="K7" s="42" t="s">
        <v>53</v>
      </c>
      <c r="L7" s="104" t="str">
        <f>VLOOKUP(C7,'Trips&amp;Operators'!$C$1:$E$9999,3,0)</f>
        <v>MAYBERRY</v>
      </c>
      <c r="M7" s="9" t="s">
        <v>108</v>
      </c>
      <c r="N7" s="10" t="s">
        <v>668</v>
      </c>
      <c r="O7" s="42"/>
      <c r="P7" s="75" t="str">
        <f>VLOOKUP(C7,'Train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7" s="73" t="str">
        <f>VLOOKUP(C7,'Train Runs'!$A$13:$AE$893,22,0)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" s="74" t="str">
        <f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7" s="9" t="str">
        <f>MID(B7,13,4)</f>
        <v>4018</v>
      </c>
      <c r="T7" s="49">
        <f>A7+6/24</f>
        <v>42562.965821759259</v>
      </c>
      <c r="U7" s="72" t="str">
        <f>IF(VALUE(LEFT(C7,3))&lt;300,"EC","NWGL")</f>
        <v>EC</v>
      </c>
      <c r="V7" s="72" t="str">
        <f>IF(AND(E7="TRACK WARRANT AUTHORITY",G7&lt;10),"OMIT","KEEP")</f>
        <v>KEEP</v>
      </c>
    </row>
    <row r="8" spans="1:22" s="1" customFormat="1" x14ac:dyDescent="0.25">
      <c r="A8" s="80">
        <v>42562.68513888889</v>
      </c>
      <c r="B8" s="42" t="s">
        <v>72</v>
      </c>
      <c r="C8" s="42" t="s">
        <v>427</v>
      </c>
      <c r="D8" s="42" t="s">
        <v>50</v>
      </c>
      <c r="E8" s="42" t="s">
        <v>285</v>
      </c>
      <c r="F8" s="68">
        <v>0</v>
      </c>
      <c r="G8" s="68">
        <v>32</v>
      </c>
      <c r="H8" s="68">
        <v>48179</v>
      </c>
      <c r="I8" s="42" t="s">
        <v>286</v>
      </c>
      <c r="J8" s="68">
        <v>48048</v>
      </c>
      <c r="K8" s="42" t="s">
        <v>54</v>
      </c>
      <c r="L8" s="104" t="str">
        <f>VLOOKUP(C8,'Trips&amp;Operators'!$C$1:$E$9999,3,0)</f>
        <v>SHOOK</v>
      </c>
      <c r="M8" s="9" t="s">
        <v>108</v>
      </c>
      <c r="N8" s="10" t="s">
        <v>668</v>
      </c>
      <c r="O8" s="42"/>
      <c r="P8" s="75" t="str">
        <f>VLOOKUP(C8,'Train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8" s="73" t="str">
        <f>VLOOKUP(C8,'Train Runs'!$A$13:$AE$893,22,0)</f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" s="74" t="str">
        <f>astrogrep_path&amp;" /spath="&amp;search_path&amp;" /stypes=""*"&amp;S8&amp;"*"&amp;TEXT(A8-utc_offset/24,"YYYYMMDD")&amp;"*"" /stext="" "&amp;TEXT(A8-utc_offset/24,"HH")&amp;search_regexp&amp;""" /e /r /s"</f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S8" s="9" t="str">
        <f>MID(B8,13,4)</f>
        <v>4019</v>
      </c>
      <c r="T8" s="49">
        <f>A8+6/24</f>
        <v>42562.93513888889</v>
      </c>
      <c r="U8" s="72" t="str">
        <f>IF(VALUE(LEFT(C8,3))&lt;300,"EC","NWGL")</f>
        <v>EC</v>
      </c>
      <c r="V8" s="72" t="str">
        <f>IF(AND(E8="TRACK WARRANT AUTHORITY",G8&lt;10),"OMIT","KEEP")</f>
        <v>KEEP</v>
      </c>
    </row>
    <row r="9" spans="1:22" s="1" customFormat="1" x14ac:dyDescent="0.25">
      <c r="A9" s="80">
        <v>42562.706550925926</v>
      </c>
      <c r="B9" s="66" t="s">
        <v>289</v>
      </c>
      <c r="C9" s="42" t="s">
        <v>428</v>
      </c>
      <c r="D9" s="42" t="s">
        <v>50</v>
      </c>
      <c r="E9" s="66" t="s">
        <v>285</v>
      </c>
      <c r="F9" s="68">
        <v>0</v>
      </c>
      <c r="G9" s="68">
        <v>124</v>
      </c>
      <c r="H9" s="68">
        <v>48427</v>
      </c>
      <c r="I9" s="66" t="s">
        <v>286</v>
      </c>
      <c r="J9" s="68">
        <v>48048</v>
      </c>
      <c r="K9" s="42" t="s">
        <v>54</v>
      </c>
      <c r="L9" s="104" t="str">
        <f>VLOOKUP(C9,'Trips&amp;Operators'!$C$1:$E$9999,3,0)</f>
        <v>STARKS</v>
      </c>
      <c r="M9" s="9" t="s">
        <v>108</v>
      </c>
      <c r="N9" s="10" t="s">
        <v>668</v>
      </c>
      <c r="O9" s="42"/>
      <c r="P9" s="75" t="str">
        <f>VLOOKUP(C9,'Train Runs'!$A$13:$AE$893,31,0)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9" s="73" t="str">
        <f>VLOOKUP(C9,'Train Runs'!$A$13:$AE$893,22,0)</f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" s="74" t="str">
        <f>astrogrep_path&amp;" /spath="&amp;search_path&amp;" /stypes=""*"&amp;S9&amp;"*"&amp;TEXT(A9-utc_offset/24,"YYYYMMDD")&amp;"*"" /stext="" "&amp;TEXT(A9-utc_offset/24,"HH")&amp;search_regexp&amp;""" /e /r /s"</f>
        <v>"C:\Program Files (x86)\AstroGrep\AstroGrep.exe" /spath="C:\Users\stu\Documents\Analysis\2016-02-23 RTDC Observations" /stypes="*4015*20160711*" /stext=" 22:.+((prompt.+disp)|(slice.+state.+chan)|(ment ac)|(system.+state.+chan)|(\|lc)|(penalty)|(\[timeout))" /e /r /s</v>
      </c>
      <c r="S9" s="9" t="str">
        <f>MID(B9,13,4)</f>
        <v>4015</v>
      </c>
      <c r="T9" s="49">
        <f>A9+6/24</f>
        <v>42562.956550925926</v>
      </c>
      <c r="U9" s="72" t="str">
        <f>IF(VALUE(LEFT(C9,3))&lt;300,"EC","NWGL")</f>
        <v>EC</v>
      </c>
      <c r="V9" s="72" t="str">
        <f>IF(AND(E9="TRACK WARRANT AUTHORITY",G9&lt;10),"OMIT","KEEP")</f>
        <v>KEEP</v>
      </c>
    </row>
    <row r="10" spans="1:22" s="1" customFormat="1" x14ac:dyDescent="0.25">
      <c r="A10" s="80">
        <v>42562.713495370372</v>
      </c>
      <c r="B10" s="66" t="s">
        <v>410</v>
      </c>
      <c r="C10" s="42" t="s">
        <v>429</v>
      </c>
      <c r="D10" s="42" t="s">
        <v>50</v>
      </c>
      <c r="E10" s="42" t="s">
        <v>285</v>
      </c>
      <c r="F10" s="68">
        <v>0</v>
      </c>
      <c r="G10" s="68">
        <v>372</v>
      </c>
      <c r="H10" s="68">
        <v>49851</v>
      </c>
      <c r="I10" s="42" t="s">
        <v>286</v>
      </c>
      <c r="J10" s="68">
        <v>48048</v>
      </c>
      <c r="K10" s="42" t="s">
        <v>54</v>
      </c>
      <c r="L10" s="104" t="str">
        <f>VLOOKUP(C10,'Trips&amp;Operators'!$C$1:$E$9999,3,0)</f>
        <v>LOCKLEAR</v>
      </c>
      <c r="M10" s="9" t="s">
        <v>108</v>
      </c>
      <c r="N10" s="10" t="s">
        <v>668</v>
      </c>
      <c r="O10" s="72"/>
      <c r="P10" s="75" t="str">
        <f>VLOOKUP(C10,'Train Runs'!$A$13:$AE$893,31,0)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10" s="73" t="str">
        <f>VLOOKUP(C10,'Train Runs'!$A$13:$AE$893,22,0)</f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4" t="str">
        <f>astrogrep_path&amp;" /spath="&amp;search_path&amp;" /stypes=""*"&amp;S10&amp;"*"&amp;TEXT(A10-utc_offset/24,"YYYYMMDD")&amp;"*"" /stext="" "&amp;TEXT(A10-utc_offset/24,"HH")&amp;search_regexp&amp;""" /e /r /s"</f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S10" s="9" t="str">
        <f>MID(B10,13,4)</f>
        <v>4010</v>
      </c>
      <c r="T10" s="49">
        <f>A10+6/24</f>
        <v>42562.963495370372</v>
      </c>
      <c r="U10" s="72" t="str">
        <f>IF(VALUE(LEFT(C10,3))&lt;300,"EC","NWGL")</f>
        <v>EC</v>
      </c>
      <c r="V10" s="72" t="str">
        <f>IF(AND(E10="TRACK WARRANT AUTHORITY",G10&lt;10),"OMIT","KEEP")</f>
        <v>KEEP</v>
      </c>
    </row>
    <row r="11" spans="1:22" s="1" customFormat="1" x14ac:dyDescent="0.25">
      <c r="A11" s="81">
        <v>42562.570671296293</v>
      </c>
      <c r="B11" s="66" t="s">
        <v>74</v>
      </c>
      <c r="C11" s="42" t="s">
        <v>418</v>
      </c>
      <c r="D11" s="42" t="s">
        <v>50</v>
      </c>
      <c r="E11" s="66" t="s">
        <v>285</v>
      </c>
      <c r="F11" s="68">
        <v>350</v>
      </c>
      <c r="G11" s="68">
        <v>592</v>
      </c>
      <c r="H11" s="68">
        <v>57744</v>
      </c>
      <c r="I11" s="66" t="s">
        <v>286</v>
      </c>
      <c r="J11" s="68">
        <v>58783</v>
      </c>
      <c r="K11" s="42" t="s">
        <v>53</v>
      </c>
      <c r="L11" s="104" t="str">
        <f>VLOOKUP(C11,'Trips&amp;Operators'!$C$1:$E$9999,3,0)</f>
        <v>MAYBERRY</v>
      </c>
      <c r="M11" s="9" t="s">
        <v>108</v>
      </c>
      <c r="N11" s="10" t="s">
        <v>394</v>
      </c>
      <c r="O11" s="42"/>
      <c r="P11" s="75" t="str">
        <f>VLOOKUP(C11,'Train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1" s="73" t="str">
        <f>VLOOKUP(C11,'Train Runs'!$A$13:$AE$893,22,0)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1" s="74" t="str">
        <f>astrogrep_path&amp;" /spath="&amp;search_path&amp;" /stypes=""*"&amp;S11&amp;"*"&amp;TEXT(A11-utc_offset/24,"YYYYMMDD")&amp;"*"" /stext="" "&amp;TEXT(A11-utc_offset/24,"HH")&amp;search_regexp&amp;""" /e /r /s"</f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1" s="9" t="str">
        <f>MID(B11,13,4)</f>
        <v>4018</v>
      </c>
      <c r="T11" s="49">
        <f>A11+6/24</f>
        <v>42562.820671296293</v>
      </c>
      <c r="U11" s="72" t="str">
        <f>IF(VALUE(LEFT(C11,3))&lt;300,"EC","NWGL")</f>
        <v>EC</v>
      </c>
      <c r="V11" s="72" t="str">
        <f>IF(AND(E11="TRACK WARRANT AUTHORITY",G11&lt;10),"OMIT","KEEP")</f>
        <v>KEEP</v>
      </c>
    </row>
    <row r="12" spans="1:22" s="1" customFormat="1" x14ac:dyDescent="0.25">
      <c r="A12" s="80">
        <v>42562.803715277776</v>
      </c>
      <c r="B12" s="66" t="s">
        <v>67</v>
      </c>
      <c r="C12" s="42" t="s">
        <v>434</v>
      </c>
      <c r="D12" s="42" t="s">
        <v>50</v>
      </c>
      <c r="E12" s="66" t="s">
        <v>57</v>
      </c>
      <c r="F12" s="68">
        <v>450</v>
      </c>
      <c r="G12" s="68">
        <v>451</v>
      </c>
      <c r="H12" s="68">
        <v>17463</v>
      </c>
      <c r="I12" s="66" t="s">
        <v>58</v>
      </c>
      <c r="J12" s="68">
        <v>15167</v>
      </c>
      <c r="K12" s="42" t="s">
        <v>54</v>
      </c>
      <c r="L12" s="104" t="str">
        <f>VLOOKUP(C12,'Trips&amp;Operators'!$C$1:$E$9999,3,0)</f>
        <v>NEWELL</v>
      </c>
      <c r="M12" s="9" t="s">
        <v>108</v>
      </c>
      <c r="N12" s="10"/>
      <c r="O12" s="72"/>
      <c r="P12" s="75" t="str">
        <f>VLOOKUP(C12,'Train Runs'!$A$13:$AE$893,31,0)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12" s="73" t="str">
        <f>VLOOKUP(C12,'Train Runs'!$A$13:$AE$893,22,0)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12" s="74" t="str">
        <f>astrogrep_path&amp;" /spath="&amp;search_path&amp;" /stypes=""*"&amp;S12&amp;"*"&amp;TEXT(A12-utc_offset/24,"YYYYMMDD")&amp;"*"" /stext="" "&amp;TEXT(A12-utc_offset/24,"HH")&amp;search_regexp&amp;""" /e /r /s"</f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12" s="9" t="str">
        <f>MID(B12,13,4)</f>
        <v>4032</v>
      </c>
      <c r="T12" s="49">
        <f>A12+6/24</f>
        <v>42563.053715277776</v>
      </c>
      <c r="U12" s="72" t="str">
        <f>IF(VALUE(LEFT(C12,3))&lt;300,"EC","NWGL")</f>
        <v>EC</v>
      </c>
      <c r="V12" s="72" t="str">
        <f>IF(AND(E12="TRACK WARRANT AUTHORITY",G12&lt;10),"OMIT","KEEP")</f>
        <v>KEEP</v>
      </c>
    </row>
    <row r="13" spans="1:22" s="1" customFormat="1" x14ac:dyDescent="0.25">
      <c r="A13" s="80">
        <v>42562.769050925926</v>
      </c>
      <c r="B13" s="66" t="s">
        <v>75</v>
      </c>
      <c r="C13" s="42" t="s">
        <v>432</v>
      </c>
      <c r="D13" s="42" t="s">
        <v>50</v>
      </c>
      <c r="E13" s="42" t="s">
        <v>57</v>
      </c>
      <c r="F13" s="68">
        <v>300</v>
      </c>
      <c r="G13" s="68">
        <v>477</v>
      </c>
      <c r="H13" s="68">
        <v>23867</v>
      </c>
      <c r="I13" s="42" t="s">
        <v>58</v>
      </c>
      <c r="J13" s="68">
        <v>21848</v>
      </c>
      <c r="K13" s="42" t="s">
        <v>54</v>
      </c>
      <c r="L13" s="104" t="str">
        <f>VLOOKUP(C13,'Trips&amp;Operators'!$C$1:$E$9999,3,0)</f>
        <v>MAYBERRY</v>
      </c>
      <c r="M13" s="9" t="s">
        <v>108</v>
      </c>
      <c r="N13" s="10"/>
      <c r="O13" s="42"/>
      <c r="P13" s="75" t="str">
        <f>VLOOKUP(C13,'Train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13" s="73" t="str">
        <f>VLOOKUP(C13,'Train Runs'!$A$13:$AE$893,22,0)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3" s="74" t="str">
        <f>astrogrep_path&amp;" /spath="&amp;search_path&amp;" /stypes=""*"&amp;S13&amp;"*"&amp;TEXT(A13-utc_offset/24,"YYYYMMDD")&amp;"*"" /stext="" "&amp;TEXT(A13-utc_offset/24,"HH")&amp;search_regexp&amp;""" /e /r /s"</f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S13" s="9" t="str">
        <f>MID(B13,13,4)</f>
        <v>4017</v>
      </c>
      <c r="T13" s="49">
        <f>A13+6/24</f>
        <v>42563.019050925926</v>
      </c>
      <c r="U13" s="72" t="str">
        <f>IF(VALUE(LEFT(C13,3))&lt;300,"EC","NWGL")</f>
        <v>EC</v>
      </c>
      <c r="V13" s="72" t="str">
        <f>IF(AND(E13="TRACK WARRANT AUTHORITY",G13&lt;10),"OMIT","KEEP")</f>
        <v>KEEP</v>
      </c>
    </row>
    <row r="14" spans="1:22" s="1" customFormat="1" x14ac:dyDescent="0.25">
      <c r="A14" s="80">
        <v>42562.214768518519</v>
      </c>
      <c r="B14" s="66" t="s">
        <v>291</v>
      </c>
      <c r="C14" s="42" t="s">
        <v>397</v>
      </c>
      <c r="D14" s="42" t="s">
        <v>50</v>
      </c>
      <c r="E14" s="66" t="s">
        <v>57</v>
      </c>
      <c r="F14" s="68">
        <v>200</v>
      </c>
      <c r="G14" s="68">
        <v>408</v>
      </c>
      <c r="H14" s="68">
        <v>25662</v>
      </c>
      <c r="I14" s="66" t="s">
        <v>58</v>
      </c>
      <c r="J14" s="68">
        <v>27333</v>
      </c>
      <c r="K14" s="42" t="s">
        <v>53</v>
      </c>
      <c r="L14" s="104" t="str">
        <f>VLOOKUP(C14,'Trips&amp;Operators'!$C$1:$E$9999,3,0)</f>
        <v>STARKS</v>
      </c>
      <c r="M14" s="9" t="s">
        <v>108</v>
      </c>
      <c r="N14" s="10"/>
      <c r="O14" s="42"/>
      <c r="P14" s="75" t="str">
        <f>VLOOKUP(C14,'Train Runs'!$A$13:$AE$893,31,0)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14" s="73" t="str">
        <f>VLOOKUP(C14,'Train Runs'!$A$13:$AE$893,22,0)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4" s="74" t="str">
        <f>astrogrep_path&amp;" /spath="&amp;search_path&amp;" /stypes=""*"&amp;S14&amp;"*"&amp;TEXT(A14-utc_offset/24,"YYYYMMDD")&amp;"*"" /stext="" "&amp;TEXT(A14-utc_offset/24,"HH")&amp;search_regexp&amp;""" /e /r /s"</f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14" s="9" t="str">
        <f>MID(B14,13,4)</f>
        <v>4016</v>
      </c>
      <c r="T14" s="49">
        <f>A14+6/24</f>
        <v>42562.464768518519</v>
      </c>
      <c r="U14" s="72" t="str">
        <f>IF(VALUE(LEFT(C14,3))&lt;300,"EC","NWGL")</f>
        <v>EC</v>
      </c>
      <c r="V14" s="72" t="str">
        <f>IF(AND(E14="TRACK WARRANT AUTHORITY",G14&lt;10),"OMIT","KEEP")</f>
        <v>KEEP</v>
      </c>
    </row>
    <row r="15" spans="1:22" s="1" customFormat="1" x14ac:dyDescent="0.25">
      <c r="A15" s="80">
        <v>42562.577187499999</v>
      </c>
      <c r="B15" s="66" t="s">
        <v>74</v>
      </c>
      <c r="C15" s="42" t="s">
        <v>418</v>
      </c>
      <c r="D15" s="42" t="s">
        <v>50</v>
      </c>
      <c r="E15" s="66" t="s">
        <v>57</v>
      </c>
      <c r="F15" s="68">
        <v>400</v>
      </c>
      <c r="G15" s="68">
        <v>701</v>
      </c>
      <c r="H15" s="68">
        <v>113368</v>
      </c>
      <c r="I15" s="66" t="s">
        <v>58</v>
      </c>
      <c r="J15" s="68">
        <v>116838</v>
      </c>
      <c r="K15" s="42" t="s">
        <v>53</v>
      </c>
      <c r="L15" s="104" t="str">
        <f>VLOOKUP(C15,'Trips&amp;Operators'!$C$1:$E$9999,3,0)</f>
        <v>MAYBERRY</v>
      </c>
      <c r="M15" s="9" t="s">
        <v>108</v>
      </c>
      <c r="N15" s="10"/>
      <c r="O15" s="72"/>
      <c r="P15" s="75" t="str">
        <f>VLOOKUP(C15,'Train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5" s="73" t="str">
        <f>VLOOKUP(C15,'Train Runs'!$A$13:$AE$893,22,0)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5" s="74" t="str">
        <f>astrogrep_path&amp;" /spath="&amp;search_path&amp;" /stypes=""*"&amp;S15&amp;"*"&amp;TEXT(A15-utc_offset/24,"YYYYMMDD")&amp;"*"" /stext="" "&amp;TEXT(A15-utc_offset/24,"HH")&amp;search_regexp&amp;""" /e /r /s"</f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5" s="9" t="str">
        <f>MID(B15,13,4)</f>
        <v>4018</v>
      </c>
      <c r="T15" s="49">
        <f>A15+6/24</f>
        <v>42562.827187499999</v>
      </c>
      <c r="U15" s="72" t="str">
        <f>IF(VALUE(LEFT(C15,3))&lt;300,"EC","NWGL")</f>
        <v>EC</v>
      </c>
      <c r="V15" s="72" t="str">
        <f>IF(AND(E15="TRACK WARRANT AUTHORITY",G15&lt;10),"OMIT","KEEP")</f>
        <v>KEEP</v>
      </c>
    </row>
    <row r="16" spans="1:22" s="1" customFormat="1" x14ac:dyDescent="0.25">
      <c r="A16" s="80">
        <v>42562.724120370367</v>
      </c>
      <c r="B16" s="66" t="s">
        <v>74</v>
      </c>
      <c r="C16" s="42" t="s">
        <v>430</v>
      </c>
      <c r="D16" s="42" t="s">
        <v>344</v>
      </c>
      <c r="E16" s="66" t="s">
        <v>57</v>
      </c>
      <c r="F16" s="68">
        <v>600</v>
      </c>
      <c r="G16" s="68">
        <v>653</v>
      </c>
      <c r="H16" s="68">
        <v>123922</v>
      </c>
      <c r="I16" s="66" t="s">
        <v>58</v>
      </c>
      <c r="J16" s="68">
        <v>119716</v>
      </c>
      <c r="K16" s="42" t="s">
        <v>53</v>
      </c>
      <c r="L16" s="104" t="str">
        <f>VLOOKUP(C16,'Trips&amp;Operators'!$C$1:$E$9999,3,0)</f>
        <v>MAYBERRY</v>
      </c>
      <c r="M16" s="9" t="s">
        <v>108</v>
      </c>
      <c r="N16" s="10"/>
      <c r="O16" s="42"/>
      <c r="P16" s="75" t="str">
        <f>VLOOKUP(C16,'Train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6" s="73" t="str">
        <f>VLOOKUP(C16,'Train Runs'!$A$13:$AE$893,22,0)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6" s="74" t="str">
        <f>astrogrep_path&amp;" /spath="&amp;search_path&amp;" /stypes=""*"&amp;S16&amp;"*"&amp;TEXT(A16-utc_offset/24,"YYYYMMDD")&amp;"*"" /stext="" "&amp;TEXT(A16-utc_offset/24,"HH")&amp;search_regexp&amp;"""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6" s="9" t="str">
        <f>MID(B16,13,4)</f>
        <v>4018</v>
      </c>
      <c r="T16" s="49">
        <f>A16+6/24</f>
        <v>42562.974120370367</v>
      </c>
      <c r="U16" s="72" t="str">
        <f>IF(VALUE(LEFT(C16,3))&lt;300,"EC","NWGL")</f>
        <v>EC</v>
      </c>
      <c r="V16" s="72" t="str">
        <f>IF(AND(E16="TRACK WARRANT AUTHORITY",G16&lt;10),"OMIT","KEEP")</f>
        <v>KEEP</v>
      </c>
    </row>
    <row r="17" spans="1:22" s="1" customFormat="1" x14ac:dyDescent="0.25">
      <c r="A17" s="80">
        <v>42562.729560185187</v>
      </c>
      <c r="B17" s="66" t="s">
        <v>74</v>
      </c>
      <c r="C17" s="42" t="s">
        <v>430</v>
      </c>
      <c r="D17" s="42" t="s">
        <v>344</v>
      </c>
      <c r="E17" s="66" t="s">
        <v>57</v>
      </c>
      <c r="F17" s="68">
        <v>700</v>
      </c>
      <c r="G17" s="68">
        <v>756</v>
      </c>
      <c r="H17" s="68">
        <v>174966</v>
      </c>
      <c r="I17" s="66" t="s">
        <v>58</v>
      </c>
      <c r="J17" s="68">
        <v>161962</v>
      </c>
      <c r="K17" s="42" t="s">
        <v>53</v>
      </c>
      <c r="L17" s="104" t="str">
        <f>VLOOKUP(C17,'Trips&amp;Operators'!$C$1:$E$9999,3,0)</f>
        <v>MAYBERRY</v>
      </c>
      <c r="M17" s="9" t="s">
        <v>108</v>
      </c>
      <c r="N17" s="10"/>
      <c r="O17" s="42"/>
      <c r="P17" s="75" t="str">
        <f>VLOOKUP(C17,'Train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7" s="73" t="str">
        <f>VLOOKUP(C17,'Train Runs'!$A$13:$AE$893,22,0)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7" s="74" t="str">
        <f>astrogrep_path&amp;" /spath="&amp;search_path&amp;" /stypes=""*"&amp;S17&amp;"*"&amp;TEXT(A17-utc_offset/24,"YYYYMMDD")&amp;"*"" /stext="" "&amp;TEXT(A17-utc_offset/24,"HH")&amp;search_regexp&amp;"""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7" s="9" t="str">
        <f>MID(B17,13,4)</f>
        <v>4018</v>
      </c>
      <c r="T17" s="49">
        <f>A17+6/24</f>
        <v>42562.979560185187</v>
      </c>
      <c r="U17" s="72" t="str">
        <f>IF(VALUE(LEFT(C17,3))&lt;300,"EC","NWGL")</f>
        <v>EC</v>
      </c>
      <c r="V17" s="72" t="str">
        <f>IF(AND(E17="TRACK WARRANT AUTHORITY",G17&lt;10),"OMIT","KEEP")</f>
        <v>KEEP</v>
      </c>
    </row>
    <row r="18" spans="1:22" s="1" customFormat="1" x14ac:dyDescent="0.25">
      <c r="A18" s="80">
        <v>42562.343622685185</v>
      </c>
      <c r="B18" s="66" t="s">
        <v>123</v>
      </c>
      <c r="C18" s="42" t="s">
        <v>403</v>
      </c>
      <c r="D18" s="42" t="s">
        <v>344</v>
      </c>
      <c r="E18" s="66" t="s">
        <v>57</v>
      </c>
      <c r="F18" s="68">
        <v>600</v>
      </c>
      <c r="G18" s="68">
        <v>651</v>
      </c>
      <c r="H18" s="68">
        <v>186758</v>
      </c>
      <c r="I18" s="66" t="s">
        <v>58</v>
      </c>
      <c r="J18" s="68">
        <v>183829</v>
      </c>
      <c r="K18" s="42" t="s">
        <v>53</v>
      </c>
      <c r="L18" s="104" t="str">
        <f>VLOOKUP(C18,'Trips&amp;Operators'!$C$1:$E$9999,3,0)</f>
        <v>BRANNON</v>
      </c>
      <c r="M18" s="9" t="s">
        <v>108</v>
      </c>
      <c r="N18" s="10"/>
      <c r="O18" s="42"/>
      <c r="P18" s="75" t="str">
        <f>VLOOKUP(C18,'Train Runs'!$A$13:$AE$893,31,0)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18" s="73" t="str">
        <f>VLOOKUP(C18,'Train Runs'!$A$13:$AE$893,22,0)</f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8" s="74" t="str">
        <f>astrogrep_path&amp;" /spath="&amp;search_path&amp;" /stypes=""*"&amp;S18&amp;"*"&amp;TEXT(A18-utc_offset/24,"YYYYMMDD")&amp;"*"" /stext="" "&amp;TEXT(A18-utc_offset/24,"HH")&amp;search_regexp&amp;""" /e /r /s"</f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S18" s="9" t="str">
        <f>MID(B18,13,4)</f>
        <v>4025</v>
      </c>
      <c r="T18" s="49">
        <f>A18+6/24</f>
        <v>42562.593622685185</v>
      </c>
      <c r="U18" s="72" t="str">
        <f>IF(VALUE(LEFT(C18,3))&lt;300,"EC","NWGL")</f>
        <v>EC</v>
      </c>
      <c r="V18" s="72" t="str">
        <f>IF(AND(E18="TRACK WARRANT AUTHORITY",G18&lt;10),"OMIT","KEEP")</f>
        <v>KEEP</v>
      </c>
    </row>
    <row r="19" spans="1:22" s="1" customFormat="1" x14ac:dyDescent="0.25">
      <c r="A19" s="80">
        <v>42562.251226851855</v>
      </c>
      <c r="B19" s="66" t="s">
        <v>289</v>
      </c>
      <c r="C19" s="42" t="s">
        <v>399</v>
      </c>
      <c r="D19" s="42" t="s">
        <v>50</v>
      </c>
      <c r="E19" s="42" t="s">
        <v>57</v>
      </c>
      <c r="F19" s="68">
        <v>450</v>
      </c>
      <c r="G19" s="68">
        <v>457</v>
      </c>
      <c r="H19" s="68">
        <v>192330</v>
      </c>
      <c r="I19" s="42" t="s">
        <v>58</v>
      </c>
      <c r="J19" s="68">
        <v>191108</v>
      </c>
      <c r="K19" s="42" t="s">
        <v>54</v>
      </c>
      <c r="L19" s="104" t="str">
        <f>VLOOKUP(C19,'Trips&amp;Operators'!$C$1:$E$9999,3,0)</f>
        <v>STARKS</v>
      </c>
      <c r="M19" s="9" t="s">
        <v>108</v>
      </c>
      <c r="N19" s="10"/>
      <c r="O19" s="42"/>
      <c r="P19" s="75" t="str">
        <f>VLOOKUP(C19,'Train Runs'!$A$13:$AE$893,31,0)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19" s="73" t="str">
        <f>VLOOKUP(C19,'Train Runs'!$A$13:$AE$893,22,0)</f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9" s="74" t="str">
        <f>astrogrep_path&amp;" /spath="&amp;search_path&amp;" /stypes=""*"&amp;S19&amp;"*"&amp;TEXT(A19-utc_offset/24,"YYYYMMDD")&amp;"*"" /stext="" "&amp;TEXT(A19-utc_offset/24,"HH")&amp;search_regexp&amp;""" /e /r /s"</f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S19" s="9" t="str">
        <f>MID(B19,13,4)</f>
        <v>4015</v>
      </c>
      <c r="T19" s="49">
        <f>A19+6/24</f>
        <v>42562.501226851855</v>
      </c>
      <c r="U19" s="72" t="str">
        <f>IF(VALUE(LEFT(C19,3))&lt;300,"EC","NWGL")</f>
        <v>EC</v>
      </c>
      <c r="V19" s="72" t="str">
        <f>IF(AND(E19="TRACK WARRANT AUTHORITY",G19&lt;10),"OMIT","KEEP")</f>
        <v>KEEP</v>
      </c>
    </row>
    <row r="20" spans="1:22" s="1" customFormat="1" x14ac:dyDescent="0.25">
      <c r="A20" s="80">
        <v>42562.532673611109</v>
      </c>
      <c r="B20" s="66" t="s">
        <v>75</v>
      </c>
      <c r="C20" s="42" t="s">
        <v>415</v>
      </c>
      <c r="D20" s="42" t="s">
        <v>344</v>
      </c>
      <c r="E20" s="66" t="s">
        <v>57</v>
      </c>
      <c r="F20" s="68">
        <v>350</v>
      </c>
      <c r="G20" s="68">
        <v>402</v>
      </c>
      <c r="H20" s="68">
        <v>225261</v>
      </c>
      <c r="I20" s="66" t="s">
        <v>58</v>
      </c>
      <c r="J20" s="68">
        <v>228668</v>
      </c>
      <c r="K20" s="42" t="s">
        <v>54</v>
      </c>
      <c r="L20" s="104" t="str">
        <f>VLOOKUP(C20,'Trips&amp;Operators'!$C$1:$E$9999,3,0)</f>
        <v>MAYBERRY</v>
      </c>
      <c r="M20" s="9" t="s">
        <v>108</v>
      </c>
      <c r="N20" s="10"/>
      <c r="O20" s="42"/>
      <c r="P20" s="75" t="str">
        <f>VLOOKUP(C20,'Train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0" s="73" t="str">
        <f>VLOOKUP(C20,'Train Runs'!$A$13:$AE$893,22,0)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4" t="str">
        <f>astrogrep_path&amp;" /spath="&amp;search_path&amp;" /stypes=""*"&amp;S20&amp;"*"&amp;TEXT(A20-utc_offset/24,"YYYYMMDD")&amp;"*"" /stext="" "&amp;TEXT(A20-utc_offset/24,"HH")&amp;search_regexp&amp;""" /e /r /s"</f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0" s="9" t="str">
        <f>MID(B20,13,4)</f>
        <v>4017</v>
      </c>
      <c r="T20" s="49">
        <f>A20+6/24</f>
        <v>42562.782673611109</v>
      </c>
      <c r="U20" s="72" t="str">
        <f>IF(VALUE(LEFT(C20,3))&lt;300,"EC","NWGL")</f>
        <v>EC</v>
      </c>
      <c r="V20" s="72" t="str">
        <f>IF(AND(E20="TRACK WARRANT AUTHORITY",G20&lt;10),"OMIT","KEEP")</f>
        <v>KEEP</v>
      </c>
    </row>
    <row r="21" spans="1:22" s="1" customFormat="1" x14ac:dyDescent="0.25">
      <c r="A21" s="80">
        <v>42562.531307870369</v>
      </c>
      <c r="B21" s="66" t="s">
        <v>75</v>
      </c>
      <c r="C21" s="42" t="s">
        <v>415</v>
      </c>
      <c r="D21" s="42" t="s">
        <v>50</v>
      </c>
      <c r="E21" s="66" t="s">
        <v>57</v>
      </c>
      <c r="F21" s="68">
        <v>150</v>
      </c>
      <c r="G21" s="68">
        <v>128</v>
      </c>
      <c r="H21" s="68">
        <v>229095</v>
      </c>
      <c r="I21" s="66" t="s">
        <v>58</v>
      </c>
      <c r="J21" s="68">
        <v>229055</v>
      </c>
      <c r="K21" s="42" t="s">
        <v>54</v>
      </c>
      <c r="L21" s="104" t="str">
        <f>VLOOKUP(C21,'Trips&amp;Operators'!$C$1:$E$9999,3,0)</f>
        <v>MAYBERRY</v>
      </c>
      <c r="M21" s="9" t="s">
        <v>108</v>
      </c>
      <c r="N21" s="10"/>
      <c r="O21" s="42"/>
      <c r="P21" s="75" t="str">
        <f>VLOOKUP(C21,'Train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1" s="73" t="str">
        <f>VLOOKUP(C21,'Train Runs'!$A$13:$AE$893,22,0)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1" s="74" t="str">
        <f>astrogrep_path&amp;" /spath="&amp;search_path&amp;" /stypes=""*"&amp;S21&amp;"*"&amp;TEXT(A21-utc_offset/24,"YYYYMMDD")&amp;"*"" /stext="" "&amp;TEXT(A21-utc_offset/24,"HH")&amp;search_regexp&amp;""" /e /r /s"</f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1" s="9" t="str">
        <f>MID(B21,13,4)</f>
        <v>4017</v>
      </c>
      <c r="T21" s="49">
        <f>A21+6/24</f>
        <v>42562.781307870369</v>
      </c>
      <c r="U21" s="72" t="str">
        <f>IF(VALUE(LEFT(C21,3))&lt;300,"EC","NWGL")</f>
        <v>EC</v>
      </c>
      <c r="V21" s="72" t="str">
        <f>IF(AND(E21="TRACK WARRANT AUTHORITY",G21&lt;10),"OMIT","KEEP")</f>
        <v>KEEP</v>
      </c>
    </row>
    <row r="22" spans="1:22" s="1" customFormat="1" x14ac:dyDescent="0.25">
      <c r="A22" s="80">
        <v>42562.76939814815</v>
      </c>
      <c r="B22" s="66" t="s">
        <v>410</v>
      </c>
      <c r="C22" s="42" t="s">
        <v>433</v>
      </c>
      <c r="D22" s="42" t="s">
        <v>50</v>
      </c>
      <c r="E22" s="66" t="s">
        <v>57</v>
      </c>
      <c r="F22" s="68">
        <v>150</v>
      </c>
      <c r="G22" s="68">
        <v>163</v>
      </c>
      <c r="H22" s="68">
        <v>229335</v>
      </c>
      <c r="I22" s="66" t="s">
        <v>58</v>
      </c>
      <c r="J22" s="68">
        <v>229055</v>
      </c>
      <c r="K22" s="42" t="s">
        <v>54</v>
      </c>
      <c r="L22" s="104" t="str">
        <f>VLOOKUP(C22,'Trips&amp;Operators'!$C$1:$E$9999,3,0)</f>
        <v>YOUNG</v>
      </c>
      <c r="M22" s="9" t="s">
        <v>108</v>
      </c>
      <c r="N22" s="10"/>
      <c r="O22" s="72"/>
      <c r="P22" s="75" t="str">
        <f>VLOOKUP(C22,'Train Runs'!$A$13:$AE$893,31,0)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22" s="73" t="str">
        <f>VLOOKUP(C22,'Train Runs'!$A$13:$AE$893,22,0)</f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2" s="74" t="str">
        <f>astrogrep_path&amp;" /spath="&amp;search_path&amp;" /stypes=""*"&amp;S22&amp;"*"&amp;TEXT(A22-utc_offset/24,"YYYYMMDD")&amp;"*"" /stext="" "&amp;TEXT(A22-utc_offset/24,"HH")&amp;search_regexp&amp;""" /e /r /s"</f>
        <v>"C:\Program Files (x86)\AstroGrep\AstroGrep.exe" /spath="C:\Users\stu\Documents\Analysis\2016-02-23 RTDC Observations" /stypes="*4010*20160712*" /stext=" 00:.+((prompt.+disp)|(slice.+state.+chan)|(ment ac)|(system.+state.+chan)|(\|lc)|(penalty)|(\[timeout))" /e /r /s</v>
      </c>
      <c r="S22" s="9" t="str">
        <f>MID(B22,13,4)</f>
        <v>4010</v>
      </c>
      <c r="T22" s="49">
        <f>A22+6/24</f>
        <v>42563.01939814815</v>
      </c>
      <c r="U22" s="72" t="str">
        <f>IF(VALUE(LEFT(C22,3))&lt;300,"EC","NWGL")</f>
        <v>EC</v>
      </c>
      <c r="V22" s="72" t="str">
        <f>IF(AND(E22="TRACK WARRANT AUTHORITY",G22&lt;10),"OMIT","KEEP")</f>
        <v>KEEP</v>
      </c>
    </row>
    <row r="23" spans="1:22" s="1" customFormat="1" x14ac:dyDescent="0.25">
      <c r="A23" s="80">
        <v>42562.234722222223</v>
      </c>
      <c r="B23" s="66" t="s">
        <v>291</v>
      </c>
      <c r="C23" s="42" t="s">
        <v>397</v>
      </c>
      <c r="D23" s="42" t="s">
        <v>50</v>
      </c>
      <c r="E23" s="66" t="s">
        <v>57</v>
      </c>
      <c r="F23" s="68">
        <v>150</v>
      </c>
      <c r="G23" s="68">
        <v>299</v>
      </c>
      <c r="H23" s="68">
        <v>228505</v>
      </c>
      <c r="I23" s="66" t="s">
        <v>58</v>
      </c>
      <c r="J23" s="68">
        <v>230436</v>
      </c>
      <c r="K23" s="42" t="s">
        <v>53</v>
      </c>
      <c r="L23" s="104" t="str">
        <f>VLOOKUP(C23,'Trips&amp;Operators'!$C$1:$E$9999,3,0)</f>
        <v>STARKS</v>
      </c>
      <c r="M23" s="9" t="s">
        <v>108</v>
      </c>
      <c r="N23" s="10"/>
      <c r="O23" s="72"/>
      <c r="P23" s="75" t="str">
        <f>VLOOKUP(C23,'Train Runs'!$A$13:$AE$893,31,0)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3" s="73" t="str">
        <f>VLOOKUP(C23,'Train Runs'!$A$13:$AE$893,22,0)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3" s="74" t="str">
        <f>astrogrep_path&amp;" /spath="&amp;search_path&amp;" /stypes=""*"&amp;S23&amp;"*"&amp;TEXT(A23-utc_offset/24,"YYYYMMDD")&amp;"*"" /stext="" "&amp;TEXT(A23-utc_offset/24,"HH")&amp;search_regexp&amp;""" /e /r /s"</f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23" s="9" t="str">
        <f>MID(B23,13,4)</f>
        <v>4016</v>
      </c>
      <c r="T23" s="49">
        <f>A23+6/24</f>
        <v>42562.484722222223</v>
      </c>
      <c r="U23" s="72" t="str">
        <f>IF(VALUE(LEFT(C23,3))&lt;300,"EC","NWGL")</f>
        <v>EC</v>
      </c>
      <c r="V23" s="72" t="str">
        <f>IF(AND(E23="TRACK WARRANT AUTHORITY",G23&lt;10),"OMIT","KEEP")</f>
        <v>KEEP</v>
      </c>
    </row>
    <row r="24" spans="1:22" x14ac:dyDescent="0.25">
      <c r="A24" s="80">
        <v>42562.74895833333</v>
      </c>
      <c r="B24" s="66" t="s">
        <v>75</v>
      </c>
      <c r="C24" s="42" t="s">
        <v>432</v>
      </c>
      <c r="D24" s="42" t="s">
        <v>344</v>
      </c>
      <c r="E24" s="66" t="s">
        <v>57</v>
      </c>
      <c r="F24" s="68">
        <v>350</v>
      </c>
      <c r="G24" s="68">
        <v>401</v>
      </c>
      <c r="H24" s="68">
        <v>225305</v>
      </c>
      <c r="I24" s="66" t="s">
        <v>58</v>
      </c>
      <c r="J24" s="68">
        <v>232107</v>
      </c>
      <c r="K24" s="42" t="s">
        <v>54</v>
      </c>
      <c r="L24" s="104" t="str">
        <f>VLOOKUP(C24,'Trips&amp;Operators'!$C$1:$E$9999,3,0)</f>
        <v>MAYBERRY</v>
      </c>
      <c r="M24" s="9" t="s">
        <v>108</v>
      </c>
      <c r="N24" s="10"/>
      <c r="O24" s="72"/>
      <c r="P24" s="75" t="str">
        <f>VLOOKUP(C24,'Train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4" s="73" t="str">
        <f>VLOOKUP(C24,'Train Runs'!$A$13:$AE$893,22,0)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4" s="74" t="str">
        <f>astrogrep_path&amp;" /spath="&amp;search_path&amp;" /stypes=""*"&amp;S24&amp;"*"&amp;TEXT(A24-utc_offset/24,"YYYYMMDD")&amp;"*"" /stext="" "&amp;TEXT(A24-utc_offset/24,"HH")&amp;search_regexp&amp;""" /e /r /s"</f>
        <v>"C:\Program Files (x86)\AstroGrep\AstroGrep.exe" /spath="C:\Users\stu\Documents\Analysis\2016-02-23 RTDC Observations" /stypes="*4017*20160711*" /stext=" 23:.+((prompt.+disp)|(slice.+state.+chan)|(ment ac)|(system.+state.+chan)|(\|lc)|(penalty)|(\[timeout))" /e /r /s</v>
      </c>
      <c r="S24" s="9" t="str">
        <f>MID(B24,13,4)</f>
        <v>4017</v>
      </c>
      <c r="T24" s="49">
        <f>A24+6/24</f>
        <v>42562.99895833333</v>
      </c>
      <c r="U24" s="72" t="str">
        <f>IF(VALUE(LEFT(C24,3))&lt;300,"EC","NWGL")</f>
        <v>EC</v>
      </c>
      <c r="V24" s="72" t="str">
        <f>IF(AND(E24="TRACK WARRANT AUTHORITY",G24&lt;10),"OMIT","KEEP")</f>
        <v>KEEP</v>
      </c>
    </row>
    <row r="25" spans="1:22" x14ac:dyDescent="0.25">
      <c r="A25" s="80">
        <v>42562.591180555559</v>
      </c>
      <c r="B25" s="42" t="s">
        <v>406</v>
      </c>
      <c r="C25" s="42" t="s">
        <v>419</v>
      </c>
      <c r="D25" s="42" t="s">
        <v>50</v>
      </c>
      <c r="E25" s="42" t="s">
        <v>55</v>
      </c>
      <c r="F25" s="68">
        <v>0</v>
      </c>
      <c r="G25" s="68">
        <v>698</v>
      </c>
      <c r="H25" s="68">
        <v>45598</v>
      </c>
      <c r="I25" s="42" t="s">
        <v>56</v>
      </c>
      <c r="J25" s="68">
        <v>50746</v>
      </c>
      <c r="K25" s="42" t="s">
        <v>53</v>
      </c>
      <c r="L25" s="104" t="str">
        <f>VLOOKUP(C25,'Trips&amp;Operators'!$C$1:$E$9999,3,0)</f>
        <v>LOCKLEAR</v>
      </c>
      <c r="M25" s="9" t="s">
        <v>107</v>
      </c>
      <c r="N25" s="10" t="s">
        <v>669</v>
      </c>
      <c r="O25" s="42"/>
      <c r="P25" s="75" t="str">
        <f>VLOOKUP(C25,'Train Runs'!$A$13:$AE$893,31,0)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25" s="73" t="str">
        <f>VLOOKUP(C25,'Train Runs'!$A$13:$AE$893,22,0)</f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5" s="74" t="str">
        <f>astrogrep_path&amp;" /spath="&amp;search_path&amp;" /stypes=""*"&amp;S25&amp;"*"&amp;TEXT(A25-utc_offset/24,"YYYYMMDD")&amp;"*"" /stext="" "&amp;TEXT(A25-utc_offset/24,"HH")&amp;search_regexp&amp;""" /e /r /s"</f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S25" s="9" t="str">
        <f>MID(B25,13,4)</f>
        <v>4009</v>
      </c>
      <c r="T25" s="49">
        <f>A25+6/24</f>
        <v>42562.841180555559</v>
      </c>
      <c r="U25" s="72" t="str">
        <f>IF(VALUE(LEFT(C25,3))&lt;300,"EC","NWGL")</f>
        <v>EC</v>
      </c>
      <c r="V25" s="72" t="str">
        <f>IF(AND(E25="TRACK WARRANT AUTHORITY",G25&lt;10),"OMIT","KEEP")</f>
        <v>KEEP</v>
      </c>
    </row>
    <row r="26" spans="1:22" x14ac:dyDescent="0.25">
      <c r="A26" s="80">
        <v>42562.512812499997</v>
      </c>
      <c r="B26" s="66" t="s">
        <v>291</v>
      </c>
      <c r="C26" s="42" t="s">
        <v>414</v>
      </c>
      <c r="D26" s="42" t="s">
        <v>50</v>
      </c>
      <c r="E26" s="66" t="s">
        <v>55</v>
      </c>
      <c r="F26" s="68">
        <v>0</v>
      </c>
      <c r="G26" s="68">
        <v>604</v>
      </c>
      <c r="H26" s="68">
        <v>91927</v>
      </c>
      <c r="I26" s="66" t="s">
        <v>56</v>
      </c>
      <c r="J26" s="68">
        <v>95978</v>
      </c>
      <c r="K26" s="42" t="s">
        <v>53</v>
      </c>
      <c r="L26" s="104" t="str">
        <f>VLOOKUP(C26,'Trips&amp;Operators'!$C$1:$E$9999,3,0)</f>
        <v>STARKS</v>
      </c>
      <c r="M26" s="9" t="s">
        <v>107</v>
      </c>
      <c r="N26" s="10" t="s">
        <v>134</v>
      </c>
      <c r="O26" s="72"/>
      <c r="P26" s="75" t="str">
        <f>VLOOKUP(C26,'Train Runs'!$A$13:$AE$893,31,0)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6" s="73" t="str">
        <f>VLOOKUP(C26,'Train Runs'!$A$13:$AE$893,22,0)</f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6" s="74" t="str">
        <f>astrogrep_path&amp;" /spath="&amp;search_path&amp;" /stypes=""*"&amp;S26&amp;"*"&amp;TEXT(A26-utc_offset/24,"YYYYMMDD")&amp;"*"" /stext="" "&amp;TEXT(A26-utc_offset/24,"HH")&amp;search_regexp&amp;""" /e /r /s"</f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S26" s="9" t="str">
        <f>MID(B26,13,4)</f>
        <v>4016</v>
      </c>
      <c r="T26" s="49">
        <f>A26+6/24</f>
        <v>42562.762812499997</v>
      </c>
      <c r="U26" s="72" t="str">
        <f>IF(VALUE(LEFT(C26,3))&lt;300,"EC","NWGL")</f>
        <v>EC</v>
      </c>
      <c r="V26" s="72" t="str">
        <f>IF(AND(E26="TRACK WARRANT AUTHORITY",G26&lt;10),"OMIT","KEEP")</f>
        <v>KEEP</v>
      </c>
    </row>
    <row r="27" spans="1:22" x14ac:dyDescent="0.25">
      <c r="A27" s="80">
        <v>42562.683749999997</v>
      </c>
      <c r="B27" s="66" t="s">
        <v>75</v>
      </c>
      <c r="C27" s="42" t="s">
        <v>426</v>
      </c>
      <c r="D27" s="42" t="s">
        <v>50</v>
      </c>
      <c r="E27" s="66" t="s">
        <v>55</v>
      </c>
      <c r="F27" s="68">
        <v>0</v>
      </c>
      <c r="G27" s="68">
        <v>336</v>
      </c>
      <c r="H27" s="68">
        <v>128698</v>
      </c>
      <c r="I27" s="66" t="s">
        <v>56</v>
      </c>
      <c r="J27" s="68">
        <v>127587</v>
      </c>
      <c r="K27" s="42" t="s">
        <v>54</v>
      </c>
      <c r="L27" s="104" t="str">
        <f>VLOOKUP(C27,'Trips&amp;Operators'!$C$1:$E$9999,3,0)</f>
        <v>MAYBERRY</v>
      </c>
      <c r="M27" s="9" t="s">
        <v>108</v>
      </c>
      <c r="N27" s="10" t="s">
        <v>670</v>
      </c>
      <c r="O27" s="72"/>
      <c r="P27" s="75" t="str">
        <f>VLOOKUP(C27,'Train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7" s="73" t="str">
        <f>VLOOKUP(C27,'Train Runs'!$A$13:$AE$893,22,0)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4" t="str">
        <f>astrogrep_path&amp;" /spath="&amp;search_path&amp;" /stypes=""*"&amp;S27&amp;"*"&amp;TEXT(A27-utc_offset/24,"YYYYMMDD")&amp;"*"" /stext="" "&amp;TEXT(A27-utc_offset/24,"HH")&amp;search_regexp&amp;""" /e /r /s"</f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7" s="9" t="str">
        <f>MID(B27,13,4)</f>
        <v>4017</v>
      </c>
      <c r="T27" s="49">
        <f>A27+6/24</f>
        <v>42562.933749999997</v>
      </c>
      <c r="U27" s="72" t="str">
        <f>IF(VALUE(LEFT(C27,3))&lt;300,"EC","NWGL")</f>
        <v>EC</v>
      </c>
      <c r="V27" s="72" t="str">
        <f>IF(AND(E27="TRACK WARRANT AUTHORITY",G27&lt;10),"OMIT","KEEP")</f>
        <v>KEEP</v>
      </c>
    </row>
    <row r="28" spans="1:22" x14ac:dyDescent="0.25">
      <c r="A28" s="81">
        <v>42562.684282407405</v>
      </c>
      <c r="B28" s="66" t="s">
        <v>75</v>
      </c>
      <c r="C28" s="42" t="s">
        <v>426</v>
      </c>
      <c r="D28" s="42" t="s">
        <v>50</v>
      </c>
      <c r="E28" s="42" t="s">
        <v>55</v>
      </c>
      <c r="F28" s="68">
        <v>0</v>
      </c>
      <c r="G28" s="68">
        <v>59</v>
      </c>
      <c r="H28" s="68">
        <v>128000</v>
      </c>
      <c r="I28" s="42" t="s">
        <v>56</v>
      </c>
      <c r="J28" s="68">
        <v>127587</v>
      </c>
      <c r="K28" s="42" t="s">
        <v>54</v>
      </c>
      <c r="L28" s="104" t="str">
        <f>VLOOKUP(C28,'Trips&amp;Operators'!$C$1:$E$9999,3,0)</f>
        <v>MAYBERRY</v>
      </c>
      <c r="M28" s="9" t="s">
        <v>108</v>
      </c>
      <c r="N28" s="10" t="s">
        <v>670</v>
      </c>
      <c r="O28" s="42"/>
      <c r="P28" s="75" t="str">
        <f>VLOOKUP(C28,'Train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8" s="73" t="str">
        <f>VLOOKUP(C28,'Train Runs'!$A$13:$AE$893,22,0)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8" s="74" t="str">
        <f>astrogrep_path&amp;" /spath="&amp;search_path&amp;" /stypes=""*"&amp;S28&amp;"*"&amp;TEXT(A28-utc_offset/24,"YYYYMMDD")&amp;"*"" /stext="" "&amp;TEXT(A28-utc_offset/24,"HH")&amp;search_regexp&amp;""" /e /r /s"</f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8" s="9" t="str">
        <f>MID(B28,13,4)</f>
        <v>4017</v>
      </c>
      <c r="T28" s="49">
        <f>A28+6/24</f>
        <v>42562.934282407405</v>
      </c>
      <c r="U28" s="72" t="str">
        <f>IF(VALUE(LEFT(C28,3))&lt;300,"EC","NWGL")</f>
        <v>EC</v>
      </c>
      <c r="V28" s="72" t="str">
        <f>IF(AND(E28="TRACK WARRANT AUTHORITY",G28&lt;10),"OMIT","KEEP")</f>
        <v>KEEP</v>
      </c>
    </row>
    <row r="29" spans="1:22" x14ac:dyDescent="0.25">
      <c r="A29" s="80">
        <v>42562.542557870373</v>
      </c>
      <c r="B29" s="42" t="s">
        <v>289</v>
      </c>
      <c r="C29" s="42" t="s">
        <v>416</v>
      </c>
      <c r="D29" s="42" t="s">
        <v>50</v>
      </c>
      <c r="E29" s="42" t="s">
        <v>55</v>
      </c>
      <c r="F29" s="68">
        <v>0</v>
      </c>
      <c r="G29" s="68">
        <v>555</v>
      </c>
      <c r="H29" s="68">
        <v>195360</v>
      </c>
      <c r="I29" s="42" t="s">
        <v>56</v>
      </c>
      <c r="J29" s="68">
        <v>191723</v>
      </c>
      <c r="K29" s="42" t="s">
        <v>54</v>
      </c>
      <c r="L29" s="104" t="str">
        <f>VLOOKUP(C29,'Trips&amp;Operators'!$C$1:$E$9999,3,0)</f>
        <v>STARKS</v>
      </c>
      <c r="M29" s="9" t="s">
        <v>108</v>
      </c>
      <c r="N29" s="10" t="s">
        <v>671</v>
      </c>
      <c r="O29" s="42"/>
      <c r="P29" s="75" t="str">
        <f>VLOOKUP(C29,'Train Runs'!$A$13:$AE$893,31,0)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29" s="73" t="str">
        <f>VLOOKUP(C29,'Train Runs'!$A$13:$AE$893,22,0)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9" s="74" t="str">
        <f>astrogrep_path&amp;" /spath="&amp;search_path&amp;" /stypes=""*"&amp;S29&amp;"*"&amp;TEXT(A29-utc_offset/24,"YYYYMMDD")&amp;"*"" /stext="" "&amp;TEXT(A29-utc_offset/24,"HH")&amp;search_regexp&amp;""" /e /r /s"</f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29" s="9" t="str">
        <f>MID(B29,13,4)</f>
        <v>4015</v>
      </c>
      <c r="T29" s="49">
        <f>A29+6/24</f>
        <v>42562.792557870373</v>
      </c>
      <c r="U29" s="72" t="str">
        <f>IF(VALUE(LEFT(C29,3))&lt;300,"EC","NWGL")</f>
        <v>EC</v>
      </c>
      <c r="V29" s="72" t="str">
        <f>IF(AND(E29="TRACK WARRANT AUTHORITY",G29&lt;10),"OMIT","KEEP")</f>
        <v>KEEP</v>
      </c>
    </row>
    <row r="30" spans="1:22" x14ac:dyDescent="0.25">
      <c r="A30" s="80">
        <v>42562.60497685185</v>
      </c>
      <c r="B30" s="66" t="s">
        <v>75</v>
      </c>
      <c r="C30" s="42" t="s">
        <v>420</v>
      </c>
      <c r="D30" s="42" t="s">
        <v>50</v>
      </c>
      <c r="E30" s="66" t="s">
        <v>55</v>
      </c>
      <c r="F30" s="68">
        <v>0</v>
      </c>
      <c r="G30" s="68">
        <v>460</v>
      </c>
      <c r="H30" s="68">
        <v>194200</v>
      </c>
      <c r="I30" s="66" t="s">
        <v>56</v>
      </c>
      <c r="J30" s="68">
        <v>191723</v>
      </c>
      <c r="K30" s="42" t="s">
        <v>54</v>
      </c>
      <c r="L30" s="104" t="str">
        <f>VLOOKUP(C30,'Trips&amp;Operators'!$C$1:$E$9999,3,0)</f>
        <v>MAYBERRY</v>
      </c>
      <c r="M30" s="9" t="s">
        <v>108</v>
      </c>
      <c r="N30" s="10" t="s">
        <v>672</v>
      </c>
      <c r="O30" s="42"/>
      <c r="P30" s="75" t="str">
        <f>VLOOKUP(C30,'Train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0" s="73" t="str">
        <f>VLOOKUP(C30,'Train Runs'!$A$13:$AE$893,22,0)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4" t="str">
        <f>astrogrep_path&amp;" /spath="&amp;search_path&amp;" /stypes=""*"&amp;S30&amp;"*"&amp;TEXT(A30-utc_offset/24,"YYYYMMDD")&amp;"*"" /stext="" "&amp;TEXT(A30-utc_offset/24,"HH")&amp;search_regexp&amp;""" /e /r /s"</f>
        <v>"C:\Program Files (x86)\AstroGrep\AstroGrep.exe" /spath="C:\Users\stu\Documents\Analysis\2016-02-23 RTDC Observations" /stypes="*4017*20160711*" /stext=" 20:.+((prompt.+disp)|(slice.+state.+chan)|(ment ac)|(system.+state.+chan)|(\|lc)|(penalty)|(\[timeout))" /e /r /s</v>
      </c>
      <c r="S30" s="9" t="str">
        <f>MID(B30,13,4)</f>
        <v>4017</v>
      </c>
      <c r="T30" s="49">
        <f>A30+6/24</f>
        <v>42562.85497685185</v>
      </c>
      <c r="U30" s="72" t="str">
        <f>IF(VALUE(LEFT(C30,3))&lt;300,"EC","NWGL")</f>
        <v>EC</v>
      </c>
      <c r="V30" s="72" t="str">
        <f>IF(AND(E30="TRACK WARRANT AUTHORITY",G30&lt;10),"OMIT","KEEP")</f>
        <v>KEEP</v>
      </c>
    </row>
    <row r="31" spans="1:22" x14ac:dyDescent="0.25">
      <c r="A31" s="80">
        <v>42562.425729166665</v>
      </c>
      <c r="B31" s="66" t="s">
        <v>122</v>
      </c>
      <c r="C31" s="42" t="s">
        <v>409</v>
      </c>
      <c r="D31" s="42" t="s">
        <v>50</v>
      </c>
      <c r="E31" s="66" t="s">
        <v>105</v>
      </c>
      <c r="F31" s="68">
        <v>0</v>
      </c>
      <c r="G31" s="68">
        <v>159</v>
      </c>
      <c r="H31" s="68">
        <v>229574</v>
      </c>
      <c r="I31" s="66" t="s">
        <v>106</v>
      </c>
      <c r="J31" s="68">
        <v>229055</v>
      </c>
      <c r="K31" s="42" t="s">
        <v>54</v>
      </c>
      <c r="L31" s="104" t="str">
        <f>VLOOKUP(C31,'Trips&amp;Operators'!$C$1:$E$9999,3,0)</f>
        <v>ACKERMAN</v>
      </c>
      <c r="M31" s="9" t="s">
        <v>107</v>
      </c>
      <c r="N31" s="10" t="s">
        <v>134</v>
      </c>
      <c r="O31" s="42"/>
      <c r="P31" s="75" t="str">
        <f>VLOOKUP(C31,'Train Runs'!$A$13:$AE$893,31,0)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1" s="73" t="str">
        <f>VLOOKUP(C31,'Train Runs'!$A$13:$AE$893,22,0)</f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1" s="74" t="str">
        <f>astrogrep_path&amp;" /spath="&amp;search_path&amp;" /stypes=""*"&amp;S31&amp;"*"&amp;TEXT(A31-utc_offset/24,"YYYYMMDD")&amp;"*"" /stext="" "&amp;TEXT(A31-utc_offset/24,"HH")&amp;search_regexp&amp;""" /e /r /s"</f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S31" s="9" t="str">
        <f>MID(B31,13,4)</f>
        <v>4013</v>
      </c>
      <c r="T31" s="49">
        <f>A31+6/24</f>
        <v>42562.675729166665</v>
      </c>
      <c r="U31" s="72" t="str">
        <f>IF(VALUE(LEFT(C31,3))&lt;300,"EC","NWGL")</f>
        <v>EC</v>
      </c>
      <c r="V31" s="72" t="str">
        <f>IF(AND(E31="TRACK WARRANT AUTHORITY",G31&lt;10),"OMIT","KEEP")</f>
        <v>KEEP</v>
      </c>
    </row>
    <row r="32" spans="1:22" x14ac:dyDescent="0.25">
      <c r="A32" s="80">
        <v>42562.530613425923</v>
      </c>
      <c r="B32" s="66" t="s">
        <v>75</v>
      </c>
      <c r="C32" s="42" t="s">
        <v>415</v>
      </c>
      <c r="D32" s="42" t="s">
        <v>50</v>
      </c>
      <c r="E32" s="66" t="s">
        <v>105</v>
      </c>
      <c r="F32" s="68">
        <v>0</v>
      </c>
      <c r="G32" s="68">
        <v>141</v>
      </c>
      <c r="H32" s="68">
        <v>229487</v>
      </c>
      <c r="I32" s="66" t="s">
        <v>106</v>
      </c>
      <c r="J32" s="68">
        <v>229055</v>
      </c>
      <c r="K32" s="42" t="s">
        <v>54</v>
      </c>
      <c r="L32" s="104" t="str">
        <f>VLOOKUP(C32,'Trips&amp;Operators'!$C$1:$E$9999,3,0)</f>
        <v>MAYBERRY</v>
      </c>
      <c r="M32" s="9" t="s">
        <v>107</v>
      </c>
      <c r="N32" s="10" t="s">
        <v>134</v>
      </c>
      <c r="O32" s="42"/>
      <c r="P32" s="75" t="str">
        <f>VLOOKUP(C32,'Train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2" s="73" t="str">
        <f>VLOOKUP(C32,'Train Runs'!$A$13:$AE$893,22,0)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2" s="74" t="str">
        <f>astrogrep_path&amp;" /spath="&amp;search_path&amp;" /stypes=""*"&amp;S32&amp;"*"&amp;TEXT(A32-utc_offset/24,"YYYYMMDD")&amp;"*"" /stext="" "&amp;TEXT(A32-utc_offset/24,"HH")&amp;search_regexp&amp;""" /e /r /s"</f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2" s="9" t="str">
        <f>MID(B32,13,4)</f>
        <v>4017</v>
      </c>
      <c r="T32" s="49">
        <f>A32+6/24</f>
        <v>42562.780613425923</v>
      </c>
      <c r="U32" s="72" t="str">
        <f>IF(VALUE(LEFT(C32,3))&lt;300,"EC","NWGL")</f>
        <v>EC</v>
      </c>
      <c r="V32" s="72" t="str">
        <f>IF(AND(E32="TRACK WARRANT AUTHORITY",G32&lt;10),"OMIT","KEEP")</f>
        <v>KEEP</v>
      </c>
    </row>
    <row r="33" spans="1:22" x14ac:dyDescent="0.25">
      <c r="A33" s="80">
        <v>42562.487314814818</v>
      </c>
      <c r="B33" s="66" t="s">
        <v>67</v>
      </c>
      <c r="C33" s="42" t="s">
        <v>413</v>
      </c>
      <c r="D33" s="42" t="s">
        <v>50</v>
      </c>
      <c r="E33" s="66" t="s">
        <v>105</v>
      </c>
      <c r="F33" s="68">
        <v>0</v>
      </c>
      <c r="G33" s="68">
        <v>141</v>
      </c>
      <c r="H33" s="68">
        <v>232113</v>
      </c>
      <c r="I33" s="66" t="s">
        <v>106</v>
      </c>
      <c r="J33" s="68">
        <v>231147</v>
      </c>
      <c r="K33" s="42" t="s">
        <v>54</v>
      </c>
      <c r="L33" s="104" t="str">
        <f>VLOOKUP(C33,'Trips&amp;Operators'!$C$1:$E$9999,3,0)</f>
        <v>MALAVE</v>
      </c>
      <c r="M33" s="9" t="s">
        <v>107</v>
      </c>
      <c r="N33" s="10" t="s">
        <v>134</v>
      </c>
      <c r="O33" s="42"/>
      <c r="P33" s="75" t="str">
        <f>VLOOKUP(C33,'Train Runs'!$A$13:$AE$893,31,0)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33" s="73" t="str">
        <f>VLOOKUP(C33,'Train Runs'!$A$13:$AE$893,22,0)</f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3" s="74" t="str">
        <f>astrogrep_path&amp;" /spath="&amp;search_path&amp;" /stypes=""*"&amp;S33&amp;"*"&amp;TEXT(A33-utc_offset/24,"YYYYMMDD")&amp;"*"" /stext="" "&amp;TEXT(A33-utc_offset/24,"HH")&amp;search_regexp&amp;""" /e /r /s"</f>
        <v>"C:\Program Files (x86)\AstroGrep\AstroGrep.exe" /spath="C:\Users\stu\Documents\Analysis\2016-02-23 RTDC Observations" /stypes="*4032*20160711*" /stext=" 17:.+((prompt.+disp)|(slice.+state.+chan)|(ment ac)|(system.+state.+chan)|(\|lc)|(penalty)|(\[timeout))" /e /r /s</v>
      </c>
      <c r="S33" s="9" t="str">
        <f>MID(B33,13,4)</f>
        <v>4032</v>
      </c>
      <c r="T33" s="49">
        <f>A33+6/24</f>
        <v>42562.737314814818</v>
      </c>
      <c r="U33" s="72" t="str">
        <f>IF(VALUE(LEFT(C33,3))&lt;300,"EC","NWGL")</f>
        <v>EC</v>
      </c>
      <c r="V33" s="72" t="str">
        <f>IF(AND(E33="TRACK WARRANT AUTHORITY",G33&lt;10),"OMIT","KEEP")</f>
        <v>KEEP</v>
      </c>
    </row>
    <row r="34" spans="1:22" x14ac:dyDescent="0.25">
      <c r="A34" s="80">
        <v>42562.529699074075</v>
      </c>
      <c r="B34" s="66" t="s">
        <v>75</v>
      </c>
      <c r="C34" s="42" t="s">
        <v>415</v>
      </c>
      <c r="D34" s="42" t="s">
        <v>50</v>
      </c>
      <c r="E34" s="66" t="s">
        <v>105</v>
      </c>
      <c r="F34" s="68">
        <v>0</v>
      </c>
      <c r="G34" s="68">
        <v>138</v>
      </c>
      <c r="H34" s="68">
        <v>231729</v>
      </c>
      <c r="I34" s="66" t="s">
        <v>106</v>
      </c>
      <c r="J34" s="68">
        <v>231147</v>
      </c>
      <c r="K34" s="42" t="s">
        <v>54</v>
      </c>
      <c r="L34" s="104" t="str">
        <f>VLOOKUP(C34,'Trips&amp;Operators'!$C$1:$E$9999,3,0)</f>
        <v>MAYBERRY</v>
      </c>
      <c r="M34" s="9" t="s">
        <v>107</v>
      </c>
      <c r="N34" s="10" t="s">
        <v>134</v>
      </c>
      <c r="O34" s="42"/>
      <c r="P34" s="75" t="str">
        <f>VLOOKUP(C34,'Train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4" s="73" t="str">
        <f>VLOOKUP(C34,'Train Runs'!$A$13:$AE$893,22,0)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4" s="74" t="str">
        <f>astrogrep_path&amp;" /spath="&amp;search_path&amp;" /stypes=""*"&amp;S34&amp;"*"&amp;TEXT(A34-utc_offset/24,"YYYYMMDD")&amp;"*"" /stext="" "&amp;TEXT(A34-utc_offset/24,"HH")&amp;search_regexp&amp;""" /e /r /s"</f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4" s="9" t="str">
        <f>MID(B34,13,4)</f>
        <v>4017</v>
      </c>
      <c r="T34" s="49">
        <f>A34+6/24</f>
        <v>42562.779699074075</v>
      </c>
      <c r="U34" s="72" t="str">
        <f>IF(VALUE(LEFT(C34,3))&lt;300,"EC","NWGL")</f>
        <v>EC</v>
      </c>
      <c r="V34" s="72" t="str">
        <f>IF(AND(E34="TRACK WARRANT AUTHORITY",G34&lt;10),"OMIT","KEEP")</f>
        <v>KEEP</v>
      </c>
    </row>
    <row r="35" spans="1:22" x14ac:dyDescent="0.25">
      <c r="A35" s="80">
        <v>42562.304212962961</v>
      </c>
      <c r="B35" s="66" t="s">
        <v>122</v>
      </c>
      <c r="C35" s="42" t="s">
        <v>400</v>
      </c>
      <c r="D35" s="42" t="s">
        <v>50</v>
      </c>
      <c r="E35" s="66" t="s">
        <v>51</v>
      </c>
      <c r="F35" s="68">
        <v>0</v>
      </c>
      <c r="G35" s="68">
        <v>38</v>
      </c>
      <c r="H35" s="68">
        <v>118</v>
      </c>
      <c r="I35" s="66" t="s">
        <v>52</v>
      </c>
      <c r="J35" s="68">
        <v>1</v>
      </c>
      <c r="K35" s="42" t="s">
        <v>54</v>
      </c>
      <c r="L35" s="104" t="str">
        <f>VLOOKUP(C35,'Trips&amp;Operators'!$C$1:$E$9999,3,0)</f>
        <v>ACKERMAN</v>
      </c>
      <c r="M35" s="9" t="s">
        <v>108</v>
      </c>
      <c r="N35" s="10"/>
      <c r="O35" s="42"/>
      <c r="P35" s="75" t="str">
        <f>VLOOKUP(C35,'Train Runs'!$A$13:$AE$893,31,0)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5" s="73" t="str">
        <f>VLOOKUP(C35,'Train Runs'!$A$13:$AE$893,22,0)</f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5" s="74" t="str">
        <f>astrogrep_path&amp;" /spath="&amp;search_path&amp;" /stypes=""*"&amp;S35&amp;"*"&amp;TEXT(A35-utc_offset/24,"YYYYMMDD")&amp;"*"" /stext="" "&amp;TEXT(A35-utc_offset/24,"HH")&amp;search_regexp&amp;""" /e /r /s"</f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S35" s="9" t="str">
        <f>MID(B35,13,4)</f>
        <v>4013</v>
      </c>
      <c r="T35" s="49">
        <f>A35+6/24</f>
        <v>42562.554212962961</v>
      </c>
      <c r="U35" s="72" t="str">
        <f>IF(VALUE(LEFT(C35,3))&lt;300,"EC","NWGL")</f>
        <v>EC</v>
      </c>
      <c r="V35" s="72" t="str">
        <f>IF(AND(E35="TRACK WARRANT AUTHORITY",G35&lt;10),"OMIT","KEEP")</f>
        <v>KEEP</v>
      </c>
    </row>
    <row r="36" spans="1:22" x14ac:dyDescent="0.25">
      <c r="A36" s="80">
        <v>42562.313807870371</v>
      </c>
      <c r="B36" s="67" t="s">
        <v>120</v>
      </c>
      <c r="C36" s="11" t="s">
        <v>401</v>
      </c>
      <c r="D36" s="11" t="s">
        <v>50</v>
      </c>
      <c r="E36" s="67" t="s">
        <v>51</v>
      </c>
      <c r="F36" s="69">
        <v>0</v>
      </c>
      <c r="G36" s="69">
        <v>8</v>
      </c>
      <c r="H36" s="69">
        <v>112</v>
      </c>
      <c r="I36" s="67" t="s">
        <v>52</v>
      </c>
      <c r="J36" s="69">
        <v>1</v>
      </c>
      <c r="K36" s="10" t="s">
        <v>54</v>
      </c>
      <c r="L36" s="104" t="str">
        <f>VLOOKUP(C36,'Trips&amp;Operators'!$C$1:$E$9999,3,0)</f>
        <v>BRANNON</v>
      </c>
      <c r="M36" s="9" t="s">
        <v>108</v>
      </c>
      <c r="N36" s="10"/>
      <c r="O36" s="87"/>
      <c r="P36" s="105" t="str">
        <f>VLOOKUP(C36,'Train Runs'!$A$13:$AE$893,31,0)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6" s="73" t="str">
        <f>VLOOKUP(C36,'Train Runs'!$A$13:$AE$893,22,0)</f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6" s="74" t="str">
        <f>astrogrep_path&amp;" /spath="&amp;search_path&amp;" /stypes=""*"&amp;S36&amp;"*"&amp;TEXT(A36-utc_offset/24,"YYYYMMDD")&amp;"*"" /stext="" "&amp;TEXT(A36-utc_offset/24,"HH")&amp;search_regexp&amp;""" /e /r /s"</f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S36" s="9" t="str">
        <f>MID(B36,13,4)</f>
        <v>4026</v>
      </c>
      <c r="T36" s="49">
        <f>A36+6/24</f>
        <v>42562.563807870371</v>
      </c>
      <c r="U36" s="72" t="str">
        <f>IF(VALUE(LEFT(C36,3))&lt;300,"EC","NWGL")</f>
        <v>EC</v>
      </c>
      <c r="V36" s="72" t="str">
        <f>IF(AND(E36="TRACK WARRANT AUTHORITY",G36&lt;10),"OMIT","KEEP")</f>
        <v>OMIT</v>
      </c>
    </row>
    <row r="37" spans="1:22" x14ac:dyDescent="0.25">
      <c r="A37" s="80">
        <v>42562.325486111113</v>
      </c>
      <c r="B37" s="66" t="s">
        <v>72</v>
      </c>
      <c r="C37" s="42" t="s">
        <v>402</v>
      </c>
      <c r="D37" s="42" t="s">
        <v>50</v>
      </c>
      <c r="E37" s="66" t="s">
        <v>51</v>
      </c>
      <c r="F37" s="68">
        <v>0</v>
      </c>
      <c r="G37" s="68">
        <v>6</v>
      </c>
      <c r="H37" s="68">
        <v>112</v>
      </c>
      <c r="I37" s="66" t="s">
        <v>52</v>
      </c>
      <c r="J37" s="68">
        <v>1</v>
      </c>
      <c r="K37" s="42" t="s">
        <v>54</v>
      </c>
      <c r="L37" s="104" t="str">
        <f>VLOOKUP(C37,'Trips&amp;Operators'!$C$1:$E$9999,3,0)</f>
        <v>SPECTOR</v>
      </c>
      <c r="M37" s="9" t="s">
        <v>108</v>
      </c>
      <c r="N37" s="10"/>
      <c r="O37" s="72"/>
      <c r="P37" s="75" t="str">
        <f>VLOOKUP(C37,'Train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7" s="73" t="str">
        <f>VLOOKUP(C37,'Train Runs'!$A$13:$AE$893,22,0)</f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4" t="str">
        <f>astrogrep_path&amp;" /spath="&amp;search_path&amp;" /stypes=""*"&amp;S37&amp;"*"&amp;TEXT(A37-utc_offset/24,"YYYYMMDD")&amp;"*"" /stext="" "&amp;TEXT(A37-utc_offset/24,"HH")&amp;search_regexp&amp;""" /e /r /s"</f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S37" s="9" t="str">
        <f>MID(B37,13,4)</f>
        <v>4019</v>
      </c>
      <c r="T37" s="49">
        <f>A37+6/24</f>
        <v>42562.575486111113</v>
      </c>
      <c r="U37" s="72" t="str">
        <f>IF(VALUE(LEFT(C37,3))&lt;300,"EC","NWGL")</f>
        <v>EC</v>
      </c>
      <c r="V37" s="72" t="str">
        <f>IF(AND(E37="TRACK WARRANT AUTHORITY",G37&lt;10),"OMIT","KEEP")</f>
        <v>OMIT</v>
      </c>
    </row>
    <row r="38" spans="1:22" x14ac:dyDescent="0.25">
      <c r="A38" s="80">
        <v>42562.390138888892</v>
      </c>
      <c r="B38" s="66" t="s">
        <v>120</v>
      </c>
      <c r="C38" s="42" t="s">
        <v>405</v>
      </c>
      <c r="D38" s="42" t="s">
        <v>50</v>
      </c>
      <c r="E38" s="66" t="s">
        <v>51</v>
      </c>
      <c r="F38" s="68">
        <v>0</v>
      </c>
      <c r="G38" s="68">
        <v>62</v>
      </c>
      <c r="H38" s="68">
        <v>223</v>
      </c>
      <c r="I38" s="66" t="s">
        <v>52</v>
      </c>
      <c r="J38" s="68">
        <v>1</v>
      </c>
      <c r="K38" s="42" t="s">
        <v>54</v>
      </c>
      <c r="L38" s="104" t="str">
        <f>VLOOKUP(C38,'Trips&amp;Operators'!$C$1:$E$9999,3,0)</f>
        <v>BRANNON</v>
      </c>
      <c r="M38" s="9" t="s">
        <v>108</v>
      </c>
      <c r="N38" s="10"/>
      <c r="O38" s="42"/>
      <c r="P38" s="75" t="str">
        <f>VLOOKUP(C38,'Train Runs'!$A$13:$AE$893,31,0)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8" s="73" t="str">
        <f>VLOOKUP(C38,'Train Runs'!$A$13:$AE$893,22,0)</f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4" t="str">
        <f>astrogrep_path&amp;" /spath="&amp;search_path&amp;" /stypes=""*"&amp;S38&amp;"*"&amp;TEXT(A38-utc_offset/24,"YYYYMMDD")&amp;"*"" /stext="" "&amp;TEXT(A38-utc_offset/24,"HH")&amp;search_regexp&amp;""" /e /r /s"</f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S38" s="9" t="str">
        <f>MID(B38,13,4)</f>
        <v>4026</v>
      </c>
      <c r="T38" s="49">
        <f>A38+6/24</f>
        <v>42562.640138888892</v>
      </c>
      <c r="U38" s="72" t="str">
        <f>IF(VALUE(LEFT(C38,3))&lt;300,"EC","NWGL")</f>
        <v>EC</v>
      </c>
      <c r="V38" s="72" t="str">
        <f>IF(AND(E38="TRACK WARRANT AUTHORITY",G38&lt;10),"OMIT","KEEP")</f>
        <v>KEEP</v>
      </c>
    </row>
    <row r="39" spans="1:22" x14ac:dyDescent="0.25">
      <c r="A39" s="80">
        <v>42562.403090277781</v>
      </c>
      <c r="B39" s="66" t="s">
        <v>72</v>
      </c>
      <c r="C39" s="42" t="s">
        <v>408</v>
      </c>
      <c r="D39" s="42" t="s">
        <v>50</v>
      </c>
      <c r="E39" s="66" t="s">
        <v>51</v>
      </c>
      <c r="F39" s="68">
        <v>0</v>
      </c>
      <c r="G39" s="68">
        <v>7</v>
      </c>
      <c r="H39" s="68">
        <v>118</v>
      </c>
      <c r="I39" s="66" t="s">
        <v>52</v>
      </c>
      <c r="J39" s="68">
        <v>1</v>
      </c>
      <c r="K39" s="42" t="s">
        <v>54</v>
      </c>
      <c r="L39" s="104" t="str">
        <f>VLOOKUP(C39,'Trips&amp;Operators'!$C$1:$E$9999,3,0)</f>
        <v>SPECTOR</v>
      </c>
      <c r="M39" s="9" t="s">
        <v>108</v>
      </c>
      <c r="N39" s="10"/>
      <c r="O39" s="42"/>
      <c r="P39" s="75" t="str">
        <f>VLOOKUP(C39,'Train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9" s="73" t="str">
        <f>VLOOKUP(C39,'Train Runs'!$A$13:$AE$893,22,0)</f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4" t="str">
        <f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S39" s="9" t="str">
        <f>MID(B39,13,4)</f>
        <v>4019</v>
      </c>
      <c r="T39" s="49">
        <f>A39+6/24</f>
        <v>42562.653090277781</v>
      </c>
      <c r="U39" s="72" t="str">
        <f>IF(VALUE(LEFT(C39,3))&lt;300,"EC","NWGL")</f>
        <v>EC</v>
      </c>
      <c r="V39" s="72" t="str">
        <f>IF(AND(E39="TRACK WARRANT AUTHORITY",G39&lt;10),"OMIT","KEEP")</f>
        <v>OMIT</v>
      </c>
    </row>
    <row r="40" spans="1:22" x14ac:dyDescent="0.25">
      <c r="A40" s="80">
        <v>42562.429456018515</v>
      </c>
      <c r="B40" s="66" t="s">
        <v>410</v>
      </c>
      <c r="C40" s="42" t="s">
        <v>411</v>
      </c>
      <c r="D40" s="42" t="s">
        <v>50</v>
      </c>
      <c r="E40" s="66" t="s">
        <v>51</v>
      </c>
      <c r="F40" s="68">
        <v>0</v>
      </c>
      <c r="G40" s="68">
        <v>6</v>
      </c>
      <c r="H40" s="68">
        <v>143</v>
      </c>
      <c r="I40" s="66" t="s">
        <v>52</v>
      </c>
      <c r="J40" s="68">
        <v>1</v>
      </c>
      <c r="K40" s="42" t="s">
        <v>54</v>
      </c>
      <c r="L40" s="104" t="str">
        <f>VLOOKUP(C40,'Trips&amp;Operators'!$C$1:$E$9999,3,0)</f>
        <v>DAVIS</v>
      </c>
      <c r="M40" s="9" t="s">
        <v>108</v>
      </c>
      <c r="N40" s="10"/>
      <c r="O40" s="42"/>
      <c r="P40" s="75" t="str">
        <f>VLOOKUP(C40,'Train Runs'!$A$13:$AE$893,31,0)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40" s="73" t="str">
        <f>VLOOKUP(C40,'Train Runs'!$A$13:$AE$893,22,0)</f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0" s="74" t="str">
        <f>astrogrep_path&amp;" /spath="&amp;search_path&amp;" /stypes=""*"&amp;S40&amp;"*"&amp;TEXT(A40-utc_offset/24,"YYYYMMDD")&amp;"*"" /stext="" "&amp;TEXT(A40-utc_offset/24,"HH")&amp;search_regexp&amp;""" /e /r /s"</f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S40" s="9" t="str">
        <f>MID(B40,13,4)</f>
        <v>4010</v>
      </c>
      <c r="T40" s="49">
        <f>A40+6/24</f>
        <v>42562.679456018515</v>
      </c>
      <c r="U40" s="72" t="str">
        <f>IF(VALUE(LEFT(C40,3))&lt;300,"EC","NWGL")</f>
        <v>EC</v>
      </c>
      <c r="V40" s="72" t="str">
        <f>IF(AND(E40="TRACK WARRANT AUTHORITY",G40&lt;10),"OMIT","KEEP")</f>
        <v>OMIT</v>
      </c>
    </row>
    <row r="41" spans="1:22" x14ac:dyDescent="0.25">
      <c r="A41" s="80">
        <v>42562.544270833336</v>
      </c>
      <c r="B41" s="66" t="s">
        <v>72</v>
      </c>
      <c r="C41" s="42" t="s">
        <v>417</v>
      </c>
      <c r="D41" s="42" t="s">
        <v>50</v>
      </c>
      <c r="E41" s="66" t="s">
        <v>51</v>
      </c>
      <c r="F41" s="68">
        <v>0</v>
      </c>
      <c r="G41" s="68">
        <v>56</v>
      </c>
      <c r="H41" s="68">
        <v>192</v>
      </c>
      <c r="I41" s="66" t="s">
        <v>52</v>
      </c>
      <c r="J41" s="68">
        <v>1</v>
      </c>
      <c r="K41" s="42" t="s">
        <v>54</v>
      </c>
      <c r="L41" s="104" t="str">
        <f>VLOOKUP(C41,'Trips&amp;Operators'!$C$1:$E$9999,3,0)</f>
        <v>SHOOK</v>
      </c>
      <c r="M41" s="9" t="s">
        <v>108</v>
      </c>
      <c r="N41" s="10"/>
      <c r="O41" s="42"/>
      <c r="P41" s="75" t="str">
        <f>VLOOKUP(C41,'Train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1" s="73" t="str">
        <f>VLOOKUP(C41,'Train Runs'!$A$13:$AE$893,22,0)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4" t="str">
        <f>astrogrep_path&amp;" /spath="&amp;search_path&amp;" /stypes=""*"&amp;S41&amp;"*"&amp;TEXT(A41-utc_offset/24,"YYYYMMDD")&amp;"*"" /stext="" "&amp;TEXT(A41-utc_offset/24,"HH")&amp;search_regexp&amp;""" /e /r /s"</f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S41" s="9" t="str">
        <f>MID(B41,13,4)</f>
        <v>4019</v>
      </c>
      <c r="T41" s="49">
        <f>A41+6/24</f>
        <v>42562.794270833336</v>
      </c>
      <c r="U41" s="72" t="str">
        <f>IF(VALUE(LEFT(C41,3))&lt;300,"EC","NWGL")</f>
        <v>EC</v>
      </c>
      <c r="V41" s="72" t="str">
        <f>IF(AND(E41="TRACK WARRANT AUTHORITY",G41&lt;10),"OMIT","KEEP")</f>
        <v>KEEP</v>
      </c>
    </row>
    <row r="42" spans="1:22" x14ac:dyDescent="0.25">
      <c r="A42" s="80">
        <v>42562.564803240741</v>
      </c>
      <c r="B42" s="66" t="s">
        <v>289</v>
      </c>
      <c r="C42" s="42" t="s">
        <v>416</v>
      </c>
      <c r="D42" s="42" t="s">
        <v>50</v>
      </c>
      <c r="E42" s="66" t="s">
        <v>51</v>
      </c>
      <c r="F42" s="68">
        <v>0</v>
      </c>
      <c r="G42" s="68">
        <v>8</v>
      </c>
      <c r="H42" s="68">
        <v>123</v>
      </c>
      <c r="I42" s="66" t="s">
        <v>52</v>
      </c>
      <c r="J42" s="68">
        <v>1</v>
      </c>
      <c r="K42" s="42" t="s">
        <v>54</v>
      </c>
      <c r="L42" s="104" t="str">
        <f>VLOOKUP(C42,'Trips&amp;Operators'!$C$1:$E$9999,3,0)</f>
        <v>STARKS</v>
      </c>
      <c r="M42" s="9" t="s">
        <v>108</v>
      </c>
      <c r="N42" s="10"/>
      <c r="O42" s="72"/>
      <c r="P42" s="75" t="str">
        <f>VLOOKUP(C42,'Train Runs'!$A$13:$AE$893,31,0)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42" s="73" t="str">
        <f>VLOOKUP(C42,'Train Runs'!$A$13:$AE$893,22,0)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2" s="74" t="str">
        <f>astrogrep_path&amp;" /spath="&amp;search_path&amp;" /stypes=""*"&amp;S42&amp;"*"&amp;TEXT(A42-utc_offset/24,"YYYYMMDD")&amp;"*"" /stext="" "&amp;TEXT(A42-utc_offset/24,"HH")&amp;search_regexp&amp;""" /e /r /s"</f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42" s="9" t="str">
        <f>MID(B42,13,4)</f>
        <v>4015</v>
      </c>
      <c r="T42" s="49">
        <f>A42+6/24</f>
        <v>42562.814803240741</v>
      </c>
      <c r="U42" s="72" t="str">
        <f>IF(VALUE(LEFT(C42,3))&lt;300,"EC","NWGL")</f>
        <v>EC</v>
      </c>
      <c r="V42" s="72" t="str">
        <f>IF(AND(E42="TRACK WARRANT AUTHORITY",G42&lt;10),"OMIT","KEEP")</f>
        <v>OMIT</v>
      </c>
    </row>
    <row r="43" spans="1:22" x14ac:dyDescent="0.25">
      <c r="A43" s="80">
        <v>42562.607164351852</v>
      </c>
      <c r="B43" s="66" t="s">
        <v>120</v>
      </c>
      <c r="C43" s="42" t="s">
        <v>421</v>
      </c>
      <c r="D43" s="42" t="s">
        <v>50</v>
      </c>
      <c r="E43" s="66" t="s">
        <v>51</v>
      </c>
      <c r="F43" s="68">
        <v>0</v>
      </c>
      <c r="G43" s="68">
        <v>56</v>
      </c>
      <c r="H43" s="68">
        <v>194</v>
      </c>
      <c r="I43" s="66" t="s">
        <v>52</v>
      </c>
      <c r="J43" s="68">
        <v>1</v>
      </c>
      <c r="K43" s="42" t="s">
        <v>54</v>
      </c>
      <c r="L43" s="104" t="str">
        <f>VLOOKUP(C43,'Trips&amp;Operators'!$C$1:$E$9999,3,0)</f>
        <v>BARTLETT</v>
      </c>
      <c r="M43" s="9" t="s">
        <v>108</v>
      </c>
      <c r="N43" s="10"/>
      <c r="O43" s="72"/>
      <c r="P43" s="75" t="str">
        <f>VLOOKUP(C43,'Train Runs'!$A$13:$AE$893,31,0)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43" s="73" t="str">
        <f>VLOOKUP(C43,'Train Runs'!$A$13:$AE$893,22,0)</f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3" s="74" t="str">
        <f>astrogrep_path&amp;" /spath="&amp;search_path&amp;" /stypes=""*"&amp;S43&amp;"*"&amp;TEXT(A43-utc_offset/24,"YYYYMMDD")&amp;"*"" /stext="" "&amp;TEXT(A43-utc_offset/24,"HH")&amp;search_regexp&amp;""" /e /r /s"</f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S43" s="9" t="str">
        <f>MID(B43,13,4)</f>
        <v>4026</v>
      </c>
      <c r="T43" s="49">
        <f>A43+6/24</f>
        <v>42562.857164351852</v>
      </c>
      <c r="U43" s="72" t="str">
        <f>IF(VALUE(LEFT(C43,3))&lt;300,"EC","NWGL")</f>
        <v>EC</v>
      </c>
      <c r="V43" s="72" t="str">
        <f>IF(AND(E43="TRACK WARRANT AUTHORITY",G43&lt;10),"OMIT","KEEP")</f>
        <v>KEEP</v>
      </c>
    </row>
    <row r="44" spans="1:22" x14ac:dyDescent="0.25">
      <c r="A44" s="80">
        <v>42562.617650462962</v>
      </c>
      <c r="B44" s="66" t="s">
        <v>72</v>
      </c>
      <c r="C44" s="42" t="s">
        <v>422</v>
      </c>
      <c r="D44" s="42" t="s">
        <v>50</v>
      </c>
      <c r="E44" s="66" t="s">
        <v>51</v>
      </c>
      <c r="F44" s="68">
        <v>0</v>
      </c>
      <c r="G44" s="68">
        <v>5</v>
      </c>
      <c r="H44" s="68">
        <v>134</v>
      </c>
      <c r="I44" s="66" t="s">
        <v>52</v>
      </c>
      <c r="J44" s="68">
        <v>1</v>
      </c>
      <c r="K44" s="42" t="s">
        <v>54</v>
      </c>
      <c r="L44" s="104" t="str">
        <f>VLOOKUP(C44,'Trips&amp;Operators'!$C$1:$E$9999,3,0)</f>
        <v>SHOOK</v>
      </c>
      <c r="M44" s="9" t="s">
        <v>108</v>
      </c>
      <c r="N44" s="10"/>
      <c r="O44" s="42"/>
      <c r="P44" s="75" t="str">
        <f>VLOOKUP(C44,'Train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4" s="73" t="str">
        <f>VLOOKUP(C44,'Train Runs'!$A$13:$AE$893,22,0)</f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4" s="74" t="str">
        <f>astrogrep_path&amp;" /spath="&amp;search_path&amp;" /stypes=""*"&amp;S44&amp;"*"&amp;TEXT(A44-utc_offset/24,"YYYYMMDD")&amp;"*"" /stext="" "&amp;TEXT(A44-utc_offset/24,"HH")&amp;search_regexp&amp;""" /e /r /s"</f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S44" s="9" t="str">
        <f>MID(B44,13,4)</f>
        <v>4019</v>
      </c>
      <c r="T44" s="49">
        <f>A44+6/24</f>
        <v>42562.867650462962</v>
      </c>
      <c r="U44" s="72" t="str">
        <f>IF(VALUE(LEFT(C44,3))&lt;300,"EC","NWGL")</f>
        <v>EC</v>
      </c>
      <c r="V44" s="72" t="str">
        <f>IF(AND(E44="TRACK WARRANT AUTHORITY",G44&lt;10),"OMIT","KEEP")</f>
        <v>OMIT</v>
      </c>
    </row>
    <row r="45" spans="1:22" x14ac:dyDescent="0.25">
      <c r="A45" s="80">
        <v>42562.626608796294</v>
      </c>
      <c r="B45" s="66" t="s">
        <v>75</v>
      </c>
      <c r="C45" s="42" t="s">
        <v>420</v>
      </c>
      <c r="D45" s="42" t="s">
        <v>50</v>
      </c>
      <c r="E45" s="66" t="s">
        <v>51</v>
      </c>
      <c r="F45" s="68">
        <v>0</v>
      </c>
      <c r="G45" s="68">
        <v>51</v>
      </c>
      <c r="H45" s="68">
        <v>156</v>
      </c>
      <c r="I45" s="66" t="s">
        <v>52</v>
      </c>
      <c r="J45" s="68">
        <v>1</v>
      </c>
      <c r="K45" s="42" t="s">
        <v>54</v>
      </c>
      <c r="L45" s="104" t="str">
        <f>VLOOKUP(C45,'Trips&amp;Operators'!$C$1:$E$9999,3,0)</f>
        <v>MAYBERRY</v>
      </c>
      <c r="M45" s="9" t="s">
        <v>108</v>
      </c>
      <c r="N45" s="10"/>
      <c r="O45" s="72"/>
      <c r="P45" s="75" t="str">
        <f>VLOOKUP(C45,'Train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5" s="73" t="str">
        <f>VLOOKUP(C45,'Train Runs'!$A$13:$AE$893,22,0)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5" s="74" t="str">
        <f>astrogrep_path&amp;" /spath="&amp;search_path&amp;" /stypes=""*"&amp;S45&amp;"*"&amp;TEXT(A45-utc_offset/24,"YYYYMMDD")&amp;"*"" /stext="" "&amp;TEXT(A45-utc_offset/24,"HH")&amp;search_regexp&amp;""" /e /r /s"</f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S45" s="9" t="str">
        <f>MID(B45,13,4)</f>
        <v>4017</v>
      </c>
      <c r="T45" s="49">
        <f>A45+6/24</f>
        <v>42562.876608796294</v>
      </c>
      <c r="U45" s="72" t="str">
        <f>IF(VALUE(LEFT(C45,3))&lt;300,"EC","NWGL")</f>
        <v>EC</v>
      </c>
      <c r="V45" s="72" t="str">
        <f>IF(AND(E45="TRACK WARRANT AUTHORITY",G45&lt;10),"OMIT","KEEP")</f>
        <v>KEEP</v>
      </c>
    </row>
    <row r="46" spans="1:22" x14ac:dyDescent="0.25">
      <c r="A46" s="80">
        <v>42562.668900462966</v>
      </c>
      <c r="B46" s="42" t="s">
        <v>122</v>
      </c>
      <c r="C46" s="42" t="s">
        <v>425</v>
      </c>
      <c r="D46" s="42" t="s">
        <v>50</v>
      </c>
      <c r="E46" s="42" t="s">
        <v>51</v>
      </c>
      <c r="F46" s="68">
        <v>0</v>
      </c>
      <c r="G46" s="68">
        <v>90</v>
      </c>
      <c r="H46" s="68">
        <v>307</v>
      </c>
      <c r="I46" s="42" t="s">
        <v>52</v>
      </c>
      <c r="J46" s="68">
        <v>1</v>
      </c>
      <c r="K46" s="42" t="s">
        <v>54</v>
      </c>
      <c r="L46" s="104" t="str">
        <f>VLOOKUP(C46,'Trips&amp;Operators'!$C$1:$E$9999,3,0)</f>
        <v>STEWART</v>
      </c>
      <c r="M46" s="9" t="s">
        <v>108</v>
      </c>
      <c r="N46" s="10"/>
      <c r="O46" s="42"/>
      <c r="P46" s="75" t="str">
        <f>VLOOKUP(C46,'Train Runs'!$A$13:$AE$893,31,0)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46" s="73" t="str">
        <f>VLOOKUP(C46,'Train Runs'!$A$13:$AE$893,22,0)</f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4" t="str">
        <f>astrogrep_path&amp;" /spath="&amp;search_path&amp;" /stypes=""*"&amp;S46&amp;"*"&amp;TEXT(A46-utc_offset/24,"YYYYMMDD")&amp;"*"" /stext="" "&amp;TEXT(A46-utc_offset/24,"HH")&amp;search_regexp&amp;""" /e /r /s"</f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S46" s="9" t="str">
        <f>MID(B46,13,4)</f>
        <v>4013</v>
      </c>
      <c r="T46" s="49">
        <f>A46+6/24</f>
        <v>42562.918900462966</v>
      </c>
      <c r="U46" s="72" t="str">
        <f>IF(VALUE(LEFT(C46,3))&lt;300,"EC","NWGL")</f>
        <v>EC</v>
      </c>
      <c r="V46" s="72" t="str">
        <f>IF(AND(E46="TRACK WARRANT AUTHORITY",G46&lt;10),"OMIT","KEEP")</f>
        <v>KEEP</v>
      </c>
    </row>
    <row r="47" spans="1:22" x14ac:dyDescent="0.25">
      <c r="A47" s="80">
        <v>42562.702314814815</v>
      </c>
      <c r="B47" s="66" t="s">
        <v>75</v>
      </c>
      <c r="C47" s="42" t="s">
        <v>426</v>
      </c>
      <c r="D47" s="42" t="s">
        <v>50</v>
      </c>
      <c r="E47" s="66" t="s">
        <v>51</v>
      </c>
      <c r="F47" s="68">
        <v>0</v>
      </c>
      <c r="G47" s="68">
        <v>75</v>
      </c>
      <c r="H47" s="68">
        <v>273</v>
      </c>
      <c r="I47" s="66" t="s">
        <v>52</v>
      </c>
      <c r="J47" s="68">
        <v>1</v>
      </c>
      <c r="K47" s="42" t="s">
        <v>54</v>
      </c>
      <c r="L47" s="104" t="str">
        <f>VLOOKUP(C47,'Trips&amp;Operators'!$C$1:$E$9999,3,0)</f>
        <v>MAYBERRY</v>
      </c>
      <c r="M47" s="9" t="s">
        <v>108</v>
      </c>
      <c r="N47" s="10"/>
      <c r="O47" s="42"/>
      <c r="P47" s="75" t="str">
        <f>VLOOKUP(C47,'Train Runs'!$A$13:$AE$893,31,0)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7" s="73" t="str">
        <f>VLOOKUP(C47,'Train Runs'!$A$13:$AE$893,22,0)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7" s="74" t="str">
        <f>astrogrep_path&amp;" /spath="&amp;search_path&amp;" /stypes=""*"&amp;S47&amp;"*"&amp;TEXT(A47-utc_offset/24,"YYYYMMDD")&amp;"*"" /stext="" "&amp;TEXT(A47-utc_offset/24,"HH")&amp;search_regexp&amp;""" /e /r /s"</f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47" s="9" t="str">
        <f>MID(B47,13,4)</f>
        <v>4017</v>
      </c>
      <c r="T47" s="49">
        <f>A47+6/24</f>
        <v>42562.952314814815</v>
      </c>
      <c r="U47" s="72" t="str">
        <f>IF(VALUE(LEFT(C47,3))&lt;300,"EC","NWGL")</f>
        <v>EC</v>
      </c>
      <c r="V47" s="72" t="str">
        <f>IF(AND(E47="TRACK WARRANT AUTHORITY",G47&lt;10),"OMIT","KEEP")</f>
        <v>KEEP</v>
      </c>
    </row>
    <row r="48" spans="1:22" x14ac:dyDescent="0.25">
      <c r="A48" s="80">
        <v>42562.807152777779</v>
      </c>
      <c r="B48" s="66" t="s">
        <v>67</v>
      </c>
      <c r="C48" s="42" t="s">
        <v>434</v>
      </c>
      <c r="D48" s="42" t="s">
        <v>50</v>
      </c>
      <c r="E48" s="66" t="s">
        <v>51</v>
      </c>
      <c r="F48" s="68">
        <v>0</v>
      </c>
      <c r="G48" s="68">
        <v>8</v>
      </c>
      <c r="H48" s="68">
        <v>121</v>
      </c>
      <c r="I48" s="66" t="s">
        <v>52</v>
      </c>
      <c r="J48" s="68">
        <v>1</v>
      </c>
      <c r="K48" s="42" t="s">
        <v>54</v>
      </c>
      <c r="L48" s="104" t="str">
        <f>VLOOKUP(C48,'Trips&amp;Operators'!$C$1:$E$9999,3,0)</f>
        <v>NEWELL</v>
      </c>
      <c r="M48" s="9" t="s">
        <v>108</v>
      </c>
      <c r="N48" s="10"/>
      <c r="O48" s="72"/>
      <c r="P48" s="75" t="str">
        <f>VLOOKUP(C48,'Train Runs'!$A$13:$AE$893,31,0)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8" s="73" t="str">
        <f>VLOOKUP(C48,'Train Runs'!$A$13:$AE$893,22,0)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8" s="74" t="str">
        <f>astrogrep_path&amp;" /spath="&amp;search_path&amp;" /stypes=""*"&amp;S48&amp;"*"&amp;TEXT(A48-utc_offset/24,"YYYYMMDD")&amp;"*"" /stext="" "&amp;TEXT(A48-utc_offset/24,"HH")&amp;search_regexp&amp;""" /e /r /s"</f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48" s="9" t="str">
        <f>MID(B48,13,4)</f>
        <v>4032</v>
      </c>
      <c r="T48" s="49">
        <f>A48+6/24</f>
        <v>42563.057152777779</v>
      </c>
      <c r="U48" s="72" t="str">
        <f>IF(VALUE(LEFT(C48,3))&lt;300,"EC","NWGL")</f>
        <v>EC</v>
      </c>
      <c r="V48" s="72" t="str">
        <f>IF(AND(E48="TRACK WARRANT AUTHORITY",G48&lt;10),"OMIT","KEEP")</f>
        <v>OMIT</v>
      </c>
    </row>
    <row r="49" spans="1:22" x14ac:dyDescent="0.25">
      <c r="A49" s="80">
        <v>42562.876979166664</v>
      </c>
      <c r="B49" s="66" t="s">
        <v>67</v>
      </c>
      <c r="C49" s="42" t="s">
        <v>436</v>
      </c>
      <c r="D49" s="42" t="s">
        <v>50</v>
      </c>
      <c r="E49" s="66" t="s">
        <v>51</v>
      </c>
      <c r="F49" s="68">
        <v>0</v>
      </c>
      <c r="G49" s="68">
        <v>7</v>
      </c>
      <c r="H49" s="68">
        <v>109</v>
      </c>
      <c r="I49" s="66" t="s">
        <v>52</v>
      </c>
      <c r="J49" s="68">
        <v>1</v>
      </c>
      <c r="K49" s="42" t="s">
        <v>54</v>
      </c>
      <c r="L49" s="104" t="str">
        <f>VLOOKUP(C49,'Trips&amp;Operators'!$C$1:$E$9999,3,0)</f>
        <v>NEWELL</v>
      </c>
      <c r="M49" s="9" t="s">
        <v>108</v>
      </c>
      <c r="N49" s="10"/>
      <c r="O49" s="42"/>
      <c r="P49" s="75" t="str">
        <f>VLOOKUP(C49,'Train Runs'!$A$13:$AE$893,31,0)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9" s="73" t="str">
        <f>VLOOKUP(C49,'Train Runs'!$A$13:$AE$893,22,0)</f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9" s="74" t="str">
        <f>astrogrep_path&amp;" /spath="&amp;search_path&amp;" /stypes=""*"&amp;S49&amp;"*"&amp;TEXT(A49-utc_offset/24,"YYYYMMDD")&amp;"*"" /stext="" "&amp;TEXT(A49-utc_offset/24,"HH")&amp;search_regexp&amp;""" /e /r /s"</f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S49" s="9" t="str">
        <f>MID(B49,13,4)</f>
        <v>4032</v>
      </c>
      <c r="T49" s="49">
        <f>A49+6/24</f>
        <v>42563.126979166664</v>
      </c>
      <c r="U49" s="72" t="str">
        <f>IF(VALUE(LEFT(C49,3))&lt;300,"EC","NWGL")</f>
        <v>EC</v>
      </c>
      <c r="V49" s="72" t="str">
        <f>IF(AND(E49="TRACK WARRANT AUTHORITY",G49&lt;10),"OMIT","KEEP")</f>
        <v>OMIT</v>
      </c>
    </row>
    <row r="50" spans="1:22" x14ac:dyDescent="0.25">
      <c r="A50" s="80">
        <v>42562.919293981482</v>
      </c>
      <c r="B50" s="66" t="s">
        <v>72</v>
      </c>
      <c r="C50" s="42" t="s">
        <v>438</v>
      </c>
      <c r="D50" s="42" t="s">
        <v>50</v>
      </c>
      <c r="E50" s="66" t="s">
        <v>51</v>
      </c>
      <c r="F50" s="68">
        <v>0</v>
      </c>
      <c r="G50" s="68">
        <v>8</v>
      </c>
      <c r="H50" s="68">
        <v>119</v>
      </c>
      <c r="I50" s="66" t="s">
        <v>52</v>
      </c>
      <c r="J50" s="68">
        <v>1</v>
      </c>
      <c r="K50" s="42" t="s">
        <v>54</v>
      </c>
      <c r="L50" s="104" t="str">
        <f>VLOOKUP(C50,'Trips&amp;Operators'!$C$1:$E$9999,3,0)</f>
        <v>KILLION</v>
      </c>
      <c r="M50" s="9" t="s">
        <v>108</v>
      </c>
      <c r="N50" s="10"/>
      <c r="O50" s="72"/>
      <c r="P50" s="75" t="str">
        <f>VLOOKUP(C50,'Train Runs'!$A$13:$AE$893,31,0)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50" s="73" t="str">
        <f>VLOOKUP(C50,'Train Runs'!$A$13:$AE$893,22,0)</f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0" s="74" t="str">
        <f>astrogrep_path&amp;" /spath="&amp;search_path&amp;" /stypes=""*"&amp;S50&amp;"*"&amp;TEXT(A50-utc_offset/24,"YYYYMMDD")&amp;"*"" /stext="" "&amp;TEXT(A50-utc_offset/24,"HH")&amp;search_regexp&amp;""" /e /r /s"</f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S50" s="9" t="str">
        <f>MID(B50,13,4)</f>
        <v>4019</v>
      </c>
      <c r="T50" s="49">
        <f>A50+6/24</f>
        <v>42563.169293981482</v>
      </c>
      <c r="U50" s="72" t="str">
        <f>IF(VALUE(LEFT(C50,3))&lt;300,"EC","NWGL")</f>
        <v>EC</v>
      </c>
      <c r="V50" s="72" t="str">
        <f>IF(AND(E50="TRACK WARRANT AUTHORITY",G50&lt;10),"OMIT","KEEP")</f>
        <v>OMIT</v>
      </c>
    </row>
    <row r="51" spans="1:22" x14ac:dyDescent="0.25">
      <c r="A51" s="80">
        <v>42562.940370370372</v>
      </c>
      <c r="B51" s="42" t="s">
        <v>289</v>
      </c>
      <c r="C51" s="42" t="s">
        <v>440</v>
      </c>
      <c r="D51" s="42" t="s">
        <v>50</v>
      </c>
      <c r="E51" s="42" t="s">
        <v>51</v>
      </c>
      <c r="F51" s="68">
        <v>0</v>
      </c>
      <c r="G51" s="68">
        <v>5</v>
      </c>
      <c r="H51" s="68">
        <v>147</v>
      </c>
      <c r="I51" s="42" t="s">
        <v>52</v>
      </c>
      <c r="J51" s="68">
        <v>1</v>
      </c>
      <c r="K51" s="42" t="s">
        <v>54</v>
      </c>
      <c r="L51" s="104" t="str">
        <f>VLOOKUP(C51,'Trips&amp;Operators'!$C$1:$E$9999,3,0)</f>
        <v>MAELZER</v>
      </c>
      <c r="M51" s="9" t="s">
        <v>108</v>
      </c>
      <c r="N51" s="10"/>
      <c r="O51" s="72"/>
      <c r="P51" s="75" t="str">
        <f>VLOOKUP(C51,'Train Runs'!$A$13:$AE$893,31,0)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51" s="73" t="str">
        <f>VLOOKUP(C51,'Train Runs'!$A$13:$AE$893,22,0)</f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1" s="74" t="str">
        <f>astrogrep_path&amp;" /spath="&amp;search_path&amp;" /stypes=""*"&amp;S51&amp;"*"&amp;TEXT(A51-utc_offset/24,"YYYYMMDD")&amp;"*"" /stext="" "&amp;TEXT(A51-utc_offset/24,"HH")&amp;search_regexp&amp;""" /e /r /s"</f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S51" s="9" t="str">
        <f>MID(B51,13,4)</f>
        <v>4015</v>
      </c>
      <c r="T51" s="49">
        <f>A51+6/24</f>
        <v>42563.190370370372</v>
      </c>
      <c r="U51" s="72" t="str">
        <f>IF(VALUE(LEFT(C51,3))&lt;300,"EC","NWGL")</f>
        <v>EC</v>
      </c>
      <c r="V51" s="72" t="str">
        <f>IF(AND(E51="TRACK WARRANT AUTHORITY",G51&lt;10),"OMIT","KEEP")</f>
        <v>OMIT</v>
      </c>
    </row>
    <row r="52" spans="1:22" x14ac:dyDescent="0.25">
      <c r="A52" s="80">
        <v>42562.181747685187</v>
      </c>
      <c r="B52" s="66" t="s">
        <v>76</v>
      </c>
      <c r="C52" s="42" t="s">
        <v>395</v>
      </c>
      <c r="D52" s="42" t="s">
        <v>50</v>
      </c>
      <c r="E52" s="66" t="s">
        <v>51</v>
      </c>
      <c r="F52" s="68">
        <v>0</v>
      </c>
      <c r="G52" s="68">
        <v>33</v>
      </c>
      <c r="H52" s="68">
        <v>233372</v>
      </c>
      <c r="I52" s="66" t="s">
        <v>52</v>
      </c>
      <c r="J52" s="68">
        <v>233491</v>
      </c>
      <c r="K52" s="42" t="s">
        <v>53</v>
      </c>
      <c r="L52" s="104" t="str">
        <f>VLOOKUP(C52,'Trips&amp;Operators'!$C$1:$E$9999,3,0)</f>
        <v>ACKERMAN</v>
      </c>
      <c r="M52" s="9" t="s">
        <v>108</v>
      </c>
      <c r="N52" s="10"/>
      <c r="O52" s="42"/>
      <c r="P52" s="75" t="str">
        <f>VLOOKUP(C52,'Train Runs'!$A$13:$AE$893,31,0)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52" s="73" t="str">
        <f>VLOOKUP(C52,'Train Runs'!$A$13:$AE$893,22,0)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2" s="74" t="str">
        <f>astrogrep_path&amp;" /spath="&amp;search_path&amp;" /stypes=""*"&amp;S52&amp;"*"&amp;TEXT(A52-utc_offset/24,"YYYYMMDD")&amp;"*"" /stext="" "&amp;TEXT(A52-utc_offset/24,"HH")&amp;search_regexp&amp;""" /e /r /s"</f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S52" s="9" t="str">
        <f>MID(B52,13,4)</f>
        <v>4031</v>
      </c>
      <c r="T52" s="49">
        <f>A52+6/24</f>
        <v>42562.431747685187</v>
      </c>
      <c r="U52" s="72" t="str">
        <f>IF(VALUE(LEFT(C52,3))&lt;300,"EC","NWGL")</f>
        <v>EC</v>
      </c>
      <c r="V52" s="72" t="str">
        <f>IF(AND(E52="TRACK WARRANT AUTHORITY",G52&lt;10),"OMIT","KEEP")</f>
        <v>KEEP</v>
      </c>
    </row>
    <row r="53" spans="1:22" x14ac:dyDescent="0.25">
      <c r="A53" s="80">
        <v>42562.201620370368</v>
      </c>
      <c r="B53" s="42" t="s">
        <v>123</v>
      </c>
      <c r="C53" s="42" t="s">
        <v>396</v>
      </c>
      <c r="D53" s="42" t="s">
        <v>50</v>
      </c>
      <c r="E53" s="42" t="s">
        <v>51</v>
      </c>
      <c r="F53" s="68">
        <v>0</v>
      </c>
      <c r="G53" s="68">
        <v>5</v>
      </c>
      <c r="H53" s="68">
        <v>233320</v>
      </c>
      <c r="I53" s="42" t="s">
        <v>52</v>
      </c>
      <c r="J53" s="68">
        <v>233491</v>
      </c>
      <c r="K53" s="42" t="s">
        <v>53</v>
      </c>
      <c r="L53" s="104" t="str">
        <f>VLOOKUP(C53,'Trips&amp;Operators'!$C$1:$E$9999,3,0)</f>
        <v>BRANNON</v>
      </c>
      <c r="M53" s="9" t="s">
        <v>108</v>
      </c>
      <c r="N53" s="10"/>
      <c r="O53" s="42"/>
      <c r="P53" s="75" t="str">
        <f>VLOOKUP(C53,'Train Runs'!$A$13:$AE$893,31,0)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53" s="73" t="str">
        <f>VLOOKUP(C53,'Train Runs'!$A$13:$AE$893,22,0)</f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4" t="str">
        <f>astrogrep_path&amp;" /spath="&amp;search_path&amp;" /stypes=""*"&amp;S53&amp;"*"&amp;TEXT(A53-utc_offset/24,"YYYYMMDD")&amp;"*"" /stext="" "&amp;TEXT(A53-utc_offset/24,"HH")&amp;search_regexp&amp;""" /e /r /s"</f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S53" s="9" t="str">
        <f>MID(B53,13,4)</f>
        <v>4025</v>
      </c>
      <c r="T53" s="49">
        <f>A53+6/24</f>
        <v>42562.451620370368</v>
      </c>
      <c r="U53" s="72" t="str">
        <f>IF(VALUE(LEFT(C53,3))&lt;300,"EC","NWGL")</f>
        <v>EC</v>
      </c>
      <c r="V53" s="72" t="str">
        <f>IF(AND(E53="TRACK WARRANT AUTHORITY",G53&lt;10),"OMIT","KEEP")</f>
        <v>OMIT</v>
      </c>
    </row>
    <row r="54" spans="1:22" x14ac:dyDescent="0.25">
      <c r="A54" s="80">
        <v>42562.222233796296</v>
      </c>
      <c r="B54" s="66" t="s">
        <v>74</v>
      </c>
      <c r="C54" s="42" t="s">
        <v>398</v>
      </c>
      <c r="D54" s="42" t="s">
        <v>50</v>
      </c>
      <c r="E54" s="66" t="s">
        <v>51</v>
      </c>
      <c r="F54" s="68">
        <v>0</v>
      </c>
      <c r="G54" s="68">
        <v>9</v>
      </c>
      <c r="H54" s="68">
        <v>233336</v>
      </c>
      <c r="I54" s="66" t="s">
        <v>52</v>
      </c>
      <c r="J54" s="68">
        <v>233491</v>
      </c>
      <c r="K54" s="42" t="s">
        <v>53</v>
      </c>
      <c r="L54" s="104" t="str">
        <f>VLOOKUP(C54,'Trips&amp;Operators'!$C$1:$E$9999,3,0)</f>
        <v>YORK</v>
      </c>
      <c r="M54" s="9" t="s">
        <v>108</v>
      </c>
      <c r="N54" s="10"/>
      <c r="O54" s="42"/>
      <c r="P54" s="75" t="str">
        <f>VLOOKUP(C54,'Train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4" s="73" t="str">
        <f>VLOOKUP(C54,'Train Runs'!$A$13:$AE$893,22,0)</f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4" s="74" t="str">
        <f>astrogrep_path&amp;" /spath="&amp;search_path&amp;" /stypes=""*"&amp;S54&amp;"*"&amp;TEXT(A54-utc_offset/24,"YYYYMMDD")&amp;"*"" /stext="" "&amp;TEXT(A54-utc_offset/24,"HH")&amp;search_regexp&amp;""" /e /r /s"</f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S54" s="9" t="str">
        <f>MID(B54,13,4)</f>
        <v>4018</v>
      </c>
      <c r="T54" s="49">
        <f>A54+6/24</f>
        <v>42562.472233796296</v>
      </c>
      <c r="U54" s="72" t="str">
        <f>IF(VALUE(LEFT(C54,3))&lt;300,"EC","NWGL")</f>
        <v>EC</v>
      </c>
      <c r="V54" s="72" t="str">
        <f>IF(AND(E54="TRACK WARRANT AUTHORITY",G54&lt;10),"OMIT","KEEP")</f>
        <v>OMIT</v>
      </c>
    </row>
    <row r="55" spans="1:22" x14ac:dyDescent="0.25">
      <c r="A55" s="80">
        <v>42562.384409722225</v>
      </c>
      <c r="B55" s="66" t="s">
        <v>291</v>
      </c>
      <c r="C55" s="42" t="s">
        <v>404</v>
      </c>
      <c r="D55" s="42" t="s">
        <v>50</v>
      </c>
      <c r="E55" s="66" t="s">
        <v>51</v>
      </c>
      <c r="F55" s="68">
        <v>0</v>
      </c>
      <c r="G55" s="68">
        <v>31</v>
      </c>
      <c r="H55" s="68">
        <v>233385</v>
      </c>
      <c r="I55" s="66" t="s">
        <v>52</v>
      </c>
      <c r="J55" s="68">
        <v>233491</v>
      </c>
      <c r="K55" s="42" t="s">
        <v>53</v>
      </c>
      <c r="L55" s="104" t="str">
        <f>VLOOKUP(C55,'Trips&amp;Operators'!$C$1:$E$9999,3,0)</f>
        <v>STARKS</v>
      </c>
      <c r="M55" s="9" t="s">
        <v>108</v>
      </c>
      <c r="N55" s="10"/>
      <c r="O55" s="42"/>
      <c r="P55" s="75" t="str">
        <f>VLOOKUP(C55,'Train Runs'!$A$13:$AE$893,31,0)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5" s="73" t="str">
        <f>VLOOKUP(C55,'Train Runs'!$A$13:$AE$893,22,0)</f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5" s="74" t="str">
        <f>astrogrep_path&amp;" /spath="&amp;search_path&amp;" /stypes=""*"&amp;S55&amp;"*"&amp;TEXT(A55-utc_offset/24,"YYYYMMDD")&amp;"*"" /stext="" "&amp;TEXT(A55-utc_offset/24,"HH")&amp;search_regexp&amp;""" /e /r /s"</f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S55" s="9" t="str">
        <f>MID(B55,13,4)</f>
        <v>4016</v>
      </c>
      <c r="T55" s="49">
        <f>A55+6/24</f>
        <v>42562.634409722225</v>
      </c>
      <c r="U55" s="72" t="str">
        <f>IF(VALUE(LEFT(C55,3))&lt;300,"EC","NWGL")</f>
        <v>EC</v>
      </c>
      <c r="V55" s="72" t="str">
        <f>IF(AND(E55="TRACK WARRANT AUTHORITY",G55&lt;10),"OMIT","KEEP")</f>
        <v>KEEP</v>
      </c>
    </row>
    <row r="56" spans="1:22" x14ac:dyDescent="0.25">
      <c r="A56" s="80">
        <v>42562.390347222223</v>
      </c>
      <c r="B56" s="42" t="s">
        <v>406</v>
      </c>
      <c r="C56" s="42" t="s">
        <v>407</v>
      </c>
      <c r="D56" s="42" t="s">
        <v>50</v>
      </c>
      <c r="E56" s="42" t="s">
        <v>51</v>
      </c>
      <c r="F56" s="68">
        <v>0</v>
      </c>
      <c r="G56" s="68">
        <v>6</v>
      </c>
      <c r="H56" s="68">
        <v>233324</v>
      </c>
      <c r="I56" s="42" t="s">
        <v>52</v>
      </c>
      <c r="J56" s="68">
        <v>233491</v>
      </c>
      <c r="K56" s="42" t="s">
        <v>53</v>
      </c>
      <c r="L56" s="104" t="str">
        <f>VLOOKUP(C56,'Trips&amp;Operators'!$C$1:$E$9999,3,0)</f>
        <v>DAVIS</v>
      </c>
      <c r="M56" s="9" t="s">
        <v>108</v>
      </c>
      <c r="N56" s="10"/>
      <c r="O56" s="42"/>
      <c r="P56" s="75" t="str">
        <f>VLOOKUP(C56,'Train Runs'!$A$13:$AE$893,31,0)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56" s="73" t="str">
        <f>VLOOKUP(C56,'Train Runs'!$A$13:$AE$893,22,0)</f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6" s="74" t="str">
        <f>astrogrep_path&amp;" /spath="&amp;search_path&amp;" /stypes=""*"&amp;S56&amp;"*"&amp;TEXT(A56-utc_offset/24,"YYYYMMDD")&amp;"*"" /stext="" "&amp;TEXT(A56-utc_offset/24,"HH")&amp;search_regexp&amp;""" /e /r /s"</f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S56" s="9" t="str">
        <f>MID(B56,13,4)</f>
        <v>4009</v>
      </c>
      <c r="T56" s="49">
        <f>A56+6/24</f>
        <v>42562.640347222223</v>
      </c>
      <c r="U56" s="72" t="str">
        <f>IF(VALUE(LEFT(C56,3))&lt;300,"EC","NWGL")</f>
        <v>EC</v>
      </c>
      <c r="V56" s="72" t="str">
        <f>IF(AND(E56="TRACK WARRANT AUTHORITY",G56&lt;10),"OMIT","KEEP")</f>
        <v>OMIT</v>
      </c>
    </row>
    <row r="57" spans="1:22" x14ac:dyDescent="0.25">
      <c r="A57" s="80">
        <v>42562.452557870369</v>
      </c>
      <c r="B57" s="66" t="s">
        <v>291</v>
      </c>
      <c r="C57" s="42" t="s">
        <v>412</v>
      </c>
      <c r="D57" s="42" t="s">
        <v>50</v>
      </c>
      <c r="E57" s="66" t="s">
        <v>51</v>
      </c>
      <c r="F57" s="68">
        <v>0</v>
      </c>
      <c r="G57" s="68">
        <v>113</v>
      </c>
      <c r="H57" s="68">
        <v>233055</v>
      </c>
      <c r="I57" s="66" t="s">
        <v>52</v>
      </c>
      <c r="J57" s="68">
        <v>233491</v>
      </c>
      <c r="K57" s="42" t="s">
        <v>53</v>
      </c>
      <c r="L57" s="104" t="str">
        <f>VLOOKUP(C57,'Trips&amp;Operators'!$C$1:$E$9999,3,0)</f>
        <v>STARKS</v>
      </c>
      <c r="M57" s="9" t="s">
        <v>108</v>
      </c>
      <c r="N57" s="10"/>
      <c r="O57" s="42"/>
      <c r="P57" s="75" t="str">
        <f>VLOOKUP(C57,'Train Runs'!$A$13:$AE$893,31,0)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7" s="73" t="str">
        <f>VLOOKUP(C57,'Train Runs'!$A$13:$AE$893,22,0)</f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7" s="74" t="str">
        <f>astrogrep_path&amp;" /spath="&amp;search_path&amp;" /stypes=""*"&amp;S57&amp;"*"&amp;TEXT(A57-utc_offset/24,"YYYYMMDD")&amp;"*"" /stext="" "&amp;TEXT(A57-utc_offset/24,"HH")&amp;search_regexp&amp;""" /e /r /s"</f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S57" s="9" t="str">
        <f>MID(B57,13,4)</f>
        <v>4016</v>
      </c>
      <c r="T57" s="49">
        <f>A57+6/24</f>
        <v>42562.702557870369</v>
      </c>
      <c r="U57" s="72" t="str">
        <f>IF(VALUE(LEFT(C57,3))&lt;300,"EC","NWGL")</f>
        <v>EC</v>
      </c>
      <c r="V57" s="72" t="str">
        <f>IF(AND(E57="TRACK WARRANT AUTHORITY",G57&lt;10),"OMIT","KEEP")</f>
        <v>KEEP</v>
      </c>
    </row>
    <row r="58" spans="1:22" x14ac:dyDescent="0.25">
      <c r="A58" s="80">
        <v>42562.587916666664</v>
      </c>
      <c r="B58" s="66" t="s">
        <v>74</v>
      </c>
      <c r="C58" s="42" t="s">
        <v>418</v>
      </c>
      <c r="D58" s="42" t="s">
        <v>50</v>
      </c>
      <c r="E58" s="66" t="s">
        <v>51</v>
      </c>
      <c r="F58" s="68">
        <v>0</v>
      </c>
      <c r="G58" s="68">
        <v>87</v>
      </c>
      <c r="H58" s="68">
        <v>233149</v>
      </c>
      <c r="I58" s="66" t="s">
        <v>52</v>
      </c>
      <c r="J58" s="68">
        <v>233491</v>
      </c>
      <c r="K58" s="42" t="s">
        <v>53</v>
      </c>
      <c r="L58" s="104" t="str">
        <f>VLOOKUP(C58,'Trips&amp;Operators'!$C$1:$E$9999,3,0)</f>
        <v>MAYBERRY</v>
      </c>
      <c r="M58" s="9" t="s">
        <v>108</v>
      </c>
      <c r="N58" s="10"/>
      <c r="O58" s="72"/>
      <c r="P58" s="75" t="str">
        <f>VLOOKUP(C58,'Train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8" s="73" t="str">
        <f>VLOOKUP(C58,'Train Runs'!$A$13:$AE$893,22,0)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8" s="74" t="str">
        <f>astrogrep_path&amp;" /spath="&amp;search_path&amp;" /stypes=""*"&amp;S58&amp;"*"&amp;TEXT(A58-utc_offset/24,"YYYYMMDD")&amp;"*"" /stext="" "&amp;TEXT(A58-utc_offset/24,"HH")&amp;search_regexp&amp;""" /e /r /s"</f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S58" s="9" t="str">
        <f>MID(B58,13,4)</f>
        <v>4018</v>
      </c>
      <c r="T58" s="49">
        <f>A58+6/24</f>
        <v>42562.837916666664</v>
      </c>
      <c r="U58" s="72" t="str">
        <f>IF(VALUE(LEFT(C58,3))&lt;300,"EC","NWGL")</f>
        <v>EC</v>
      </c>
      <c r="V58" s="72" t="str">
        <f>IF(AND(E58="TRACK WARRANT AUTHORITY",G58&lt;10),"OMIT","KEEP")</f>
        <v>KEEP</v>
      </c>
    </row>
    <row r="59" spans="1:22" x14ac:dyDescent="0.25">
      <c r="A59" s="80">
        <v>42562.628750000003</v>
      </c>
      <c r="B59" s="66" t="s">
        <v>121</v>
      </c>
      <c r="C59" s="42" t="s">
        <v>423</v>
      </c>
      <c r="D59" s="42" t="s">
        <v>50</v>
      </c>
      <c r="E59" s="66" t="s">
        <v>51</v>
      </c>
      <c r="F59" s="68">
        <v>0</v>
      </c>
      <c r="G59" s="68">
        <v>85</v>
      </c>
      <c r="H59" s="68">
        <v>233151</v>
      </c>
      <c r="I59" s="66" t="s">
        <v>52</v>
      </c>
      <c r="J59" s="68">
        <v>233491</v>
      </c>
      <c r="K59" s="42" t="s">
        <v>53</v>
      </c>
      <c r="L59" s="104" t="str">
        <f>VLOOKUP(C59,'Trips&amp;Operators'!$C$1:$E$9999,3,0)</f>
        <v>STEWART</v>
      </c>
      <c r="M59" s="9" t="s">
        <v>108</v>
      </c>
      <c r="N59" s="10"/>
      <c r="O59" s="72"/>
      <c r="P59" s="75" t="str">
        <f>VLOOKUP(C59,'Train Runs'!$A$13:$AE$893,31,0)</f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Q59" s="73" t="str">
        <f>VLOOKUP(C59,'Train Runs'!$A$13:$AE$893,22,0)</f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9" s="74" t="str">
        <f>astrogrep_path&amp;" /spath="&amp;search_path&amp;" /stypes=""*"&amp;S59&amp;"*"&amp;TEXT(A59-utc_offset/24,"YYYYMMDD")&amp;"*"" /stext="" "&amp;TEXT(A59-utc_offset/24,"HH")&amp;search_regexp&amp;""" /e /r /s"</f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S59" s="9" t="str">
        <f>MID(B59,13,4)</f>
        <v>4014</v>
      </c>
      <c r="T59" s="49">
        <f>A59+6/24</f>
        <v>42562.878750000003</v>
      </c>
      <c r="U59" s="72" t="str">
        <f>IF(VALUE(LEFT(C59,3))&lt;300,"EC","NWGL")</f>
        <v>EC</v>
      </c>
      <c r="V59" s="72" t="str">
        <f>IF(AND(E59="TRACK WARRANT AUTHORITY",G59&lt;10),"OMIT","KEEP")</f>
        <v>KEEP</v>
      </c>
    </row>
    <row r="60" spans="1:22" x14ac:dyDescent="0.25">
      <c r="A60" s="49">
        <v>42562.66064814815</v>
      </c>
      <c r="B60" s="66" t="s">
        <v>74</v>
      </c>
      <c r="C60" s="42" t="s">
        <v>424</v>
      </c>
      <c r="D60" s="42" t="s">
        <v>50</v>
      </c>
      <c r="E60" s="66" t="s">
        <v>51</v>
      </c>
      <c r="F60" s="68">
        <v>0</v>
      </c>
      <c r="G60" s="68">
        <v>83</v>
      </c>
      <c r="H60" s="68">
        <v>233188</v>
      </c>
      <c r="I60" s="66" t="s">
        <v>52</v>
      </c>
      <c r="J60" s="68">
        <v>233491</v>
      </c>
      <c r="K60" s="42" t="s">
        <v>53</v>
      </c>
      <c r="L60" s="104" t="str">
        <f>VLOOKUP(C60,'Trips&amp;Operators'!$C$1:$E$9999,3,0)</f>
        <v>MAYBERRY</v>
      </c>
      <c r="M60" s="9" t="s">
        <v>108</v>
      </c>
      <c r="N60" s="10"/>
      <c r="O60" s="72"/>
      <c r="P60" s="75" t="str">
        <f>VLOOKUP(C60,'Train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0" s="73" t="str">
        <f>VLOOKUP(C60,'Train Runs'!$A$13:$AE$893,22,0)</f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74" t="str">
        <f>astrogrep_path&amp;" /spath="&amp;search_path&amp;" /stypes=""*"&amp;S60&amp;"*"&amp;TEXT(A60-utc_offset/24,"YYYYMMDD")&amp;"*"" /stext="" "&amp;TEXT(A60-utc_offset/24,"HH")&amp;search_regexp&amp;""" /e /r /s"</f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S60" s="9" t="str">
        <f>MID(B60,13,4)</f>
        <v>4018</v>
      </c>
      <c r="T60" s="49">
        <f>A60+6/24</f>
        <v>42562.91064814815</v>
      </c>
      <c r="U60" s="72" t="str">
        <f>IF(VALUE(LEFT(C60,3))&lt;300,"EC","NWGL")</f>
        <v>EC</v>
      </c>
      <c r="V60" s="72" t="str">
        <f>IF(AND(E60="TRACK WARRANT AUTHORITY",G60&lt;10),"OMIT","KEEP")</f>
        <v>KEEP</v>
      </c>
    </row>
    <row r="61" spans="1:22" x14ac:dyDescent="0.25">
      <c r="A61" s="49">
        <v>42562.725254629629</v>
      </c>
      <c r="B61" s="66" t="s">
        <v>73</v>
      </c>
      <c r="C61" s="42" t="s">
        <v>431</v>
      </c>
      <c r="D61" s="42" t="s">
        <v>50</v>
      </c>
      <c r="E61" s="66" t="s">
        <v>51</v>
      </c>
      <c r="F61" s="68">
        <v>0</v>
      </c>
      <c r="G61" s="68">
        <v>7</v>
      </c>
      <c r="H61" s="68">
        <v>233336</v>
      </c>
      <c r="I61" s="66" t="s">
        <v>52</v>
      </c>
      <c r="J61" s="68">
        <v>233491</v>
      </c>
      <c r="K61" s="42" t="s">
        <v>53</v>
      </c>
      <c r="L61" s="104" t="str">
        <f>VLOOKUP(C61,'Trips&amp;Operators'!$C$1:$E$9999,3,0)</f>
        <v>SHOOK</v>
      </c>
      <c r="M61" s="9" t="s">
        <v>108</v>
      </c>
      <c r="N61" s="10"/>
      <c r="O61" s="42"/>
      <c r="P61" s="75" t="str">
        <f>VLOOKUP(C61,'Train Runs'!$A$13:$AE$893,31,0)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1" s="73" t="str">
        <f>VLOOKUP(C61,'Train Runs'!$A$13:$AE$893,22,0)</f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1" s="74" t="str">
        <f>astrogrep_path&amp;" /spath="&amp;search_path&amp;" /stypes=""*"&amp;S61&amp;"*"&amp;TEXT(A61-utc_offset/24,"YYYYMMDD")&amp;"*"" /stext="" "&amp;TEXT(A61-utc_offset/24,"HH")&amp;search_regexp&amp;""" /e /r /s"</f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S61" s="9" t="str">
        <f>MID(B61,13,4)</f>
        <v>4020</v>
      </c>
      <c r="T61" s="49">
        <f>A61+6/24</f>
        <v>42562.975254629629</v>
      </c>
      <c r="U61" s="72" t="str">
        <f>IF(VALUE(LEFT(C61,3))&lt;300,"EC","NWGL")</f>
        <v>EC</v>
      </c>
      <c r="V61" s="72" t="str">
        <f>IF(AND(E61="TRACK WARRANT AUTHORITY",G61&lt;10),"OMIT","KEEP")</f>
        <v>OMIT</v>
      </c>
    </row>
    <row r="62" spans="1:22" x14ac:dyDescent="0.25">
      <c r="A62" s="49">
        <v>42562.734942129631</v>
      </c>
      <c r="B62" s="66" t="s">
        <v>74</v>
      </c>
      <c r="C62" s="42" t="s">
        <v>430</v>
      </c>
      <c r="D62" s="42" t="s">
        <v>50</v>
      </c>
      <c r="E62" s="66" t="s">
        <v>51</v>
      </c>
      <c r="F62" s="68">
        <v>0</v>
      </c>
      <c r="G62" s="68">
        <v>97</v>
      </c>
      <c r="H62" s="68">
        <v>233104</v>
      </c>
      <c r="I62" s="66" t="s">
        <v>52</v>
      </c>
      <c r="J62" s="68">
        <v>233491</v>
      </c>
      <c r="K62" s="42" t="s">
        <v>53</v>
      </c>
      <c r="L62" s="104" t="str">
        <f>VLOOKUP(C62,'Trips&amp;Operators'!$C$1:$E$9999,3,0)</f>
        <v>MAYBERRY</v>
      </c>
      <c r="M62" s="9" t="s">
        <v>108</v>
      </c>
      <c r="N62" s="10"/>
      <c r="O62" s="42"/>
      <c r="P62" s="75" t="str">
        <f>VLOOKUP(C62,'Train Runs'!$A$13:$AE$893,31,0)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2" s="73" t="str">
        <f>VLOOKUP(C62,'Train Runs'!$A$13:$AE$893,22,0)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4" t="str">
        <f>astrogrep_path&amp;" /spath="&amp;search_path&amp;" /stypes=""*"&amp;S62&amp;"*"&amp;TEXT(A62-utc_offset/24,"YYYYMMDD")&amp;"*"" /stext="" "&amp;TEXT(A62-utc_offset/24,"HH")&amp;search_regexp&amp;"""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62" s="9" t="str">
        <f>MID(B62,13,4)</f>
        <v>4018</v>
      </c>
      <c r="T62" s="49">
        <f>A62+6/24</f>
        <v>42562.984942129631</v>
      </c>
      <c r="U62" s="72" t="str">
        <f>IF(VALUE(LEFT(C62,3))&lt;300,"EC","NWGL")</f>
        <v>EC</v>
      </c>
      <c r="V62" s="72" t="str">
        <f>IF(AND(E62="TRACK WARRANT AUTHORITY",G62&lt;10),"OMIT","KEEP")</f>
        <v>KEEP</v>
      </c>
    </row>
    <row r="63" spans="1:22" x14ac:dyDescent="0.25">
      <c r="A63" s="49">
        <v>42562.837071759262</v>
      </c>
      <c r="B63" s="66" t="s">
        <v>76</v>
      </c>
      <c r="C63" s="42" t="s">
        <v>435</v>
      </c>
      <c r="D63" s="42" t="s">
        <v>50</v>
      </c>
      <c r="E63" s="66" t="s">
        <v>51</v>
      </c>
      <c r="F63" s="68">
        <v>0</v>
      </c>
      <c r="G63" s="68">
        <v>7</v>
      </c>
      <c r="H63" s="68">
        <v>233330</v>
      </c>
      <c r="I63" s="66" t="s">
        <v>52</v>
      </c>
      <c r="J63" s="68">
        <v>233491</v>
      </c>
      <c r="K63" s="42" t="s">
        <v>53</v>
      </c>
      <c r="L63" s="104" t="str">
        <f>VLOOKUP(C63,'Trips&amp;Operators'!$C$1:$E$9999,3,0)</f>
        <v>NEWELL</v>
      </c>
      <c r="M63" s="9" t="s">
        <v>108</v>
      </c>
      <c r="N63" s="10"/>
      <c r="O63" s="42"/>
      <c r="P63" s="75" t="str">
        <f>VLOOKUP(C63,'Train Runs'!$A$13:$AE$893,31,0)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3" s="73" t="str">
        <f>VLOOKUP(C63,'Train Runs'!$A$13:$AE$893,22,0)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3" s="74" t="str">
        <f>astrogrep_path&amp;" /spath="&amp;search_path&amp;" /stypes=""*"&amp;S63&amp;"*"&amp;TEXT(A63-utc_offset/24,"YYYYMMDD")&amp;"*"" /stext="" "&amp;TEXT(A63-utc_offset/24,"HH")&amp;search_regexp&amp;""" /e /r /s"</f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S63" s="9" t="str">
        <f>MID(B63,13,4)</f>
        <v>4031</v>
      </c>
      <c r="T63" s="49">
        <f>A63+6/24</f>
        <v>42563.087071759262</v>
      </c>
      <c r="U63" s="72" t="str">
        <f>IF(VALUE(LEFT(C63,3))&lt;300,"EC","NWGL")</f>
        <v>EC</v>
      </c>
      <c r="V63" s="72" t="str">
        <f>IF(AND(E63="TRACK WARRANT AUTHORITY",G63&lt;10),"OMIT","KEEP")</f>
        <v>OMIT</v>
      </c>
    </row>
    <row r="64" spans="1:22" x14ac:dyDescent="0.25">
      <c r="A64" s="35">
        <v>42562.879444444443</v>
      </c>
      <c r="B64" s="125" t="s">
        <v>73</v>
      </c>
      <c r="C64" s="30" t="s">
        <v>437</v>
      </c>
      <c r="D64" s="30" t="s">
        <v>50</v>
      </c>
      <c r="E64" s="125" t="s">
        <v>51</v>
      </c>
      <c r="F64" s="126">
        <v>0</v>
      </c>
      <c r="G64" s="126">
        <v>5</v>
      </c>
      <c r="H64" s="126">
        <v>233320</v>
      </c>
      <c r="I64" s="125" t="s">
        <v>52</v>
      </c>
      <c r="J64" s="126">
        <v>233491</v>
      </c>
      <c r="K64" s="30" t="s">
        <v>53</v>
      </c>
      <c r="L64" s="104" t="str">
        <f>VLOOKUP(C64,'Trips&amp;Operators'!$C$1:$E$9999,3,0)</f>
        <v>KILLION</v>
      </c>
      <c r="M64" s="9" t="s">
        <v>108</v>
      </c>
      <c r="N64" s="10"/>
      <c r="O64" s="72"/>
      <c r="P64" s="75" t="str">
        <f>VLOOKUP(C64,'Train Runs'!$A$13:$AE$893,31,0)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4" s="73" t="str">
        <f>VLOOKUP(C64,'Train Runs'!$A$13:$AE$893,22,0)</f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4" s="74" t="str">
        <f>astrogrep_path&amp;" /spath="&amp;search_path&amp;" /stypes=""*"&amp;S64&amp;"*"&amp;TEXT(A64-utc_offset/24,"YYYYMMDD")&amp;"*"" /stext="" "&amp;TEXT(A64-utc_offset/24,"HH")&amp;search_regexp&amp;""" /e /r /s"</f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S64" s="9" t="str">
        <f>MID(B64,13,4)</f>
        <v>4020</v>
      </c>
      <c r="T64" s="49">
        <f>A64+6/24</f>
        <v>42563.129444444443</v>
      </c>
      <c r="U64" s="72" t="str">
        <f>IF(VALUE(LEFT(C64,3))&lt;300,"EC","NWGL")</f>
        <v>EC</v>
      </c>
      <c r="V64" s="72" t="str">
        <f>IF(AND(E64="TRACK WARRANT AUTHORITY",G64&lt;10),"OMIT","KEEP")</f>
        <v>OMIT</v>
      </c>
    </row>
    <row r="65" spans="1:22" x14ac:dyDescent="0.25">
      <c r="A65" s="8">
        <v>42562.920393518521</v>
      </c>
      <c r="B65" s="26" t="s">
        <v>76</v>
      </c>
      <c r="C65" s="26" t="s">
        <v>439</v>
      </c>
      <c r="D65" s="26" t="s">
        <v>50</v>
      </c>
      <c r="E65" s="26" t="s">
        <v>51</v>
      </c>
      <c r="F65" s="2">
        <v>0</v>
      </c>
      <c r="G65" s="2">
        <v>7</v>
      </c>
      <c r="H65" s="2">
        <v>233326</v>
      </c>
      <c r="I65" s="26" t="s">
        <v>52</v>
      </c>
      <c r="J65" s="2">
        <v>233491</v>
      </c>
      <c r="K65" s="26" t="s">
        <v>53</v>
      </c>
      <c r="L65" s="104" t="str">
        <f>VLOOKUP(C65,'Trips&amp;Operators'!$C$1:$E$9999,3,0)</f>
        <v>NEWELL</v>
      </c>
      <c r="M65" s="9" t="s">
        <v>108</v>
      </c>
      <c r="N65" s="10"/>
      <c r="O65" s="72"/>
      <c r="P65" s="75" t="str">
        <f>VLOOKUP(C65,'Train Runs'!$A$13:$AE$893,31,0)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5" s="73" t="str">
        <f>VLOOKUP(C65,'Train Runs'!$A$13:$AE$893,22,0)</f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5" s="74" t="str">
        <f>astrogrep_path&amp;" /spath="&amp;search_path&amp;" /stypes=""*"&amp;S65&amp;"*"&amp;TEXT(A65-utc_offset/24,"YYYYMMDD")&amp;"*"" /stext="" "&amp;TEXT(A65-utc_offset/24,"HH")&amp;search_regexp&amp;""" /e /r /s"</f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S65" s="9" t="str">
        <f>MID(B65,13,4)</f>
        <v>4031</v>
      </c>
      <c r="T65" s="49">
        <f>A65+6/24</f>
        <v>42563.170393518521</v>
      </c>
      <c r="U65" s="72" t="str">
        <f>IF(VALUE(LEFT(C65,3))&lt;300,"EC","NWGL")</f>
        <v>EC</v>
      </c>
      <c r="V65" s="72" t="str">
        <f>IF(AND(E65="TRACK WARRANT AUTHORITY",G65&lt;10),"OMIT","KEEP")</f>
        <v>OMIT</v>
      </c>
    </row>
    <row r="66" spans="1:22" x14ac:dyDescent="0.25">
      <c r="A66" s="8">
        <v>42563.003692129627</v>
      </c>
      <c r="B66" s="26" t="s">
        <v>76</v>
      </c>
      <c r="C66" s="26" t="s">
        <v>441</v>
      </c>
      <c r="D66" s="26" t="s">
        <v>50</v>
      </c>
      <c r="E66" s="26" t="s">
        <v>51</v>
      </c>
      <c r="F66" s="2">
        <v>0</v>
      </c>
      <c r="G66" s="2">
        <v>7</v>
      </c>
      <c r="H66" s="2">
        <v>233343</v>
      </c>
      <c r="I66" s="26" t="s">
        <v>52</v>
      </c>
      <c r="J66" s="2">
        <v>233491</v>
      </c>
      <c r="K66" s="26" t="s">
        <v>53</v>
      </c>
      <c r="L66" s="104" t="str">
        <f>VLOOKUP(C66,'Trips&amp;Operators'!$C$1:$E$9999,3,0)</f>
        <v>NEWELL</v>
      </c>
      <c r="M66" s="9" t="s">
        <v>108</v>
      </c>
      <c r="N66" s="10"/>
      <c r="O66" s="72"/>
      <c r="P66" s="75" t="str">
        <f>VLOOKUP(C66,'Train Runs'!$A$13:$AE$893,31,0)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6" s="73" t="str">
        <f>VLOOKUP(C66,'Train Runs'!$A$13:$AE$893,22,0)</f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6" s="74" t="str">
        <f>astrogrep_path&amp;" /spath="&amp;search_path&amp;" /stypes=""*"&amp;S66&amp;"*"&amp;TEXT(A66-utc_offset/24,"YYYYMMDD")&amp;"*"" /stext="" "&amp;TEXT(A66-utc_offset/24,"HH")&amp;search_regexp&amp;""" /e /r /s"</f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S66" s="9" t="str">
        <f>MID(B66,13,4)</f>
        <v>4031</v>
      </c>
      <c r="T66" s="49">
        <f>A66+6/24</f>
        <v>42563.253692129627</v>
      </c>
      <c r="U66" s="72" t="str">
        <f>IF(VALUE(LEFT(C66,3))&lt;300,"EC","NWGL")</f>
        <v>EC</v>
      </c>
      <c r="V66" s="72" t="str">
        <f>IF(AND(E66="TRACK WARRANT AUTHORITY",G66&lt;10),"OMIT","KEEP")</f>
        <v>OMIT</v>
      </c>
    </row>
  </sheetData>
  <autoFilter ref="A6:V66"/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47" priority="14" operator="equal">
      <formula>"Y"</formula>
    </cfRule>
  </conditionalFormatting>
  <conditionalFormatting sqref="L60:N66 A7:N59">
    <cfRule type="expression" dxfId="46" priority="7">
      <formula>$M7="Y"</formula>
    </cfRule>
  </conditionalFormatting>
  <conditionalFormatting sqref="M2:M3">
    <cfRule type="cellIs" dxfId="45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:D4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4" t="str">
        <f>"Trips that did not appear in PTC Data "&amp;TEXT(Variables!$A$2,"YYYY-mm-dd")</f>
        <v>Trips that did not appear in PTC Data 2016-07-11</v>
      </c>
      <c r="B1" s="124"/>
      <c r="C1" s="124"/>
      <c r="D1" s="124"/>
      <c r="E1" s="124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/>
      <c r="B3" s="42"/>
      <c r="C3" s="42"/>
      <c r="D3" s="42"/>
      <c r="E3" s="27" t="e">
        <f>VLOOKUP(A3,'Trips&amp;Operators'!$C$2:$E$10000,3,FALSE)</f>
        <v>#N/A</v>
      </c>
      <c r="F3" s="27" t="e">
        <f>VLOOKUP(A3,'Trips&amp;Operators'!$C$1:$F$10000,4,FALSE)</f>
        <v>#N/A</v>
      </c>
      <c r="G3" s="41" t="e">
        <f>VLOOKUP(A3,'Trips&amp;Operators'!$C$1:$H$10000,5,FALSE)</f>
        <v>#N/A</v>
      </c>
      <c r="H3" s="26"/>
      <c r="I3" s="26"/>
      <c r="J3" s="26"/>
    </row>
    <row r="4" spans="1:10" x14ac:dyDescent="0.25">
      <c r="A4" s="42"/>
      <c r="B4" s="42"/>
      <c r="C4" s="42"/>
      <c r="D4" s="42"/>
      <c r="E4" s="27" t="e">
        <f>VLOOKUP(A4,'Trips&amp;Operators'!$C$2:$E$10000,3,FALSE)</f>
        <v>#N/A</v>
      </c>
      <c r="F4" s="27" t="e">
        <f>VLOOKUP(A4,'Trips&amp;Operators'!$C$1:$F$10000,4,FALSE)</f>
        <v>#N/A</v>
      </c>
      <c r="G4" s="41" t="e">
        <f>VLOOKUP(A4,'Trips&amp;Operators'!$C$1:$H$10000,5,FALSE)</f>
        <v>#N/A</v>
      </c>
      <c r="H4" s="26"/>
      <c r="I4" s="26"/>
      <c r="J4" s="26"/>
    </row>
    <row r="5" spans="1:10" x14ac:dyDescent="0.25">
      <c r="A5" s="42"/>
      <c r="B5" s="42"/>
      <c r="C5" s="42"/>
      <c r="D5" s="42"/>
      <c r="E5" s="27" t="e">
        <f>VLOOKUP(A5,'Trips&amp;Operators'!$C$2:$E$10000,3,FALSE)</f>
        <v>#N/A</v>
      </c>
      <c r="F5" s="27" t="e">
        <f>VLOOKUP(A5,'Trips&amp;Operators'!$C$1:$F$10000,4,FALSE)</f>
        <v>#N/A</v>
      </c>
      <c r="G5" s="41" t="e">
        <f>VLOOKUP(A5,'Trips&amp;Operators'!$C$1:$H$10000,5,FALSE)</f>
        <v>#N/A</v>
      </c>
      <c r="H5" s="26"/>
      <c r="I5" s="26"/>
      <c r="J5" s="26"/>
    </row>
    <row r="6" spans="1:10" x14ac:dyDescent="0.25">
      <c r="A6" s="42"/>
      <c r="B6" s="42"/>
      <c r="C6" s="42"/>
      <c r="D6" s="42"/>
      <c r="E6" s="27" t="e">
        <f>VLOOKUP(A6,'Trips&amp;Operators'!$C$2:$E$10000,3,FALSE)</f>
        <v>#N/A</v>
      </c>
      <c r="F6" s="27" t="e">
        <f>VLOOKUP(A6,'Trips&amp;Operators'!$C$1:$F$10000,4,FALSE)</f>
        <v>#N/A</v>
      </c>
      <c r="G6" s="41" t="e">
        <f>VLOOKUP(A6,'Trips&amp;Operators'!$C$1:$H$10000,5,FALSE)</f>
        <v>#N/A</v>
      </c>
      <c r="H6" s="26"/>
      <c r="I6" s="26"/>
      <c r="J6" s="26"/>
    </row>
    <row r="7" spans="1:10" x14ac:dyDescent="0.25">
      <c r="A7" s="40"/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0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42561.909108796295</v>
      </c>
      <c r="B1" s="26" t="s">
        <v>127</v>
      </c>
      <c r="C1" s="26" t="s">
        <v>348</v>
      </c>
      <c r="D1" s="26">
        <v>1810000</v>
      </c>
      <c r="E1" s="26" t="s">
        <v>168</v>
      </c>
      <c r="F1" s="26" t="str">
        <f>B1</f>
        <v>rtdc.l.rtdc.4029:itc</v>
      </c>
      <c r="G1" s="8">
        <f>A1</f>
        <v>42561.909108796295</v>
      </c>
    </row>
    <row r="2" spans="1:7" x14ac:dyDescent="0.25">
      <c r="A2" s="8">
        <v>42562.516875000001</v>
      </c>
      <c r="B2" s="26" t="s">
        <v>76</v>
      </c>
      <c r="C2" s="26" t="s">
        <v>532</v>
      </c>
      <c r="D2" s="26">
        <v>1750000</v>
      </c>
      <c r="E2" s="26" t="s">
        <v>624</v>
      </c>
      <c r="F2" s="26" t="str">
        <f t="shared" ref="F2:F65" si="0">B2</f>
        <v>rtdc.l.rtdc.4031:itc</v>
      </c>
      <c r="G2" s="8">
        <f t="shared" ref="G2:G65" si="1">A2</f>
        <v>42562.516875000001</v>
      </c>
    </row>
    <row r="3" spans="1:7" x14ac:dyDescent="0.25">
      <c r="A3" s="8">
        <v>42562.527256944442</v>
      </c>
      <c r="B3" s="26" t="s">
        <v>121</v>
      </c>
      <c r="C3" s="26" t="s">
        <v>534</v>
      </c>
      <c r="D3" s="26">
        <v>880000</v>
      </c>
      <c r="E3" s="26" t="s">
        <v>136</v>
      </c>
      <c r="F3" s="26" t="str">
        <f t="shared" si="0"/>
        <v>rtdc.l.rtdc.4014:itc</v>
      </c>
      <c r="G3" s="8">
        <f t="shared" si="1"/>
        <v>42562.527256944442</v>
      </c>
    </row>
    <row r="4" spans="1:7" x14ac:dyDescent="0.25">
      <c r="A4" s="8">
        <v>42561.949641203704</v>
      </c>
      <c r="B4" s="26" t="s">
        <v>128</v>
      </c>
      <c r="C4" s="26" t="s">
        <v>390</v>
      </c>
      <c r="D4" s="26">
        <v>1810000</v>
      </c>
      <c r="E4" s="26" t="s">
        <v>168</v>
      </c>
      <c r="F4" s="26" t="str">
        <f t="shared" si="0"/>
        <v>rtdc.l.rtdc.4030:itc</v>
      </c>
      <c r="G4" s="8">
        <f t="shared" si="1"/>
        <v>42561.949641203704</v>
      </c>
    </row>
    <row r="5" spans="1:7" x14ac:dyDescent="0.25">
      <c r="A5" s="8">
        <v>42562.424907407411</v>
      </c>
      <c r="B5" s="26" t="s">
        <v>291</v>
      </c>
      <c r="C5" s="26" t="s">
        <v>412</v>
      </c>
      <c r="D5" s="26">
        <v>1110000</v>
      </c>
      <c r="E5" s="26" t="s">
        <v>187</v>
      </c>
      <c r="F5" s="26" t="str">
        <f t="shared" si="0"/>
        <v>rtdc.l.rtdc.4016:itc</v>
      </c>
      <c r="G5" s="8">
        <f t="shared" si="1"/>
        <v>42562.424907407411</v>
      </c>
    </row>
    <row r="6" spans="1:7" x14ac:dyDescent="0.25">
      <c r="A6" s="8">
        <v>42562.433703703704</v>
      </c>
      <c r="B6" s="26" t="s">
        <v>120</v>
      </c>
      <c r="C6" s="26" t="s">
        <v>506</v>
      </c>
      <c r="D6" s="26">
        <v>1190000</v>
      </c>
      <c r="E6" s="26" t="s">
        <v>625</v>
      </c>
      <c r="F6" s="26" t="str">
        <f t="shared" si="0"/>
        <v>rtdc.l.rtdc.4026:itc</v>
      </c>
      <c r="G6" s="8">
        <f t="shared" si="1"/>
        <v>42562.433703703704</v>
      </c>
    </row>
    <row r="7" spans="1:7" x14ac:dyDescent="0.25">
      <c r="A7" s="8">
        <v>42562.809618055559</v>
      </c>
      <c r="B7" s="26" t="s">
        <v>72</v>
      </c>
      <c r="C7" s="26" t="s">
        <v>601</v>
      </c>
      <c r="D7" s="26">
        <v>2030000</v>
      </c>
      <c r="E7" s="26" t="s">
        <v>185</v>
      </c>
      <c r="F7" s="26" t="str">
        <f t="shared" si="0"/>
        <v>rtdc.l.rtdc.4019:itc</v>
      </c>
      <c r="G7" s="8">
        <f t="shared" si="1"/>
        <v>42562.809618055559</v>
      </c>
    </row>
    <row r="8" spans="1:7" x14ac:dyDescent="0.25">
      <c r="A8" s="8">
        <v>42562.169386574074</v>
      </c>
      <c r="B8" s="26" t="s">
        <v>123</v>
      </c>
      <c r="C8" s="26" t="s">
        <v>396</v>
      </c>
      <c r="D8" s="26">
        <v>1190000</v>
      </c>
      <c r="E8" s="26" t="s">
        <v>625</v>
      </c>
      <c r="F8" s="26" t="str">
        <f t="shared" si="0"/>
        <v>rtdc.l.rtdc.4025:itc</v>
      </c>
      <c r="G8" s="8">
        <f t="shared" si="1"/>
        <v>42562.169386574074</v>
      </c>
    </row>
    <row r="9" spans="1:7" ht="15.75" thickBot="1" x14ac:dyDescent="0.3">
      <c r="A9" s="33">
        <v>42562.188483796293</v>
      </c>
      <c r="B9" s="26" t="s">
        <v>74</v>
      </c>
      <c r="C9" s="26" t="s">
        <v>398</v>
      </c>
      <c r="D9" s="26">
        <v>1830000</v>
      </c>
      <c r="E9" s="26" t="s">
        <v>135</v>
      </c>
      <c r="F9" s="26" t="str">
        <f t="shared" si="0"/>
        <v>rtdc.l.rtdc.4018:itc</v>
      </c>
      <c r="G9" s="8">
        <f t="shared" si="1"/>
        <v>42562.188483796293</v>
      </c>
    </row>
    <row r="10" spans="1:7" x14ac:dyDescent="0.25">
      <c r="A10" s="8">
        <v>42562.248530092591</v>
      </c>
      <c r="B10" s="26" t="s">
        <v>123</v>
      </c>
      <c r="C10" s="26" t="s">
        <v>472</v>
      </c>
      <c r="D10" s="26">
        <v>1190000</v>
      </c>
      <c r="E10" s="26" t="s">
        <v>625</v>
      </c>
      <c r="F10" s="26" t="str">
        <f t="shared" si="0"/>
        <v>rtdc.l.rtdc.4025:itc</v>
      </c>
      <c r="G10" s="8">
        <f t="shared" si="1"/>
        <v>42562.248530092591</v>
      </c>
    </row>
    <row r="11" spans="1:7" x14ac:dyDescent="0.25">
      <c r="A11" s="8">
        <v>42562.315891203703</v>
      </c>
      <c r="B11" s="26" t="s">
        <v>123</v>
      </c>
      <c r="C11" s="26" t="s">
        <v>403</v>
      </c>
      <c r="D11" s="26">
        <v>1190000</v>
      </c>
      <c r="E11" s="26" t="s">
        <v>625</v>
      </c>
      <c r="F11" s="26" t="str">
        <f t="shared" si="0"/>
        <v>rtdc.l.rtdc.4025:itc</v>
      </c>
      <c r="G11" s="8">
        <f t="shared" si="1"/>
        <v>42562.315891203703</v>
      </c>
    </row>
    <row r="12" spans="1:7" x14ac:dyDescent="0.25">
      <c r="A12" s="8">
        <v>42562.400960648149</v>
      </c>
      <c r="B12" s="26" t="s">
        <v>410</v>
      </c>
      <c r="C12" s="26" t="s">
        <v>411</v>
      </c>
      <c r="D12" s="26">
        <v>1990000</v>
      </c>
      <c r="E12" s="26" t="s">
        <v>202</v>
      </c>
      <c r="F12" s="26" t="str">
        <f t="shared" si="0"/>
        <v>rtdc.l.rtdc.4010:itc</v>
      </c>
      <c r="G12" s="8">
        <f t="shared" si="1"/>
        <v>42562.400960648149</v>
      </c>
    </row>
    <row r="13" spans="1:7" x14ac:dyDescent="0.25">
      <c r="A13" s="8">
        <v>42562.338969907411</v>
      </c>
      <c r="B13" s="26" t="s">
        <v>67</v>
      </c>
      <c r="C13" s="26" t="s">
        <v>485</v>
      </c>
      <c r="D13" s="26">
        <v>1310000</v>
      </c>
      <c r="E13" s="26" t="s">
        <v>115</v>
      </c>
      <c r="F13" s="26" t="str">
        <f t="shared" si="0"/>
        <v>rtdc.l.rtdc.4032:itc</v>
      </c>
      <c r="G13" s="8">
        <f t="shared" si="1"/>
        <v>42562.338969907411</v>
      </c>
    </row>
    <row r="14" spans="1:7" x14ac:dyDescent="0.25">
      <c r="A14" s="8">
        <v>42562.371018518519</v>
      </c>
      <c r="B14" s="26" t="s">
        <v>75</v>
      </c>
      <c r="C14" s="26" t="s">
        <v>493</v>
      </c>
      <c r="D14" s="26">
        <v>1830000</v>
      </c>
      <c r="E14" s="26" t="s">
        <v>135</v>
      </c>
      <c r="F14" s="26" t="str">
        <f t="shared" si="0"/>
        <v>rtdc.l.rtdc.4017:itc</v>
      </c>
      <c r="G14" s="8">
        <f t="shared" si="1"/>
        <v>42562.371018518519</v>
      </c>
    </row>
    <row r="15" spans="1:7" x14ac:dyDescent="0.25">
      <c r="A15" s="8">
        <v>42562.358506944445</v>
      </c>
      <c r="B15" s="26" t="s">
        <v>120</v>
      </c>
      <c r="C15" s="26" t="s">
        <v>405</v>
      </c>
      <c r="D15" s="26">
        <v>1190000</v>
      </c>
      <c r="E15" s="26" t="s">
        <v>625</v>
      </c>
      <c r="F15" s="26" t="str">
        <f t="shared" si="0"/>
        <v>rtdc.l.rtdc.4026:itc</v>
      </c>
      <c r="G15" s="8">
        <f t="shared" si="1"/>
        <v>42562.358506944445</v>
      </c>
    </row>
    <row r="16" spans="1:7" x14ac:dyDescent="0.25">
      <c r="A16" s="8">
        <v>42562.29482638889</v>
      </c>
      <c r="B16" s="26" t="s">
        <v>72</v>
      </c>
      <c r="C16" s="26" t="s">
        <v>402</v>
      </c>
      <c r="D16" s="26">
        <v>1090000</v>
      </c>
      <c r="E16" s="26" t="s">
        <v>132</v>
      </c>
      <c r="F16" s="26" t="str">
        <f t="shared" si="0"/>
        <v>rtdc.l.rtdc.4019:itc</v>
      </c>
      <c r="G16" s="8">
        <f t="shared" si="1"/>
        <v>42562.29482638889</v>
      </c>
    </row>
    <row r="17" spans="1:7" x14ac:dyDescent="0.25">
      <c r="A17" s="8">
        <v>42562.474907407406</v>
      </c>
      <c r="B17" s="26" t="s">
        <v>73</v>
      </c>
      <c r="C17" s="26" t="s">
        <v>525</v>
      </c>
      <c r="D17" s="26">
        <v>2020000</v>
      </c>
      <c r="E17" s="26" t="s">
        <v>626</v>
      </c>
      <c r="F17" s="26" t="str">
        <f t="shared" si="0"/>
        <v>rtdc.l.rtdc.4020:itc</v>
      </c>
      <c r="G17" s="8">
        <f t="shared" si="1"/>
        <v>42562.474907407406</v>
      </c>
    </row>
    <row r="18" spans="1:7" x14ac:dyDescent="0.25">
      <c r="A18" s="8">
        <v>42562.274236111109</v>
      </c>
      <c r="B18" s="26" t="s">
        <v>122</v>
      </c>
      <c r="C18" s="26" t="s">
        <v>400</v>
      </c>
      <c r="D18" s="26">
        <v>1260000</v>
      </c>
      <c r="E18" s="26" t="s">
        <v>387</v>
      </c>
      <c r="F18" s="26" t="str">
        <f t="shared" si="0"/>
        <v>rtdc.l.rtdc.4013:itc</v>
      </c>
      <c r="G18" s="8">
        <f t="shared" si="1"/>
        <v>42562.274236111109</v>
      </c>
    </row>
    <row r="19" spans="1:7" x14ac:dyDescent="0.25">
      <c r="A19" s="8">
        <v>42562.645520833335</v>
      </c>
      <c r="B19" s="26" t="s">
        <v>120</v>
      </c>
      <c r="C19" s="26" t="s">
        <v>556</v>
      </c>
      <c r="D19" s="26">
        <v>1280000</v>
      </c>
      <c r="E19" s="26" t="s">
        <v>126</v>
      </c>
      <c r="F19" s="26" t="str">
        <f t="shared" si="0"/>
        <v>rtdc.l.rtdc.4026:itc</v>
      </c>
      <c r="G19" s="8">
        <f t="shared" si="1"/>
        <v>42562.645520833335</v>
      </c>
    </row>
    <row r="20" spans="1:7" x14ac:dyDescent="0.25">
      <c r="A20" s="8">
        <v>42562.178749999999</v>
      </c>
      <c r="B20" s="26" t="s">
        <v>73</v>
      </c>
      <c r="C20" s="26" t="s">
        <v>455</v>
      </c>
      <c r="D20" s="26">
        <v>1090000</v>
      </c>
      <c r="E20" s="26" t="s">
        <v>132</v>
      </c>
      <c r="F20" s="26" t="str">
        <f t="shared" si="0"/>
        <v>rtdc.l.rtdc.4020:itc</v>
      </c>
      <c r="G20" s="8">
        <f t="shared" si="1"/>
        <v>42562.178749999999</v>
      </c>
    </row>
    <row r="21" spans="1:7" x14ac:dyDescent="0.25">
      <c r="A21" s="8">
        <v>42562.736076388886</v>
      </c>
      <c r="B21" s="26" t="s">
        <v>406</v>
      </c>
      <c r="C21" s="26" t="s">
        <v>586</v>
      </c>
      <c r="D21" s="26">
        <v>1140000</v>
      </c>
      <c r="E21" s="26" t="s">
        <v>133</v>
      </c>
      <c r="F21" s="26" t="str">
        <f t="shared" si="0"/>
        <v>rtdc.l.rtdc.4009:itc</v>
      </c>
      <c r="G21" s="8">
        <f t="shared" si="1"/>
        <v>42562.736076388886</v>
      </c>
    </row>
    <row r="22" spans="1:7" x14ac:dyDescent="0.25">
      <c r="A22" s="35">
        <v>42563.286851851852</v>
      </c>
      <c r="B22" s="26" t="s">
        <v>83</v>
      </c>
      <c r="C22" s="26" t="s">
        <v>627</v>
      </c>
      <c r="D22" s="26">
        <v>1340000</v>
      </c>
      <c r="E22" s="26" t="s">
        <v>138</v>
      </c>
      <c r="F22" s="26" t="str">
        <f t="shared" si="0"/>
        <v>rtdc.l.rtdc.4042:itc</v>
      </c>
      <c r="G22" s="8">
        <f t="shared" si="1"/>
        <v>42563.286851851852</v>
      </c>
    </row>
    <row r="23" spans="1:7" x14ac:dyDescent="0.25">
      <c r="A23" s="8">
        <v>42562.848865740743</v>
      </c>
      <c r="B23" s="26" t="s">
        <v>73</v>
      </c>
      <c r="C23" s="26" t="s">
        <v>437</v>
      </c>
      <c r="D23" s="26">
        <v>2030000</v>
      </c>
      <c r="E23" s="26" t="s">
        <v>185</v>
      </c>
      <c r="F23" s="26" t="str">
        <f t="shared" si="0"/>
        <v>rtdc.l.rtdc.4020:itc</v>
      </c>
      <c r="G23" s="8">
        <f t="shared" si="1"/>
        <v>42562.848865740743</v>
      </c>
    </row>
    <row r="24" spans="1:7" x14ac:dyDescent="0.25">
      <c r="A24" s="8">
        <v>42563.341643518521</v>
      </c>
      <c r="B24" s="26" t="s">
        <v>291</v>
      </c>
      <c r="C24" s="26" t="s">
        <v>628</v>
      </c>
      <c r="D24" s="26">
        <v>1360000</v>
      </c>
      <c r="E24" s="26" t="s">
        <v>331</v>
      </c>
      <c r="F24" s="26" t="str">
        <f t="shared" si="0"/>
        <v>rtdc.l.rtdc.4016:itc</v>
      </c>
      <c r="G24" s="8">
        <f t="shared" si="1"/>
        <v>42563.341643518521</v>
      </c>
    </row>
    <row r="25" spans="1:7" x14ac:dyDescent="0.25">
      <c r="A25" s="8">
        <v>42562.034236111111</v>
      </c>
      <c r="B25" s="26" t="s">
        <v>143</v>
      </c>
      <c r="C25" s="26" t="s">
        <v>351</v>
      </c>
      <c r="D25" s="26">
        <v>1810000</v>
      </c>
      <c r="E25" s="26" t="s">
        <v>168</v>
      </c>
      <c r="F25" s="26" t="str">
        <f t="shared" si="0"/>
        <v>rtdc.l.rtdc.4008:itc</v>
      </c>
      <c r="G25" s="8">
        <f t="shared" si="1"/>
        <v>42562.034236111111</v>
      </c>
    </row>
    <row r="26" spans="1:7" x14ac:dyDescent="0.25">
      <c r="A26" s="8">
        <v>42563.306944444441</v>
      </c>
      <c r="B26" s="26" t="s">
        <v>147</v>
      </c>
      <c r="C26" s="26" t="s">
        <v>629</v>
      </c>
      <c r="D26" s="26">
        <v>1260000</v>
      </c>
      <c r="E26" s="26" t="s">
        <v>387</v>
      </c>
      <c r="F26" s="26" t="str">
        <f t="shared" si="0"/>
        <v>rtdc.l.rtdc.4007:itc</v>
      </c>
      <c r="G26" s="8">
        <f t="shared" si="1"/>
        <v>42563.306944444441</v>
      </c>
    </row>
    <row r="27" spans="1:7" x14ac:dyDescent="0.25">
      <c r="A27" s="8">
        <v>42562.536643518521</v>
      </c>
      <c r="B27" s="26" t="s">
        <v>289</v>
      </c>
      <c r="C27" s="26" t="s">
        <v>416</v>
      </c>
      <c r="D27" s="26">
        <v>1110000</v>
      </c>
      <c r="E27" s="26" t="s">
        <v>187</v>
      </c>
      <c r="F27" s="26" t="str">
        <f t="shared" si="0"/>
        <v>rtdc.l.rtdc.4015:itc</v>
      </c>
      <c r="G27" s="8">
        <f t="shared" si="1"/>
        <v>42562.536643518521</v>
      </c>
    </row>
    <row r="28" spans="1:7" x14ac:dyDescent="0.25">
      <c r="A28" s="8">
        <v>42563.245671296296</v>
      </c>
      <c r="B28" s="26" t="s">
        <v>144</v>
      </c>
      <c r="C28" s="26" t="s">
        <v>630</v>
      </c>
      <c r="D28" s="26">
        <v>1990000</v>
      </c>
      <c r="E28" s="26" t="s">
        <v>202</v>
      </c>
      <c r="F28" s="26" t="str">
        <f t="shared" si="0"/>
        <v>rtdc.l.rtdc.4043:itc</v>
      </c>
      <c r="G28" s="8">
        <f t="shared" si="1"/>
        <v>42563.245671296296</v>
      </c>
    </row>
    <row r="29" spans="1:7" x14ac:dyDescent="0.25">
      <c r="A29" s="8">
        <v>42562.619756944441</v>
      </c>
      <c r="B29" s="26" t="s">
        <v>410</v>
      </c>
      <c r="C29" s="26" t="s">
        <v>547</v>
      </c>
      <c r="D29" s="26">
        <v>1120000</v>
      </c>
      <c r="E29" s="26" t="s">
        <v>141</v>
      </c>
      <c r="F29" s="26" t="str">
        <f t="shared" si="0"/>
        <v>rtdc.l.rtdc.4010:itc</v>
      </c>
      <c r="G29" s="8">
        <f t="shared" si="1"/>
        <v>42562.619756944441</v>
      </c>
    </row>
    <row r="30" spans="1:7" x14ac:dyDescent="0.25">
      <c r="A30" s="8">
        <v>42563.267743055556</v>
      </c>
      <c r="B30" s="26" t="s">
        <v>410</v>
      </c>
      <c r="C30" s="26" t="s">
        <v>631</v>
      </c>
      <c r="D30" s="26">
        <v>900000</v>
      </c>
      <c r="E30" s="26" t="s">
        <v>131</v>
      </c>
      <c r="F30" s="26" t="str">
        <f t="shared" si="0"/>
        <v>rtdc.l.rtdc.4010:itc</v>
      </c>
      <c r="G30" s="8">
        <f t="shared" si="1"/>
        <v>42563.267743055556</v>
      </c>
    </row>
    <row r="31" spans="1:7" x14ac:dyDescent="0.25">
      <c r="A31" s="8">
        <v>42562.62699074074</v>
      </c>
      <c r="B31" s="26" t="s">
        <v>67</v>
      </c>
      <c r="C31" s="26" t="s">
        <v>550</v>
      </c>
      <c r="D31" s="26">
        <v>1750000</v>
      </c>
      <c r="E31" s="26" t="s">
        <v>624</v>
      </c>
      <c r="F31" s="26" t="str">
        <f t="shared" si="0"/>
        <v>rtdc.l.rtdc.4032:itc</v>
      </c>
      <c r="G31" s="8">
        <f t="shared" si="1"/>
        <v>42562.62699074074</v>
      </c>
    </row>
    <row r="32" spans="1:7" x14ac:dyDescent="0.25">
      <c r="A32" s="8">
        <v>42563.173483796294</v>
      </c>
      <c r="B32" s="26" t="s">
        <v>74</v>
      </c>
      <c r="C32" s="26" t="s">
        <v>632</v>
      </c>
      <c r="D32" s="26">
        <v>470000</v>
      </c>
      <c r="E32" s="26" t="s">
        <v>633</v>
      </c>
      <c r="F32" s="26" t="str">
        <f t="shared" si="0"/>
        <v>rtdc.l.rtdc.4018:itc</v>
      </c>
      <c r="G32" s="8">
        <f t="shared" si="1"/>
        <v>42563.173483796294</v>
      </c>
    </row>
    <row r="33" spans="1:7" x14ac:dyDescent="0.25">
      <c r="A33" s="8">
        <v>42562.66306712963</v>
      </c>
      <c r="B33" s="26" t="s">
        <v>75</v>
      </c>
      <c r="C33" s="26" t="s">
        <v>426</v>
      </c>
      <c r="D33" s="26">
        <v>1520000</v>
      </c>
      <c r="E33" s="26" t="s">
        <v>137</v>
      </c>
      <c r="F33" s="26" t="str">
        <f t="shared" si="0"/>
        <v>rtdc.l.rtdc.4017:itc</v>
      </c>
      <c r="G33" s="8">
        <f t="shared" si="1"/>
        <v>42562.66306712963</v>
      </c>
    </row>
    <row r="34" spans="1:7" x14ac:dyDescent="0.25">
      <c r="A34" s="8">
        <v>42563.267268518517</v>
      </c>
      <c r="B34" s="26" t="s">
        <v>291</v>
      </c>
      <c r="C34" s="26" t="s">
        <v>634</v>
      </c>
      <c r="D34" s="26">
        <v>1360000</v>
      </c>
      <c r="E34" s="26" t="s">
        <v>331</v>
      </c>
      <c r="F34" s="26" t="str">
        <f t="shared" si="0"/>
        <v>rtdc.l.rtdc.4016:itc</v>
      </c>
      <c r="G34" s="8">
        <f t="shared" si="1"/>
        <v>42563.267268518517</v>
      </c>
    </row>
    <row r="35" spans="1:7" x14ac:dyDescent="0.25">
      <c r="A35" s="8">
        <v>42562.765162037038</v>
      </c>
      <c r="B35" s="26" t="s">
        <v>410</v>
      </c>
      <c r="C35" s="26" t="s">
        <v>433</v>
      </c>
      <c r="D35" s="26">
        <v>1140000</v>
      </c>
      <c r="E35" s="26" t="s">
        <v>133</v>
      </c>
      <c r="F35" s="26" t="str">
        <f t="shared" si="0"/>
        <v>rtdc.l.rtdc.4010:itc</v>
      </c>
      <c r="G35" s="8">
        <f t="shared" si="1"/>
        <v>42562.765162037038</v>
      </c>
    </row>
    <row r="36" spans="1:7" x14ac:dyDescent="0.25">
      <c r="A36" s="8">
        <v>42563.135706018518</v>
      </c>
      <c r="B36" s="26" t="s">
        <v>635</v>
      </c>
      <c r="C36" s="26" t="s">
        <v>636</v>
      </c>
      <c r="D36" s="26">
        <v>0</v>
      </c>
      <c r="E36" s="26" t="s">
        <v>637</v>
      </c>
      <c r="F36" s="26" t="str">
        <f t="shared" si="0"/>
        <v>rtdc.l.rtdc.4005:itc</v>
      </c>
      <c r="G36" s="8">
        <f t="shared" si="1"/>
        <v>42563.135706018518</v>
      </c>
    </row>
    <row r="37" spans="1:7" x14ac:dyDescent="0.25">
      <c r="A37" s="8">
        <v>42562.994201388887</v>
      </c>
      <c r="B37" s="26" t="s">
        <v>123</v>
      </c>
      <c r="C37" s="26" t="s">
        <v>617</v>
      </c>
      <c r="D37" s="26">
        <v>1800000</v>
      </c>
      <c r="E37" s="26" t="s">
        <v>389</v>
      </c>
      <c r="F37" s="26" t="str">
        <f t="shared" si="0"/>
        <v>rtdc.l.rtdc.4025:itc</v>
      </c>
      <c r="G37" s="8">
        <f t="shared" si="1"/>
        <v>42562.994201388887</v>
      </c>
    </row>
    <row r="38" spans="1:7" x14ac:dyDescent="0.25">
      <c r="A38" s="8">
        <v>42563.070590277777</v>
      </c>
      <c r="B38" s="26" t="s">
        <v>123</v>
      </c>
      <c r="C38" s="26" t="s">
        <v>638</v>
      </c>
      <c r="D38" s="26">
        <v>1800000</v>
      </c>
      <c r="E38" s="26" t="s">
        <v>389</v>
      </c>
      <c r="F38" s="26" t="str">
        <f t="shared" si="0"/>
        <v>rtdc.l.rtdc.4025:itc</v>
      </c>
      <c r="G38" s="8">
        <f t="shared" si="1"/>
        <v>42563.070590277777</v>
      </c>
    </row>
    <row r="39" spans="1:7" x14ac:dyDescent="0.25">
      <c r="A39" s="8">
        <v>42563.134930555556</v>
      </c>
      <c r="B39" s="26" t="s">
        <v>635</v>
      </c>
      <c r="C39" s="26" t="s">
        <v>636</v>
      </c>
      <c r="D39" s="26">
        <v>0</v>
      </c>
      <c r="E39" s="26" t="s">
        <v>637</v>
      </c>
      <c r="F39" s="26" t="str">
        <f t="shared" si="0"/>
        <v>rtdc.l.rtdc.4005:itc</v>
      </c>
      <c r="G39" s="8">
        <f t="shared" si="1"/>
        <v>42563.134930555556</v>
      </c>
    </row>
    <row r="40" spans="1:7" x14ac:dyDescent="0.25">
      <c r="A40" s="8">
        <v>42563.314641203702</v>
      </c>
      <c r="B40" s="34" t="s">
        <v>144</v>
      </c>
      <c r="C40" s="26" t="s">
        <v>639</v>
      </c>
      <c r="D40" s="26">
        <v>1990000</v>
      </c>
      <c r="E40" s="26" t="s">
        <v>202</v>
      </c>
      <c r="F40" s="26" t="str">
        <f t="shared" si="0"/>
        <v>rtdc.l.rtdc.4043:itc</v>
      </c>
      <c r="G40" s="8">
        <f t="shared" si="1"/>
        <v>42563.314641203702</v>
      </c>
    </row>
    <row r="41" spans="1:7" x14ac:dyDescent="0.25">
      <c r="A41" s="8">
        <v>42563.151550925926</v>
      </c>
      <c r="B41" s="26" t="s">
        <v>406</v>
      </c>
      <c r="C41" s="26" t="s">
        <v>640</v>
      </c>
      <c r="D41" s="26">
        <v>1260000</v>
      </c>
      <c r="E41" s="26" t="s">
        <v>387</v>
      </c>
      <c r="F41" s="26" t="str">
        <f t="shared" si="0"/>
        <v>rtdc.l.rtdc.4009:itc</v>
      </c>
      <c r="G41" s="8">
        <f t="shared" si="1"/>
        <v>42563.151550925926</v>
      </c>
    </row>
    <row r="42" spans="1:7" x14ac:dyDescent="0.25">
      <c r="A42" s="8">
        <v>42563.28361111111</v>
      </c>
      <c r="B42" s="26" t="s">
        <v>75</v>
      </c>
      <c r="C42" s="26" t="s">
        <v>641</v>
      </c>
      <c r="D42" s="26">
        <v>310000</v>
      </c>
      <c r="E42" s="26" t="s">
        <v>388</v>
      </c>
      <c r="F42" s="26" t="str">
        <f t="shared" si="0"/>
        <v>rtdc.l.rtdc.4017:itc</v>
      </c>
      <c r="G42" s="8">
        <f t="shared" si="1"/>
        <v>42563.28361111111</v>
      </c>
    </row>
    <row r="43" spans="1:7" x14ac:dyDescent="0.25">
      <c r="A43" s="8">
        <v>42563.206805555557</v>
      </c>
      <c r="B43" s="26" t="s">
        <v>140</v>
      </c>
      <c r="C43" s="26" t="s">
        <v>642</v>
      </c>
      <c r="D43" s="26">
        <v>1990000</v>
      </c>
      <c r="E43" s="26" t="s">
        <v>202</v>
      </c>
      <c r="F43" s="26" t="str">
        <f t="shared" si="0"/>
        <v>rtdc.l.rtdc.4044:itc</v>
      </c>
      <c r="G43" s="8">
        <f t="shared" si="1"/>
        <v>42563.206805555557</v>
      </c>
    </row>
    <row r="44" spans="1:7" x14ac:dyDescent="0.25">
      <c r="A44" s="8">
        <v>42563.014444444445</v>
      </c>
      <c r="B44" s="26" t="s">
        <v>67</v>
      </c>
      <c r="C44" s="26" t="s">
        <v>616</v>
      </c>
      <c r="D44" s="26">
        <v>1810000</v>
      </c>
      <c r="E44" s="26" t="s">
        <v>168</v>
      </c>
      <c r="F44" s="26" t="str">
        <f t="shared" si="0"/>
        <v>rtdc.l.rtdc.4032:itc</v>
      </c>
      <c r="G44" s="8">
        <f t="shared" si="1"/>
        <v>42563.014444444445</v>
      </c>
    </row>
    <row r="45" spans="1:7" x14ac:dyDescent="0.25">
      <c r="A45" s="8">
        <v>42563.320277777777</v>
      </c>
      <c r="B45" s="26" t="s">
        <v>74</v>
      </c>
      <c r="C45" s="26" t="s">
        <v>643</v>
      </c>
      <c r="D45" s="26">
        <v>310000</v>
      </c>
      <c r="E45" s="26" t="s">
        <v>388</v>
      </c>
      <c r="F45" s="26" t="str">
        <f t="shared" si="0"/>
        <v>rtdc.l.rtdc.4018:itc</v>
      </c>
      <c r="G45" s="8">
        <f t="shared" si="1"/>
        <v>42563.320277777777</v>
      </c>
    </row>
    <row r="46" spans="1:7" x14ac:dyDescent="0.25">
      <c r="A46" s="8">
        <v>42562.801180555558</v>
      </c>
      <c r="B46" s="26" t="s">
        <v>120</v>
      </c>
      <c r="C46" s="26" t="s">
        <v>597</v>
      </c>
      <c r="D46" s="26">
        <v>1800000</v>
      </c>
      <c r="E46" s="26" t="s">
        <v>389</v>
      </c>
      <c r="F46" s="26" t="str">
        <f t="shared" si="0"/>
        <v>rtdc.l.rtdc.4026:itc</v>
      </c>
      <c r="G46" s="8">
        <f t="shared" si="1"/>
        <v>42562.801180555558</v>
      </c>
    </row>
    <row r="47" spans="1:7" x14ac:dyDescent="0.25">
      <c r="A47" s="8">
        <v>42562.015902777777</v>
      </c>
      <c r="B47" s="26" t="s">
        <v>75</v>
      </c>
      <c r="C47" s="26" t="s">
        <v>386</v>
      </c>
      <c r="D47" s="26">
        <v>1290000</v>
      </c>
      <c r="E47" s="26" t="s">
        <v>170</v>
      </c>
      <c r="F47" s="26" t="str">
        <f t="shared" si="0"/>
        <v>rtdc.l.rtdc.4017:itc</v>
      </c>
      <c r="G47" s="8">
        <f t="shared" si="1"/>
        <v>42562.015902777777</v>
      </c>
    </row>
    <row r="48" spans="1:7" x14ac:dyDescent="0.25">
      <c r="A48" s="8">
        <v>42562.653946759259</v>
      </c>
      <c r="B48" s="26" t="s">
        <v>406</v>
      </c>
      <c r="C48" s="26" t="s">
        <v>563</v>
      </c>
      <c r="D48" s="26">
        <v>1120000</v>
      </c>
      <c r="E48" s="26" t="s">
        <v>141</v>
      </c>
      <c r="F48" s="26" t="str">
        <f t="shared" si="0"/>
        <v>rtdc.l.rtdc.4009:itc</v>
      </c>
      <c r="G48" s="8">
        <f t="shared" si="1"/>
        <v>42562.653946759259</v>
      </c>
    </row>
    <row r="49" spans="1:7" x14ac:dyDescent="0.25">
      <c r="A49" s="8">
        <v>42562.381886574076</v>
      </c>
      <c r="B49" s="26" t="s">
        <v>121</v>
      </c>
      <c r="C49" s="26" t="s">
        <v>500</v>
      </c>
      <c r="D49" s="26">
        <v>1260000</v>
      </c>
      <c r="E49" s="26" t="s">
        <v>387</v>
      </c>
      <c r="F49" s="26" t="str">
        <f t="shared" si="0"/>
        <v>rtdc.l.rtdc.4014:itc</v>
      </c>
      <c r="G49" s="8">
        <f t="shared" si="1"/>
        <v>42562.381886574076</v>
      </c>
    </row>
    <row r="50" spans="1:7" x14ac:dyDescent="0.25">
      <c r="A50" s="8">
        <v>42562.442546296297</v>
      </c>
      <c r="B50" s="26" t="s">
        <v>75</v>
      </c>
      <c r="C50" s="26" t="s">
        <v>512</v>
      </c>
      <c r="D50" s="26">
        <v>1830000</v>
      </c>
      <c r="E50" s="26" t="s">
        <v>135</v>
      </c>
      <c r="F50" s="26" t="str">
        <f t="shared" si="0"/>
        <v>rtdc.l.rtdc.4017:itc</v>
      </c>
      <c r="G50" s="8">
        <f t="shared" si="1"/>
        <v>42562.442546296297</v>
      </c>
    </row>
    <row r="51" spans="1:7" x14ac:dyDescent="0.25">
      <c r="A51" s="8">
        <v>42562.485810185186</v>
      </c>
      <c r="B51" s="26" t="s">
        <v>67</v>
      </c>
      <c r="C51" s="26" t="s">
        <v>413</v>
      </c>
      <c r="D51" s="26">
        <v>1310000</v>
      </c>
      <c r="E51" s="26" t="s">
        <v>115</v>
      </c>
      <c r="F51" s="26" t="str">
        <f t="shared" si="0"/>
        <v>rtdc.l.rtdc.4032:itc</v>
      </c>
      <c r="G51" s="8">
        <f t="shared" si="1"/>
        <v>42562.485810185186</v>
      </c>
    </row>
    <row r="52" spans="1:7" x14ac:dyDescent="0.25">
      <c r="A52" s="8">
        <v>42562.360671296294</v>
      </c>
      <c r="B52" s="26" t="s">
        <v>406</v>
      </c>
      <c r="C52" s="26" t="s">
        <v>407</v>
      </c>
      <c r="D52" s="26">
        <v>1990000</v>
      </c>
      <c r="E52" s="26" t="s">
        <v>202</v>
      </c>
      <c r="F52" s="26" t="str">
        <f t="shared" si="0"/>
        <v>rtdc.l.rtdc.4009:itc</v>
      </c>
      <c r="G52" s="8">
        <f t="shared" si="1"/>
        <v>42562.360671296294</v>
      </c>
    </row>
    <row r="53" spans="1:7" x14ac:dyDescent="0.25">
      <c r="A53" s="8">
        <v>42562.588206018518</v>
      </c>
      <c r="B53" s="26" t="s">
        <v>76</v>
      </c>
      <c r="C53" s="26" t="s">
        <v>549</v>
      </c>
      <c r="D53" s="26">
        <v>1750000</v>
      </c>
      <c r="E53" s="26" t="s">
        <v>624</v>
      </c>
      <c r="F53" s="26" t="str">
        <f t="shared" si="0"/>
        <v>rtdc.l.rtdc.4031:itc</v>
      </c>
      <c r="G53" s="8">
        <f t="shared" si="1"/>
        <v>42562.588206018518</v>
      </c>
    </row>
    <row r="54" spans="1:7" x14ac:dyDescent="0.25">
      <c r="A54" s="8">
        <v>42562.223969907405</v>
      </c>
      <c r="B54" s="26" t="s">
        <v>75</v>
      </c>
      <c r="C54" s="26" t="s">
        <v>457</v>
      </c>
      <c r="D54" s="26">
        <v>1830000</v>
      </c>
      <c r="E54" s="26" t="s">
        <v>135</v>
      </c>
      <c r="F54" s="26" t="str">
        <f t="shared" si="0"/>
        <v>rtdc.l.rtdc.4017:itc</v>
      </c>
      <c r="G54" s="8">
        <f t="shared" si="1"/>
        <v>42562.223969907405</v>
      </c>
    </row>
    <row r="55" spans="1:7" x14ac:dyDescent="0.25">
      <c r="A55" s="8">
        <v>42562.610312500001</v>
      </c>
      <c r="B55" s="26" t="s">
        <v>123</v>
      </c>
      <c r="C55" s="26" t="s">
        <v>555</v>
      </c>
      <c r="D55" s="26">
        <v>1280000</v>
      </c>
      <c r="E55" s="26" t="s">
        <v>126</v>
      </c>
      <c r="F55" s="26" t="str">
        <f t="shared" si="0"/>
        <v>rtdc.l.rtdc.4025:itc</v>
      </c>
      <c r="G55" s="8">
        <f t="shared" si="1"/>
        <v>42562.610312500001</v>
      </c>
    </row>
    <row r="56" spans="1:7" x14ac:dyDescent="0.25">
      <c r="A56" s="8">
        <v>42561.907442129632</v>
      </c>
      <c r="B56" s="26" t="s">
        <v>72</v>
      </c>
      <c r="C56" s="26" t="s">
        <v>347</v>
      </c>
      <c r="D56" s="26">
        <v>1180000</v>
      </c>
      <c r="E56" s="26" t="s">
        <v>308</v>
      </c>
      <c r="F56" s="26" t="str">
        <f t="shared" si="0"/>
        <v>rtdc.l.rtdc.4019:itc</v>
      </c>
      <c r="G56" s="8">
        <f t="shared" si="1"/>
        <v>42561.907442129632</v>
      </c>
    </row>
    <row r="57" spans="1:7" x14ac:dyDescent="0.25">
      <c r="A57" s="8">
        <v>42561.994606481479</v>
      </c>
      <c r="B57" s="26" t="s">
        <v>147</v>
      </c>
      <c r="C57" s="26" t="s">
        <v>350</v>
      </c>
      <c r="D57" s="26">
        <v>1810000</v>
      </c>
      <c r="E57" s="26" t="s">
        <v>168</v>
      </c>
      <c r="F57" s="26" t="str">
        <f t="shared" si="0"/>
        <v>rtdc.l.rtdc.4007:itc</v>
      </c>
      <c r="G57" s="8">
        <f t="shared" si="1"/>
        <v>42561.994606481479</v>
      </c>
    </row>
    <row r="58" spans="1:7" x14ac:dyDescent="0.25">
      <c r="A58" s="8">
        <v>42562.560162037036</v>
      </c>
      <c r="B58" s="26" t="s">
        <v>74</v>
      </c>
      <c r="C58" s="26" t="s">
        <v>418</v>
      </c>
      <c r="D58" s="26">
        <v>1520000</v>
      </c>
      <c r="E58" s="26" t="s">
        <v>137</v>
      </c>
      <c r="F58" s="26" t="str">
        <f t="shared" si="0"/>
        <v>rtdc.l.rtdc.4018:itc</v>
      </c>
      <c r="G58" s="8">
        <f t="shared" si="1"/>
        <v>42562.560162037036</v>
      </c>
    </row>
    <row r="59" spans="1:7" x14ac:dyDescent="0.25">
      <c r="A59" s="8">
        <v>42562.246053240742</v>
      </c>
      <c r="B59" s="26" t="s">
        <v>289</v>
      </c>
      <c r="C59" s="26" t="s">
        <v>399</v>
      </c>
      <c r="D59" s="26">
        <v>1110000</v>
      </c>
      <c r="E59" s="26" t="s">
        <v>187</v>
      </c>
      <c r="F59" s="26" t="str">
        <f t="shared" si="0"/>
        <v>rtdc.l.rtdc.4015:itc</v>
      </c>
      <c r="G59" s="8">
        <f t="shared" si="1"/>
        <v>42562.246053240742</v>
      </c>
    </row>
    <row r="60" spans="1:7" x14ac:dyDescent="0.25">
      <c r="A60" s="8">
        <v>42562.327268518522</v>
      </c>
      <c r="B60" s="26" t="s">
        <v>410</v>
      </c>
      <c r="C60" s="26" t="s">
        <v>644</v>
      </c>
      <c r="D60" s="26">
        <v>1990000</v>
      </c>
      <c r="E60" s="26" t="s">
        <v>202</v>
      </c>
      <c r="F60" s="26" t="str">
        <f t="shared" si="0"/>
        <v>rtdc.l.rtdc.4010:itc</v>
      </c>
      <c r="G60" s="8">
        <f t="shared" si="1"/>
        <v>42562.327268518522</v>
      </c>
    </row>
    <row r="61" spans="1:7" x14ac:dyDescent="0.25">
      <c r="A61" s="8">
        <v>42562.319456018522</v>
      </c>
      <c r="B61" s="26" t="s">
        <v>289</v>
      </c>
      <c r="C61" s="26" t="s">
        <v>482</v>
      </c>
      <c r="D61" s="26">
        <v>1110000</v>
      </c>
      <c r="E61" s="26" t="s">
        <v>187</v>
      </c>
      <c r="F61" s="26" t="str">
        <f t="shared" si="0"/>
        <v>rtdc.l.rtdc.4015:itc</v>
      </c>
      <c r="G61" s="8">
        <f t="shared" si="1"/>
        <v>42562.319456018522</v>
      </c>
    </row>
    <row r="62" spans="1:7" x14ac:dyDescent="0.25">
      <c r="A62" s="8">
        <v>42562.033055555556</v>
      </c>
      <c r="B62" s="26" t="s">
        <v>143</v>
      </c>
      <c r="C62" s="26" t="s">
        <v>351</v>
      </c>
      <c r="D62" s="26">
        <v>1810000</v>
      </c>
      <c r="E62" s="26" t="s">
        <v>168</v>
      </c>
      <c r="F62" s="26" t="str">
        <f t="shared" si="0"/>
        <v>rtdc.l.rtdc.4008:itc</v>
      </c>
      <c r="G62" s="8">
        <f t="shared" si="1"/>
        <v>42562.033055555556</v>
      </c>
    </row>
    <row r="63" spans="1:7" x14ac:dyDescent="0.25">
      <c r="A63" s="8">
        <v>42562.463530092595</v>
      </c>
      <c r="B63" s="26" t="s">
        <v>123</v>
      </c>
      <c r="C63" s="26" t="s">
        <v>522</v>
      </c>
      <c r="D63" s="26">
        <v>1280000</v>
      </c>
      <c r="E63" s="26" t="s">
        <v>126</v>
      </c>
      <c r="F63" s="26" t="str">
        <f t="shared" si="0"/>
        <v>rtdc.l.rtdc.4025:itc</v>
      </c>
      <c r="G63" s="8">
        <f t="shared" si="1"/>
        <v>42562.463530092595</v>
      </c>
    </row>
    <row r="64" spans="1:7" x14ac:dyDescent="0.25">
      <c r="A64" s="35">
        <v>42562.846643518518</v>
      </c>
      <c r="B64" s="26" t="s">
        <v>67</v>
      </c>
      <c r="C64" s="26" t="s">
        <v>436</v>
      </c>
      <c r="D64" s="26">
        <v>1810000</v>
      </c>
      <c r="E64" s="26" t="s">
        <v>168</v>
      </c>
      <c r="F64" s="26" t="str">
        <f t="shared" si="0"/>
        <v>rtdc.l.rtdc.4032:itc</v>
      </c>
      <c r="G64" s="8">
        <f t="shared" si="1"/>
        <v>42562.846643518518</v>
      </c>
    </row>
    <row r="65" spans="1:7" x14ac:dyDescent="0.25">
      <c r="A65" s="8">
        <v>42562.499085648145</v>
      </c>
      <c r="B65" s="26" t="s">
        <v>291</v>
      </c>
      <c r="C65" s="26" t="s">
        <v>414</v>
      </c>
      <c r="D65" s="26">
        <v>1110000</v>
      </c>
      <c r="E65" s="26" t="s">
        <v>187</v>
      </c>
      <c r="F65" s="26" t="str">
        <f t="shared" si="0"/>
        <v>rtdc.l.rtdc.4016:itc</v>
      </c>
      <c r="G65" s="8">
        <f t="shared" si="1"/>
        <v>42562.499085648145</v>
      </c>
    </row>
    <row r="66" spans="1:7" x14ac:dyDescent="0.25">
      <c r="A66" s="8">
        <v>42562.745856481481</v>
      </c>
      <c r="B66" s="26" t="s">
        <v>75</v>
      </c>
      <c r="C66" s="26" t="s">
        <v>432</v>
      </c>
      <c r="D66" s="26">
        <v>1520000</v>
      </c>
      <c r="E66" s="26" t="s">
        <v>137</v>
      </c>
      <c r="F66" s="26" t="str">
        <f t="shared" ref="F66:F129" si="2">B66</f>
        <v>rtdc.l.rtdc.4017:itc</v>
      </c>
      <c r="G66" s="8">
        <f t="shared" ref="G66:G129" si="3">A66</f>
        <v>42562.745856481481</v>
      </c>
    </row>
    <row r="67" spans="1:7" x14ac:dyDescent="0.25">
      <c r="A67" s="8">
        <v>42562.296655092592</v>
      </c>
      <c r="B67" s="26" t="s">
        <v>75</v>
      </c>
      <c r="C67" s="26" t="s">
        <v>479</v>
      </c>
      <c r="D67" s="26">
        <v>1830000</v>
      </c>
      <c r="E67" s="26" t="s">
        <v>135</v>
      </c>
      <c r="F67" s="26" t="str">
        <f t="shared" si="2"/>
        <v>rtdc.l.rtdc.4017:itc</v>
      </c>
      <c r="G67" s="8">
        <f t="shared" si="3"/>
        <v>42562.296655092592</v>
      </c>
    </row>
    <row r="68" spans="1:7" x14ac:dyDescent="0.25">
      <c r="A68" s="8">
        <v>42562.344664351855</v>
      </c>
      <c r="B68" s="26" t="s">
        <v>122</v>
      </c>
      <c r="C68" s="26" t="s">
        <v>489</v>
      </c>
      <c r="D68" s="26">
        <v>1260000</v>
      </c>
      <c r="E68" s="26" t="s">
        <v>387</v>
      </c>
      <c r="F68" s="26" t="str">
        <f t="shared" si="2"/>
        <v>rtdc.l.rtdc.4013:itc</v>
      </c>
      <c r="G68" s="8">
        <f t="shared" si="3"/>
        <v>42562.344664351855</v>
      </c>
    </row>
    <row r="69" spans="1:7" x14ac:dyDescent="0.25">
      <c r="A69" s="8">
        <v>42562.502500000002</v>
      </c>
      <c r="B69" s="26" t="s">
        <v>120</v>
      </c>
      <c r="C69" s="26" t="s">
        <v>524</v>
      </c>
      <c r="D69" s="26">
        <v>1280000</v>
      </c>
      <c r="E69" s="26" t="s">
        <v>126</v>
      </c>
      <c r="F69" s="26" t="str">
        <f t="shared" si="2"/>
        <v>rtdc.l.rtdc.4026:itc</v>
      </c>
      <c r="G69" s="8">
        <f t="shared" si="3"/>
        <v>42562.502500000002</v>
      </c>
    </row>
    <row r="70" spans="1:7" x14ac:dyDescent="0.25">
      <c r="A70" s="8">
        <v>42562.216504629629</v>
      </c>
      <c r="B70" s="26" t="s">
        <v>406</v>
      </c>
      <c r="C70" s="26" t="s">
        <v>462</v>
      </c>
      <c r="D70" s="26">
        <v>1990000</v>
      </c>
      <c r="E70" s="26" t="s">
        <v>202</v>
      </c>
      <c r="F70" s="26" t="str">
        <f t="shared" si="2"/>
        <v>rtdc.l.rtdc.4009:itc</v>
      </c>
      <c r="G70" s="8">
        <f t="shared" si="3"/>
        <v>42562.216504629629</v>
      </c>
    </row>
    <row r="71" spans="1:7" x14ac:dyDescent="0.25">
      <c r="A71" s="8">
        <v>42562.299756944441</v>
      </c>
      <c r="B71" s="26" t="s">
        <v>76</v>
      </c>
      <c r="C71" s="26" t="s">
        <v>484</v>
      </c>
      <c r="D71" s="26">
        <v>1310000</v>
      </c>
      <c r="E71" s="26" t="s">
        <v>115</v>
      </c>
      <c r="F71" s="26" t="str">
        <f t="shared" si="2"/>
        <v>rtdc.l.rtdc.4031:itc</v>
      </c>
      <c r="G71" s="8">
        <f t="shared" si="3"/>
        <v>42562.299756944441</v>
      </c>
    </row>
    <row r="72" spans="1:7" x14ac:dyDescent="0.25">
      <c r="A72" s="8">
        <v>42561.931296296294</v>
      </c>
      <c r="B72" s="26" t="s">
        <v>75</v>
      </c>
      <c r="C72" s="26" t="s">
        <v>381</v>
      </c>
      <c r="D72" s="26">
        <v>1290000</v>
      </c>
      <c r="E72" s="26" t="s">
        <v>170</v>
      </c>
      <c r="F72" s="26" t="str">
        <f t="shared" si="2"/>
        <v>rtdc.l.rtdc.4017:itc</v>
      </c>
      <c r="G72" s="8">
        <f t="shared" si="3"/>
        <v>42561.931296296294</v>
      </c>
    </row>
    <row r="73" spans="1:7" x14ac:dyDescent="0.25">
      <c r="A73" s="8">
        <v>42562.173321759263</v>
      </c>
      <c r="B73" s="26" t="s">
        <v>410</v>
      </c>
      <c r="C73" s="26" t="s">
        <v>444</v>
      </c>
      <c r="D73" s="26">
        <v>1990000</v>
      </c>
      <c r="E73" s="26" t="s">
        <v>202</v>
      </c>
      <c r="F73" s="26" t="str">
        <f t="shared" si="2"/>
        <v>rtdc.l.rtdc.4010:itc</v>
      </c>
      <c r="G73" s="8">
        <f t="shared" si="3"/>
        <v>42562.173321759263</v>
      </c>
    </row>
    <row r="74" spans="1:7" x14ac:dyDescent="0.25">
      <c r="A74" s="8">
        <v>42562.825960648152</v>
      </c>
      <c r="B74" s="26" t="s">
        <v>289</v>
      </c>
      <c r="C74" s="26" t="s">
        <v>603</v>
      </c>
      <c r="D74" s="26">
        <v>2010000</v>
      </c>
      <c r="E74" s="26" t="s">
        <v>201</v>
      </c>
      <c r="F74" s="26" t="str">
        <f t="shared" si="2"/>
        <v>rtdc.l.rtdc.4015:itc</v>
      </c>
      <c r="G74" s="8">
        <f t="shared" si="3"/>
        <v>42562.825960648152</v>
      </c>
    </row>
    <row r="75" spans="1:7" x14ac:dyDescent="0.25">
      <c r="A75" s="8">
        <v>42562.212569444448</v>
      </c>
      <c r="B75" s="26" t="s">
        <v>124</v>
      </c>
      <c r="C75" s="26" t="s">
        <v>452</v>
      </c>
      <c r="D75" s="26">
        <v>1190000</v>
      </c>
      <c r="E75" s="26" t="s">
        <v>625</v>
      </c>
      <c r="F75" s="26" t="str">
        <f t="shared" si="2"/>
        <v>rtdc.l.rtdc.4028:itc</v>
      </c>
      <c r="G75" s="8">
        <f t="shared" si="3"/>
        <v>42562.212569444448</v>
      </c>
    </row>
    <row r="76" spans="1:7" x14ac:dyDescent="0.25">
      <c r="A76" s="8">
        <v>42562.412592592591</v>
      </c>
      <c r="B76" s="26" t="s">
        <v>67</v>
      </c>
      <c r="C76" s="26" t="s">
        <v>498</v>
      </c>
      <c r="D76" s="26">
        <v>1310000</v>
      </c>
      <c r="E76" s="26" t="s">
        <v>115</v>
      </c>
      <c r="F76" s="26" t="str">
        <f t="shared" si="2"/>
        <v>rtdc.l.rtdc.4032:itc</v>
      </c>
      <c r="G76" s="8">
        <f t="shared" si="3"/>
        <v>42562.412592592591</v>
      </c>
    </row>
    <row r="77" spans="1:7" x14ac:dyDescent="0.25">
      <c r="A77" s="8">
        <v>42562.620300925926</v>
      </c>
      <c r="B77" s="26" t="s">
        <v>73</v>
      </c>
      <c r="C77" s="26" t="s">
        <v>557</v>
      </c>
      <c r="D77" s="26">
        <v>2020000</v>
      </c>
      <c r="E77" s="26" t="s">
        <v>626</v>
      </c>
      <c r="F77" s="26" t="str">
        <f t="shared" si="2"/>
        <v>rtdc.l.rtdc.4020:itc</v>
      </c>
      <c r="G77" s="8">
        <f t="shared" si="3"/>
        <v>42562.620300925926</v>
      </c>
    </row>
    <row r="78" spans="1:7" x14ac:dyDescent="0.25">
      <c r="A78" s="8">
        <v>42562.374166666668</v>
      </c>
      <c r="B78" s="26" t="s">
        <v>76</v>
      </c>
      <c r="C78" s="26" t="s">
        <v>497</v>
      </c>
      <c r="D78" s="26">
        <v>1310000</v>
      </c>
      <c r="E78" s="26" t="s">
        <v>115</v>
      </c>
      <c r="F78" s="26" t="str">
        <f t="shared" si="2"/>
        <v>rtdc.l.rtdc.4031:itc</v>
      </c>
      <c r="G78" s="8">
        <f t="shared" si="3"/>
        <v>42562.374166666668</v>
      </c>
    </row>
    <row r="79" spans="1:7" x14ac:dyDescent="0.25">
      <c r="A79" s="8">
        <v>42562.755694444444</v>
      </c>
      <c r="B79" s="26" t="s">
        <v>289</v>
      </c>
      <c r="C79" s="26" t="s">
        <v>584</v>
      </c>
      <c r="D79" s="26">
        <v>2010000</v>
      </c>
      <c r="E79" s="26" t="s">
        <v>201</v>
      </c>
      <c r="F79" s="26" t="str">
        <f t="shared" si="2"/>
        <v>rtdc.l.rtdc.4015:itc</v>
      </c>
      <c r="G79" s="8">
        <f t="shared" si="3"/>
        <v>42562.755694444444</v>
      </c>
    </row>
    <row r="80" spans="1:7" x14ac:dyDescent="0.25">
      <c r="A80" s="8">
        <v>42562.934872685182</v>
      </c>
      <c r="B80" s="26" t="s">
        <v>73</v>
      </c>
      <c r="C80" s="26" t="s">
        <v>610</v>
      </c>
      <c r="D80" s="26">
        <v>2030000</v>
      </c>
      <c r="E80" s="26" t="s">
        <v>185</v>
      </c>
      <c r="F80" s="26" t="str">
        <f t="shared" si="2"/>
        <v>rtdc.l.rtdc.4020:itc</v>
      </c>
      <c r="G80" s="8">
        <f t="shared" si="3"/>
        <v>42562.934872685182</v>
      </c>
    </row>
    <row r="81" spans="1:7" x14ac:dyDescent="0.25">
      <c r="A81" s="8">
        <v>42562.923495370371</v>
      </c>
      <c r="B81" s="26" t="s">
        <v>67</v>
      </c>
      <c r="C81" s="26" t="s">
        <v>607</v>
      </c>
      <c r="D81" s="26">
        <v>1810000</v>
      </c>
      <c r="E81" s="26" t="s">
        <v>168</v>
      </c>
      <c r="F81" s="26" t="str">
        <f t="shared" si="2"/>
        <v>rtdc.l.rtdc.4032:itc</v>
      </c>
      <c r="G81" s="8">
        <f t="shared" si="3"/>
        <v>42562.923495370371</v>
      </c>
    </row>
    <row r="82" spans="1:7" x14ac:dyDescent="0.25">
      <c r="A82" s="8">
        <v>42562.743564814817</v>
      </c>
      <c r="B82" s="26" t="s">
        <v>76</v>
      </c>
      <c r="C82" s="26" t="s">
        <v>588</v>
      </c>
      <c r="D82" s="26">
        <v>1810000</v>
      </c>
      <c r="E82" s="26" t="s">
        <v>168</v>
      </c>
      <c r="F82" s="26" t="str">
        <f t="shared" si="2"/>
        <v>rtdc.l.rtdc.4031:itc</v>
      </c>
      <c r="G82" s="8">
        <f t="shared" si="3"/>
        <v>42562.743564814817</v>
      </c>
    </row>
    <row r="83" spans="1:7" x14ac:dyDescent="0.25">
      <c r="A83" s="8">
        <v>42562.950428240743</v>
      </c>
      <c r="B83" s="26" t="s">
        <v>120</v>
      </c>
      <c r="C83" s="26" t="s">
        <v>609</v>
      </c>
      <c r="D83" s="26">
        <v>1800000</v>
      </c>
      <c r="E83" s="26" t="s">
        <v>389</v>
      </c>
      <c r="F83" s="26" t="str">
        <f t="shared" si="2"/>
        <v>rtdc.l.rtdc.4026:itc</v>
      </c>
      <c r="G83" s="8">
        <f t="shared" si="3"/>
        <v>42562.950428240743</v>
      </c>
    </row>
    <row r="84" spans="1:7" x14ac:dyDescent="0.25">
      <c r="A84" s="8">
        <v>42562.719490740739</v>
      </c>
      <c r="B84" s="26" t="s">
        <v>291</v>
      </c>
      <c r="C84" s="26" t="s">
        <v>583</v>
      </c>
      <c r="D84" s="26">
        <v>2010000</v>
      </c>
      <c r="E84" s="26" t="s">
        <v>201</v>
      </c>
      <c r="F84" s="26" t="str">
        <f t="shared" si="2"/>
        <v>rtdc.l.rtdc.4016:itc</v>
      </c>
      <c r="G84" s="8">
        <f t="shared" si="3"/>
        <v>42562.719490740739</v>
      </c>
    </row>
    <row r="85" spans="1:7" x14ac:dyDescent="0.25">
      <c r="A85" s="8">
        <v>42563.034618055557</v>
      </c>
      <c r="B85" s="26" t="s">
        <v>120</v>
      </c>
      <c r="C85" s="26" t="s">
        <v>618</v>
      </c>
      <c r="D85" s="26">
        <v>1800000</v>
      </c>
      <c r="E85" s="26" t="s">
        <v>389</v>
      </c>
      <c r="F85" s="26" t="str">
        <f t="shared" si="2"/>
        <v>rtdc.l.rtdc.4026:itc</v>
      </c>
      <c r="G85" s="8">
        <f t="shared" si="3"/>
        <v>42563.034618055557</v>
      </c>
    </row>
    <row r="86" spans="1:7" x14ac:dyDescent="0.25">
      <c r="A86" s="8">
        <v>42562.443159722221</v>
      </c>
      <c r="B86" s="26" t="s">
        <v>72</v>
      </c>
      <c r="C86" s="26" t="s">
        <v>510</v>
      </c>
      <c r="D86" s="26">
        <v>1090000</v>
      </c>
      <c r="E86" s="26" t="s">
        <v>132</v>
      </c>
      <c r="F86" s="26" t="str">
        <f t="shared" si="2"/>
        <v>rtdc.l.rtdc.4019:itc</v>
      </c>
      <c r="G86" s="8">
        <f t="shared" si="3"/>
        <v>42562.443159722221</v>
      </c>
    </row>
    <row r="87" spans="1:7" x14ac:dyDescent="0.25">
      <c r="A87" s="8">
        <v>42563.224479166667</v>
      </c>
      <c r="B87" s="26" t="s">
        <v>406</v>
      </c>
      <c r="C87" s="26" t="s">
        <v>645</v>
      </c>
      <c r="D87" s="26">
        <v>900000</v>
      </c>
      <c r="E87" s="26" t="s">
        <v>131</v>
      </c>
      <c r="F87" s="26" t="str">
        <f t="shared" si="2"/>
        <v>rtdc.l.rtdc.4009:itc</v>
      </c>
      <c r="G87" s="8">
        <f t="shared" si="3"/>
        <v>42563.224479166667</v>
      </c>
    </row>
    <row r="88" spans="1:7" x14ac:dyDescent="0.25">
      <c r="A88" s="8">
        <v>42562.436041666668</v>
      </c>
      <c r="B88" s="26" t="s">
        <v>406</v>
      </c>
      <c r="C88" s="26" t="s">
        <v>516</v>
      </c>
      <c r="D88" s="26">
        <v>1990000</v>
      </c>
      <c r="E88" s="26" t="s">
        <v>202</v>
      </c>
      <c r="F88" s="26" t="str">
        <f t="shared" si="2"/>
        <v>rtdc.l.rtdc.4009:itc</v>
      </c>
      <c r="G88" s="8">
        <f t="shared" si="3"/>
        <v>42562.436041666668</v>
      </c>
    </row>
    <row r="89" spans="1:7" x14ac:dyDescent="0.25">
      <c r="A89" s="8">
        <v>42562.769675925927</v>
      </c>
      <c r="B89" s="26" t="s">
        <v>123</v>
      </c>
      <c r="C89" s="26" t="s">
        <v>594</v>
      </c>
      <c r="D89" s="26">
        <v>1800000</v>
      </c>
      <c r="E89" s="26" t="s">
        <v>389</v>
      </c>
      <c r="F89" s="26" t="str">
        <f t="shared" si="2"/>
        <v>rtdc.l.rtdc.4025:itc</v>
      </c>
      <c r="G89" s="8">
        <f t="shared" si="3"/>
        <v>42562.769675925927</v>
      </c>
    </row>
    <row r="90" spans="1:7" x14ac:dyDescent="0.25">
      <c r="A90" s="8">
        <v>42562.277627314812</v>
      </c>
      <c r="B90" s="26" t="s">
        <v>291</v>
      </c>
      <c r="C90" s="26" t="s">
        <v>480</v>
      </c>
      <c r="D90" s="26">
        <v>1110000</v>
      </c>
      <c r="E90" s="26" t="s">
        <v>187</v>
      </c>
      <c r="F90" s="26" t="str">
        <f t="shared" si="2"/>
        <v>rtdc.l.rtdc.4016:itc</v>
      </c>
      <c r="G90" s="8">
        <f t="shared" si="3"/>
        <v>42562.277627314812</v>
      </c>
    </row>
    <row r="91" spans="1:7" x14ac:dyDescent="0.25">
      <c r="A91" s="8">
        <v>42562.872881944444</v>
      </c>
      <c r="B91" s="26" t="s">
        <v>291</v>
      </c>
      <c r="C91" s="26" t="s">
        <v>606</v>
      </c>
      <c r="D91" s="26">
        <v>2010000</v>
      </c>
      <c r="E91" s="26" t="s">
        <v>201</v>
      </c>
      <c r="F91" s="26" t="str">
        <f t="shared" si="2"/>
        <v>rtdc.l.rtdc.4016:itc</v>
      </c>
      <c r="G91" s="8">
        <f t="shared" si="3"/>
        <v>42562.872881944444</v>
      </c>
    </row>
    <row r="92" spans="1:7" x14ac:dyDescent="0.25">
      <c r="A92" s="8">
        <v>42562.264930555553</v>
      </c>
      <c r="B92" s="26" t="s">
        <v>67</v>
      </c>
      <c r="C92" s="26" t="s">
        <v>467</v>
      </c>
      <c r="D92" s="26">
        <v>1310000</v>
      </c>
      <c r="E92" s="26" t="s">
        <v>115</v>
      </c>
      <c r="F92" s="26" t="str">
        <f t="shared" si="2"/>
        <v>rtdc.l.rtdc.4032:itc</v>
      </c>
      <c r="G92" s="8">
        <f t="shared" si="3"/>
        <v>42562.264930555553</v>
      </c>
    </row>
    <row r="93" spans="1:7" x14ac:dyDescent="0.25">
      <c r="A93" s="8">
        <v>42562.910439814812</v>
      </c>
      <c r="B93" s="26" t="s">
        <v>289</v>
      </c>
      <c r="C93" s="26" t="s">
        <v>440</v>
      </c>
      <c r="D93" s="26">
        <v>2010000</v>
      </c>
      <c r="E93" s="26" t="s">
        <v>201</v>
      </c>
      <c r="F93" s="26" t="str">
        <f t="shared" si="2"/>
        <v>rtdc.l.rtdc.4015:itc</v>
      </c>
      <c r="G93" s="8">
        <f t="shared" si="3"/>
        <v>42562.910439814812</v>
      </c>
    </row>
    <row r="94" spans="1:7" x14ac:dyDescent="0.25">
      <c r="A94" s="8">
        <v>42562.227187500001</v>
      </c>
      <c r="B94" s="26" t="s">
        <v>76</v>
      </c>
      <c r="C94" s="26" t="s">
        <v>465</v>
      </c>
      <c r="D94" s="26">
        <v>1310000</v>
      </c>
      <c r="E94" s="26" t="s">
        <v>115</v>
      </c>
      <c r="F94" s="26" t="str">
        <f t="shared" si="2"/>
        <v>rtdc.l.rtdc.4031:itc</v>
      </c>
      <c r="G94" s="8">
        <f t="shared" si="3"/>
        <v>42562.227187500001</v>
      </c>
    </row>
    <row r="95" spans="1:7" x14ac:dyDescent="0.25">
      <c r="A95" s="8">
        <v>42563.205833333333</v>
      </c>
      <c r="B95" s="26" t="s">
        <v>124</v>
      </c>
      <c r="C95" s="26" t="s">
        <v>646</v>
      </c>
      <c r="D95" s="26">
        <v>470000</v>
      </c>
      <c r="E95" s="26" t="s">
        <v>633</v>
      </c>
      <c r="F95" s="26" t="str">
        <f t="shared" si="2"/>
        <v>rtdc.l.rtdc.4028:itc</v>
      </c>
      <c r="G95" s="8">
        <f t="shared" si="3"/>
        <v>42563.205833333333</v>
      </c>
    </row>
    <row r="96" spans="1:7" x14ac:dyDescent="0.25">
      <c r="A96" s="8">
        <v>42562.052627314813</v>
      </c>
      <c r="B96" s="26" t="s">
        <v>167</v>
      </c>
      <c r="C96" s="26" t="s">
        <v>391</v>
      </c>
      <c r="D96" s="26">
        <v>1410000</v>
      </c>
      <c r="E96" s="26" t="s">
        <v>392</v>
      </c>
      <c r="F96" s="26" t="str">
        <f t="shared" si="2"/>
        <v>rtdc.l.rtdc.4039:itc</v>
      </c>
      <c r="G96" s="8">
        <f t="shared" si="3"/>
        <v>42562.052627314813</v>
      </c>
    </row>
    <row r="97" spans="1:7" x14ac:dyDescent="0.25">
      <c r="A97" s="8">
        <v>42562.63113425926</v>
      </c>
      <c r="B97" s="26" t="s">
        <v>74</v>
      </c>
      <c r="C97" s="26" t="s">
        <v>424</v>
      </c>
      <c r="D97" s="26">
        <v>1520000</v>
      </c>
      <c r="E97" s="26" t="s">
        <v>137</v>
      </c>
      <c r="F97" s="26" t="str">
        <f t="shared" si="2"/>
        <v>rtdc.l.rtdc.4018:itc</v>
      </c>
      <c r="G97" s="8">
        <f t="shared" si="3"/>
        <v>42562.63113425926</v>
      </c>
    </row>
    <row r="98" spans="1:7" x14ac:dyDescent="0.25">
      <c r="A98" s="8">
        <v>42562.703043981484</v>
      </c>
      <c r="B98" s="26" t="s">
        <v>67</v>
      </c>
      <c r="C98" s="26" t="s">
        <v>565</v>
      </c>
      <c r="D98" s="26">
        <v>1750000</v>
      </c>
      <c r="E98" s="26" t="s">
        <v>624</v>
      </c>
      <c r="F98" s="26" t="str">
        <f t="shared" si="2"/>
        <v>rtdc.l.rtdc.4032:itc</v>
      </c>
      <c r="G98" s="8">
        <f t="shared" si="3"/>
        <v>42562.703043981484</v>
      </c>
    </row>
    <row r="99" spans="1:7" x14ac:dyDescent="0.25">
      <c r="A99" s="8">
        <v>42562.673773148148</v>
      </c>
      <c r="B99" s="26" t="s">
        <v>121</v>
      </c>
      <c r="C99" s="26" t="s">
        <v>567</v>
      </c>
      <c r="D99" s="26">
        <v>880000</v>
      </c>
      <c r="E99" s="26" t="s">
        <v>136</v>
      </c>
      <c r="F99" s="26" t="str">
        <f t="shared" si="2"/>
        <v>rtdc.l.rtdc.4014:itc</v>
      </c>
      <c r="G99" s="8">
        <f t="shared" si="3"/>
        <v>42562.673773148148</v>
      </c>
    </row>
    <row r="100" spans="1:7" x14ac:dyDescent="0.25">
      <c r="A100" s="8">
        <v>42562.691111111111</v>
      </c>
      <c r="B100" s="26" t="s">
        <v>410</v>
      </c>
      <c r="C100" s="26" t="s">
        <v>429</v>
      </c>
      <c r="D100" s="26">
        <v>1120000</v>
      </c>
      <c r="E100" s="26" t="s">
        <v>141</v>
      </c>
      <c r="F100" s="26" t="str">
        <f t="shared" si="2"/>
        <v>rtdc.l.rtdc.4010:itc</v>
      </c>
      <c r="G100" s="8">
        <f t="shared" si="3"/>
        <v>42562.691111111111</v>
      </c>
    </row>
    <row r="101" spans="1:7" x14ac:dyDescent="0.25">
      <c r="A101" s="8">
        <v>42562.776226851849</v>
      </c>
      <c r="B101" s="26" t="s">
        <v>123</v>
      </c>
      <c r="C101" s="26" t="s">
        <v>594</v>
      </c>
      <c r="D101" s="26">
        <v>1800000</v>
      </c>
      <c r="E101" s="26" t="s">
        <v>389</v>
      </c>
      <c r="F101" s="26" t="str">
        <f t="shared" si="2"/>
        <v>rtdc.l.rtdc.4025:itc</v>
      </c>
      <c r="G101" s="8">
        <f t="shared" si="3"/>
        <v>42562.776226851849</v>
      </c>
    </row>
    <row r="102" spans="1:7" x14ac:dyDescent="0.25">
      <c r="A102" s="8">
        <v>42562.659629629627</v>
      </c>
      <c r="B102" s="26" t="s">
        <v>72</v>
      </c>
      <c r="C102" s="26" t="s">
        <v>427</v>
      </c>
      <c r="D102" s="26">
        <v>2020000</v>
      </c>
      <c r="E102" s="26" t="s">
        <v>626</v>
      </c>
      <c r="F102" s="26" t="str">
        <f t="shared" si="2"/>
        <v>rtdc.l.rtdc.4019:itc</v>
      </c>
      <c r="G102" s="8">
        <f t="shared" si="3"/>
        <v>42562.659629629627</v>
      </c>
    </row>
    <row r="103" spans="1:7" x14ac:dyDescent="0.25">
      <c r="A103" s="8">
        <v>42563.183530092596</v>
      </c>
      <c r="B103" s="26" t="s">
        <v>117</v>
      </c>
      <c r="C103" s="26" t="s">
        <v>647</v>
      </c>
      <c r="D103" s="26">
        <v>1090000</v>
      </c>
      <c r="E103" s="26" t="s">
        <v>132</v>
      </c>
      <c r="F103" s="26" t="str">
        <f t="shared" si="2"/>
        <v>rtdc.l.rtdc.4011:itc</v>
      </c>
      <c r="G103" s="8">
        <f t="shared" si="3"/>
        <v>42563.183530092596</v>
      </c>
    </row>
    <row r="104" spans="1:7" x14ac:dyDescent="0.25">
      <c r="A104" s="8">
        <v>42562.546111111114</v>
      </c>
      <c r="B104" s="26" t="s">
        <v>410</v>
      </c>
      <c r="C104" s="26" t="s">
        <v>530</v>
      </c>
      <c r="D104" s="26">
        <v>1120000</v>
      </c>
      <c r="E104" s="26" t="s">
        <v>141</v>
      </c>
      <c r="F104" s="26" t="str">
        <f t="shared" si="2"/>
        <v>rtdc.l.rtdc.4010:itc</v>
      </c>
      <c r="G104" s="8">
        <f t="shared" si="3"/>
        <v>42562.546111111114</v>
      </c>
    </row>
    <row r="105" spans="1:7" x14ac:dyDescent="0.25">
      <c r="A105" s="8">
        <v>42563.3284375</v>
      </c>
      <c r="B105" s="26" t="s">
        <v>117</v>
      </c>
      <c r="C105" s="26" t="s">
        <v>648</v>
      </c>
      <c r="D105" s="26">
        <v>1090000</v>
      </c>
      <c r="E105" s="26" t="s">
        <v>132</v>
      </c>
      <c r="F105" s="26" t="str">
        <f t="shared" si="2"/>
        <v>rtdc.l.rtdc.4011:itc</v>
      </c>
      <c r="G105" s="8">
        <f t="shared" si="3"/>
        <v>42563.3284375</v>
      </c>
    </row>
    <row r="106" spans="1:7" x14ac:dyDescent="0.25">
      <c r="A106" s="8">
        <v>42562.280358796299</v>
      </c>
      <c r="B106" s="26" t="s">
        <v>120</v>
      </c>
      <c r="C106" s="26" t="s">
        <v>401</v>
      </c>
      <c r="D106" s="26">
        <v>1190000</v>
      </c>
      <c r="E106" s="26" t="s">
        <v>625</v>
      </c>
      <c r="F106" s="26" t="str">
        <f t="shared" si="2"/>
        <v>rtdc.l.rtdc.4026:itc</v>
      </c>
      <c r="G106" s="8">
        <f t="shared" si="3"/>
        <v>42562.280358796299</v>
      </c>
    </row>
    <row r="107" spans="1:7" x14ac:dyDescent="0.25">
      <c r="A107" s="8">
        <v>42563.350104166668</v>
      </c>
      <c r="B107" s="26" t="s">
        <v>140</v>
      </c>
      <c r="C107" s="26" t="s">
        <v>649</v>
      </c>
      <c r="D107" s="26">
        <v>1990000</v>
      </c>
      <c r="E107" s="26" t="s">
        <v>202</v>
      </c>
      <c r="F107" s="26" t="str">
        <f t="shared" si="2"/>
        <v>rtdc.l.rtdc.4044:itc</v>
      </c>
      <c r="G107" s="8">
        <f t="shared" si="3"/>
        <v>42563.350104166668</v>
      </c>
    </row>
    <row r="108" spans="1:7" x14ac:dyDescent="0.25">
      <c r="A108" s="8">
        <v>42562.696273148147</v>
      </c>
      <c r="B108" s="26" t="s">
        <v>73</v>
      </c>
      <c r="C108" s="26" t="s">
        <v>431</v>
      </c>
      <c r="D108" s="26">
        <v>2020000</v>
      </c>
      <c r="E108" s="26" t="s">
        <v>626</v>
      </c>
      <c r="F108" s="26" t="str">
        <f t="shared" si="2"/>
        <v>rtdc.l.rtdc.4020:itc</v>
      </c>
      <c r="G108" s="8">
        <f t="shared" si="3"/>
        <v>42562.696273148147</v>
      </c>
    </row>
    <row r="109" spans="1:7" x14ac:dyDescent="0.25">
      <c r="A109" s="8">
        <v>42562.973541666666</v>
      </c>
      <c r="B109" s="26" t="s">
        <v>72</v>
      </c>
      <c r="C109" s="26" t="s">
        <v>611</v>
      </c>
      <c r="D109" s="26">
        <v>2030000</v>
      </c>
      <c r="E109" s="26" t="s">
        <v>185</v>
      </c>
      <c r="F109" s="26" t="str">
        <f t="shared" si="2"/>
        <v>rtdc.l.rtdc.4019:itc</v>
      </c>
      <c r="G109" s="8">
        <f t="shared" si="3"/>
        <v>42562.973541666666</v>
      </c>
    </row>
    <row r="110" spans="1:7" x14ac:dyDescent="0.25">
      <c r="A110" s="8">
        <v>42563.215578703705</v>
      </c>
      <c r="B110" s="26" t="s">
        <v>83</v>
      </c>
      <c r="C110" s="26" t="s">
        <v>650</v>
      </c>
      <c r="D110" s="26">
        <v>1340000</v>
      </c>
      <c r="E110" s="26" t="s">
        <v>138</v>
      </c>
      <c r="F110" s="26" t="str">
        <f t="shared" si="2"/>
        <v>rtdc.l.rtdc.4042:itc</v>
      </c>
      <c r="G110" s="8">
        <f t="shared" si="3"/>
        <v>42563.215578703705</v>
      </c>
    </row>
    <row r="111" spans="1:7" x14ac:dyDescent="0.25">
      <c r="A111" s="8">
        <v>42563.056400462963</v>
      </c>
      <c r="B111" s="26" t="s">
        <v>72</v>
      </c>
      <c r="C111" s="26" t="s">
        <v>621</v>
      </c>
      <c r="D111" s="26">
        <v>2030000</v>
      </c>
      <c r="E111" s="26" t="s">
        <v>185</v>
      </c>
      <c r="F111" s="26" t="str">
        <f t="shared" si="2"/>
        <v>rtdc.l.rtdc.4019:itc</v>
      </c>
      <c r="G111" s="8">
        <f t="shared" si="3"/>
        <v>42563.056400462963</v>
      </c>
    </row>
    <row r="112" spans="1:7" x14ac:dyDescent="0.25">
      <c r="A112" s="8">
        <v>42563.192858796298</v>
      </c>
      <c r="B112" s="26" t="s">
        <v>143</v>
      </c>
      <c r="C112" s="26" t="s">
        <v>651</v>
      </c>
      <c r="D112" s="26">
        <v>1260000</v>
      </c>
      <c r="E112" s="26" t="s">
        <v>387</v>
      </c>
      <c r="F112" s="26" t="str">
        <f t="shared" si="2"/>
        <v>rtdc.l.rtdc.4008:itc</v>
      </c>
      <c r="G112" s="8">
        <f t="shared" si="3"/>
        <v>42563.192858796298</v>
      </c>
    </row>
    <row r="113" spans="1:7" x14ac:dyDescent="0.25">
      <c r="A113" s="8">
        <v>42563.344074074077</v>
      </c>
      <c r="B113" s="26" t="s">
        <v>143</v>
      </c>
      <c r="C113" s="26" t="s">
        <v>652</v>
      </c>
      <c r="D113" s="26">
        <v>1260000</v>
      </c>
      <c r="E113" s="26" t="s">
        <v>387</v>
      </c>
      <c r="F113" s="26" t="str">
        <f t="shared" si="2"/>
        <v>rtdc.l.rtdc.4008:itc</v>
      </c>
      <c r="G113" s="8">
        <f t="shared" si="3"/>
        <v>42563.344074074077</v>
      </c>
    </row>
    <row r="114" spans="1:7" x14ac:dyDescent="0.25">
      <c r="A114" s="8">
        <v>42562.879236111112</v>
      </c>
      <c r="B114" s="26" t="s">
        <v>76</v>
      </c>
      <c r="C114" s="26" t="s">
        <v>439</v>
      </c>
      <c r="D114" s="26">
        <v>1810000</v>
      </c>
      <c r="E114" s="26" t="s">
        <v>168</v>
      </c>
      <c r="F114" s="26" t="str">
        <f t="shared" si="2"/>
        <v>rtdc.l.rtdc.4031:itc</v>
      </c>
      <c r="G114" s="8">
        <f t="shared" si="3"/>
        <v>42562.879236111112</v>
      </c>
    </row>
    <row r="115" spans="1:7" x14ac:dyDescent="0.25">
      <c r="A115" s="8">
        <v>42562.264560185184</v>
      </c>
      <c r="B115" s="26" t="s">
        <v>74</v>
      </c>
      <c r="C115" s="26" t="s">
        <v>478</v>
      </c>
      <c r="D115" s="26">
        <v>1830000</v>
      </c>
      <c r="E115" s="26" t="s">
        <v>135</v>
      </c>
      <c r="F115" s="26" t="str">
        <f t="shared" si="2"/>
        <v>rtdc.l.rtdc.4018:itc</v>
      </c>
      <c r="G115" s="8">
        <f t="shared" si="3"/>
        <v>42562.264560185184</v>
      </c>
    </row>
    <row r="116" spans="1:7" x14ac:dyDescent="0.25">
      <c r="A116" s="8">
        <v>42562.787592592591</v>
      </c>
      <c r="B116" s="26" t="s">
        <v>291</v>
      </c>
      <c r="C116" s="26" t="s">
        <v>602</v>
      </c>
      <c r="D116" s="26">
        <v>2010000</v>
      </c>
      <c r="E116" s="26" t="s">
        <v>201</v>
      </c>
      <c r="F116" s="26" t="str">
        <f t="shared" si="2"/>
        <v>rtdc.l.rtdc.4016:itc</v>
      </c>
      <c r="G116" s="8">
        <f t="shared" si="3"/>
        <v>42562.787592592591</v>
      </c>
    </row>
    <row r="117" spans="1:7" x14ac:dyDescent="0.25">
      <c r="A117" s="8">
        <v>42562.31758101852</v>
      </c>
      <c r="B117" s="26" t="s">
        <v>289</v>
      </c>
      <c r="C117" s="26" t="s">
        <v>482</v>
      </c>
      <c r="D117" s="26">
        <v>1110000</v>
      </c>
      <c r="E117" s="26" t="s">
        <v>187</v>
      </c>
      <c r="F117" s="26" t="str">
        <f t="shared" si="2"/>
        <v>rtdc.l.rtdc.4015:itc</v>
      </c>
      <c r="G117" s="8">
        <f t="shared" si="3"/>
        <v>42562.31758101852</v>
      </c>
    </row>
    <row r="118" spans="1:7" x14ac:dyDescent="0.25">
      <c r="A118" s="8">
        <v>42562.643229166664</v>
      </c>
      <c r="B118" s="26" t="s">
        <v>291</v>
      </c>
      <c r="C118" s="26" t="s">
        <v>561</v>
      </c>
      <c r="D118" s="26">
        <v>1140000</v>
      </c>
      <c r="E118" s="26" t="s">
        <v>133</v>
      </c>
      <c r="F118" s="26" t="str">
        <f t="shared" si="2"/>
        <v>rtdc.l.rtdc.4016:itc</v>
      </c>
      <c r="G118" s="8">
        <f t="shared" si="3"/>
        <v>42562.643229166664</v>
      </c>
    </row>
    <row r="119" spans="1:7" x14ac:dyDescent="0.25">
      <c r="A119" s="8">
        <v>42562.413611111115</v>
      </c>
      <c r="B119" s="26" t="s">
        <v>74</v>
      </c>
      <c r="C119" s="26" t="s">
        <v>511</v>
      </c>
      <c r="D119" s="26">
        <v>1830000</v>
      </c>
      <c r="E119" s="26" t="s">
        <v>135</v>
      </c>
      <c r="F119" s="26" t="str">
        <f t="shared" si="2"/>
        <v>rtdc.l.rtdc.4018:itc</v>
      </c>
      <c r="G119" s="8">
        <f t="shared" si="3"/>
        <v>42562.413611111115</v>
      </c>
    </row>
    <row r="120" spans="1:7" x14ac:dyDescent="0.25">
      <c r="A120" s="8">
        <v>42562.364976851852</v>
      </c>
      <c r="B120" s="26" t="s">
        <v>72</v>
      </c>
      <c r="C120" s="26" t="s">
        <v>408</v>
      </c>
      <c r="D120" s="26">
        <v>1090000</v>
      </c>
      <c r="E120" s="26" t="s">
        <v>132</v>
      </c>
      <c r="F120" s="26" t="str">
        <f t="shared" si="2"/>
        <v>rtdc.l.rtdc.4019:itc</v>
      </c>
      <c r="G120" s="8">
        <f t="shared" si="3"/>
        <v>42562.364976851852</v>
      </c>
    </row>
    <row r="121" spans="1:7" x14ac:dyDescent="0.25">
      <c r="A121" s="8">
        <v>42562.525937500002</v>
      </c>
      <c r="B121" s="26" t="s">
        <v>75</v>
      </c>
      <c r="C121" s="26" t="s">
        <v>415</v>
      </c>
      <c r="D121" s="26">
        <v>1520000</v>
      </c>
      <c r="E121" s="26" t="s">
        <v>137</v>
      </c>
      <c r="F121" s="26" t="str">
        <f t="shared" si="2"/>
        <v>rtdc.l.rtdc.4017:itc</v>
      </c>
      <c r="G121" s="8">
        <f t="shared" si="3"/>
        <v>42562.525937500002</v>
      </c>
    </row>
    <row r="122" spans="1:7" x14ac:dyDescent="0.25">
      <c r="A122" s="8">
        <v>42563.255358796298</v>
      </c>
      <c r="B122" s="34" t="s">
        <v>117</v>
      </c>
      <c r="C122" s="26" t="s">
        <v>653</v>
      </c>
      <c r="D122" s="26">
        <v>1090000</v>
      </c>
      <c r="E122" s="26" t="s">
        <v>132</v>
      </c>
      <c r="F122" s="26" t="str">
        <f t="shared" si="2"/>
        <v>rtdc.l.rtdc.4011:itc</v>
      </c>
      <c r="G122" s="8">
        <f t="shared" si="3"/>
        <v>42563.255358796298</v>
      </c>
    </row>
    <row r="123" spans="1:7" x14ac:dyDescent="0.25">
      <c r="A123" s="8">
        <v>42562.256886574076</v>
      </c>
      <c r="B123" s="26" t="s">
        <v>73</v>
      </c>
      <c r="C123" s="26" t="s">
        <v>475</v>
      </c>
      <c r="D123" s="26">
        <v>1090000</v>
      </c>
      <c r="E123" s="26" t="s">
        <v>132</v>
      </c>
      <c r="F123" s="26" t="str">
        <f t="shared" si="2"/>
        <v>rtdc.l.rtdc.4020:itc</v>
      </c>
      <c r="G123" s="8">
        <f t="shared" si="3"/>
        <v>42562.256886574076</v>
      </c>
    </row>
    <row r="124" spans="1:7" x14ac:dyDescent="0.25">
      <c r="A124" s="8">
        <v>42562.886458333334</v>
      </c>
      <c r="B124" s="26" t="s">
        <v>72</v>
      </c>
      <c r="C124" s="26" t="s">
        <v>438</v>
      </c>
      <c r="D124" s="26">
        <v>2030000</v>
      </c>
      <c r="E124" s="26" t="s">
        <v>185</v>
      </c>
      <c r="F124" s="26" t="str">
        <f t="shared" si="2"/>
        <v>rtdc.l.rtdc.4019:itc</v>
      </c>
      <c r="G124" s="8">
        <f t="shared" si="3"/>
        <v>42562.886458333334</v>
      </c>
    </row>
    <row r="125" spans="1:7" x14ac:dyDescent="0.25">
      <c r="A125" s="8">
        <v>42562.465416666666</v>
      </c>
      <c r="B125" s="26" t="s">
        <v>289</v>
      </c>
      <c r="C125" s="26" t="s">
        <v>514</v>
      </c>
      <c r="D125" s="26">
        <v>1110000</v>
      </c>
      <c r="E125" s="26" t="s">
        <v>187</v>
      </c>
      <c r="F125" s="26" t="str">
        <f t="shared" si="2"/>
        <v>rtdc.l.rtdc.4015:itc</v>
      </c>
      <c r="G125" s="8">
        <f t="shared" si="3"/>
        <v>42562.465416666666</v>
      </c>
    </row>
    <row r="126" spans="1:7" x14ac:dyDescent="0.25">
      <c r="A126" s="8">
        <v>42562.778657407405</v>
      </c>
      <c r="B126" s="26" t="s">
        <v>67</v>
      </c>
      <c r="C126" s="26" t="s">
        <v>434</v>
      </c>
      <c r="D126" s="26">
        <v>1810000</v>
      </c>
      <c r="E126" s="26" t="s">
        <v>168</v>
      </c>
      <c r="F126" s="26" t="str">
        <f t="shared" si="2"/>
        <v>rtdc.l.rtdc.4032:itc</v>
      </c>
      <c r="G126" s="8">
        <f t="shared" si="3"/>
        <v>42562.778657407405</v>
      </c>
    </row>
    <row r="127" spans="1:7" x14ac:dyDescent="0.25">
      <c r="A127" s="8">
        <v>42562.566874999997</v>
      </c>
      <c r="B127" s="26" t="s">
        <v>122</v>
      </c>
      <c r="C127" s="26" t="s">
        <v>536</v>
      </c>
      <c r="D127" s="26">
        <v>880000</v>
      </c>
      <c r="E127" s="26" t="s">
        <v>136</v>
      </c>
      <c r="F127" s="26" t="str">
        <f t="shared" si="2"/>
        <v>rtdc.l.rtdc.4013:itc</v>
      </c>
      <c r="G127" s="8">
        <f t="shared" si="3"/>
        <v>42562.566874999997</v>
      </c>
    </row>
    <row r="128" spans="1:7" x14ac:dyDescent="0.25">
      <c r="A128" s="8">
        <v>42562.556331018517</v>
      </c>
      <c r="B128" s="26" t="s">
        <v>67</v>
      </c>
      <c r="C128" s="26" t="s">
        <v>533</v>
      </c>
      <c r="D128" s="26">
        <v>1750000</v>
      </c>
      <c r="E128" s="26" t="s">
        <v>624</v>
      </c>
      <c r="F128" s="26" t="str">
        <f t="shared" si="2"/>
        <v>rtdc.l.rtdc.4032:itc</v>
      </c>
      <c r="G128" s="8">
        <f t="shared" si="3"/>
        <v>42562.556331018517</v>
      </c>
    </row>
    <row r="129" spans="1:7" x14ac:dyDescent="0.25">
      <c r="A129" s="8">
        <v>42562.474652777775</v>
      </c>
      <c r="B129" s="26" t="s">
        <v>410</v>
      </c>
      <c r="C129" s="26" t="s">
        <v>517</v>
      </c>
      <c r="D129" s="26">
        <v>1990000</v>
      </c>
      <c r="E129" s="26" t="s">
        <v>202</v>
      </c>
      <c r="F129" s="26" t="str">
        <f t="shared" si="2"/>
        <v>rtdc.l.rtdc.4010:itc</v>
      </c>
      <c r="G129" s="8">
        <f t="shared" si="3"/>
        <v>42562.474652777775</v>
      </c>
    </row>
    <row r="130" spans="1:7" x14ac:dyDescent="0.25">
      <c r="A130" s="8">
        <v>42562.546979166669</v>
      </c>
      <c r="B130" s="26" t="s">
        <v>73</v>
      </c>
      <c r="C130" s="26" t="s">
        <v>538</v>
      </c>
      <c r="D130" s="26">
        <v>2020000</v>
      </c>
      <c r="E130" s="26" t="s">
        <v>626</v>
      </c>
      <c r="F130" s="26" t="str">
        <f t="shared" ref="F130:F193" si="4">B130</f>
        <v>rtdc.l.rtdc.4020:itc</v>
      </c>
      <c r="G130" s="8">
        <f t="shared" ref="G130:G193" si="5">A130</f>
        <v>42562.546979166669</v>
      </c>
    </row>
    <row r="131" spans="1:7" x14ac:dyDescent="0.25">
      <c r="A131" s="8">
        <v>42561.891018518516</v>
      </c>
      <c r="B131" s="26" t="s">
        <v>167</v>
      </c>
      <c r="C131" s="26" t="s">
        <v>346</v>
      </c>
      <c r="D131" s="26">
        <v>1800000</v>
      </c>
      <c r="E131" s="26" t="s">
        <v>389</v>
      </c>
      <c r="F131" s="26" t="str">
        <f t="shared" si="4"/>
        <v>rtdc.l.rtdc.4039:itc</v>
      </c>
      <c r="G131" s="8">
        <f t="shared" si="5"/>
        <v>42561.891018518516</v>
      </c>
    </row>
    <row r="132" spans="1:7" x14ac:dyDescent="0.25">
      <c r="A132" s="8">
        <v>42562.492511574077</v>
      </c>
      <c r="B132" s="26" t="s">
        <v>122</v>
      </c>
      <c r="C132" s="26" t="s">
        <v>521</v>
      </c>
      <c r="D132" s="26">
        <v>880000</v>
      </c>
      <c r="E132" s="26" t="s">
        <v>136</v>
      </c>
      <c r="F132" s="26" t="str">
        <f t="shared" si="4"/>
        <v>rtdc.l.rtdc.4013:itc</v>
      </c>
      <c r="G132" s="8">
        <f t="shared" si="5"/>
        <v>42562.492511574077</v>
      </c>
    </row>
    <row r="133" spans="1:7" x14ac:dyDescent="0.25">
      <c r="A133" s="8">
        <v>42561.976145833331</v>
      </c>
      <c r="B133" s="26" t="s">
        <v>74</v>
      </c>
      <c r="C133" s="26" t="s">
        <v>385</v>
      </c>
      <c r="D133" s="26">
        <v>1290000</v>
      </c>
      <c r="E133" s="26" t="s">
        <v>170</v>
      </c>
      <c r="F133" s="26" t="str">
        <f t="shared" si="4"/>
        <v>rtdc.l.rtdc.4018:itc</v>
      </c>
      <c r="G133" s="8">
        <f t="shared" si="5"/>
        <v>42561.976145833331</v>
      </c>
    </row>
    <row r="134" spans="1:7" x14ac:dyDescent="0.25">
      <c r="A134" s="8">
        <v>42562.405266203707</v>
      </c>
      <c r="B134" s="26" t="s">
        <v>73</v>
      </c>
      <c r="C134" s="26" t="s">
        <v>508</v>
      </c>
      <c r="D134" s="26">
        <v>1090000</v>
      </c>
      <c r="E134" s="26" t="s">
        <v>132</v>
      </c>
      <c r="F134" s="26" t="str">
        <f t="shared" si="4"/>
        <v>rtdc.l.rtdc.4020:itc</v>
      </c>
      <c r="G134" s="8">
        <f t="shared" si="5"/>
        <v>42562.405266203707</v>
      </c>
    </row>
    <row r="135" spans="1:7" x14ac:dyDescent="0.25">
      <c r="A135" s="8">
        <v>42562.014502314814</v>
      </c>
      <c r="B135" s="26" t="s">
        <v>75</v>
      </c>
      <c r="C135" s="26" t="s">
        <v>386</v>
      </c>
      <c r="D135" s="26">
        <v>1290000</v>
      </c>
      <c r="E135" s="26" t="s">
        <v>170</v>
      </c>
      <c r="F135" s="26" t="str">
        <f t="shared" si="4"/>
        <v>rtdc.l.rtdc.4017:itc</v>
      </c>
      <c r="G135" s="8">
        <f t="shared" si="5"/>
        <v>42562.014502314814</v>
      </c>
    </row>
    <row r="136" spans="1:7" x14ac:dyDescent="0.25">
      <c r="A136" s="8">
        <v>42562.308449074073</v>
      </c>
      <c r="B136" s="26" t="s">
        <v>121</v>
      </c>
      <c r="C136" s="26" t="s">
        <v>487</v>
      </c>
      <c r="D136" s="26">
        <v>1260000</v>
      </c>
      <c r="E136" s="26" t="s">
        <v>387</v>
      </c>
      <c r="F136" s="26" t="str">
        <f t="shared" si="4"/>
        <v>rtdc.l.rtdc.4014:itc</v>
      </c>
      <c r="G136" s="8">
        <f t="shared" si="5"/>
        <v>42562.308449074073</v>
      </c>
    </row>
    <row r="137" spans="1:7" x14ac:dyDescent="0.25">
      <c r="A137" s="8">
        <v>42562.328229166669</v>
      </c>
      <c r="B137" s="26" t="s">
        <v>73</v>
      </c>
      <c r="C137" s="26" t="s">
        <v>491</v>
      </c>
      <c r="D137" s="26">
        <v>1090000</v>
      </c>
      <c r="E137" s="26" t="s">
        <v>132</v>
      </c>
      <c r="F137" s="26" t="str">
        <f t="shared" si="4"/>
        <v>rtdc.l.rtdc.4020:itc</v>
      </c>
      <c r="G137" s="8">
        <f t="shared" si="5"/>
        <v>42562.328229166669</v>
      </c>
    </row>
    <row r="138" spans="1:7" x14ac:dyDescent="0.25">
      <c r="A138" s="8">
        <v>42562.774340277778</v>
      </c>
      <c r="B138" s="26" t="s">
        <v>73</v>
      </c>
      <c r="C138" s="26" t="s">
        <v>598</v>
      </c>
      <c r="D138" s="26">
        <v>2030000</v>
      </c>
      <c r="E138" s="26" t="s">
        <v>185</v>
      </c>
      <c r="F138" s="26" t="str">
        <f t="shared" si="4"/>
        <v>rtdc.l.rtdc.4020:itc</v>
      </c>
      <c r="G138" s="8">
        <f t="shared" si="5"/>
        <v>42562.774340277778</v>
      </c>
    </row>
    <row r="139" spans="1:7" x14ac:dyDescent="0.25">
      <c r="A139" s="8">
        <v>42562.538622685184</v>
      </c>
      <c r="B139" s="26" t="s">
        <v>123</v>
      </c>
      <c r="C139" s="26" t="s">
        <v>537</v>
      </c>
      <c r="D139" s="26">
        <v>1280000</v>
      </c>
      <c r="E139" s="26" t="s">
        <v>126</v>
      </c>
      <c r="F139" s="26" t="str">
        <f t="shared" si="4"/>
        <v>rtdc.l.rtdc.4025:itc</v>
      </c>
      <c r="G139" s="8">
        <f t="shared" si="5"/>
        <v>42562.538622685184</v>
      </c>
    </row>
    <row r="140" spans="1:7" x14ac:dyDescent="0.25">
      <c r="A140" s="8">
        <v>42562.436145833337</v>
      </c>
      <c r="B140" s="26" t="s">
        <v>122</v>
      </c>
      <c r="C140" s="26" t="s">
        <v>409</v>
      </c>
      <c r="D140" s="26">
        <v>1260000</v>
      </c>
      <c r="E140" s="26" t="s">
        <v>387</v>
      </c>
      <c r="F140" s="26" t="str">
        <f t="shared" si="4"/>
        <v>rtdc.l.rtdc.4013:itc</v>
      </c>
      <c r="G140" s="8">
        <f t="shared" si="5"/>
        <v>42562.436145833337</v>
      </c>
    </row>
    <row r="141" spans="1:7" x14ac:dyDescent="0.25">
      <c r="A141" s="8">
        <v>42561.973668981482</v>
      </c>
      <c r="B141" s="26" t="s">
        <v>167</v>
      </c>
      <c r="C141" s="26" t="s">
        <v>382</v>
      </c>
      <c r="D141" s="26">
        <v>1800000</v>
      </c>
      <c r="E141" s="26" t="s">
        <v>389</v>
      </c>
      <c r="F141" s="26" t="str">
        <f t="shared" si="4"/>
        <v>rtdc.l.rtdc.4039:itc</v>
      </c>
      <c r="G141" s="8">
        <f t="shared" si="5"/>
        <v>42561.973668981482</v>
      </c>
    </row>
    <row r="142" spans="1:7" x14ac:dyDescent="0.25">
      <c r="A142" s="8">
        <v>42562.391932870371</v>
      </c>
      <c r="B142" s="26" t="s">
        <v>123</v>
      </c>
      <c r="C142" s="26" t="s">
        <v>504</v>
      </c>
      <c r="D142" s="26">
        <v>1190000</v>
      </c>
      <c r="E142" s="26" t="s">
        <v>625</v>
      </c>
      <c r="F142" s="26" t="str">
        <f t="shared" si="4"/>
        <v>rtdc.l.rtdc.4025:itc</v>
      </c>
      <c r="G142" s="8">
        <f t="shared" si="5"/>
        <v>42562.391932870371</v>
      </c>
    </row>
    <row r="143" spans="1:7" x14ac:dyDescent="0.25">
      <c r="A143" s="8">
        <v>42562.218738425923</v>
      </c>
      <c r="B143" s="26" t="s">
        <v>72</v>
      </c>
      <c r="C143" s="26" t="s">
        <v>456</v>
      </c>
      <c r="D143" s="26">
        <v>1090000</v>
      </c>
      <c r="E143" s="26" t="s">
        <v>132</v>
      </c>
      <c r="F143" s="26" t="str">
        <f t="shared" si="4"/>
        <v>rtdc.l.rtdc.4019:itc</v>
      </c>
      <c r="G143" s="8">
        <f t="shared" si="5"/>
        <v>42562.218738425923</v>
      </c>
    </row>
    <row r="144" spans="1:7" x14ac:dyDescent="0.25">
      <c r="A144" s="8">
        <v>42562.391863425924</v>
      </c>
      <c r="B144" s="26" t="s">
        <v>289</v>
      </c>
      <c r="C144" s="26" t="s">
        <v>494</v>
      </c>
      <c r="D144" s="26">
        <v>1110000</v>
      </c>
      <c r="E144" s="26" t="s">
        <v>187</v>
      </c>
      <c r="F144" s="26" t="str">
        <f t="shared" si="4"/>
        <v>rtdc.l.rtdc.4015:itc</v>
      </c>
      <c r="G144" s="8">
        <f t="shared" si="5"/>
        <v>42562.391863425924</v>
      </c>
    </row>
    <row r="145" spans="1:7" x14ac:dyDescent="0.25">
      <c r="A145" s="8">
        <v>42562.456018518518</v>
      </c>
      <c r="B145" s="26" t="s">
        <v>121</v>
      </c>
      <c r="C145" s="26" t="s">
        <v>519</v>
      </c>
      <c r="D145" s="26">
        <v>880000</v>
      </c>
      <c r="E145" s="26" t="s">
        <v>136</v>
      </c>
      <c r="F145" s="26" t="str">
        <f t="shared" si="4"/>
        <v>rtdc.l.rtdc.4014:itc</v>
      </c>
      <c r="G145" s="8">
        <f t="shared" si="5"/>
        <v>42562.456018518518</v>
      </c>
    </row>
    <row r="146" spans="1:7" x14ac:dyDescent="0.25">
      <c r="A146" s="8">
        <v>42562.351435185185</v>
      </c>
      <c r="B146" s="26" t="s">
        <v>291</v>
      </c>
      <c r="C146" s="26" t="s">
        <v>404</v>
      </c>
      <c r="D146" s="26">
        <v>1110000</v>
      </c>
      <c r="E146" s="26" t="s">
        <v>187</v>
      </c>
      <c r="F146" s="26" t="str">
        <f t="shared" si="4"/>
        <v>rtdc.l.rtdc.4016:itc</v>
      </c>
      <c r="G146" s="8">
        <f t="shared" si="5"/>
        <v>42562.351435185185</v>
      </c>
    </row>
    <row r="147" spans="1:7" x14ac:dyDescent="0.25">
      <c r="A147" s="8">
        <v>42562.508344907408</v>
      </c>
      <c r="B147" s="26" t="s">
        <v>72</v>
      </c>
      <c r="C147" s="26" t="s">
        <v>417</v>
      </c>
      <c r="D147" s="26">
        <v>2020000</v>
      </c>
      <c r="E147" s="26" t="s">
        <v>626</v>
      </c>
      <c r="F147" s="26" t="str">
        <f t="shared" si="4"/>
        <v>rtdc.l.rtdc.4019:itc</v>
      </c>
      <c r="G147" s="8">
        <f t="shared" si="5"/>
        <v>42562.508344907408</v>
      </c>
    </row>
    <row r="148" spans="1:7" x14ac:dyDescent="0.25">
      <c r="A148" s="8">
        <v>42562.288229166668</v>
      </c>
      <c r="B148" s="26" t="s">
        <v>406</v>
      </c>
      <c r="C148" s="26" t="s">
        <v>483</v>
      </c>
      <c r="D148" s="26">
        <v>1990000</v>
      </c>
      <c r="E148" s="26" t="s">
        <v>202</v>
      </c>
      <c r="F148" s="26" t="str">
        <f t="shared" si="4"/>
        <v>rtdc.l.rtdc.4009:itc</v>
      </c>
      <c r="G148" s="8">
        <f t="shared" si="5"/>
        <v>42562.288229166668</v>
      </c>
    </row>
    <row r="149" spans="1:7" x14ac:dyDescent="0.25">
      <c r="A149" s="8">
        <v>42562.601319444446</v>
      </c>
      <c r="B149" s="26" t="s">
        <v>121</v>
      </c>
      <c r="C149" s="26" t="s">
        <v>423</v>
      </c>
      <c r="D149" s="26">
        <v>880000</v>
      </c>
      <c r="E149" s="26" t="s">
        <v>136</v>
      </c>
      <c r="F149" s="26" t="str">
        <f t="shared" si="4"/>
        <v>rtdc.l.rtdc.4014:itc</v>
      </c>
      <c r="G149" s="8">
        <f t="shared" si="5"/>
        <v>42562.601319444446</v>
      </c>
    </row>
    <row r="150" spans="1:7" x14ac:dyDescent="0.25">
      <c r="A150" s="8">
        <v>42562.913935185185</v>
      </c>
      <c r="B150" s="26" t="s">
        <v>123</v>
      </c>
      <c r="C150" s="26" t="s">
        <v>608</v>
      </c>
      <c r="D150" s="26">
        <v>1800000</v>
      </c>
      <c r="E150" s="26" t="s">
        <v>389</v>
      </c>
      <c r="F150" s="26" t="str">
        <f t="shared" si="4"/>
        <v>rtdc.l.rtdc.4025:itc</v>
      </c>
      <c r="G150" s="8">
        <f t="shared" si="5"/>
        <v>42562.913935185185</v>
      </c>
    </row>
    <row r="151" spans="1:7" x14ac:dyDescent="0.25">
      <c r="A151" s="8">
        <v>42562.704189814816</v>
      </c>
      <c r="B151" s="26" t="s">
        <v>74</v>
      </c>
      <c r="C151" s="26" t="s">
        <v>430</v>
      </c>
      <c r="D151" s="26">
        <v>1520000</v>
      </c>
      <c r="E151" s="26" t="s">
        <v>137</v>
      </c>
      <c r="F151" s="26" t="str">
        <f t="shared" si="4"/>
        <v>rtdc.l.rtdc.4018:itc</v>
      </c>
      <c r="G151" s="8">
        <f t="shared" si="5"/>
        <v>42562.704189814816</v>
      </c>
    </row>
    <row r="152" spans="1:7" x14ac:dyDescent="0.25">
      <c r="A152" s="8">
        <v>42562.641111111108</v>
      </c>
      <c r="B152" s="26" t="s">
        <v>122</v>
      </c>
      <c r="C152" s="26" t="s">
        <v>425</v>
      </c>
      <c r="D152" s="26">
        <v>880000</v>
      </c>
      <c r="E152" s="26" t="s">
        <v>136</v>
      </c>
      <c r="F152" s="26" t="str">
        <f t="shared" si="4"/>
        <v>rtdc.l.rtdc.4013:itc</v>
      </c>
      <c r="G152" s="8">
        <f t="shared" si="5"/>
        <v>42562.641111111108</v>
      </c>
    </row>
    <row r="153" spans="1:7" x14ac:dyDescent="0.25">
      <c r="A153" s="8">
        <v>42563.232094907406</v>
      </c>
      <c r="B153" s="26" t="s">
        <v>147</v>
      </c>
      <c r="C153" s="26" t="s">
        <v>654</v>
      </c>
      <c r="D153" s="26">
        <v>1260000</v>
      </c>
      <c r="E153" s="26" t="s">
        <v>387</v>
      </c>
      <c r="F153" s="26" t="str">
        <f t="shared" si="4"/>
        <v>rtdc.l.rtdc.4007:itc</v>
      </c>
      <c r="G153" s="8">
        <f t="shared" si="5"/>
        <v>42563.232094907406</v>
      </c>
    </row>
    <row r="154" spans="1:7" x14ac:dyDescent="0.25">
      <c r="A154" s="8">
        <v>42562.507384259261</v>
      </c>
      <c r="B154" s="26" t="s">
        <v>406</v>
      </c>
      <c r="C154" s="26" t="s">
        <v>528</v>
      </c>
      <c r="D154" s="26">
        <v>1120000</v>
      </c>
      <c r="E154" s="26" t="s">
        <v>141</v>
      </c>
      <c r="F154" s="26" t="str">
        <f t="shared" si="4"/>
        <v>rtdc.l.rtdc.4009:itc</v>
      </c>
      <c r="G154" s="8">
        <f t="shared" si="5"/>
        <v>42562.507384259261</v>
      </c>
    </row>
    <row r="155" spans="1:7" x14ac:dyDescent="0.25">
      <c r="A155" s="8">
        <v>42563.272870370369</v>
      </c>
      <c r="B155" s="26" t="s">
        <v>143</v>
      </c>
      <c r="C155" s="26" t="s">
        <v>655</v>
      </c>
      <c r="D155" s="26">
        <v>1260000</v>
      </c>
      <c r="E155" s="26" t="s">
        <v>387</v>
      </c>
      <c r="F155" s="26" t="str">
        <f t="shared" si="4"/>
        <v>rtdc.l.rtdc.4008:itc</v>
      </c>
      <c r="G155" s="8">
        <f t="shared" si="5"/>
        <v>42563.272870370369</v>
      </c>
    </row>
    <row r="156" spans="1:7" x14ac:dyDescent="0.25">
      <c r="A156" s="8">
        <v>42562.485381944447</v>
      </c>
      <c r="B156" s="26" t="s">
        <v>74</v>
      </c>
      <c r="C156" s="26" t="s">
        <v>527</v>
      </c>
      <c r="D156" s="26">
        <v>1520000</v>
      </c>
      <c r="E156" s="26" t="s">
        <v>137</v>
      </c>
      <c r="F156" s="26" t="str">
        <f t="shared" si="4"/>
        <v>rtdc.l.rtdc.4018:itc</v>
      </c>
      <c r="G156" s="8">
        <f t="shared" si="5"/>
        <v>42562.485381944447</v>
      </c>
    </row>
    <row r="157" spans="1:7" x14ac:dyDescent="0.25">
      <c r="A157" s="8">
        <v>42563.298611111109</v>
      </c>
      <c r="B157" s="26" t="s">
        <v>289</v>
      </c>
      <c r="C157" s="26" t="s">
        <v>656</v>
      </c>
      <c r="D157" s="26">
        <v>1360000</v>
      </c>
      <c r="E157" s="26" t="s">
        <v>331</v>
      </c>
      <c r="F157" s="26" t="str">
        <f t="shared" si="4"/>
        <v>rtdc.l.rtdc.4015:itc</v>
      </c>
      <c r="G157" s="8">
        <f t="shared" si="5"/>
        <v>42563.298611111109</v>
      </c>
    </row>
    <row r="158" spans="1:7" x14ac:dyDescent="0.25">
      <c r="A158" s="8">
        <v>42562.447488425925</v>
      </c>
      <c r="B158" s="26" t="s">
        <v>76</v>
      </c>
      <c r="C158" s="26" t="s">
        <v>518</v>
      </c>
      <c r="D158" s="26">
        <v>1310000</v>
      </c>
      <c r="E158" s="26" t="s">
        <v>115</v>
      </c>
      <c r="F158" s="26" t="str">
        <f t="shared" si="4"/>
        <v>rtdc.l.rtdc.4031:itc</v>
      </c>
      <c r="G158" s="8">
        <f t="shared" si="5"/>
        <v>42562.447488425925</v>
      </c>
    </row>
    <row r="159" spans="1:7" x14ac:dyDescent="0.25">
      <c r="A159" s="8">
        <v>42562.684745370374</v>
      </c>
      <c r="B159" s="26" t="s">
        <v>123</v>
      </c>
      <c r="C159" s="26" t="s">
        <v>573</v>
      </c>
      <c r="D159" s="26">
        <v>1280000</v>
      </c>
      <c r="E159" s="26" t="s">
        <v>126</v>
      </c>
      <c r="F159" s="26" t="str">
        <f t="shared" si="4"/>
        <v>rtdc.l.rtdc.4025:itc</v>
      </c>
      <c r="G159" s="8">
        <f t="shared" si="5"/>
        <v>42562.684745370374</v>
      </c>
    </row>
    <row r="160" spans="1:7" x14ac:dyDescent="0.25">
      <c r="A160" s="8">
        <v>42563.220300925925</v>
      </c>
      <c r="B160" s="26" t="s">
        <v>118</v>
      </c>
      <c r="C160" s="26" t="s">
        <v>657</v>
      </c>
      <c r="D160" s="26">
        <v>1090000</v>
      </c>
      <c r="E160" s="26" t="s">
        <v>132</v>
      </c>
      <c r="F160" s="26" t="str">
        <f t="shared" si="4"/>
        <v>rtdc.l.rtdc.4012:itc</v>
      </c>
      <c r="G160" s="8">
        <f t="shared" si="5"/>
        <v>42563.220300925925</v>
      </c>
    </row>
    <row r="161" spans="1:7" x14ac:dyDescent="0.25">
      <c r="A161" s="8">
        <v>42563.016377314816</v>
      </c>
      <c r="B161" s="26" t="s">
        <v>73</v>
      </c>
      <c r="C161" s="26" t="s">
        <v>619</v>
      </c>
      <c r="D161" s="26">
        <v>2030000</v>
      </c>
      <c r="E161" s="26" t="s">
        <v>185</v>
      </c>
      <c r="F161" s="26" t="str">
        <f t="shared" si="4"/>
        <v>rtdc.l.rtdc.4020:itc</v>
      </c>
      <c r="G161" s="8">
        <f t="shared" si="5"/>
        <v>42563.016377314816</v>
      </c>
    </row>
    <row r="162" spans="1:7" x14ac:dyDescent="0.25">
      <c r="A162" s="8">
        <v>42562.954305555555</v>
      </c>
      <c r="B162" s="26" t="s">
        <v>291</v>
      </c>
      <c r="C162" s="26" t="s">
        <v>613</v>
      </c>
      <c r="D162" s="26">
        <v>2010000</v>
      </c>
      <c r="E162" s="26" t="s">
        <v>201</v>
      </c>
      <c r="F162" s="26" t="str">
        <f t="shared" si="4"/>
        <v>rtdc.l.rtdc.4016:itc</v>
      </c>
      <c r="G162" s="8">
        <f t="shared" si="5"/>
        <v>42562.954305555555</v>
      </c>
    </row>
    <row r="163" spans="1:7" x14ac:dyDescent="0.25">
      <c r="A163" s="8">
        <v>42563.126539351855</v>
      </c>
      <c r="B163" s="26" t="s">
        <v>140</v>
      </c>
      <c r="C163" s="26" t="s">
        <v>658</v>
      </c>
      <c r="D163" s="26">
        <v>1340000</v>
      </c>
      <c r="E163" s="26" t="s">
        <v>138</v>
      </c>
      <c r="F163" s="26" t="str">
        <f t="shared" si="4"/>
        <v>rtdc.l.rtdc.4044:itc</v>
      </c>
      <c r="G163" s="8">
        <f t="shared" si="5"/>
        <v>42563.126539351855</v>
      </c>
    </row>
    <row r="164" spans="1:7" x14ac:dyDescent="0.25">
      <c r="A164" s="8">
        <v>42562.76699074074</v>
      </c>
      <c r="B164" s="26" t="s">
        <v>121</v>
      </c>
      <c r="C164" s="26" t="s">
        <v>590</v>
      </c>
      <c r="D164" s="26">
        <v>1750000</v>
      </c>
      <c r="E164" s="26" t="s">
        <v>624</v>
      </c>
      <c r="F164" s="26" t="str">
        <f t="shared" si="4"/>
        <v>rtdc.l.rtdc.4014:itc</v>
      </c>
      <c r="G164" s="8">
        <f t="shared" si="5"/>
        <v>42562.76699074074</v>
      </c>
    </row>
    <row r="165" spans="1:7" x14ac:dyDescent="0.25">
      <c r="A165" s="8">
        <v>42563.248449074075</v>
      </c>
      <c r="B165" s="26" t="s">
        <v>74</v>
      </c>
      <c r="C165" s="26" t="s">
        <v>659</v>
      </c>
      <c r="D165" s="26">
        <v>310000</v>
      </c>
      <c r="E165" s="26" t="s">
        <v>388</v>
      </c>
      <c r="F165" s="26" t="str">
        <f t="shared" si="4"/>
        <v>rtdc.l.rtdc.4018:itc</v>
      </c>
      <c r="G165" s="8">
        <f t="shared" si="5"/>
        <v>42563.248449074075</v>
      </c>
    </row>
    <row r="166" spans="1:7" x14ac:dyDescent="0.25">
      <c r="A166" s="8">
        <v>42562.731932870367</v>
      </c>
      <c r="B166" s="26" t="s">
        <v>72</v>
      </c>
      <c r="C166" s="26" t="s">
        <v>576</v>
      </c>
      <c r="D166" s="26">
        <v>2020000</v>
      </c>
      <c r="E166" s="26" t="s">
        <v>626</v>
      </c>
      <c r="F166" s="26" t="str">
        <f t="shared" si="4"/>
        <v>rtdc.l.rtdc.4019:itc</v>
      </c>
      <c r="G166" s="8">
        <f t="shared" si="5"/>
        <v>42562.731932870367</v>
      </c>
    </row>
    <row r="167" spans="1:7" x14ac:dyDescent="0.25">
      <c r="A167" s="8">
        <v>42563.29278935185</v>
      </c>
      <c r="B167" s="26" t="s">
        <v>118</v>
      </c>
      <c r="C167" s="26" t="s">
        <v>660</v>
      </c>
      <c r="D167" s="26">
        <v>1090000</v>
      </c>
      <c r="E167" s="26" t="s">
        <v>132</v>
      </c>
      <c r="F167" s="26" t="str">
        <f t="shared" si="4"/>
        <v>rtdc.l.rtdc.4012:itc</v>
      </c>
      <c r="G167" s="8">
        <f t="shared" si="5"/>
        <v>42563.29278935185</v>
      </c>
    </row>
    <row r="168" spans="1:7" x14ac:dyDescent="0.25">
      <c r="A168" s="8">
        <v>42562.721701388888</v>
      </c>
      <c r="B168" s="26" t="s">
        <v>120</v>
      </c>
      <c r="C168" s="26" t="s">
        <v>574</v>
      </c>
      <c r="D168" s="26">
        <v>1280000</v>
      </c>
      <c r="E168" s="26" t="s">
        <v>126</v>
      </c>
      <c r="F168" s="26" t="str">
        <f t="shared" si="4"/>
        <v>rtdc.l.rtdc.4026:itc</v>
      </c>
      <c r="G168" s="8">
        <f t="shared" si="5"/>
        <v>42562.721701388888</v>
      </c>
    </row>
    <row r="169" spans="1:7" x14ac:dyDescent="0.25">
      <c r="A169" s="8">
        <v>42562.660798611112</v>
      </c>
      <c r="B169" s="26" t="s">
        <v>76</v>
      </c>
      <c r="C169" s="26" t="s">
        <v>564</v>
      </c>
      <c r="D169" s="26">
        <v>1750000</v>
      </c>
      <c r="E169" s="26" t="s">
        <v>624</v>
      </c>
      <c r="F169" s="26" t="str">
        <f t="shared" si="4"/>
        <v>rtdc.l.rtdc.4031:itc</v>
      </c>
      <c r="G169" s="8">
        <f t="shared" si="5"/>
        <v>42562.660798611112</v>
      </c>
    </row>
    <row r="170" spans="1:7" x14ac:dyDescent="0.25">
      <c r="A170" s="8">
        <v>42562.713217592594</v>
      </c>
      <c r="B170" s="26" t="s">
        <v>122</v>
      </c>
      <c r="C170" s="26" t="s">
        <v>570</v>
      </c>
      <c r="D170" s="26">
        <v>880000</v>
      </c>
      <c r="E170" s="26" t="s">
        <v>136</v>
      </c>
      <c r="F170" s="26" t="str">
        <f t="shared" si="4"/>
        <v>rtdc.l.rtdc.4013:itc</v>
      </c>
      <c r="G170" s="8">
        <f t="shared" si="5"/>
        <v>42562.713217592594</v>
      </c>
    </row>
    <row r="171" spans="1:7" x14ac:dyDescent="0.25">
      <c r="A171" s="8">
        <v>42562.781284722223</v>
      </c>
      <c r="B171" s="26" t="s">
        <v>73</v>
      </c>
      <c r="C171" s="26" t="s">
        <v>598</v>
      </c>
      <c r="D171" s="26">
        <v>2030000</v>
      </c>
      <c r="E171" s="26" t="s">
        <v>185</v>
      </c>
      <c r="F171" s="26" t="str">
        <f t="shared" si="4"/>
        <v>rtdc.l.rtdc.4020:itc</v>
      </c>
      <c r="G171" s="8">
        <f t="shared" si="5"/>
        <v>42562.781284722223</v>
      </c>
    </row>
    <row r="172" spans="1:7" x14ac:dyDescent="0.25">
      <c r="A172" s="8">
        <v>42562.677256944444</v>
      </c>
      <c r="B172" s="26" t="s">
        <v>289</v>
      </c>
      <c r="C172" s="26" t="s">
        <v>428</v>
      </c>
      <c r="D172" s="26">
        <v>1110000</v>
      </c>
      <c r="E172" s="26" t="s">
        <v>187</v>
      </c>
      <c r="F172" s="26" t="str">
        <f t="shared" si="4"/>
        <v>rtdc.l.rtdc.4015:itc</v>
      </c>
      <c r="G172" s="8">
        <f t="shared" si="5"/>
        <v>42562.677256944444</v>
      </c>
    </row>
    <row r="173" spans="1:7" x14ac:dyDescent="0.25">
      <c r="A173" s="8">
        <v>42563.253020833334</v>
      </c>
      <c r="B173" s="26" t="s">
        <v>661</v>
      </c>
      <c r="C173" s="26" t="s">
        <v>662</v>
      </c>
      <c r="D173" s="26">
        <v>1340000</v>
      </c>
      <c r="E173" s="26" t="s">
        <v>138</v>
      </c>
      <c r="F173" s="26" t="str">
        <f t="shared" si="4"/>
        <v>rtdc.l.rtdc.4041:itc</v>
      </c>
      <c r="G173" s="8">
        <f t="shared" si="5"/>
        <v>42563.253020833334</v>
      </c>
    </row>
    <row r="174" spans="1:7" x14ac:dyDescent="0.25">
      <c r="A174" s="8">
        <v>42562.581689814811</v>
      </c>
      <c r="B174" s="26" t="s">
        <v>406</v>
      </c>
      <c r="C174" s="26" t="s">
        <v>419</v>
      </c>
      <c r="D174" s="26">
        <v>1120000</v>
      </c>
      <c r="E174" s="26" t="s">
        <v>141</v>
      </c>
      <c r="F174" s="26" t="str">
        <f t="shared" si="4"/>
        <v>rtdc.l.rtdc.4009:itc</v>
      </c>
      <c r="G174" s="8">
        <f t="shared" si="5"/>
        <v>42562.581689814811</v>
      </c>
    </row>
    <row r="175" spans="1:7" x14ac:dyDescent="0.25">
      <c r="A175" s="8">
        <v>42562.569247685184</v>
      </c>
      <c r="B175" s="26" t="s">
        <v>291</v>
      </c>
      <c r="C175" s="26" t="s">
        <v>543</v>
      </c>
      <c r="D175" s="26">
        <v>1140000</v>
      </c>
      <c r="E175" s="26" t="s">
        <v>133</v>
      </c>
      <c r="F175" s="26" t="str">
        <f t="shared" si="4"/>
        <v>rtdc.l.rtdc.4016:itc</v>
      </c>
      <c r="G175" s="8">
        <f t="shared" si="5"/>
        <v>42562.569247685184</v>
      </c>
    </row>
    <row r="176" spans="1:7" x14ac:dyDescent="0.25">
      <c r="A176" s="8">
        <v>42562.450543981482</v>
      </c>
      <c r="B176" s="26" t="s">
        <v>75</v>
      </c>
      <c r="C176" s="26" t="s">
        <v>512</v>
      </c>
      <c r="D176" s="26">
        <v>1830000</v>
      </c>
      <c r="E176" s="26" t="s">
        <v>135</v>
      </c>
      <c r="F176" s="26" t="str">
        <f t="shared" si="4"/>
        <v>rtdc.l.rtdc.4017:itc</v>
      </c>
      <c r="G176" s="8">
        <f t="shared" si="5"/>
        <v>42562.450543981482</v>
      </c>
    </row>
    <row r="177" spans="1:7" x14ac:dyDescent="0.25">
      <c r="A177" s="8">
        <v>42562.758101851854</v>
      </c>
      <c r="B177" s="26" t="s">
        <v>76</v>
      </c>
      <c r="C177" s="26" t="s">
        <v>588</v>
      </c>
      <c r="D177" s="26">
        <v>1810000</v>
      </c>
      <c r="E177" s="26" t="s">
        <v>168</v>
      </c>
      <c r="F177" s="26" t="str">
        <f t="shared" si="4"/>
        <v>rtdc.l.rtdc.4031:itc</v>
      </c>
      <c r="G177" s="8">
        <f t="shared" si="5"/>
        <v>42562.758101851854</v>
      </c>
    </row>
    <row r="178" spans="1:7" x14ac:dyDescent="0.25">
      <c r="A178" s="8">
        <v>42562.421284722222</v>
      </c>
      <c r="B178" s="26" t="s">
        <v>122</v>
      </c>
      <c r="C178" s="26" t="s">
        <v>409</v>
      </c>
      <c r="D178" s="26">
        <v>1260000</v>
      </c>
      <c r="E178" s="26" t="s">
        <v>387</v>
      </c>
      <c r="F178" s="26" t="str">
        <f t="shared" si="4"/>
        <v>rtdc.l.rtdc.4013:itc</v>
      </c>
      <c r="G178" s="8">
        <f t="shared" si="5"/>
        <v>42562.421284722222</v>
      </c>
    </row>
    <row r="179" spans="1:7" x14ac:dyDescent="0.25">
      <c r="A179" s="8">
        <v>42562.757847222223</v>
      </c>
      <c r="B179" s="26" t="s">
        <v>121</v>
      </c>
      <c r="C179" s="26" t="s">
        <v>590</v>
      </c>
      <c r="D179" s="26">
        <v>1750000</v>
      </c>
      <c r="E179" s="26" t="s">
        <v>624</v>
      </c>
      <c r="F179" s="26" t="str">
        <f t="shared" si="4"/>
        <v>rtdc.l.rtdc.4014:itc</v>
      </c>
      <c r="G179" s="8">
        <f t="shared" si="5"/>
        <v>42562.757847222223</v>
      </c>
    </row>
    <row r="180" spans="1:7" x14ac:dyDescent="0.25">
      <c r="A180" s="8">
        <v>42562.339108796295</v>
      </c>
      <c r="B180" s="26" t="s">
        <v>74</v>
      </c>
      <c r="C180" s="26" t="s">
        <v>492</v>
      </c>
      <c r="D180" s="26">
        <v>1830000</v>
      </c>
      <c r="E180" s="26" t="s">
        <v>135</v>
      </c>
      <c r="F180" s="26" t="str">
        <f t="shared" si="4"/>
        <v>rtdc.l.rtdc.4018:itc</v>
      </c>
      <c r="G180" s="8">
        <f t="shared" si="5"/>
        <v>42562.339108796295</v>
      </c>
    </row>
    <row r="181" spans="1:7" x14ac:dyDescent="0.25">
      <c r="A181" s="8">
        <v>42562.793414351851</v>
      </c>
      <c r="B181" s="26" t="s">
        <v>122</v>
      </c>
      <c r="C181" s="26" t="s">
        <v>592</v>
      </c>
      <c r="D181" s="26">
        <v>1750000</v>
      </c>
      <c r="E181" s="26" t="s">
        <v>624</v>
      </c>
      <c r="F181" s="26" t="str">
        <f t="shared" si="4"/>
        <v>rtdc.l.rtdc.4013:itc</v>
      </c>
      <c r="G181" s="8">
        <f t="shared" si="5"/>
        <v>42562.793414351851</v>
      </c>
    </row>
    <row r="182" spans="1:7" x14ac:dyDescent="0.25">
      <c r="A182" s="8">
        <v>42562.128310185188</v>
      </c>
      <c r="B182" s="26" t="s">
        <v>291</v>
      </c>
      <c r="C182" s="26" t="s">
        <v>393</v>
      </c>
      <c r="D182" s="26">
        <v>1990000</v>
      </c>
      <c r="E182" s="26" t="s">
        <v>202</v>
      </c>
      <c r="F182" s="26" t="str">
        <f t="shared" si="4"/>
        <v>rtdc.l.rtdc.4016:itc</v>
      </c>
      <c r="G182" s="8">
        <f t="shared" si="5"/>
        <v>42562.128310185188</v>
      </c>
    </row>
    <row r="183" spans="1:7" x14ac:dyDescent="0.25">
      <c r="A183" s="8">
        <v>42563.169328703705</v>
      </c>
      <c r="B183" s="26" t="s">
        <v>661</v>
      </c>
      <c r="C183" s="26" t="s">
        <v>663</v>
      </c>
      <c r="D183" s="26">
        <v>1340000</v>
      </c>
      <c r="E183" s="26" t="s">
        <v>138</v>
      </c>
      <c r="F183" s="26" t="str">
        <f t="shared" si="4"/>
        <v>rtdc.l.rtdc.4041:itc</v>
      </c>
      <c r="G183" s="8">
        <f t="shared" si="5"/>
        <v>42563.169328703705</v>
      </c>
    </row>
    <row r="184" spans="1:7" x14ac:dyDescent="0.25">
      <c r="A184" s="8">
        <v>42561.954467592594</v>
      </c>
      <c r="B184" s="26" t="s">
        <v>73</v>
      </c>
      <c r="C184" s="26" t="s">
        <v>383</v>
      </c>
      <c r="D184" s="26">
        <v>1180000</v>
      </c>
      <c r="E184" s="26" t="s">
        <v>308</v>
      </c>
      <c r="F184" s="26" t="str">
        <f t="shared" si="4"/>
        <v>rtdc.l.rtdc.4020:itc</v>
      </c>
      <c r="G184" s="8">
        <f t="shared" si="5"/>
        <v>42561.954467592594</v>
      </c>
    </row>
    <row r="185" spans="1:7" x14ac:dyDescent="0.25">
      <c r="A185" s="8">
        <v>42562.576701388891</v>
      </c>
      <c r="B185" s="26" t="s">
        <v>120</v>
      </c>
      <c r="C185" s="26" t="s">
        <v>421</v>
      </c>
      <c r="D185" s="26">
        <v>1280000</v>
      </c>
      <c r="E185" s="26" t="s">
        <v>126</v>
      </c>
      <c r="F185" s="26" t="str">
        <f t="shared" si="4"/>
        <v>rtdc.l.rtdc.4026:itc</v>
      </c>
      <c r="G185" s="8">
        <f t="shared" si="5"/>
        <v>42562.576701388891</v>
      </c>
    </row>
    <row r="186" spans="1:7" x14ac:dyDescent="0.25">
      <c r="A186" s="8">
        <v>42562.191250000003</v>
      </c>
      <c r="B186" s="26" t="s">
        <v>122</v>
      </c>
      <c r="C186" s="26" t="s">
        <v>448</v>
      </c>
      <c r="D186" s="26">
        <v>1260000</v>
      </c>
      <c r="E186" s="26" t="s">
        <v>387</v>
      </c>
      <c r="F186" s="26" t="str">
        <f t="shared" si="4"/>
        <v>rtdc.l.rtdc.4013:itc</v>
      </c>
      <c r="G186" s="8">
        <f t="shared" si="5"/>
        <v>42562.191250000003</v>
      </c>
    </row>
    <row r="187" spans="1:7" x14ac:dyDescent="0.25">
      <c r="A187" s="8">
        <v>42562.869502314818</v>
      </c>
      <c r="B187" s="26" t="s">
        <v>120</v>
      </c>
      <c r="C187" s="26" t="s">
        <v>605</v>
      </c>
      <c r="D187" s="26">
        <v>1800000</v>
      </c>
      <c r="E187" s="26" t="s">
        <v>389</v>
      </c>
      <c r="F187" s="26" t="str">
        <f t="shared" si="4"/>
        <v>rtdc.l.rtdc.4026:itc</v>
      </c>
      <c r="G187" s="8">
        <f t="shared" si="5"/>
        <v>42562.869502314818</v>
      </c>
    </row>
    <row r="188" spans="1:7" x14ac:dyDescent="0.25">
      <c r="A188" s="8">
        <v>42561.990439814814</v>
      </c>
      <c r="B188" s="26" t="s">
        <v>72</v>
      </c>
      <c r="C188" s="26" t="s">
        <v>384</v>
      </c>
      <c r="D188" s="26">
        <v>1180000</v>
      </c>
      <c r="E188" s="26" t="s">
        <v>308</v>
      </c>
      <c r="F188" s="26" t="str">
        <f t="shared" si="4"/>
        <v>rtdc.l.rtdc.4019:itc</v>
      </c>
      <c r="G188" s="8">
        <f t="shared" si="5"/>
        <v>42561.990439814814</v>
      </c>
    </row>
    <row r="189" spans="1:7" x14ac:dyDescent="0.25">
      <c r="A189" s="8">
        <v>42563.228981481479</v>
      </c>
      <c r="B189" s="26" t="s">
        <v>406</v>
      </c>
      <c r="C189" s="26" t="s">
        <v>645</v>
      </c>
      <c r="D189" s="26">
        <v>900000</v>
      </c>
      <c r="E189" s="26" t="s">
        <v>131</v>
      </c>
      <c r="F189" s="26" t="str">
        <f t="shared" si="4"/>
        <v>rtdc.l.rtdc.4009:itc</v>
      </c>
      <c r="G189" s="8">
        <f t="shared" si="5"/>
        <v>42563.228981481479</v>
      </c>
    </row>
    <row r="190" spans="1:7" x14ac:dyDescent="0.25">
      <c r="A190" s="8">
        <v>42561.935694444444</v>
      </c>
      <c r="B190" s="26" t="s">
        <v>149</v>
      </c>
      <c r="C190" s="26" t="s">
        <v>349</v>
      </c>
      <c r="D190" s="26">
        <v>1800000</v>
      </c>
      <c r="E190" s="26" t="s">
        <v>389</v>
      </c>
      <c r="F190" s="26" t="str">
        <f t="shared" si="4"/>
        <v>rtdc.l.rtdc.4040:itc</v>
      </c>
      <c r="G190" s="8">
        <f t="shared" si="5"/>
        <v>42561.935694444444</v>
      </c>
    </row>
    <row r="191" spans="1:7" x14ac:dyDescent="0.25">
      <c r="A191" s="8">
        <v>42563.328125</v>
      </c>
      <c r="B191" s="26" t="s">
        <v>661</v>
      </c>
      <c r="C191" s="26" t="s">
        <v>664</v>
      </c>
      <c r="D191" s="26">
        <v>1340000</v>
      </c>
      <c r="E191" s="26" t="s">
        <v>138</v>
      </c>
      <c r="F191" s="26" t="str">
        <f t="shared" si="4"/>
        <v>rtdc.l.rtdc.4041:itc</v>
      </c>
      <c r="G191" s="8">
        <f t="shared" si="5"/>
        <v>42563.328125</v>
      </c>
    </row>
    <row r="192" spans="1:7" x14ac:dyDescent="0.25">
      <c r="A192" s="8">
        <v>42561.867175925923</v>
      </c>
      <c r="B192" s="26" t="s">
        <v>73</v>
      </c>
      <c r="C192" s="26" t="s">
        <v>345</v>
      </c>
      <c r="D192" s="26">
        <v>1180000</v>
      </c>
      <c r="E192" s="26" t="s">
        <v>308</v>
      </c>
      <c r="F192" s="26" t="str">
        <f t="shared" si="4"/>
        <v>rtdc.l.rtdc.4020:itc</v>
      </c>
      <c r="G192" s="8">
        <f t="shared" si="5"/>
        <v>42561.867175925923</v>
      </c>
    </row>
    <row r="193" spans="1:7" x14ac:dyDescent="0.25">
      <c r="A193" s="8">
        <v>42563.340543981481</v>
      </c>
      <c r="B193" s="26" t="s">
        <v>410</v>
      </c>
      <c r="C193" s="26" t="s">
        <v>665</v>
      </c>
      <c r="D193" s="26">
        <v>900000</v>
      </c>
      <c r="E193" s="26" t="s">
        <v>131</v>
      </c>
      <c r="F193" s="26" t="str">
        <f t="shared" si="4"/>
        <v>rtdc.l.rtdc.4010:itc</v>
      </c>
      <c r="G193" s="8">
        <f t="shared" si="5"/>
        <v>42563.340543981481</v>
      </c>
    </row>
    <row r="194" spans="1:7" x14ac:dyDescent="0.25">
      <c r="A194" s="8">
        <v>42562.233240740738</v>
      </c>
      <c r="B194" s="26" t="s">
        <v>121</v>
      </c>
      <c r="C194" s="26" t="s">
        <v>469</v>
      </c>
      <c r="D194" s="26">
        <v>1260000</v>
      </c>
      <c r="E194" s="26" t="s">
        <v>387</v>
      </c>
      <c r="F194" s="26" t="str">
        <f t="shared" ref="F194:F235" si="6">B194</f>
        <v>rtdc.l.rtdc.4014:itc</v>
      </c>
      <c r="G194" s="8">
        <f t="shared" ref="G194:G235" si="7">A194</f>
        <v>42562.233240740738</v>
      </c>
    </row>
    <row r="195" spans="1:7" x14ac:dyDescent="0.25">
      <c r="A195" s="8">
        <v>42562.606736111113</v>
      </c>
      <c r="B195" s="26" t="s">
        <v>289</v>
      </c>
      <c r="C195" s="26" t="s">
        <v>544</v>
      </c>
      <c r="D195" s="26">
        <v>1110000</v>
      </c>
      <c r="E195" s="26" t="s">
        <v>187</v>
      </c>
      <c r="F195" s="26" t="str">
        <f t="shared" si="6"/>
        <v>rtdc.l.rtdc.4015:itc</v>
      </c>
      <c r="G195" s="8">
        <f t="shared" si="7"/>
        <v>42562.606736111113</v>
      </c>
    </row>
    <row r="196" spans="1:7" x14ac:dyDescent="0.25">
      <c r="A196" s="8">
        <v>42562.152349537035</v>
      </c>
      <c r="B196" s="26" t="s">
        <v>76</v>
      </c>
      <c r="C196" s="26" t="s">
        <v>395</v>
      </c>
      <c r="D196" s="26">
        <v>1260000</v>
      </c>
      <c r="E196" s="26" t="s">
        <v>387</v>
      </c>
      <c r="F196" s="26" t="str">
        <f t="shared" si="6"/>
        <v>rtdc.l.rtdc.4031:itc</v>
      </c>
      <c r="G196" s="8">
        <f t="shared" si="7"/>
        <v>42562.152349537035</v>
      </c>
    </row>
    <row r="197" spans="1:7" x14ac:dyDescent="0.25">
      <c r="A197" s="8">
        <v>42562.83216435185</v>
      </c>
      <c r="B197" s="26" t="s">
        <v>123</v>
      </c>
      <c r="C197" s="26" t="s">
        <v>604</v>
      </c>
      <c r="D197" s="26">
        <v>1800000</v>
      </c>
      <c r="E197" s="26" t="s">
        <v>389</v>
      </c>
      <c r="F197" s="26" t="str">
        <f t="shared" si="6"/>
        <v>rtdc.l.rtdc.4025:itc</v>
      </c>
      <c r="G197" s="8">
        <f t="shared" si="7"/>
        <v>42562.83216435185</v>
      </c>
    </row>
    <row r="198" spans="1:7" x14ac:dyDescent="0.25">
      <c r="A198" s="8">
        <v>42561.893310185187</v>
      </c>
      <c r="B198" s="26" t="s">
        <v>74</v>
      </c>
      <c r="C198" s="26" t="s">
        <v>380</v>
      </c>
      <c r="D198" s="26">
        <v>1290000</v>
      </c>
      <c r="E198" s="26" t="s">
        <v>170</v>
      </c>
      <c r="F198" s="26" t="str">
        <f t="shared" si="6"/>
        <v>rtdc.l.rtdc.4018:itc</v>
      </c>
      <c r="G198" s="8">
        <f t="shared" si="7"/>
        <v>42561.893310185187</v>
      </c>
    </row>
    <row r="199" spans="1:7" x14ac:dyDescent="0.25">
      <c r="A199" s="8">
        <v>42562.598043981481</v>
      </c>
      <c r="B199" s="26" t="s">
        <v>75</v>
      </c>
      <c r="C199" s="26" t="s">
        <v>420</v>
      </c>
      <c r="D199" s="26">
        <v>1520000</v>
      </c>
      <c r="E199" s="26" t="s">
        <v>137</v>
      </c>
      <c r="F199" s="26" t="str">
        <f t="shared" si="6"/>
        <v>rtdc.l.rtdc.4017:itc</v>
      </c>
      <c r="G199" s="8">
        <f t="shared" si="7"/>
        <v>42562.598043981481</v>
      </c>
    </row>
    <row r="200" spans="1:7" x14ac:dyDescent="0.25">
      <c r="A200" s="8">
        <v>42561.86341435185</v>
      </c>
      <c r="B200" s="26" t="s">
        <v>128</v>
      </c>
      <c r="C200" s="26" t="s">
        <v>379</v>
      </c>
      <c r="D200" s="26">
        <v>1810000</v>
      </c>
      <c r="E200" s="26" t="s">
        <v>168</v>
      </c>
      <c r="F200" s="26" t="str">
        <f t="shared" si="6"/>
        <v>rtdc.l.rtdc.4030:itc</v>
      </c>
      <c r="G200" s="8">
        <f t="shared" si="7"/>
        <v>42561.86341435185</v>
      </c>
    </row>
    <row r="201" spans="1:7" x14ac:dyDescent="0.25">
      <c r="A201" s="8">
        <v>42562.809664351851</v>
      </c>
      <c r="B201" s="26" t="s">
        <v>76</v>
      </c>
      <c r="C201" s="26" t="s">
        <v>435</v>
      </c>
      <c r="D201" s="26">
        <v>1810000</v>
      </c>
      <c r="E201" s="26" t="s">
        <v>168</v>
      </c>
      <c r="F201" s="26" t="str">
        <f t="shared" si="6"/>
        <v>rtdc.l.rtdc.4031:itc</v>
      </c>
      <c r="G201" s="8">
        <f t="shared" si="7"/>
        <v>42562.809664351851</v>
      </c>
    </row>
    <row r="202" spans="1:7" x14ac:dyDescent="0.25">
      <c r="A202" s="35">
        <v>42562.252395833333</v>
      </c>
      <c r="B202" s="26" t="s">
        <v>410</v>
      </c>
      <c r="C202" s="26" t="s">
        <v>464</v>
      </c>
      <c r="D202" s="26">
        <v>1990000</v>
      </c>
      <c r="E202" s="26" t="s">
        <v>202</v>
      </c>
      <c r="F202" s="26" t="str">
        <f t="shared" si="6"/>
        <v>rtdc.l.rtdc.4010:itc</v>
      </c>
      <c r="G202" s="8">
        <f t="shared" si="7"/>
        <v>42562.252395833333</v>
      </c>
    </row>
    <row r="203" spans="1:7" x14ac:dyDescent="0.25">
      <c r="A203" s="8">
        <v>42562.964918981481</v>
      </c>
      <c r="B203" s="26" t="s">
        <v>76</v>
      </c>
      <c r="C203" s="26" t="s">
        <v>441</v>
      </c>
      <c r="D203" s="26">
        <v>1810000</v>
      </c>
      <c r="E203" s="26" t="s">
        <v>168</v>
      </c>
      <c r="F203" s="26" t="str">
        <f t="shared" si="6"/>
        <v>rtdc.l.rtdc.4031:itc</v>
      </c>
      <c r="G203" s="8">
        <f t="shared" si="7"/>
        <v>42562.964918981481</v>
      </c>
    </row>
    <row r="204" spans="1:7" x14ac:dyDescent="0.25">
      <c r="A204" s="8">
        <v>42562.207233796296</v>
      </c>
      <c r="B204" s="26" t="s">
        <v>291</v>
      </c>
      <c r="C204" s="26" t="s">
        <v>397</v>
      </c>
      <c r="D204" s="26">
        <v>1110000</v>
      </c>
      <c r="E204" s="26" t="s">
        <v>187</v>
      </c>
      <c r="F204" s="26" t="str">
        <f t="shared" si="6"/>
        <v>rtdc.l.rtdc.4016:itc</v>
      </c>
      <c r="G204" s="8">
        <f t="shared" si="7"/>
        <v>42562.207233796296</v>
      </c>
    </row>
    <row r="205" spans="1:7" x14ac:dyDescent="0.25">
      <c r="A205" s="8">
        <v>42562.993333333332</v>
      </c>
      <c r="B205" s="26" t="s">
        <v>289</v>
      </c>
      <c r="C205" s="26" t="s">
        <v>615</v>
      </c>
      <c r="D205" s="26">
        <v>2010000</v>
      </c>
      <c r="E205" s="26" t="s">
        <v>201</v>
      </c>
      <c r="F205" s="26" t="str">
        <f t="shared" si="6"/>
        <v>rtdc.l.rtdc.4015:itc</v>
      </c>
      <c r="G205" s="8">
        <f t="shared" si="7"/>
        <v>42562.993333333332</v>
      </c>
    </row>
    <row r="206" spans="1:7" x14ac:dyDescent="0.25">
      <c r="A206" s="8">
        <v>42562.212893518517</v>
      </c>
      <c r="B206" s="26" t="s">
        <v>291</v>
      </c>
      <c r="C206" s="26" t="s">
        <v>397</v>
      </c>
      <c r="D206" s="26">
        <v>1110000</v>
      </c>
      <c r="E206" s="26" t="s">
        <v>187</v>
      </c>
      <c r="F206" s="26" t="str">
        <f t="shared" si="6"/>
        <v>rtdc.l.rtdc.4016:itc</v>
      </c>
      <c r="G206" s="8">
        <f t="shared" si="7"/>
        <v>42562.212893518517</v>
      </c>
    </row>
    <row r="207" spans="1:7" x14ac:dyDescent="0.25">
      <c r="A207" s="8">
        <v>42563.276261574072</v>
      </c>
      <c r="B207" s="26" t="s">
        <v>140</v>
      </c>
      <c r="C207" s="26" t="s">
        <v>666</v>
      </c>
      <c r="D207" s="26">
        <v>1990000</v>
      </c>
      <c r="E207" s="26" t="s">
        <v>202</v>
      </c>
      <c r="F207" s="26" t="str">
        <f t="shared" si="6"/>
        <v>rtdc.l.rtdc.4044:itc</v>
      </c>
      <c r="G207" s="8">
        <f t="shared" si="7"/>
        <v>42563.276261574072</v>
      </c>
    </row>
    <row r="208" spans="1:7" x14ac:dyDescent="0.25">
      <c r="A208" s="8">
        <v>42562.260833333334</v>
      </c>
      <c r="B208" s="26" t="s">
        <v>149</v>
      </c>
      <c r="C208" s="26" t="s">
        <v>623</v>
      </c>
      <c r="D208" s="26">
        <v>900000</v>
      </c>
      <c r="E208" s="26" t="s">
        <v>131</v>
      </c>
      <c r="F208" s="26" t="str">
        <f t="shared" si="6"/>
        <v>rtdc.l.rtdc.4040:itc</v>
      </c>
      <c r="G208" s="8">
        <f t="shared" si="7"/>
        <v>42562.260833333334</v>
      </c>
    </row>
    <row r="209" spans="1:7" x14ac:dyDescent="0.25">
      <c r="A209" s="8">
        <v>42563.301504629628</v>
      </c>
      <c r="B209" s="26" t="s">
        <v>406</v>
      </c>
      <c r="C209" s="26" t="s">
        <v>667</v>
      </c>
      <c r="D209" s="26">
        <v>900000</v>
      </c>
      <c r="E209" s="26" t="s">
        <v>131</v>
      </c>
      <c r="F209" s="26" t="str">
        <f t="shared" si="6"/>
        <v>rtdc.l.rtdc.4009:itc</v>
      </c>
      <c r="G209" s="8">
        <f t="shared" si="7"/>
        <v>42563.301504629628</v>
      </c>
    </row>
    <row r="210" spans="1:7" x14ac:dyDescent="0.25">
      <c r="A210" s="8">
        <v>42562.586423611108</v>
      </c>
      <c r="B210" s="26" t="s">
        <v>72</v>
      </c>
      <c r="C210" s="26" t="s">
        <v>422</v>
      </c>
      <c r="D210" s="26">
        <v>2020000</v>
      </c>
      <c r="E210" s="26" t="s">
        <v>626</v>
      </c>
      <c r="F210" s="26" t="str">
        <f t="shared" si="6"/>
        <v>rtdc.l.rtdc.4019:itc</v>
      </c>
      <c r="G210" s="8">
        <f t="shared" si="7"/>
        <v>42562.586423611108</v>
      </c>
    </row>
    <row r="211" spans="1:7" x14ac:dyDescent="0.25">
      <c r="A211" s="8">
        <v>42558.189386574071</v>
      </c>
      <c r="B211" s="26" t="s">
        <v>74</v>
      </c>
      <c r="C211" s="26" t="s">
        <v>210</v>
      </c>
      <c r="D211" s="26">
        <v>2030000</v>
      </c>
      <c r="E211" s="26" t="s">
        <v>185</v>
      </c>
      <c r="F211" s="26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6" t="s">
        <v>149</v>
      </c>
      <c r="C212" s="26" t="s">
        <v>273</v>
      </c>
      <c r="D212" s="26">
        <v>1460000</v>
      </c>
      <c r="E212" s="26" t="s">
        <v>114</v>
      </c>
      <c r="F212" s="26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6" t="s">
        <v>122</v>
      </c>
      <c r="C213" s="26" t="s">
        <v>208</v>
      </c>
      <c r="D213" s="26">
        <v>1830000</v>
      </c>
      <c r="E213" s="26" t="s">
        <v>135</v>
      </c>
      <c r="F213" s="26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6" t="s">
        <v>124</v>
      </c>
      <c r="C214" s="26" t="s">
        <v>212</v>
      </c>
      <c r="D214" s="26">
        <v>1110000</v>
      </c>
      <c r="E214" s="26" t="s">
        <v>187</v>
      </c>
      <c r="F214" s="26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6" t="s">
        <v>144</v>
      </c>
      <c r="C215" s="26" t="s">
        <v>217</v>
      </c>
      <c r="D215" s="26">
        <v>1840000</v>
      </c>
      <c r="E215" s="26" t="s">
        <v>113</v>
      </c>
      <c r="F215" s="26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6" t="s">
        <v>74</v>
      </c>
      <c r="C216" s="26" t="s">
        <v>204</v>
      </c>
      <c r="D216" s="26">
        <v>2030000</v>
      </c>
      <c r="E216" s="26" t="s">
        <v>185</v>
      </c>
      <c r="F216" s="26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6" t="s">
        <v>140</v>
      </c>
      <c r="C217" s="26" t="s">
        <v>216</v>
      </c>
      <c r="D217" s="26">
        <v>1840000</v>
      </c>
      <c r="E217" s="26" t="s">
        <v>113</v>
      </c>
      <c r="F217" s="26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6" t="s">
        <v>118</v>
      </c>
      <c r="C218" s="26" t="s">
        <v>209</v>
      </c>
      <c r="D218" s="26">
        <v>2010000</v>
      </c>
      <c r="E218" s="26" t="s">
        <v>201</v>
      </c>
      <c r="F218" s="26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6" t="s">
        <v>167</v>
      </c>
      <c r="C219" s="26" t="s">
        <v>274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192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275</v>
      </c>
      <c r="D221" s="26">
        <v>1340000</v>
      </c>
      <c r="E221" s="26" t="s">
        <v>138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198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244</v>
      </c>
      <c r="D223" s="26">
        <v>1110000</v>
      </c>
      <c r="E223" s="26" t="s">
        <v>187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253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242</v>
      </c>
      <c r="D225">
        <v>2040000</v>
      </c>
      <c r="E225" t="s">
        <v>200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252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290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215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246</v>
      </c>
      <c r="D229">
        <v>2010000</v>
      </c>
      <c r="E229" t="s">
        <v>201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208</v>
      </c>
      <c r="D230">
        <v>1830000</v>
      </c>
      <c r="E230" t="s">
        <v>135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243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167</v>
      </c>
      <c r="C232" t="s">
        <v>213</v>
      </c>
      <c r="D232">
        <v>1240000</v>
      </c>
      <c r="E232" t="s">
        <v>146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250</v>
      </c>
      <c r="D233">
        <v>1340000</v>
      </c>
      <c r="E233" t="s">
        <v>138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206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256</v>
      </c>
      <c r="D235">
        <v>880000</v>
      </c>
      <c r="E235" t="s">
        <v>136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265</v>
      </c>
      <c r="D236">
        <v>1740000</v>
      </c>
      <c r="E236" t="s">
        <v>184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280</v>
      </c>
      <c r="D237">
        <v>1520000</v>
      </c>
      <c r="E237" t="s">
        <v>137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260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283</v>
      </c>
      <c r="D239">
        <v>1780000</v>
      </c>
      <c r="E239" t="s">
        <v>148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241</v>
      </c>
      <c r="D240">
        <v>2010000</v>
      </c>
      <c r="E240" t="s">
        <v>201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291</v>
      </c>
      <c r="C241" t="s">
        <v>292</v>
      </c>
      <c r="D241">
        <v>2030000</v>
      </c>
      <c r="E241" t="s">
        <v>185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210</v>
      </c>
      <c r="D242">
        <v>2030000</v>
      </c>
      <c r="E242" t="s">
        <v>185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293</v>
      </c>
      <c r="D243">
        <v>1830000</v>
      </c>
      <c r="E243" t="s">
        <v>135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167</v>
      </c>
      <c r="C244" t="s">
        <v>281</v>
      </c>
      <c r="D244">
        <v>1520000</v>
      </c>
      <c r="E244" t="s">
        <v>137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294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251</v>
      </c>
      <c r="D246">
        <v>1340000</v>
      </c>
      <c r="E246" t="s">
        <v>138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295</v>
      </c>
      <c r="D247">
        <v>1340000</v>
      </c>
      <c r="E247" t="s">
        <v>138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195</v>
      </c>
      <c r="D248">
        <v>1240000</v>
      </c>
      <c r="E248" t="s">
        <v>146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287</v>
      </c>
      <c r="D249">
        <v>1780000</v>
      </c>
      <c r="E249" t="s">
        <v>148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266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279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167</v>
      </c>
      <c r="C252" t="s">
        <v>278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272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247</v>
      </c>
      <c r="D254">
        <v>2040000</v>
      </c>
      <c r="E254" t="s">
        <v>200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282</v>
      </c>
      <c r="D255">
        <v>1780000</v>
      </c>
      <c r="E255" t="s">
        <v>148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167</v>
      </c>
      <c r="C256" t="s">
        <v>211</v>
      </c>
      <c r="D256">
        <v>1240000</v>
      </c>
      <c r="E256" t="s">
        <v>146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262</v>
      </c>
      <c r="D257">
        <v>1290000</v>
      </c>
      <c r="E257" t="s">
        <v>170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194</v>
      </c>
      <c r="D258">
        <v>1540000</v>
      </c>
      <c r="E258" t="s">
        <v>142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271</v>
      </c>
      <c r="D259">
        <v>1240000</v>
      </c>
      <c r="E259" t="s">
        <v>146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267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167</v>
      </c>
      <c r="C261" t="s">
        <v>277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261</v>
      </c>
      <c r="D262">
        <v>1290000</v>
      </c>
      <c r="E262" t="s">
        <v>170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254</v>
      </c>
      <c r="D263">
        <v>2000000</v>
      </c>
      <c r="E263" t="s">
        <v>186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255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264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249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268</v>
      </c>
      <c r="D267">
        <v>1990000</v>
      </c>
      <c r="E267" t="s">
        <v>202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248</v>
      </c>
      <c r="D268">
        <v>880000</v>
      </c>
      <c r="E268" t="s">
        <v>136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288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276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263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207</v>
      </c>
      <c r="D272">
        <v>1830000</v>
      </c>
      <c r="E272" t="s">
        <v>135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269</v>
      </c>
      <c r="D273">
        <v>1990000</v>
      </c>
      <c r="E273" t="s">
        <v>202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205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296</v>
      </c>
      <c r="D275">
        <v>1110000</v>
      </c>
      <c r="E275" t="s">
        <v>187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193</v>
      </c>
      <c r="D276">
        <v>1740000</v>
      </c>
      <c r="E276" t="s">
        <v>184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297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245</v>
      </c>
      <c r="D278">
        <v>1830000</v>
      </c>
      <c r="E278" t="s">
        <v>135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259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214</v>
      </c>
      <c r="D280">
        <v>2010000</v>
      </c>
      <c r="E280" t="s">
        <v>201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167</v>
      </c>
      <c r="C281" t="s">
        <v>284</v>
      </c>
      <c r="D281">
        <v>1520000</v>
      </c>
      <c r="E281" t="s">
        <v>137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199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218</v>
      </c>
      <c r="D284">
        <v>1740000</v>
      </c>
      <c r="E284" t="s">
        <v>184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188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219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189</v>
      </c>
      <c r="D287">
        <v>1240000</v>
      </c>
      <c r="E287" t="s">
        <v>146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197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188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196</v>
      </c>
      <c r="D290">
        <v>1740000</v>
      </c>
      <c r="E290" t="s">
        <v>184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191</v>
      </c>
      <c r="D291">
        <v>1520000</v>
      </c>
      <c r="E291" t="s">
        <v>137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210</v>
      </c>
      <c r="D292">
        <v>2030000</v>
      </c>
      <c r="E292" t="s">
        <v>185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190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220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203</v>
      </c>
      <c r="D295">
        <v>1110000</v>
      </c>
      <c r="E295" t="s">
        <v>187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172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161</v>
      </c>
      <c r="D298">
        <v>1770000</v>
      </c>
      <c r="E298" t="s">
        <v>139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175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155</v>
      </c>
      <c r="D300">
        <v>1780000</v>
      </c>
      <c r="E300" t="s">
        <v>148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166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165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164</v>
      </c>
      <c r="D303">
        <v>1770000</v>
      </c>
      <c r="E303" t="s">
        <v>139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176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156</v>
      </c>
      <c r="D305">
        <v>1780000</v>
      </c>
      <c r="E305" t="s">
        <v>148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177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163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178</v>
      </c>
      <c r="D308">
        <v>1120000</v>
      </c>
      <c r="E308" t="s">
        <v>141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162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179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160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180</v>
      </c>
      <c r="D312">
        <v>950000</v>
      </c>
      <c r="E312" t="s">
        <v>145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158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171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159</v>
      </c>
      <c r="D315">
        <v>1290000</v>
      </c>
      <c r="E315" t="s">
        <v>170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173</v>
      </c>
      <c r="D316">
        <v>1540000</v>
      </c>
      <c r="E316" t="s">
        <v>142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154</v>
      </c>
      <c r="D317">
        <v>1780000</v>
      </c>
      <c r="E317" t="s">
        <v>148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167</v>
      </c>
      <c r="C318" t="s">
        <v>181</v>
      </c>
      <c r="D318">
        <v>1810000</v>
      </c>
      <c r="E318" t="s">
        <v>168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157</v>
      </c>
      <c r="D319">
        <v>1240000</v>
      </c>
      <c r="E319" t="s">
        <v>146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174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182</v>
      </c>
      <c r="D321">
        <v>890000</v>
      </c>
      <c r="E321" t="s">
        <v>169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G15" sqref="G15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42562</v>
      </c>
      <c r="B2" s="4"/>
      <c r="C2" s="127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227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228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229</v>
      </c>
      <c r="M20" s="106" t="s">
        <v>230</v>
      </c>
    </row>
    <row r="21" spans="10:13" x14ac:dyDescent="0.25">
      <c r="J21" s="26" t="s">
        <v>233</v>
      </c>
      <c r="K21" s="26" t="s">
        <v>234</v>
      </c>
      <c r="M21" s="106" t="s">
        <v>234</v>
      </c>
    </row>
    <row r="22" spans="10:13" x14ac:dyDescent="0.25">
      <c r="J22" s="26" t="s">
        <v>235</v>
      </c>
      <c r="K22" s="26" t="s">
        <v>236</v>
      </c>
      <c r="M22" s="106" t="s">
        <v>236</v>
      </c>
    </row>
    <row r="23" spans="10:13" x14ac:dyDescent="0.25">
      <c r="J23" s="40" t="s">
        <v>238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2016-07-12T14:56:17Z</dcterms:modified>
</cp:coreProperties>
</file>