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53" i="3"/>
  <c r="M54" i="3" s="1"/>
  <c r="L48" i="3"/>
  <c r="L49" i="3"/>
  <c r="L50" i="3"/>
  <c r="L51" i="3"/>
  <c r="L12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T149" i="1"/>
  <c r="V149" i="1"/>
  <c r="W149" i="1"/>
  <c r="X149" i="1"/>
  <c r="Y149" i="1" s="1"/>
  <c r="U149" i="1" s="1"/>
  <c r="Z149" i="1"/>
  <c r="AA149" i="1"/>
  <c r="T150" i="1"/>
  <c r="V150" i="1"/>
  <c r="W150" i="1"/>
  <c r="X150" i="1"/>
  <c r="Z150" i="1"/>
  <c r="AA150" i="1"/>
  <c r="M156" i="1"/>
  <c r="J156" i="1"/>
  <c r="M149" i="1"/>
  <c r="N149" i="1" s="1"/>
  <c r="M150" i="1"/>
  <c r="N150" i="1" s="1"/>
  <c r="K149" i="1"/>
  <c r="K150" i="1"/>
  <c r="I152" i="1"/>
  <c r="Y150" i="1" l="1"/>
  <c r="U150" i="1" s="1"/>
  <c r="V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6" i="1" l="1"/>
  <c r="U6" i="1" s="1"/>
  <c r="Y9" i="1"/>
  <c r="U9" i="1" s="1"/>
  <c r="J157" i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O158" i="1" l="1"/>
  <c r="N158" i="1"/>
  <c r="N155" i="1"/>
  <c r="M158" i="1"/>
  <c r="O155" i="1"/>
  <c r="J154" i="1"/>
  <c r="J158" i="1"/>
  <c r="J155" i="1"/>
  <c r="A1" i="6"/>
  <c r="T3" i="1" l="1"/>
  <c r="W3" i="1"/>
  <c r="X3" i="1"/>
  <c r="Y3" i="1" l="1"/>
  <c r="U3" i="1" s="1"/>
  <c r="A1" i="3" l="1"/>
  <c r="J159" i="1" l="1"/>
  <c r="A1" i="1"/>
  <c r="O156" i="1" l="1"/>
  <c r="N156" i="1"/>
  <c r="M15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<sst xmlns="http://schemas.openxmlformats.org/spreadsheetml/2006/main" count="1661" uniqueCount="446">
  <si>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</si>
  <si>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</si>
  <si>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</si>
  <si>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</si>
  <si>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</si>
  <si>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</si>
  <si>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</si>
  <si>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</si>
  <si>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</si>
  <si>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</si>
  <si>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</si>
  <si>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</si>
  <si>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</si>
  <si>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</si>
  <si>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</si>
  <si>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</si>
  <si>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</si>
  <si>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</si>
  <si>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</si>
  <si>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</si>
  <si>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</si>
  <si>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</si>
  <si>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</si>
  <si>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</si>
  <si>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</si>
  <si>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</si>
  <si>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</si>
  <si>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</si>
  <si>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</si>
  <si>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</si>
  <si>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</si>
  <si>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</si>
  <si>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</si>
  <si>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</si>
  <si>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</si>
  <si>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</si>
  <si>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</si>
  <si>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</si>
  <si>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</si>
  <si>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</si>
  <si>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</si>
  <si>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</si>
  <si>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</si>
  <si>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</si>
  <si>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</si>
  <si>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</si>
  <si>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</si>
  <si>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</si>
  <si>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</si>
  <si>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</si>
  <si>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</si>
  <si>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</si>
  <si>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</si>
  <si>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</si>
  <si>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</si>
  <si>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</si>
  <si>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</si>
  <si>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</si>
  <si>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</si>
  <si>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</si>
  <si>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</si>
  <si>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</si>
  <si>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</si>
  <si>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</si>
  <si>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</si>
  <si>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</si>
  <si>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</si>
  <si>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</si>
  <si>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</si>
  <si>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</si>
  <si>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</si>
  <si>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</si>
  <si>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</si>
  <si>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</si>
  <si>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</si>
  <si>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</si>
  <si>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</si>
  <si>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</si>
  <si>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</si>
  <si>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</si>
  <si>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</si>
  <si>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</si>
  <si>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</si>
  <si>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</si>
  <si>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</si>
  <si>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</si>
  <si>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</si>
  <si>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</si>
  <si>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</si>
  <si>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</si>
  <si>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</si>
  <si>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</si>
  <si>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</si>
  <si>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</si>
  <si>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</si>
  <si>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</si>
  <si>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</si>
  <si>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</si>
  <si>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</si>
  <si>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</si>
  <si>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</si>
  <si>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</si>
  <si>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</si>
  <si>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</si>
  <si>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</si>
  <si>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</si>
  <si>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</si>
  <si>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</si>
  <si>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</si>
  <si>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</si>
  <si>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</si>
  <si>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</si>
  <si>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</si>
  <si>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</si>
  <si>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</si>
  <si>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</si>
  <si>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</si>
  <si>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</si>
  <si>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</si>
  <si>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</si>
  <si>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</si>
  <si>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</si>
  <si>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</si>
  <si>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</si>
  <si>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</si>
  <si>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</si>
  <si>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</si>
  <si>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</si>
  <si>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</si>
  <si>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</si>
  <si>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</si>
  <si>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</si>
  <si>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</si>
  <si>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</si>
  <si>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</si>
  <si>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</si>
  <si>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</si>
  <si>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</si>
  <si>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</si>
  <si>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</si>
  <si>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</si>
  <si>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</si>
  <si>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</si>
  <si>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</si>
  <si>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</si>
  <si>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</si>
  <si>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</si>
  <si>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</si>
  <si>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</si>
  <si>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</si>
  <si>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</si>
  <si>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</si>
  <si>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</si>
  <si>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</si>
  <si>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</si>
  <si>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</si>
  <si>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</si>
  <si>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</si>
  <si>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</si>
  <si>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</si>
  <si>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</si>
  <si>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</si>
  <si>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</si>
  <si>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</si>
  <si>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</si>
  <si>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</si>
  <si>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</si>
  <si>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</si>
  <si>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</si>
  <si>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</si>
  <si>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</si>
  <si>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</si>
  <si>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</si>
  <si>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</si>
  <si>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</si>
  <si>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</si>
  <si>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</si>
  <si>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</si>
  <si>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</si>
  <si>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</si>
  <si>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</si>
  <si>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</si>
  <si>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</si>
  <si>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</si>
  <si>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</si>
  <si>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</si>
  <si>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</si>
  <si>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</si>
  <si>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</si>
  <si>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</si>
  <si>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</si>
  <si>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</si>
  <si>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</si>
  <si>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</si>
  <si>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</si>
  <si>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</si>
  <si>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</si>
  <si>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</si>
  <si>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</si>
  <si>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</si>
  <si>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</si>
  <si>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</si>
  <si>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</si>
  <si>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</si>
  <si>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</si>
  <si>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</si>
  <si>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</si>
  <si>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</si>
  <si>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</si>
  <si>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</si>
  <si>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</si>
  <si>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</si>
  <si>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</si>
  <si>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</si>
  <si>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</si>
  <si>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</si>
  <si>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</si>
  <si>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</si>
  <si>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</si>
  <si>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</si>
  <si>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</si>
  <si>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</si>
  <si>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</si>
  <si>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</si>
  <si>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</si>
  <si>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</si>
  <si>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</si>
  <si>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</si>
  <si>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</si>
  <si>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</si>
  <si>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</si>
  <si>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</si>
  <si>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</si>
  <si>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</si>
  <si>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</si>
  <si>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</si>
  <si>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</si>
  <si>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</si>
  <si>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</si>
  <si>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</si>
  <si>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</si>
  <si>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</si>
  <si>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</si>
  <si>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</si>
  <si>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</si>
  <si>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</si>
  <si>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</si>
  <si>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</si>
  <si>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</si>
  <si>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</si>
  <si>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</si>
  <si>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</si>
  <si>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</si>
  <si>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</si>
  <si>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</si>
  <si>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</si>
  <si>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</si>
  <si>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</si>
  <si>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</si>
  <si>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</si>
  <si>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</si>
  <si>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</si>
  <si>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</si>
  <si>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</si>
  <si>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</si>
  <si>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</si>
  <si>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</si>
  <si>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</si>
  <si>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</si>
  <si>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</si>
  <si>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</si>
  <si>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</si>
  <si>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</si>
  <si>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</si>
  <si>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</si>
  <si>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</si>
  <si>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</si>
  <si>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</si>
  <si>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</si>
  <si>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</si>
  <si>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</si>
  <si>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</si>
  <si>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</si>
  <si>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</si>
  <si>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</si>
  <si>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</si>
  <si>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</si>
  <si>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</si>
  <si>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</si>
  <si>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</si>
  <si>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</si>
  <si>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</si>
  <si>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</si>
  <si>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</si>
  <si>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</si>
  <si>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</si>
  <si>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</si>
  <si>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</si>
  <si>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</si>
  <si>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</si>
  <si>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</si>
  <si>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</si>
  <si>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</si>
  <si>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</si>
  <si>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</si>
  <si>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</si>
  <si>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</si>
  <si>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</si>
  <si>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</si>
  <si>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</si>
  <si>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</si>
  <si>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</si>
  <si>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</si>
  <si>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</si>
  <si>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</si>
  <si>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</si>
  <si>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</si>
  <si>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</si>
  <si>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</si>
  <si>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</si>
  <si>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</si>
  <si>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</si>
  <si>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</si>
  <si>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</si>
  <si>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</si>
  <si>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</si>
  <si>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</si>
  <si>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</si>
  <si>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</si>
  <si>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</si>
  <si>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</si>
  <si>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</si>
  <si>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</si>
  <si>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</si>
  <si>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</si>
  <si>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</si>
  <si>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</si>
  <si>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</si>
  <si>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</si>
  <si>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</si>
  <si>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</si>
  <si>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</si>
  <si>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</si>
  <si>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</si>
  <si>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</si>
  <si>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</si>
  <si>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</si>
  <si>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</si>
  <si>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</si>
  <si>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</si>
  <si>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</si>
  <si>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</si>
  <si>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</si>
  <si>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</si>
  <si>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</si>
  <si>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</si>
  <si>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</si>
  <si>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</si>
  <si>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</si>
  <si>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</si>
  <si>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</si>
  <si>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</si>
  <si>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</si>
  <si>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</si>
  <si>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</si>
  <si>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</si>
  <si>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</si>
  <si>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</si>
  <si>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</si>
  <si>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</si>
  <si>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</si>
  <si>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</si>
  <si>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</si>
  <si>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</si>
  <si>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</si>
  <si>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</si>
  <si>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</si>
  <si>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</si>
  <si>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</si>
  <si>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</si>
  <si>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</si>
  <si>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</si>
  <si>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</si>
  <si>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</si>
  <si>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</si>
  <si>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</si>
  <si>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</si>
  <si>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</si>
  <si>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</si>
  <si>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</si>
  <si>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</si>
  <si>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</si>
  <si>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</si>
  <si>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</si>
  <si>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</si>
  <si>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</si>
  <si>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</si>
  <si>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</si>
  <si>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</si>
  <si>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</si>
  <si>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</si>
  <si>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</si>
  <si>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</si>
  <si>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</si>
  <si>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</si>
  <si>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</si>
  <si>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</si>
  <si>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</si>
  <si>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</si>
  <si>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</si>
  <si>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</si>
  <si>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</si>
  <si>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</si>
  <si>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</si>
  <si>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</si>
  <si>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</si>
  <si>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</si>
  <si>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</si>
  <si>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</si>
  <si>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</si>
  <si>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</si>
  <si>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</si>
  <si>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</si>
  <si>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</si>
  <si>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</si>
  <si>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</si>
  <si>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</si>
  <si>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</si>
  <si>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</si>
  <si>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</si>
  <si>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</si>
  <si>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</si>
  <si>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</si>
  <si>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</si>
  <si>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</si>
  <si>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</si>
  <si>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</si>
  <si>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</si>
  <si>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</si>
  <si>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</si>
  <si>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</si>
  <si>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</si>
  <si>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</si>
  <si>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</si>
  <si>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Closed</t>
  </si>
  <si>
    <t>Comm outage due to comparator issue caused red fence at EC0508RH 43-1T 1N. Ran in ATC for remainder of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</si>
</sst>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zoomScale="85" zoomScaleNormal="85" workbookViewId="0">
      <selection activeCell="R95" sqref="R9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17.710937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7.2599999999999998E-2</v>
      </c>
      <c r="X3" s="75">
        <f t="shared" ref="X3" si="6">RIGHT(H3,LEN(H3)-4)/10000</f>
        <v>23.331900000000001</v>
      </c>
      <c r="Y3" s="75">
        <f t="shared" ref="Y3" si="7">ABS(X3-W3)</f>
        <v>23.2593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1.4999999999999999E-2</v>
      </c>
      <c r="Y4" s="75">
        <f t="shared" ref="Y4:Y81" si="12">ABS(X4-W4)</f>
        <v>23.253299999999999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3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4">I5-F5</f>
        <v>3.1840277777519077E-2</v>
      </c>
      <c r="N5" s="13">
        <f t="shared" si="2"/>
        <v>45.849999999627471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7.2999999999999995E-2</v>
      </c>
      <c r="X5" s="75">
        <f t="shared" ref="X5:X31" si="19">RIGHT(H5,LEN(H5)-4)/10000</f>
        <v>23.331499999999998</v>
      </c>
      <c r="Y5" s="75">
        <f t="shared" ref="Y5:Y31" si="20">ABS(X5-W5)</f>
        <v>23.258499999999998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3"/>
        <v>4013/4014</v>
      </c>
      <c r="L6" s="61" t="str">
        <f>VLOOKUP(A6,'Trips&amp;Operators'!$C$1:$E$9999,3,FALSE)</f>
        <v>STURGEON</v>
      </c>
      <c r="M6" s="12">
        <f t="shared" si="14"/>
        <v>3.1111111107748002E-2</v>
      </c>
      <c r="N6" s="13">
        <f t="shared" si="2"/>
        <v>44.799999995157123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1.52E-2</v>
      </c>
      <c r="Y6" s="75">
        <f t="shared" si="20"/>
        <v>23.252299999999998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3"/>
        <v>4039/4040</v>
      </c>
      <c r="L7" s="61" t="str">
        <f>VLOOKUP(A7,'Trips&amp;Operators'!$C$1:$E$9999,3,FALSE)</f>
        <v>LEDERHAUSE</v>
      </c>
      <c r="M7" s="12">
        <f t="shared" si="14"/>
        <v>2.8807870374293998E-2</v>
      </c>
      <c r="N7" s="13">
        <f t="shared" si="2"/>
        <v>41.483333338983357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7.6300000000000007E-2</v>
      </c>
      <c r="X7" s="75">
        <f t="shared" si="19"/>
        <v>23.3308</v>
      </c>
      <c r="Y7" s="75">
        <f t="shared" si="20"/>
        <v>23.2545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3"/>
        <v>4023/4024</v>
      </c>
      <c r="L8" s="61" t="str">
        <f>VLOOKUP(A8,'Trips&amp;Operators'!$C$1:$E$9999,3,FALSE)</f>
        <v>LEDERHAUSE</v>
      </c>
      <c r="M8" s="12">
        <f t="shared" si="14"/>
        <v>2.8402777781593613E-2</v>
      </c>
      <c r="N8" s="13">
        <f t="shared" si="2"/>
        <v>40.900000005494803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23.2668</v>
      </c>
      <c r="X8" s="75">
        <f t="shared" si="19"/>
        <v>0.20810000000000001</v>
      </c>
      <c r="Y8" s="75">
        <f t="shared" si="20"/>
        <v>23.058699999999998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3"/>
        <v>4029/4030</v>
      </c>
      <c r="L9" s="61" t="str">
        <f>VLOOKUP(A9,'Trips&amp;Operators'!$C$1:$E$9999,3,FALSE)</f>
        <v>SANTIZO</v>
      </c>
      <c r="M9" s="12">
        <f t="shared" si="14"/>
        <v>3.0613425922638271E-2</v>
      </c>
      <c r="N9" s="13">
        <f t="shared" si="2"/>
        <v>44.08333332859911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4.53E-2</v>
      </c>
      <c r="X9" s="75">
        <f t="shared" si="19"/>
        <v>23.3263</v>
      </c>
      <c r="Y9" s="75">
        <f t="shared" si="20"/>
        <v>23.280999999999999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3"/>
        <v>4029/4030</v>
      </c>
      <c r="L10" s="61" t="str">
        <f>VLOOKUP(A10,'Trips&amp;Operators'!$C$1:$E$9999,3,FALSE)</f>
        <v>SANTIZO</v>
      </c>
      <c r="M10" s="12">
        <f t="shared" si="14"/>
        <v>3.0960648145992309E-2</v>
      </c>
      <c r="N10" s="13">
        <f t="shared" si="2"/>
        <v>44.583333330228925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23.2971</v>
      </c>
      <c r="X10" s="75">
        <f t="shared" si="19"/>
        <v>1.89E-2</v>
      </c>
      <c r="Y10" s="75">
        <f t="shared" si="20"/>
        <v>23.278200000000002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3"/>
        <v>4025/4026</v>
      </c>
      <c r="L11" s="61" t="str">
        <f>VLOOKUP(A11,'Trips&amp;Operators'!$C$1:$E$9999,3,FALSE)</f>
        <v>MALAVE</v>
      </c>
      <c r="M11" s="12">
        <f t="shared" si="14"/>
        <v>2.7245370372838806E-2</v>
      </c>
      <c r="N11" s="13">
        <f t="shared" si="2"/>
        <v>39.233333336887881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4.6399999999999997E-2</v>
      </c>
      <c r="X11" s="75">
        <f t="shared" si="19"/>
        <v>23.329799999999999</v>
      </c>
      <c r="Y11" s="75">
        <f t="shared" si="20"/>
        <v>23.2834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3"/>
        <v>4025/4026</v>
      </c>
      <c r="L12" s="61" t="str">
        <f>VLOOKUP(A12,'Trips&amp;Operators'!$C$1:$E$9999,3,FALSE)</f>
        <v>MALAVE</v>
      </c>
      <c r="M12" s="12">
        <f t="shared" si="14"/>
        <v>2.675925925723277E-2</v>
      </c>
      <c r="N12" s="13">
        <f t="shared" si="2"/>
        <v>38.533333330415189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23.299399999999999</v>
      </c>
      <c r="X12" s="75">
        <f t="shared" si="19"/>
        <v>1.4999999999999999E-2</v>
      </c>
      <c r="Y12" s="75">
        <f t="shared" si="20"/>
        <v>23.284399999999998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3"/>
        <v>4015/4016</v>
      </c>
      <c r="L13" s="61" t="str">
        <f>VLOOKUP(A13,'Trips&amp;Operators'!$C$1:$E$9999,3,FALSE)</f>
        <v>GEBRETEKLE</v>
      </c>
      <c r="M13" s="12">
        <f t="shared" si="14"/>
        <v>2.7337962965248153E-2</v>
      </c>
      <c r="N13" s="13">
        <f t="shared" si="2"/>
        <v>39.36666666995734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7.9200000000000007E-2</v>
      </c>
      <c r="X13" s="75">
        <f t="shared" si="19"/>
        <v>23.331099999999999</v>
      </c>
      <c r="Y13" s="75">
        <f t="shared" si="20"/>
        <v>23.251899999999999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3"/>
        <v>4015/4016</v>
      </c>
      <c r="L14" s="61" t="str">
        <f>VLOOKUP(A14,'Trips&amp;Operators'!$C$1:$E$9999,3,FALSE)</f>
        <v>GEBRETEKLE</v>
      </c>
      <c r="M14" s="12">
        <f t="shared" si="14"/>
        <v>2.9641203705978114E-2</v>
      </c>
      <c r="N14" s="13">
        <f t="shared" si="2"/>
        <v>42.683333336608484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1.29E-2</v>
      </c>
      <c r="Y14" s="75">
        <f t="shared" si="20"/>
        <v>23.287100000000002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3"/>
        <v>4017/4018</v>
      </c>
      <c r="L15" s="61" t="str">
        <f>VLOOKUP(A15,'Trips&amp;Operators'!$C$1:$E$9999,3,FALSE)</f>
        <v>LEVIN</v>
      </c>
      <c r="M15" s="12">
        <f t="shared" si="14"/>
        <v>3.2129629631526768E-2</v>
      </c>
      <c r="N15" s="13">
        <f t="shared" si="2"/>
        <v>46.266666669398546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4.6699999999999998E-2</v>
      </c>
      <c r="X15" s="75">
        <f t="shared" si="19"/>
        <v>23.332899999999999</v>
      </c>
      <c r="Y15" s="75">
        <f t="shared" si="20"/>
        <v>23.286199999999997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3"/>
        <v>4017/4018</v>
      </c>
      <c r="L16" s="61" t="str">
        <f>VLOOKUP(A16,'Trips&amp;Operators'!$C$1:$E$9999,3,FALSE)</f>
        <v>LEVIN</v>
      </c>
      <c r="M16" s="12">
        <f t="shared" si="14"/>
        <v>3.1851851854298729E-2</v>
      </c>
      <c r="N16" s="13">
        <f t="shared" si="2"/>
        <v>45.86666667019017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</v>
      </c>
      <c r="X16" s="75">
        <f t="shared" si="19"/>
        <v>1.34E-2</v>
      </c>
      <c r="Y16" s="75">
        <f t="shared" si="20"/>
        <v>23.2866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3"/>
        <v>4019/4020</v>
      </c>
      <c r="L17" s="61" t="str">
        <f>VLOOKUP(A17,'Trips&amp;Operators'!$C$1:$E$9999,3,FALSE)</f>
        <v>BRABO</v>
      </c>
      <c r="M17" s="12">
        <f t="shared" si="14"/>
        <v>2.8634259258979E-2</v>
      </c>
      <c r="N17" s="13">
        <f t="shared" si="2"/>
        <v>41.23333333292976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8.0100000000000005E-2</v>
      </c>
      <c r="X17" s="75">
        <f t="shared" si="19"/>
        <v>23.3278</v>
      </c>
      <c r="Y17" s="75">
        <f t="shared" si="20"/>
        <v>23.247699999999998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3"/>
        <v>4019/4020</v>
      </c>
      <c r="L18" s="61" t="str">
        <f>VLOOKUP(A18,'Trips&amp;Operators'!$C$1:$E$9999,3,FALSE)</f>
        <v>BRABO</v>
      </c>
      <c r="M18" s="12">
        <f t="shared" si="14"/>
        <v>3.5636574080854189E-2</v>
      </c>
      <c r="N18" s="13">
        <f t="shared" si="2"/>
        <v>51.316666676430032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23.296099999999999</v>
      </c>
      <c r="X18" s="75">
        <f t="shared" si="19"/>
        <v>1.1900000000000001E-2</v>
      </c>
      <c r="Y18" s="75">
        <f t="shared" si="20"/>
        <v>23.284199999999998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STURGEON</v>
      </c>
      <c r="M19" s="12">
        <f t="shared" si="14"/>
        <v>2.4930555555329192E-2</v>
      </c>
      <c r="N19" s="13"/>
      <c r="O19" s="13"/>
      <c r="P19" s="13">
        <f t="shared" si="2"/>
        <v>35.899999999674037</v>
      </c>
      <c r="Q19" s="62" t="s">
        <v>444</v>
      </c>
      <c r="R19" s="62" t="s">
        <v>441</v>
      </c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5" t="str">
        <f t="shared" si="16"/>
        <v>Y</v>
      </c>
      <c r="V19" s="75">
        <f t="shared" si="17"/>
        <v>1</v>
      </c>
      <c r="W19" s="75">
        <f t="shared" si="18"/>
        <v>4.2900000000000001E-2</v>
      </c>
      <c r="X19" s="75">
        <f t="shared" si="19"/>
        <v>15.726599999999999</v>
      </c>
      <c r="Y19" s="75">
        <f t="shared" si="20"/>
        <v>15.6837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3"/>
        <v>4013/4014</v>
      </c>
      <c r="L20" s="61" t="str">
        <f>VLOOKUP(A20,'Trips&amp;Operators'!$C$1:$E$9999,3,FALSE)</f>
        <v>STURGEON</v>
      </c>
      <c r="M20" s="12">
        <f t="shared" si="14"/>
        <v>3.2002314816054422E-2</v>
      </c>
      <c r="N20" s="13">
        <f t="shared" si="2"/>
        <v>46.083333335118368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23.297000000000001</v>
      </c>
      <c r="X20" s="75">
        <f t="shared" si="19"/>
        <v>1.32E-2</v>
      </c>
      <c r="Y20" s="75">
        <f t="shared" si="20"/>
        <v>23.283799999999999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3"/>
        <v>4039/4040</v>
      </c>
      <c r="L21" s="61" t="str">
        <f>VLOOKUP(A21,'Trips&amp;Operators'!$C$1:$E$9999,3,FALSE)</f>
        <v>LEDERHAUSE</v>
      </c>
      <c r="M21" s="12">
        <f t="shared" si="14"/>
        <v>2.8055555550963618E-2</v>
      </c>
      <c r="N21" s="13">
        <f t="shared" si="2"/>
        <v>40.39999999338761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0.14810000000000001</v>
      </c>
      <c r="X21" s="75">
        <f t="shared" si="19"/>
        <v>23.327000000000002</v>
      </c>
      <c r="Y21" s="75">
        <f t="shared" si="20"/>
        <v>23.178900000000002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42498.289212962962</v>
      </c>
      <c r="G22" s="38">
        <v>7</v>
      </c>
      <c r="H22" s="30" t="s">
        <v>225</v>
      </c>
      <c r="I22" s="30">
        <v>42498.313784722224</v>
      </c>
      <c r="J22" s="61">
        <v>0</v>
      </c>
      <c r="K22" s="61" t="str">
        <f t="shared" si="13"/>
        <v>4039/4040</v>
      </c>
      <c r="L22" s="61" t="str">
        <f>VLOOKUP(A22,'Trips&amp;Operators'!$C$1:$E$9999,3,FALSE)</f>
        <v>LEDERHAUSE</v>
      </c>
      <c r="M22" s="12">
        <f t="shared" si="14"/>
        <v>2.457175926247146E-2</v>
      </c>
      <c r="N22" s="13">
        <f t="shared" si="2"/>
        <v>35.383333337958902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07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23.2971</v>
      </c>
      <c r="X22" s="75">
        <v>0.19209999999999999</v>
      </c>
      <c r="Y22" s="75">
        <f t="shared" si="20"/>
        <v>23.105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4.4400000000000002E-2</v>
      </c>
      <c r="X23" s="75">
        <f t="shared" si="19"/>
        <v>23.329799999999999</v>
      </c>
      <c r="Y23" s="75">
        <f t="shared" si="20"/>
        <v>23.285399999999999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 t="s">
        <v>444</v>
      </c>
      <c r="R24" s="62" t="s">
        <v>438</v>
      </c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5" t="str">
        <f t="shared" si="16"/>
        <v>Y</v>
      </c>
      <c r="V24" s="75">
        <f t="shared" si="17"/>
        <v>1</v>
      </c>
      <c r="W24" s="75">
        <f t="shared" si="18"/>
        <v>23.298500000000001</v>
      </c>
      <c r="X24" s="75">
        <f t="shared" si="19"/>
        <v>6.6277999999999997</v>
      </c>
      <c r="Y24" s="75">
        <f t="shared" si="20"/>
        <v>16.6707</v>
      </c>
      <c r="Z24" s="76">
        <f>VLOOKUP(A24,Enforcements!$C$3:$J$26,8,0)</f>
        <v>69363</v>
      </c>
      <c r="AA24" s="76" t="str">
        <f>VLOOKUP(A24,Enforcements!$C$3:$J$26,3,0)</f>
        <v>SIGNAL</v>
      </c>
    </row>
    <row r="25" spans="1:27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16"/>
        <v>Y</v>
      </c>
      <c r="V25" s="75">
        <f t="shared" si="17"/>
        <v>0</v>
      </c>
      <c r="W25" s="75">
        <f t="shared" si="18"/>
        <v>3.6778</v>
      </c>
      <c r="X25" s="75">
        <f t="shared" si="19"/>
        <v>1.5800000000000002E-2</v>
      </c>
      <c r="Y25" s="75">
        <f t="shared" si="20"/>
        <v>3.6619999999999999</v>
      </c>
      <c r="Z25" s="76">
        <f>VLOOKUP(A25,Enforcements!$C$3:$J$26,8,0)</f>
        <v>69363</v>
      </c>
      <c r="AA25" s="76" t="str">
        <f>VLOOKUP(A25,Enforcements!$C$3:$J$26,3,0)</f>
        <v>SIGNAL</v>
      </c>
    </row>
    <row r="26" spans="1:27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4.4600000000000001E-2</v>
      </c>
      <c r="X26" s="75">
        <f t="shared" si="19"/>
        <v>23.328900000000001</v>
      </c>
      <c r="Y26" s="75">
        <f t="shared" si="20"/>
        <v>23.284300000000002</v>
      </c>
      <c r="Z26" s="76">
        <f>VLOOKUP(A26,Enforcements!$C$3:$J$26,8,0)</f>
        <v>233491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23.297699999999999</v>
      </c>
      <c r="X27" s="75">
        <f t="shared" si="19"/>
        <v>1.4999999999999999E-2</v>
      </c>
      <c r="Y27" s="75">
        <f t="shared" si="20"/>
        <v>23.282699999999998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4.5100000000000001E-2</v>
      </c>
      <c r="X28" s="75">
        <f t="shared" si="19"/>
        <v>23.333200000000001</v>
      </c>
      <c r="Y28" s="75">
        <f t="shared" si="20"/>
        <v>23.2881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23.3002</v>
      </c>
      <c r="X29" s="75">
        <f t="shared" si="19"/>
        <v>1.4500000000000001E-2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4.4600000000000001E-2</v>
      </c>
      <c r="X30" s="75">
        <f t="shared" si="19"/>
        <v>23.332599999999999</v>
      </c>
      <c r="Y30" s="75">
        <f t="shared" si="20"/>
        <v>23.288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23.298400000000001</v>
      </c>
      <c r="X31" s="75">
        <f t="shared" si="19"/>
        <v>1.4500000000000001E-2</v>
      </c>
      <c r="Y31" s="75">
        <f t="shared" si="20"/>
        <v>23.283899999999999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 t="s">
        <v>444</v>
      </c>
      <c r="R32" s="62" t="s">
        <v>443</v>
      </c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5" t="str">
        <f t="shared" si="9"/>
        <v>Y</v>
      </c>
      <c r="V32" s="75">
        <f t="shared" si="17"/>
        <v>1</v>
      </c>
      <c r="W32" s="75">
        <f t="shared" si="10"/>
        <v>1.9179999999999999</v>
      </c>
      <c r="X32" s="75">
        <f t="shared" si="11"/>
        <v>23.331399999999999</v>
      </c>
      <c r="Y32" s="75">
        <f t="shared" si="12"/>
        <v>21.413399999999999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Y</v>
      </c>
      <c r="V33" s="75">
        <f t="shared" si="17"/>
        <v>0</v>
      </c>
      <c r="W33" s="75">
        <f t="shared" si="10"/>
        <v>4.6399999999999997E-2</v>
      </c>
      <c r="X33" s="75">
        <f t="shared" si="11"/>
        <v>8.8999999999999996E-2</v>
      </c>
      <c r="Y33" s="75">
        <f t="shared" si="12"/>
        <v>4.2599999999999999E-2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23.301300000000001</v>
      </c>
      <c r="X34" s="75">
        <f t="shared" si="11"/>
        <v>1.32E-2</v>
      </c>
      <c r="Y34" s="75">
        <f t="shared" si="12"/>
        <v>23.2881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4.58E-2</v>
      </c>
      <c r="X35" s="75">
        <f t="shared" si="11"/>
        <v>23.330300000000001</v>
      </c>
      <c r="Y35" s="75">
        <f t="shared" si="12"/>
        <v>23.284500000000001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23.2988</v>
      </c>
      <c r="X36" s="75">
        <f t="shared" si="11"/>
        <v>1.3899999999999999E-2</v>
      </c>
      <c r="Y36" s="75">
        <f t="shared" si="12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4.5999999999999999E-2</v>
      </c>
      <c r="X37" s="75">
        <f t="shared" si="11"/>
        <v>23.332100000000001</v>
      </c>
      <c r="Y37" s="75">
        <f t="shared" si="12"/>
        <v>23.286100000000001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 t="s">
        <v>444</v>
      </c>
      <c r="R38" s="62" t="s">
        <v>442</v>
      </c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5" t="str">
        <f t="shared" si="9"/>
        <v>Y</v>
      </c>
      <c r="V38" s="75">
        <f t="shared" si="17"/>
        <v>1</v>
      </c>
      <c r="W38" s="75">
        <f t="shared" si="10"/>
        <v>23.3002</v>
      </c>
      <c r="X38" s="75">
        <f t="shared" si="11"/>
        <v>23.3002</v>
      </c>
      <c r="Y38" s="75">
        <f t="shared" si="12"/>
        <v>0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4.4900000000000002E-2</v>
      </c>
      <c r="X39" s="75">
        <f t="shared" si="11"/>
        <v>23.331399999999999</v>
      </c>
      <c r="Y39" s="75">
        <f t="shared" si="12"/>
        <v>23.2865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23.297699999999999</v>
      </c>
      <c r="X40" s="75">
        <f t="shared" si="11"/>
        <v>1.5800000000000002E-2</v>
      </c>
      <c r="Y40" s="75">
        <f t="shared" si="12"/>
        <v>23.2819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4.6399999999999997E-2</v>
      </c>
      <c r="X41" s="75">
        <f t="shared" si="11"/>
        <v>23.3308</v>
      </c>
      <c r="Y41" s="75">
        <f t="shared" si="12"/>
        <v>23.284400000000002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23.298300000000001</v>
      </c>
      <c r="X42" s="75">
        <f t="shared" si="11"/>
        <v>1.47E-2</v>
      </c>
      <c r="Y42" s="75">
        <f t="shared" si="12"/>
        <v>23.2836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4.53E-2</v>
      </c>
      <c r="X43" s="75">
        <f t="shared" si="11"/>
        <v>23.327999999999999</v>
      </c>
      <c r="Y43" s="75">
        <f t="shared" si="12"/>
        <v>23.282699999999998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23.297799999999999</v>
      </c>
      <c r="X44" s="75">
        <f t="shared" si="11"/>
        <v>1.4999999999999999E-2</v>
      </c>
      <c r="Y44" s="75">
        <f t="shared" si="12"/>
        <v>23.282799999999998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4.5699999999999998E-2</v>
      </c>
      <c r="X45" s="75">
        <f t="shared" si="11"/>
        <v>23.331</v>
      </c>
      <c r="Y45" s="75">
        <f t="shared" si="12"/>
        <v>23.285299999999999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23.2989</v>
      </c>
      <c r="X46" s="75">
        <f t="shared" si="11"/>
        <v>1.49E-2</v>
      </c>
      <c r="Y46" s="75">
        <f t="shared" si="12"/>
        <v>23.283999999999999</v>
      </c>
      <c r="Z46" s="76">
        <f>VLOOKUP(A46,Enforcements!$C$3:$J$26,8,0)</f>
        <v>1</v>
      </c>
      <c r="AA46" s="76" t="str">
        <f>VLOOKUP(A46,Enforcements!$C$3:$J$26,3,0)</f>
        <v>TRACK WARRANT AUTHORITY</v>
      </c>
    </row>
    <row r="47" spans="1:27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4.5100000000000001E-2</v>
      </c>
      <c r="X47" s="75">
        <f t="shared" si="11"/>
        <v>23.329899999999999</v>
      </c>
      <c r="Y47" s="75">
        <f t="shared" si="12"/>
        <v>23.284799999999997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1.41E-2</v>
      </c>
      <c r="Y48" s="75">
        <f t="shared" si="12"/>
        <v>23.283000000000001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1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2">I49-F49</f>
        <v>3.0636574068921618E-2</v>
      </c>
      <c r="N49" s="13">
        <f t="shared" si="2"/>
        <v>44.11666665924713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4.3700000000000003E-2</v>
      </c>
      <c r="X49" s="75">
        <f t="shared" si="11"/>
        <v>23.3306</v>
      </c>
      <c r="Y49" s="75">
        <f t="shared" si="12"/>
        <v>23.286899999999999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1"/>
        <v>4013/4014</v>
      </c>
      <c r="L50" s="61" t="str">
        <f>VLOOKUP(A50,'Trips&amp;Operators'!$C$1:$E$9999,3,FALSE)</f>
        <v>STURGEON</v>
      </c>
      <c r="M50" s="12">
        <f t="shared" si="22"/>
        <v>3.1053240745677613E-2</v>
      </c>
      <c r="N50" s="13">
        <f t="shared" si="2"/>
        <v>44.716666673775762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23.297899999999998</v>
      </c>
      <c r="X50" s="75">
        <f t="shared" si="11"/>
        <v>1.4500000000000001E-2</v>
      </c>
      <c r="Y50" s="75">
        <f t="shared" si="12"/>
        <v>23.283399999999997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1"/>
        <v>4023/4024</v>
      </c>
      <c r="L51" s="61" t="str">
        <f>VLOOKUP(A51,'Trips&amp;Operators'!$C$1:$E$9999,3,FALSE)</f>
        <v>LEDERHAUSE</v>
      </c>
      <c r="M51" s="12">
        <f t="shared" si="22"/>
        <v>1.0208333333139308E-2</v>
      </c>
      <c r="N51" s="13"/>
      <c r="O51" s="13"/>
      <c r="P51" s="13">
        <v>15</v>
      </c>
      <c r="Q51" s="62" t="s">
        <v>444</v>
      </c>
      <c r="R51" s="62" t="s">
        <v>442</v>
      </c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5" t="str">
        <f t="shared" si="9"/>
        <v>Y</v>
      </c>
      <c r="V51" s="75">
        <f t="shared" si="17"/>
        <v>1</v>
      </c>
      <c r="W51" s="75">
        <f t="shared" si="10"/>
        <v>4.5999999999999999E-2</v>
      </c>
      <c r="X51" s="75">
        <f t="shared" si="11"/>
        <v>5.8987999999999996</v>
      </c>
      <c r="Y51" s="75">
        <f t="shared" si="12"/>
        <v>5.8527999999999993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LEDERHAUSE</v>
      </c>
      <c r="M52" s="12">
        <f t="shared" si="22"/>
        <v>3.0729166668606922E-2</v>
      </c>
      <c r="N52" s="13">
        <f t="shared" si="2"/>
        <v>44.250000002793968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23.297499999999999</v>
      </c>
      <c r="X52" s="75">
        <f t="shared" si="11"/>
        <v>9.6199999999999994E-2</v>
      </c>
      <c r="Y52" s="75">
        <f t="shared" si="12"/>
        <v>23.2013</v>
      </c>
      <c r="Z52" s="76">
        <f>VLOOKUP(A52,Enforcements!$C$3:$J$26,8,0)</f>
        <v>839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1"/>
        <v>4029/4030</v>
      </c>
      <c r="L53" s="61" t="str">
        <f>VLOOKUP(A53,'Trips&amp;Operators'!$C$1:$E$9999,3,FALSE)</f>
        <v>SANTIZO</v>
      </c>
      <c r="M53" s="12">
        <f t="shared" si="22"/>
        <v>2.6678240741603076E-2</v>
      </c>
      <c r="N53" s="13">
        <f t="shared" si="2"/>
        <v>38.41666666790843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4.5699999999999998E-2</v>
      </c>
      <c r="X53" s="75">
        <f t="shared" si="11"/>
        <v>23.3306</v>
      </c>
      <c r="Y53" s="75">
        <f t="shared" si="12"/>
        <v>23.2849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1"/>
        <v>4029/4030</v>
      </c>
      <c r="L54" s="61" t="str">
        <f>VLOOKUP(A54,'Trips&amp;Operators'!$C$1:$E$9999,3,FALSE)</f>
        <v>SANTIZO</v>
      </c>
      <c r="M54" s="12">
        <f t="shared" si="22"/>
        <v>2.9363425928750075E-2</v>
      </c>
      <c r="N54" s="13">
        <f t="shared" si="2"/>
        <v>42.283333337400109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23.299800000000001</v>
      </c>
      <c r="X54" s="75">
        <f t="shared" si="11"/>
        <v>1.5599999999999999E-2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1"/>
        <v>4025/4026</v>
      </c>
      <c r="L55" s="61" t="str">
        <f>VLOOKUP(A55,'Trips&amp;Operators'!$C$1:$E$9999,3,FALSE)</f>
        <v>MALAVE</v>
      </c>
      <c r="M55" s="12">
        <f t="shared" si="22"/>
        <v>2.4305555554747116E-2</v>
      </c>
      <c r="N55" s="13">
        <f t="shared" si="2"/>
        <v>34.999999998835847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4.6199999999999998E-2</v>
      </c>
      <c r="X55" s="75">
        <f t="shared" si="11"/>
        <v>23.328600000000002</v>
      </c>
      <c r="Y55" s="75">
        <f t="shared" si="12"/>
        <v>23.282400000000003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1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23.296099999999999</v>
      </c>
      <c r="X56" s="75">
        <f t="shared" si="11"/>
        <v>1.47E-2</v>
      </c>
      <c r="Y56" s="75">
        <f t="shared" si="12"/>
        <v>23.281399999999998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1"/>
        <v>4015/4016</v>
      </c>
      <c r="L57" s="61" t="str">
        <f>VLOOKUP(A57,'Trips&amp;Operators'!$C$1:$E$9999,3,FALSE)</f>
        <v>ACKERMAN</v>
      </c>
      <c r="M57" s="12">
        <f t="shared" si="22"/>
        <v>2.8877314813144039E-2</v>
      </c>
      <c r="N57" s="13">
        <f t="shared" si="2"/>
        <v>41.583333330927417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4.3700000000000003E-2</v>
      </c>
      <c r="X57" s="75">
        <f t="shared" si="11"/>
        <v>23.329699999999999</v>
      </c>
      <c r="Y57" s="75">
        <f t="shared" si="12"/>
        <v>23.285999999999998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1"/>
        <v>4015/4016</v>
      </c>
      <c r="L58" s="61" t="str">
        <f>VLOOKUP(A58,'Trips&amp;Operators'!$C$1:$E$9999,3,FALSE)</f>
        <v>ACKERMAN</v>
      </c>
      <c r="M58" s="12">
        <f t="shared" si="22"/>
        <v>3.0393518514756579E-2</v>
      </c>
      <c r="N58" s="13">
        <f t="shared" si="2"/>
        <v>43.766666661249474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23.297599999999999</v>
      </c>
      <c r="X58" s="75">
        <f t="shared" si="11"/>
        <v>1.49E-2</v>
      </c>
      <c r="Y58" s="75">
        <f t="shared" si="12"/>
        <v>23.282699999999998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1"/>
        <v>4017/4018</v>
      </c>
      <c r="L59" s="61" t="str">
        <f>VLOOKUP(A59,'Trips&amp;Operators'!$C$1:$E$9999,3,FALSE)</f>
        <v>GEBRETEKLE</v>
      </c>
      <c r="M59" s="12">
        <f t="shared" si="22"/>
        <v>2.8449074074160308E-2</v>
      </c>
      <c r="N59" s="13">
        <f t="shared" si="2"/>
        <v>40.966666666790843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4.4600000000000001E-2</v>
      </c>
      <c r="X59" s="75">
        <f t="shared" si="11"/>
        <v>23.330300000000001</v>
      </c>
      <c r="Y59" s="75">
        <f t="shared" si="12"/>
        <v>23.285700000000002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1"/>
        <v>4017/4018</v>
      </c>
      <c r="L60" s="61" t="str">
        <f>VLOOKUP(A60,'Trips&amp;Operators'!$C$1:$E$9999,3,FALSE)</f>
        <v>GEBRETEKLE</v>
      </c>
      <c r="M60" s="12">
        <f t="shared" si="22"/>
        <v>3.2928240740147885E-2</v>
      </c>
      <c r="N60" s="13">
        <f t="shared" si="2"/>
        <v>47.416666665812954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1.6299999999999999E-2</v>
      </c>
      <c r="Y60" s="75">
        <f t="shared" si="12"/>
        <v>23.281399999999998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1"/>
        <v>4019/4020</v>
      </c>
      <c r="L61" s="61" t="str">
        <f>VLOOKUP(A61,'Trips&amp;Operators'!$C$1:$E$9999,3,FALSE)</f>
        <v>BRANNON</v>
      </c>
      <c r="M61" s="12">
        <f t="shared" si="22"/>
        <v>2.6157407410209998E-2</v>
      </c>
      <c r="N61" s="13">
        <f t="shared" si="2"/>
        <v>37.666666670702398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4.58E-2</v>
      </c>
      <c r="X61" s="75">
        <f t="shared" si="11"/>
        <v>23.3306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1"/>
        <v>4019/4020</v>
      </c>
      <c r="L62" s="61" t="str">
        <f>VLOOKUP(A62,'Trips&amp;Operators'!$C$1:$E$9999,3,FALSE)</f>
        <v>BRANNON</v>
      </c>
      <c r="M62" s="12">
        <f t="shared" si="22"/>
        <v>2.7812500004074536E-2</v>
      </c>
      <c r="N62" s="13">
        <f t="shared" si="2"/>
        <v>40.050000005867332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23.299299999999999</v>
      </c>
      <c r="X62" s="75">
        <f t="shared" si="11"/>
        <v>1.34E-2</v>
      </c>
      <c r="Y62" s="75">
        <f t="shared" si="12"/>
        <v>23.285899999999998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1"/>
        <v>4013/4014</v>
      </c>
      <c r="L63" s="61" t="str">
        <f>VLOOKUP(A63,'Trips&amp;Operators'!$C$1:$E$9999,3,FALSE)</f>
        <v>BRABO</v>
      </c>
      <c r="M63" s="12">
        <f t="shared" si="22"/>
        <v>3.3518518517666962E-2</v>
      </c>
      <c r="N63" s="13">
        <f t="shared" si="2"/>
        <v>48.266666665440425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4.6699999999999998E-2</v>
      </c>
      <c r="X63" s="75">
        <f t="shared" si="11"/>
        <v>23.3278</v>
      </c>
      <c r="Y63" s="75">
        <f t="shared" si="12"/>
        <v>23.281099999999999</v>
      </c>
      <c r="Z63" s="76">
        <f>VLOOKUP(A63,Enforcements!$C$3:$J$26,8,0)</f>
        <v>183829</v>
      </c>
      <c r="AA63" s="76" t="str">
        <f>VLOOKUP(A63,Enforcements!$C$3:$J$26,3,0)</f>
        <v>PERMANENT SPEED RESTRICTION</v>
      </c>
    </row>
    <row r="64" spans="1:27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1"/>
        <v>4013/4014</v>
      </c>
      <c r="L64" s="61" t="str">
        <f>VLOOKUP(A64,'Trips&amp;Operators'!$C$1:$E$9999,3,FALSE)</f>
        <v>BRABO</v>
      </c>
      <c r="M64" s="12">
        <f t="shared" si="22"/>
        <v>3.5034722219279502E-2</v>
      </c>
      <c r="N64" s="13">
        <f t="shared" si="2"/>
        <v>50.449999995762482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23.294799999999999</v>
      </c>
      <c r="X64" s="75">
        <f t="shared" si="11"/>
        <v>1.5800000000000002E-2</v>
      </c>
      <c r="Y64" s="75">
        <f t="shared" si="12"/>
        <v>23.279</v>
      </c>
      <c r="Z64" s="76">
        <f>VLOOKUP(A64,Enforcements!$C$3:$J$26,8,0)</f>
        <v>30562</v>
      </c>
      <c r="AA64" s="76" t="str">
        <f>VLOOKUP(A64,Enforcements!$C$3:$J$26,3,0)</f>
        <v>PERMANENT SPEED RESTRICTION</v>
      </c>
    </row>
    <row r="65" spans="1:27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1"/>
        <v>4039/4040</v>
      </c>
      <c r="L65" s="61" t="str">
        <f>VLOOKUP(A65,'Trips&amp;Operators'!$C$1:$E$9999,3,FALSE)</f>
        <v>RIVERA</v>
      </c>
      <c r="M65" s="12">
        <f t="shared" si="22"/>
        <v>3.0405092591536231E-2</v>
      </c>
      <c r="N65" s="13">
        <f t="shared" si="2"/>
        <v>43.783333331812173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4.53E-2</v>
      </c>
      <c r="X65" s="75">
        <f t="shared" si="11"/>
        <v>23.330400000000001</v>
      </c>
      <c r="Y65" s="75">
        <f t="shared" si="12"/>
        <v>23.2851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1"/>
        <v>4039/4040</v>
      </c>
      <c r="L66" s="61" t="str">
        <f>VLOOKUP(A66,'Trips&amp;Operators'!$C$1:$E$9999,3,FALSE)</f>
        <v>RIVERA</v>
      </c>
      <c r="M66" s="12">
        <f t="shared" si="22"/>
        <v>2.8703703705104999E-2</v>
      </c>
      <c r="N66" s="13">
        <f t="shared" si="2"/>
        <v>41.333333335351199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23.298300000000001</v>
      </c>
      <c r="X66" s="75">
        <f t="shared" si="11"/>
        <v>1.3599999999999999E-2</v>
      </c>
      <c r="Y66" s="75">
        <f t="shared" si="12"/>
        <v>23.284700000000001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1"/>
        <v>4029/4030</v>
      </c>
      <c r="L67" s="61" t="str">
        <f>VLOOKUP(A67,'Trips&amp;Operators'!$C$1:$E$9999,3,FALSE)</f>
        <v>BONDS</v>
      </c>
      <c r="M67" s="12">
        <f t="shared" si="22"/>
        <v>2.7708333334885538E-2</v>
      </c>
      <c r="N67" s="13">
        <f t="shared" si="2"/>
        <v>39.900000002235174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4.6199999999999998E-2</v>
      </c>
      <c r="X67" s="75">
        <f t="shared" si="11"/>
        <v>23.329899999999999</v>
      </c>
      <c r="Y67" s="75">
        <f t="shared" si="12"/>
        <v>23.2837</v>
      </c>
      <c r="Z67" s="76">
        <f>VLOOKUP(A67,Enforcements!$C$3:$J$26,8,0)</f>
        <v>233491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1"/>
        <v>4029/4030</v>
      </c>
      <c r="L68" s="61" t="str">
        <f>VLOOKUP(A68,'Trips&amp;Operators'!$C$1:$E$9999,3,FALSE)</f>
        <v>BONDS</v>
      </c>
      <c r="M68" s="12">
        <f t="shared" si="22"/>
        <v>3.6423611112695653E-2</v>
      </c>
      <c r="N68" s="13">
        <f t="shared" si="2"/>
        <v>52.45000000228174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3">VALUE(LEFT(A68,3))-VALUE(LEFT(A67,3))</f>
        <v>1</v>
      </c>
      <c r="W68" s="75">
        <f t="shared" si="10"/>
        <v>23.295500000000001</v>
      </c>
      <c r="X68" s="75">
        <f t="shared" si="11"/>
        <v>1.3899999999999999E-2</v>
      </c>
      <c r="Y68" s="75">
        <f t="shared" si="12"/>
        <v>23.281600000000001</v>
      </c>
      <c r="Z68" s="76">
        <f>VLOOKUP(A68,Enforcements!$C$3:$J$26,8,0)</f>
        <v>1</v>
      </c>
      <c r="AA68" s="76" t="str">
        <f>VLOOKUP(A68,Enforcements!$C$3:$J$26,3,0)</f>
        <v>TRACK WARRANT AUTHORITY</v>
      </c>
    </row>
    <row r="69" spans="1:27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1"/>
        <v>4025/4026</v>
      </c>
      <c r="L69" s="61" t="str">
        <f>VLOOKUP(A69,'Trips&amp;Operators'!$C$1:$E$9999,3,FALSE)</f>
        <v>GOODNIGHT</v>
      </c>
      <c r="M69" s="12">
        <f t="shared" si="22"/>
        <v>2.9479166667442769E-2</v>
      </c>
      <c r="N69" s="13">
        <f t="shared" si="2"/>
        <v>42.450000001117587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4.4699999999999997E-2</v>
      </c>
      <c r="X69" s="75">
        <f t="shared" si="11"/>
        <v>23.331199999999999</v>
      </c>
      <c r="Y69" s="75">
        <f t="shared" si="12"/>
        <v>23.2865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GOODNIGHT</v>
      </c>
      <c r="M70" s="12">
        <f t="shared" si="22"/>
        <v>2.7164351857209112E-2</v>
      </c>
      <c r="N70" s="13">
        <f t="shared" si="2"/>
        <v>39.116666674381122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23.299800000000001</v>
      </c>
      <c r="X70" s="75">
        <f t="shared" si="11"/>
        <v>1.47E-2</v>
      </c>
      <c r="Y70" s="75">
        <f t="shared" si="12"/>
        <v>23.2851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1"/>
        <v>4015/4016</v>
      </c>
      <c r="L71" s="61" t="str">
        <f>VLOOKUP(A71,'Trips&amp;Operators'!$C$1:$E$9999,3,FALSE)</f>
        <v>ACKERMAN</v>
      </c>
      <c r="M71" s="12">
        <f t="shared" si="22"/>
        <v>2.8472222227719612E-2</v>
      </c>
      <c r="N71" s="13">
        <f t="shared" si="2"/>
        <v>41.000000007916242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4.5499999999999999E-2</v>
      </c>
      <c r="X71" s="75">
        <f t="shared" si="11"/>
        <v>23.332000000000001</v>
      </c>
      <c r="Y71" s="75">
        <f t="shared" si="12"/>
        <v>23.2865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1"/>
        <v>4015/4016</v>
      </c>
      <c r="L72" s="61" t="str">
        <f>VLOOKUP(A72,'Trips&amp;Operators'!$C$1:$E$9999,3,FALSE)</f>
        <v>ACKERMAN</v>
      </c>
      <c r="M72" s="12">
        <f t="shared" si="22"/>
        <v>3.0451388891378883E-2</v>
      </c>
      <c r="N72" s="13">
        <f t="shared" si="2"/>
        <v>43.850000003585592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23.298999999999999</v>
      </c>
      <c r="X72" s="75">
        <f t="shared" si="11"/>
        <v>1.43E-2</v>
      </c>
      <c r="Y72" s="75">
        <f t="shared" si="12"/>
        <v>23.284700000000001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1"/>
        <v>4017/4018</v>
      </c>
      <c r="L73" s="61" t="str">
        <f>VLOOKUP(A73,'Trips&amp;Operators'!$C$1:$E$9999,3,FALSE)</f>
        <v>STEWART</v>
      </c>
      <c r="M73" s="12">
        <f t="shared" si="22"/>
        <v>2.5532407409627922E-2</v>
      </c>
      <c r="N73" s="13">
        <f t="shared" si="2"/>
        <v>36.766666669864208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4.5699999999999998E-2</v>
      </c>
      <c r="X73" s="75">
        <f t="shared" si="11"/>
        <v>23.330400000000001</v>
      </c>
      <c r="Y73" s="75">
        <f t="shared" si="12"/>
        <v>23.284700000000001</v>
      </c>
      <c r="Z73" s="76">
        <f>VLOOKUP(A73,Enforcements!$C$3:$J$26,8,0)</f>
        <v>232107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STEWART</v>
      </c>
      <c r="M74" s="12">
        <f t="shared" si="22"/>
        <v>2.8391203704813961E-2</v>
      </c>
      <c r="N74" s="13">
        <f t="shared" si="2"/>
        <v>40.883333334932104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23.2989</v>
      </c>
      <c r="X74" s="75">
        <f t="shared" si="11"/>
        <v>1.47E-2</v>
      </c>
      <c r="Y74" s="75">
        <f t="shared" si="12"/>
        <v>23.284199999999998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1"/>
        <v>4019/4020</v>
      </c>
      <c r="L75" s="61" t="str">
        <f>VLOOKUP(A75,'Trips&amp;Operators'!$C$1:$E$9999,3,FALSE)</f>
        <v>BRANNON</v>
      </c>
      <c r="M75" s="12">
        <f t="shared" si="22"/>
        <v>2.6099537040863652E-2</v>
      </c>
      <c r="N75" s="13">
        <f t="shared" si="2"/>
        <v>37.583333338843659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4.4900000000000002E-2</v>
      </c>
      <c r="X75" s="75">
        <f t="shared" si="11"/>
        <v>23.328900000000001</v>
      </c>
      <c r="Y75" s="75">
        <f t="shared" si="12"/>
        <v>23.284000000000002</v>
      </c>
      <c r="Z75" s="76">
        <f>VLOOKUP(A75,Enforcements!$C$3:$J$26,8,0)</f>
        <v>224578</v>
      </c>
      <c r="AA75" s="76" t="str">
        <f>VLOOKUP(A75,Enforcements!$C$3:$J$26,3,0)</f>
        <v>PERMANENT SPEED RESTRICTION</v>
      </c>
    </row>
    <row r="76" spans="1:27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BRANNON</v>
      </c>
      <c r="M76" s="12">
        <f t="shared" si="22"/>
        <v>3.3333333332848269E-2</v>
      </c>
      <c r="N76" s="13">
        <f t="shared" si="2"/>
        <v>47.999999999301508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23.297799999999999</v>
      </c>
      <c r="X76" s="75">
        <f t="shared" si="11"/>
        <v>1.5599999999999999E-2</v>
      </c>
      <c r="Y76" s="75">
        <f t="shared" si="12"/>
        <v>23.2822</v>
      </c>
      <c r="Z76" s="76">
        <f>VLOOKUP(A76,Enforcements!$C$3:$J$26,8,0)</f>
        <v>1</v>
      </c>
      <c r="AA76" s="76" t="str">
        <f>VLOOKUP(A76,Enforcements!$C$3:$J$26,3,0)</f>
        <v>TRACK WARRANT AUTHORITY</v>
      </c>
    </row>
    <row r="77" spans="1:27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1"/>
        <v>4013/4014</v>
      </c>
      <c r="L77" s="61" t="str">
        <f>VLOOKUP(A77,'Trips&amp;Operators'!$C$1:$E$9999,3,FALSE)</f>
        <v>WEBSTER</v>
      </c>
      <c r="M77" s="12">
        <f t="shared" si="22"/>
        <v>2.584490740991896E-2</v>
      </c>
      <c r="N77" s="13">
        <f t="shared" si="2"/>
        <v>37.216666670283303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4.7800000000000002E-2</v>
      </c>
      <c r="X77" s="75">
        <f t="shared" si="11"/>
        <v>23.331199999999999</v>
      </c>
      <c r="Y77" s="75">
        <f t="shared" si="12"/>
        <v>23.2834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1"/>
        <v>4013/4014</v>
      </c>
      <c r="L78" s="61" t="str">
        <f>VLOOKUP(A78,'Trips&amp;Operators'!$C$1:$E$9999,3,FALSE)</f>
        <v>WEBSTER</v>
      </c>
      <c r="M78" s="12">
        <f t="shared" si="22"/>
        <v>2.8703703705104999E-2</v>
      </c>
      <c r="N78" s="13">
        <f t="shared" si="2"/>
        <v>41.333333335351199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23.299099999999999</v>
      </c>
      <c r="X78" s="75">
        <f t="shared" si="11"/>
        <v>1.4500000000000001E-2</v>
      </c>
      <c r="Y78" s="75">
        <f t="shared" si="12"/>
        <v>23.284599999999998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1"/>
        <v>4039/4040</v>
      </c>
      <c r="L79" s="61" t="str">
        <f>VLOOKUP(A79,'Trips&amp;Operators'!$C$1:$E$9999,3,FALSE)</f>
        <v>RIVERA</v>
      </c>
      <c r="M79" s="12">
        <f t="shared" si="22"/>
        <v>2.789351851970423E-2</v>
      </c>
      <c r="N79" s="13">
        <f t="shared" si="2"/>
        <v>40.166666668374091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4.4200000000000003E-2</v>
      </c>
      <c r="X79" s="75">
        <f t="shared" si="11"/>
        <v>23.330300000000001</v>
      </c>
      <c r="Y79" s="75">
        <f t="shared" si="12"/>
        <v>23.286100000000001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1"/>
        <v>4039/4040</v>
      </c>
      <c r="L80" s="61" t="str">
        <f>VLOOKUP(A80,'Trips&amp;Operators'!$C$1:$E$9999,3,FALSE)</f>
        <v>RIVERA</v>
      </c>
      <c r="M80" s="12">
        <f t="shared" si="22"/>
        <v>3.0324074075906537E-2</v>
      </c>
      <c r="N80" s="13">
        <f t="shared" si="2"/>
        <v>43.666666669305414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23.299199999999999</v>
      </c>
      <c r="X80" s="75">
        <f t="shared" si="11"/>
        <v>1.52E-2</v>
      </c>
      <c r="Y80" s="75">
        <f t="shared" si="12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4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5">I81-F81</f>
        <v>2.7916666673263535E-2</v>
      </c>
      <c r="N81" s="13">
        <f t="shared" ref="N81:N130" si="26">$M81*24*60</f>
        <v>40.20000000949949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4.5699999999999998E-2</v>
      </c>
      <c r="X81" s="75">
        <f t="shared" si="11"/>
        <v>23.336300000000001</v>
      </c>
      <c r="Y81" s="75">
        <f t="shared" si="12"/>
        <v>23.290600000000001</v>
      </c>
      <c r="Z81" s="76">
        <f>VLOOKUP(A81,Enforcements!$C$3:$J$26,8,0)</f>
        <v>233491</v>
      </c>
      <c r="AA81" s="76" t="str">
        <f>VLOOKUP(A81,Enforcements!$C$3:$J$26,3,0)</f>
        <v>TRACK WARRANT AUTHORITY</v>
      </c>
    </row>
    <row r="82" spans="1:27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4"/>
        <v>4029/4030</v>
      </c>
      <c r="L82" s="61" t="str">
        <f>VLOOKUP(A82,'Trips&amp;Operators'!$C$1:$E$9999,3,FALSE)</f>
        <v>BONDS</v>
      </c>
      <c r="M82" s="12">
        <f t="shared" si="25"/>
        <v>3.3854166664241347E-2</v>
      </c>
      <c r="N82" s="13">
        <f t="shared" si="26"/>
        <v>48.74999999650754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23.304300000000001</v>
      </c>
      <c r="X82" s="75">
        <f t="shared" ref="X82:X145" si="30">RIGHT(H82,LEN(H82)-4)/10000</f>
        <v>1.5800000000000002E-2</v>
      </c>
      <c r="Y82" s="75">
        <f t="shared" ref="Y82:Y145" si="31">ABS(X82-W82)</f>
        <v>23.288500000000003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4"/>
        <v>4025/4026</v>
      </c>
      <c r="L83" s="61" t="str">
        <f>VLOOKUP(A83,'Trips&amp;Operators'!$C$1:$E$9999,3,FALSE)</f>
        <v>GOODNIGHT</v>
      </c>
      <c r="M83" s="12">
        <f t="shared" si="25"/>
        <v>2.8113425927585922E-2</v>
      </c>
      <c r="N83" s="13">
        <f t="shared" si="26"/>
        <v>40.483333335723728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4.6399999999999997E-2</v>
      </c>
      <c r="X83" s="75">
        <f t="shared" si="30"/>
        <v>23.332999999999998</v>
      </c>
      <c r="Y83" s="75">
        <f t="shared" si="31"/>
        <v>23.2866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4"/>
        <v>4025/4026</v>
      </c>
      <c r="L84" s="61" t="str">
        <f>VLOOKUP(A84,'Trips&amp;Operators'!$C$1:$E$9999,3,FALSE)</f>
        <v>GOODNIGHT</v>
      </c>
      <c r="M84" s="12">
        <f t="shared" si="25"/>
        <v>2.8553240736073349E-2</v>
      </c>
      <c r="N84" s="13">
        <f t="shared" si="26"/>
        <v>41.116666659945622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23.301500000000001</v>
      </c>
      <c r="X84" s="75">
        <f t="shared" si="30"/>
        <v>1.4500000000000001E-2</v>
      </c>
      <c r="Y84" s="75">
        <f t="shared" si="31"/>
        <v>23.286999999999999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4"/>
        <v>4015/4016</v>
      </c>
      <c r="L85" s="61" t="str">
        <f>VLOOKUP(A85,'Trips&amp;Operators'!$C$1:$E$9999,3,FALSE)</f>
        <v>ACKERMAN</v>
      </c>
      <c r="M85" s="12">
        <f t="shared" si="25"/>
        <v>2.9722222221607808E-2</v>
      </c>
      <c r="N85" s="13">
        <f t="shared" si="26"/>
        <v>42.799999999115244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4.5699999999999998E-2</v>
      </c>
      <c r="X85" s="75">
        <f t="shared" si="30"/>
        <v>23.328700000000001</v>
      </c>
      <c r="Y85" s="75">
        <f t="shared" si="31"/>
        <v>23.283000000000001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4"/>
        <v>4015/4016</v>
      </c>
      <c r="L86" s="61" t="str">
        <f>VLOOKUP(A86,'Trips&amp;Operators'!$C$1:$E$9999,3,FALSE)</f>
        <v>ACKERMAN</v>
      </c>
      <c r="M86" s="12">
        <f t="shared" si="25"/>
        <v>3.0914351846149657E-2</v>
      </c>
      <c r="N86" s="13">
        <f t="shared" si="26"/>
        <v>44.516666658455506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23.297699999999999</v>
      </c>
      <c r="X86" s="75">
        <f t="shared" si="30"/>
        <v>1.41E-2</v>
      </c>
      <c r="Y86" s="75">
        <f t="shared" si="31"/>
        <v>23.2836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4"/>
        <v>4017/4018</v>
      </c>
      <c r="L87" s="61" t="str">
        <f>VLOOKUP(A87,'Trips&amp;Operators'!$C$1:$E$9999,3,FALSE)</f>
        <v>STEWART</v>
      </c>
      <c r="M87" s="12">
        <f t="shared" si="25"/>
        <v>2.7442129634437151E-2</v>
      </c>
      <c r="N87" s="13">
        <f t="shared" si="26"/>
        <v>39.516666673589498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4.5100000000000001E-2</v>
      </c>
      <c r="X87" s="75">
        <f t="shared" si="30"/>
        <v>23.3276</v>
      </c>
      <c r="Y87" s="75">
        <f t="shared" si="31"/>
        <v>23.282499999999999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STEWART</v>
      </c>
      <c r="M88" s="12">
        <f t="shared" si="25"/>
        <v>2.9259259252285119E-2</v>
      </c>
      <c r="N88" s="13">
        <f t="shared" si="26"/>
        <v>42.133333323290572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23.2944</v>
      </c>
      <c r="X88" s="75">
        <f t="shared" si="30"/>
        <v>1.6E-2</v>
      </c>
      <c r="Y88" s="75">
        <f t="shared" si="31"/>
        <v>23.278400000000001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4"/>
        <v>4019/4020</v>
      </c>
      <c r="L89" s="61" t="str">
        <f>VLOOKUP(A89,'Trips&amp;Operators'!$C$1:$E$9999,3,FALSE)</f>
        <v>BRANNON</v>
      </c>
      <c r="M89" s="12">
        <f t="shared" si="25"/>
        <v>2.9131944444088731E-2</v>
      </c>
      <c r="N89" s="13">
        <f t="shared" si="26"/>
        <v>41.949999999487773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4.5499999999999999E-2</v>
      </c>
      <c r="X89" s="75">
        <f t="shared" si="30"/>
        <v>23.33</v>
      </c>
      <c r="Y89" s="75">
        <f t="shared" si="31"/>
        <v>23.284499999999998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4"/>
        <v>4019/4020</v>
      </c>
      <c r="L90" s="61" t="str">
        <f>VLOOKUP(A90,'Trips&amp;Operators'!$C$1:$E$9999,3,FALSE)</f>
        <v>BRANNON</v>
      </c>
      <c r="M90" s="12">
        <f t="shared" si="25"/>
        <v>3.1261574076779652E-2</v>
      </c>
      <c r="N90" s="13">
        <f t="shared" si="26"/>
        <v>45.016666670562699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23.299299999999999</v>
      </c>
      <c r="X90" s="75">
        <f t="shared" si="30"/>
        <v>1.38E-2</v>
      </c>
      <c r="Y90" s="75">
        <f t="shared" si="31"/>
        <v>23.285499999999999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4"/>
        <v>4013/4014</v>
      </c>
      <c r="L91" s="61" t="str">
        <f>VLOOKUP(A91,'Trips&amp;Operators'!$C$1:$E$9999,3,FALSE)</f>
        <v>WEBSTER</v>
      </c>
      <c r="M91" s="12">
        <f t="shared" si="25"/>
        <v>2.9953703698993195E-2</v>
      </c>
      <c r="N91" s="13">
        <f t="shared" si="26"/>
        <v>43.133333326550201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4.4900000000000002E-2</v>
      </c>
      <c r="X91" s="75">
        <f t="shared" si="30"/>
        <v>23.329499999999999</v>
      </c>
      <c r="Y91" s="75">
        <f t="shared" si="31"/>
        <v>23.284600000000001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4"/>
        <v>4013/4014</v>
      </c>
      <c r="L92" s="61" t="str">
        <f>VLOOKUP(A92,'Trips&amp;Operators'!$C$1:$E$9999,3,FALSE)</f>
        <v>WEBSTER</v>
      </c>
      <c r="M92" s="12">
        <f t="shared" si="25"/>
        <v>2.8553240736073349E-2</v>
      </c>
      <c r="N92" s="13">
        <f t="shared" si="26"/>
        <v>41.116666659945622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23.297499999999999</v>
      </c>
      <c r="X92" s="75">
        <f t="shared" si="30"/>
        <v>1.6E-2</v>
      </c>
      <c r="Y92" s="75">
        <f t="shared" si="31"/>
        <v>23.281500000000001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4"/>
        <v>4039/4040</v>
      </c>
      <c r="L93" s="61" t="str">
        <f>VLOOKUP(A93,'Trips&amp;Operators'!$C$1:$E$9999,3,FALSE)</f>
        <v>RIVERA</v>
      </c>
      <c r="M93" s="12">
        <f t="shared" si="25"/>
        <v>3.015046296059154E-2</v>
      </c>
      <c r="N93" s="13">
        <f t="shared" si="26"/>
        <v>43.416666663251817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4.6600000000000003E-2</v>
      </c>
      <c r="X93" s="75">
        <f t="shared" si="30"/>
        <v>23.331199999999999</v>
      </c>
      <c r="Y93" s="75">
        <f t="shared" si="31"/>
        <v>23.284599999999998</v>
      </c>
      <c r="Z93" s="76">
        <f>VLOOKUP(A93,Enforcements!$C$3:$J$26,8,0)</f>
        <v>232107</v>
      </c>
      <c r="AA93" s="76" t="str">
        <f>VLOOKUP(A93,Enforcements!$C$3:$J$26,3,0)</f>
        <v>PERMANENT SPEED RESTRICTION</v>
      </c>
    </row>
    <row r="94" spans="1:27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4"/>
        <v>4039/4040</v>
      </c>
      <c r="L94" s="61" t="str">
        <f>VLOOKUP(A94,'Trips&amp;Operators'!$C$1:$E$9999,3,FALSE)</f>
        <v>RIVERA</v>
      </c>
      <c r="M94" s="12">
        <f t="shared" si="25"/>
        <v>3.054398148378823E-2</v>
      </c>
      <c r="N94" s="13">
        <f t="shared" si="26"/>
        <v>43.983333336655051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23.299299999999999</v>
      </c>
      <c r="X94" s="75">
        <f t="shared" si="30"/>
        <v>1.1900000000000001E-2</v>
      </c>
      <c r="Y94" s="75">
        <f t="shared" si="31"/>
        <v>23.287399999999998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4"/>
        <v>4029/4030</v>
      </c>
      <c r="L95" s="61" t="str">
        <f>VLOOKUP(A95,'Trips&amp;Operators'!$C$1:$E$9999,3,FALSE)</f>
        <v>BONDS</v>
      </c>
      <c r="M95" s="12">
        <f t="shared" si="25"/>
        <v>1.4363425922056194E-2</v>
      </c>
      <c r="N95" s="13"/>
      <c r="O95" s="13"/>
      <c r="P95" s="13">
        <v>49</v>
      </c>
      <c r="Q95" s="62" t="s">
        <v>444</v>
      </c>
      <c r="R95" s="62" t="s">
        <v>445</v>
      </c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8"/>
        <v>Y</v>
      </c>
      <c r="V95" s="75">
        <f t="shared" si="23"/>
        <v>1</v>
      </c>
      <c r="W95" s="75">
        <f t="shared" si="29"/>
        <v>4.58E-2</v>
      </c>
      <c r="X95" s="75">
        <f t="shared" si="30"/>
        <v>4.5479000000000003</v>
      </c>
      <c r="Y95" s="75">
        <f t="shared" si="31"/>
        <v>4.5021000000000004</v>
      </c>
      <c r="Z95" s="76">
        <f>VLOOKUP(A95,Enforcements!$C$3:$J$26,8,0)</f>
        <v>155600</v>
      </c>
      <c r="AA95" s="76" t="str">
        <f>VLOOKUP(A95,Enforcements!$C$3:$J$26,3,0)</f>
        <v>SIGNAL</v>
      </c>
    </row>
    <row r="96" spans="1:27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4"/>
        <v>4029/4030</v>
      </c>
      <c r="L96" s="61" t="str">
        <f>VLOOKUP(A96,'Trips&amp;Operators'!$C$1:$E$9999,3,FALSE)</f>
        <v>BONDS</v>
      </c>
      <c r="M96" s="12">
        <f t="shared" si="25"/>
        <v>1.972222221957054E-2</v>
      </c>
      <c r="N96" s="13"/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6" s="75" t="str">
        <f t="shared" si="28"/>
        <v>Y</v>
      </c>
      <c r="V96" s="75">
        <f t="shared" si="23"/>
        <v>0</v>
      </c>
      <c r="W96" s="75">
        <f t="shared" si="29"/>
        <v>6.4720000000000004</v>
      </c>
      <c r="X96" s="75">
        <f t="shared" si="30"/>
        <v>23.334299999999999</v>
      </c>
      <c r="Y96" s="75">
        <f t="shared" si="31"/>
        <v>16.862299999999998</v>
      </c>
      <c r="Z96" s="76">
        <f>VLOOKUP(A96,Enforcements!$C$3:$J$26,8,0)</f>
        <v>155600</v>
      </c>
      <c r="AA96" s="76" t="str">
        <f>VLOOKUP(A96,Enforcements!$C$3:$J$26,3,0)</f>
        <v>SIGNAL</v>
      </c>
    </row>
    <row r="97" spans="1:27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4"/>
        <v>4029/4030</v>
      </c>
      <c r="L97" s="61" t="str">
        <f>VLOOKUP(A97,'Trips&amp;Operators'!$C$1:$E$9999,3,FALSE)</f>
        <v>BONDS</v>
      </c>
      <c r="M97" s="12">
        <f t="shared" si="25"/>
        <v>2.8587962959136348E-2</v>
      </c>
      <c r="N97" s="13">
        <f t="shared" si="26"/>
        <v>41.166666661156341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23.3017</v>
      </c>
      <c r="X97" s="75">
        <f t="shared" si="30"/>
        <v>1.3599999999999999E-2</v>
      </c>
      <c r="Y97" s="75">
        <f t="shared" si="31"/>
        <v>23.2881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4"/>
        <v>4025/4026</v>
      </c>
      <c r="L98" s="61" t="str">
        <f>VLOOKUP(A98,'Trips&amp;Operators'!$C$1:$E$9999,3,FALSE)</f>
        <v>GOODNIGHT</v>
      </c>
      <c r="M98" s="12">
        <f t="shared" si="25"/>
        <v>2.6365740741312038E-2</v>
      </c>
      <c r="N98" s="13">
        <f t="shared" si="26"/>
        <v>37.966666667489335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4.5499999999999999E-2</v>
      </c>
      <c r="X98" s="75">
        <f t="shared" si="30"/>
        <v>23.319500000000001</v>
      </c>
      <c r="Y98" s="75">
        <f t="shared" si="31"/>
        <v>23.274000000000001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4"/>
        <v>4025/4026</v>
      </c>
      <c r="L99" s="61" t="str">
        <f>VLOOKUP(A99,'Trips&amp;Operators'!$C$1:$E$9999,3,FALSE)</f>
        <v>GOODNIGHT</v>
      </c>
      <c r="M99" s="12">
        <f t="shared" si="25"/>
        <v>2.7569444442633539E-2</v>
      </c>
      <c r="N99" s="13">
        <f t="shared" si="26"/>
        <v>39.699999997392297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23.2881</v>
      </c>
      <c r="X99" s="75">
        <f t="shared" si="30"/>
        <v>1.3599999999999999E-2</v>
      </c>
      <c r="Y99" s="75">
        <f t="shared" si="31"/>
        <v>23.2745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4"/>
        <v>4015/4016</v>
      </c>
      <c r="L100" s="61" t="str">
        <f>VLOOKUP(A100,'Trips&amp;Operators'!$C$1:$E$9999,3,FALSE)</f>
        <v>ACKERMAN</v>
      </c>
      <c r="M100" s="12">
        <f t="shared" si="25"/>
        <v>2.9641203705978114E-2</v>
      </c>
      <c r="N100" s="13">
        <f t="shared" si="26"/>
        <v>42.683333336608484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4.5999999999999999E-2</v>
      </c>
      <c r="X100" s="75">
        <f t="shared" si="30"/>
        <v>23.330100000000002</v>
      </c>
      <c r="Y100" s="75">
        <f t="shared" si="31"/>
        <v>23.284100000000002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4"/>
        <v>4015/4016</v>
      </c>
      <c r="L101" s="61" t="str">
        <f>VLOOKUP(A101,'Trips&amp;Operators'!$C$1:$E$9999,3,FALSE)</f>
        <v>ACKERMAN</v>
      </c>
      <c r="M101" s="12">
        <f t="shared" si="25"/>
        <v>2.9965277775772847E-2</v>
      </c>
      <c r="N101" s="13">
        <f t="shared" si="26"/>
        <v>43.1499999971129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23.2988</v>
      </c>
      <c r="X101" s="75">
        <f t="shared" si="30"/>
        <v>1.47E-2</v>
      </c>
      <c r="Y101" s="75">
        <f t="shared" si="31"/>
        <v>23.284099999999999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4"/>
        <v>4017/4018</v>
      </c>
      <c r="L102" s="61" t="str">
        <f>VLOOKUP(A102,'Trips&amp;Operators'!$C$1:$E$9999,3,FALSE)</f>
        <v>STEWART</v>
      </c>
      <c r="M102" s="12">
        <f t="shared" si="25"/>
        <v>2.9907407406426501E-2</v>
      </c>
      <c r="N102" s="13">
        <f t="shared" si="26"/>
        <v>43.066666665254161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4.58E-2</v>
      </c>
      <c r="X102" s="75">
        <f t="shared" si="30"/>
        <v>23.331700000000001</v>
      </c>
      <c r="Y102" s="75">
        <f t="shared" si="31"/>
        <v>23.285900000000002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4"/>
        <v>4017/4018</v>
      </c>
      <c r="L103" s="61" t="str">
        <f>VLOOKUP(A103,'Trips&amp;Operators'!$C$1:$E$9999,3,FALSE)</f>
        <v>STEWART</v>
      </c>
      <c r="M103" s="12">
        <f t="shared" si="25"/>
        <v>2.849537037400296E-2</v>
      </c>
      <c r="N103" s="13">
        <f t="shared" si="26"/>
        <v>41.033333338564262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23.300599999999999</v>
      </c>
      <c r="X103" s="75">
        <f t="shared" si="30"/>
        <v>1.4999999999999999E-2</v>
      </c>
      <c r="Y103" s="75">
        <f t="shared" si="31"/>
        <v>23.285599999999999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4"/>
        <v>4019/4020</v>
      </c>
      <c r="L104" s="61" t="str">
        <f>VLOOKUP(A104,'Trips&amp;Operators'!$C$1:$E$9999,3,FALSE)</f>
        <v>BUTLER</v>
      </c>
      <c r="M104" s="12">
        <f t="shared" si="25"/>
        <v>2.6724537041445728E-2</v>
      </c>
      <c r="N104" s="13">
        <f t="shared" si="26"/>
        <v>38.483333339681849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4.58E-2</v>
      </c>
      <c r="X104" s="75">
        <f t="shared" si="30"/>
        <v>23.3291</v>
      </c>
      <c r="Y104" s="75">
        <f t="shared" si="31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4"/>
        <v>4019/4020</v>
      </c>
      <c r="L105" s="61" t="str">
        <f>VLOOKUP(A105,'Trips&amp;Operators'!$C$1:$E$9999,3,FALSE)</f>
        <v>BUTLER</v>
      </c>
      <c r="M105" s="12">
        <f t="shared" si="25"/>
        <v>3.1238425923220348E-2</v>
      </c>
      <c r="N105" s="13">
        <f t="shared" si="26"/>
        <v>44.983333329437301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23.297999999999998</v>
      </c>
      <c r="X105" s="75">
        <f t="shared" si="30"/>
        <v>1.5800000000000002E-2</v>
      </c>
      <c r="Y105" s="75">
        <f t="shared" si="31"/>
        <v>23.2822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4"/>
        <v>4013/4014</v>
      </c>
      <c r="L106" s="61" t="str">
        <f>VLOOKUP(A106,'Trips&amp;Operators'!$C$1:$E$9999,3,FALSE)</f>
        <v>WEBSTER</v>
      </c>
      <c r="M106" s="12">
        <f t="shared" si="25"/>
        <v>6.7939814834971912E-3</v>
      </c>
      <c r="N106" s="13"/>
      <c r="O106" s="13"/>
      <c r="P106" s="13">
        <v>10</v>
      </c>
      <c r="Q106" s="62" t="s">
        <v>444</v>
      </c>
      <c r="R106" s="62" t="s">
        <v>442</v>
      </c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6" s="75" t="str">
        <f t="shared" si="28"/>
        <v>Y</v>
      </c>
      <c r="V106" s="75">
        <f t="shared" si="23"/>
        <v>1</v>
      </c>
      <c r="W106" s="75">
        <f t="shared" si="29"/>
        <v>4.6600000000000003E-2</v>
      </c>
      <c r="X106" s="75">
        <f t="shared" si="30"/>
        <v>2.2523</v>
      </c>
      <c r="Y106" s="75">
        <f t="shared" si="31"/>
        <v>2.2056999999999998</v>
      </c>
      <c r="Z106" s="76">
        <f>VLOOKUP(A106,Enforcements!$C$3:$J$26,8,0)</f>
        <v>21871</v>
      </c>
      <c r="AA106" s="76" t="str">
        <f>VLOOKUP(A106,Enforcements!$C$3:$J$26,3,0)</f>
        <v>PERMANENT SPEED RESTRICTION</v>
      </c>
    </row>
    <row r="107" spans="1:27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WEBSTER</v>
      </c>
      <c r="M107" s="12">
        <f t="shared" si="25"/>
        <v>3.054398148378823E-2</v>
      </c>
      <c r="N107" s="13">
        <f t="shared" si="26"/>
        <v>43.983333336655051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23.299099999999999</v>
      </c>
      <c r="X107" s="75">
        <f t="shared" si="30"/>
        <v>9.0899999999999995E-2</v>
      </c>
      <c r="Y107" s="75">
        <f t="shared" si="31"/>
        <v>23.208199999999998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4"/>
        <v>4039/4040</v>
      </c>
      <c r="L108" s="61" t="str">
        <f>VLOOKUP(A108,'Trips&amp;Operators'!$C$1:$E$9999,3,FALSE)</f>
        <v>RIVERA</v>
      </c>
      <c r="M108" s="12">
        <f t="shared" si="25"/>
        <v>2.7615740742476191E-2</v>
      </c>
      <c r="N108" s="13">
        <f t="shared" si="26"/>
        <v>39.766666669165716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4.3299999999999998E-2</v>
      </c>
      <c r="X108" s="75">
        <f t="shared" si="30"/>
        <v>23.334499999999998</v>
      </c>
      <c r="Y108" s="75">
        <f t="shared" si="31"/>
        <v>23.2912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4"/>
        <v>4039/4040</v>
      </c>
      <c r="L109" s="61" t="str">
        <f>VLOOKUP(A109,'Trips&amp;Operators'!$C$1:$E$9999,3,FALSE)</f>
        <v>RIVERA</v>
      </c>
      <c r="M109" s="12">
        <f t="shared" si="25"/>
        <v>3.1215277776937E-2</v>
      </c>
      <c r="N109" s="13">
        <f t="shared" si="26"/>
        <v>44.949999998789281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23.3019</v>
      </c>
      <c r="X109" s="75">
        <f t="shared" si="30"/>
        <v>1.61E-2</v>
      </c>
      <c r="Y109" s="75">
        <f t="shared" si="31"/>
        <v>23.285799999999998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4"/>
        <v>4029/4030</v>
      </c>
      <c r="L110" s="61" t="str">
        <f>VLOOKUP(A110,'Trips&amp;Operators'!$C$1:$E$9999,3,FALSE)</f>
        <v>BONDS</v>
      </c>
      <c r="M110" s="12">
        <f t="shared" si="25"/>
        <v>3.0972222222771961E-2</v>
      </c>
      <c r="N110" s="13">
        <f t="shared" si="26"/>
        <v>44.600000000791624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4.3999999999999997E-2</v>
      </c>
      <c r="X110" s="75">
        <f t="shared" si="30"/>
        <v>23.3079</v>
      </c>
      <c r="Y110" s="75">
        <f t="shared" si="31"/>
        <v>23.2639</v>
      </c>
      <c r="Z110" s="76">
        <f>VLOOKUP(A110,Enforcements!$C$3:$J$26,8,0)</f>
        <v>20338</v>
      </c>
      <c r="AA110" s="76" t="str">
        <f>VLOOKUP(A110,Enforcements!$C$3:$J$26,3,0)</f>
        <v>PERMANENT SPEED RESTRICTION</v>
      </c>
    </row>
    <row r="111" spans="1:27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4"/>
        <v>4029/4030</v>
      </c>
      <c r="L111" s="61" t="str">
        <f>VLOOKUP(A111,'Trips&amp;Operators'!$C$1:$E$9999,3,FALSE)</f>
        <v>BONDS</v>
      </c>
      <c r="M111" s="12">
        <f t="shared" si="25"/>
        <v>3.1192129630653653E-2</v>
      </c>
      <c r="N111" s="13">
        <f t="shared" si="26"/>
        <v>44.916666668141261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23.292300000000001</v>
      </c>
      <c r="X111" s="75">
        <f t="shared" si="30"/>
        <v>1.47E-2</v>
      </c>
      <c r="Y111" s="75">
        <f t="shared" si="31"/>
        <v>23.2776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4"/>
        <v>4025/4026</v>
      </c>
      <c r="L112" s="61" t="str">
        <f>VLOOKUP(A112,'Trips&amp;Operators'!$C$1:$E$9999,3,FALSE)</f>
        <v>GOODNIGHT</v>
      </c>
      <c r="M112" s="12">
        <f t="shared" si="25"/>
        <v>2.4375000000873115E-2</v>
      </c>
      <c r="N112" s="13">
        <f t="shared" si="26"/>
        <v>35.100000001257285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4.53E-2</v>
      </c>
      <c r="X112" s="75">
        <f t="shared" si="30"/>
        <v>23.334900000000001</v>
      </c>
      <c r="Y112" s="75">
        <f t="shared" si="31"/>
        <v>23.2896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2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3">I113-F113</f>
        <v>2.792824074276723E-2</v>
      </c>
      <c r="N113" s="13">
        <f t="shared" si="26"/>
        <v>40.216666669584811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23.302800000000001</v>
      </c>
      <c r="X113" s="75">
        <f t="shared" si="30"/>
        <v>1.54E-2</v>
      </c>
      <c r="Y113" s="75">
        <f t="shared" si="31"/>
        <v>23.287400000000002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2"/>
        <v>4015/4016</v>
      </c>
      <c r="L114" s="61" t="str">
        <f>VLOOKUP(A114,'Trips&amp;Operators'!$C$1:$E$9999,3,FALSE)</f>
        <v>COCA</v>
      </c>
      <c r="M114" s="12">
        <f t="shared" si="33"/>
        <v>2.9444444444379769E-2</v>
      </c>
      <c r="N114" s="13">
        <f t="shared" si="26"/>
        <v>42.399999999906868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4.3999999999999997E-2</v>
      </c>
      <c r="X114" s="75">
        <f t="shared" si="30"/>
        <v>23.3293</v>
      </c>
      <c r="Y114" s="75">
        <f t="shared" si="31"/>
        <v>23.285299999999999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2"/>
        <v>4015/4016</v>
      </c>
      <c r="L115" s="61" t="str">
        <f>VLOOKUP(A115,'Trips&amp;Operators'!$C$1:$E$9999,3,FALSE)</f>
        <v>COCA</v>
      </c>
      <c r="M115" s="12">
        <f t="shared" si="33"/>
        <v>3.2766203708888497E-2</v>
      </c>
      <c r="N115" s="13">
        <f t="shared" si="26"/>
        <v>47.183333340799436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23.298300000000001</v>
      </c>
      <c r="X115" s="75">
        <f t="shared" si="30"/>
        <v>1.5599999999999999E-2</v>
      </c>
      <c r="Y115" s="75">
        <f t="shared" si="31"/>
        <v>23.282700000000002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2"/>
        <v>4017/4018</v>
      </c>
      <c r="L116" s="61" t="str">
        <f>VLOOKUP(A116,'Trips&amp;Operators'!$C$1:$E$9999,3,FALSE)</f>
        <v>STEWART</v>
      </c>
      <c r="M116" s="12">
        <f t="shared" si="33"/>
        <v>2.7789351850515231E-2</v>
      </c>
      <c r="N116" s="13">
        <f t="shared" si="26"/>
        <v>40.016666664741933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4.4900000000000002E-2</v>
      </c>
      <c r="X116" s="75">
        <f t="shared" si="30"/>
        <v>23.330500000000001</v>
      </c>
      <c r="Y116" s="75">
        <f t="shared" si="31"/>
        <v>23.285600000000002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0" si="34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0" si="35">I117-F117</f>
        <v>2.6180555556493346E-2</v>
      </c>
      <c r="N117" s="13">
        <f t="shared" si="26"/>
        <v>37.700000001350418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1.52E-2</v>
      </c>
      <c r="Y117" s="75">
        <f t="shared" si="31"/>
        <v>23.280899999999999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YOUNG</v>
      </c>
      <c r="M118" s="12">
        <f t="shared" si="35"/>
        <v>2.8206018512719311E-2</v>
      </c>
      <c r="N118" s="13">
        <f t="shared" si="26"/>
        <v>40.616666658315808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23.3306</v>
      </c>
      <c r="Y118" s="75">
        <f t="shared" si="31"/>
        <v>23.2849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YOUNG</v>
      </c>
      <c r="M119" s="12">
        <f t="shared" si="35"/>
        <v>3.7210648144537117E-2</v>
      </c>
      <c r="N119" s="13">
        <f t="shared" si="26"/>
        <v>53.583333328133449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23.298100000000002</v>
      </c>
      <c r="X119" s="75">
        <f t="shared" si="30"/>
        <v>1.41E-2</v>
      </c>
      <c r="Y119" s="75">
        <f t="shared" si="31"/>
        <v>23.284000000000002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4"/>
        <v>4023/4024</v>
      </c>
      <c r="L120" s="61" t="str">
        <f>VLOOKUP(A120,'Trips&amp;Operators'!$C$1:$E$9999,3,FALSE)</f>
        <v>WEBSTER</v>
      </c>
      <c r="M120" s="12">
        <f t="shared" si="35"/>
        <v>2.7106481487862766E-2</v>
      </c>
      <c r="N120" s="13">
        <f t="shared" si="26"/>
        <v>39.033333342522383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4.8000000000000001E-2</v>
      </c>
      <c r="X120" s="75">
        <f t="shared" si="30"/>
        <v>23.328399999999998</v>
      </c>
      <c r="Y120" s="75">
        <f t="shared" si="31"/>
        <v>23.2804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4"/>
        <v>4023/4024</v>
      </c>
      <c r="L121" s="61" t="str">
        <f>VLOOKUP(A121,'Trips&amp;Operators'!$C$1:$E$9999,3,FALSE)</f>
        <v>WEBSTER</v>
      </c>
      <c r="M121" s="12">
        <f t="shared" si="35"/>
        <v>2.7013888888177462E-2</v>
      </c>
      <c r="N121" s="13">
        <f t="shared" si="26"/>
        <v>38.899999998975545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23.296299999999999</v>
      </c>
      <c r="X121" s="75">
        <f t="shared" si="30"/>
        <v>1.47E-2</v>
      </c>
      <c r="Y121" s="75">
        <f t="shared" si="31"/>
        <v>23.281599999999997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4"/>
        <v>4039/4040</v>
      </c>
      <c r="L122" s="61" t="str">
        <f>VLOOKUP(A122,'Trips&amp;Operators'!$C$1:$E$9999,3,FALSE)</f>
        <v>HONTZ</v>
      </c>
      <c r="M122" s="12">
        <f t="shared" si="35"/>
        <v>2.7384259265090805E-2</v>
      </c>
      <c r="N122" s="13">
        <f t="shared" si="26"/>
        <v>39.433333341730759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4.5699999999999998E-2</v>
      </c>
      <c r="X122" s="75">
        <f t="shared" si="30"/>
        <v>23.334599999999998</v>
      </c>
      <c r="Y122" s="75">
        <f t="shared" si="31"/>
        <v>23.288899999999998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4"/>
        <v>4039/4040</v>
      </c>
      <c r="L123" s="61" t="str">
        <f>VLOOKUP(A123,'Trips&amp;Operators'!$C$1:$E$9999,3,FALSE)</f>
        <v>HONTZ</v>
      </c>
      <c r="M123" s="12">
        <f t="shared" si="35"/>
        <v>3.1365740745968651E-2</v>
      </c>
      <c r="N123" s="13">
        <f t="shared" si="26"/>
        <v>45.166666674194857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23.304500000000001</v>
      </c>
      <c r="X123" s="75">
        <f t="shared" si="30"/>
        <v>1.6500000000000001E-2</v>
      </c>
      <c r="Y123" s="75">
        <f t="shared" si="31"/>
        <v>23.288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4"/>
        <v>4029/4030</v>
      </c>
      <c r="L124" s="61" t="str">
        <f>VLOOKUP(A124,'Trips&amp;Operators'!$C$1:$E$9999,3,FALSE)</f>
        <v>BARTLETT</v>
      </c>
      <c r="M124" s="12">
        <f t="shared" si="35"/>
        <v>2.7476851850224193E-2</v>
      </c>
      <c r="N124" s="13">
        <f t="shared" si="26"/>
        <v>39.566666664322838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4.4400000000000002E-2</v>
      </c>
      <c r="X124" s="75">
        <f t="shared" si="30"/>
        <v>23.3126</v>
      </c>
      <c r="Y124" s="75">
        <f t="shared" si="31"/>
        <v>23.2682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4"/>
        <v>4029/4030</v>
      </c>
      <c r="L125" s="61" t="str">
        <f>VLOOKUP(A125,'Trips&amp;Operators'!$C$1:$E$9999,3,FALSE)</f>
        <v>BARTLETT</v>
      </c>
      <c r="M125" s="12">
        <f t="shared" si="35"/>
        <v>3.1400462961755693E-2</v>
      </c>
      <c r="N125" s="13">
        <f t="shared" si="26"/>
        <v>45.216666664928198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23.296900000000001</v>
      </c>
      <c r="X125" s="75">
        <f t="shared" si="30"/>
        <v>1.6E-2</v>
      </c>
      <c r="Y125" s="75">
        <f t="shared" si="31"/>
        <v>23.280900000000003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4"/>
        <v>4015/4016</v>
      </c>
      <c r="L126" s="61" t="str">
        <f>VLOOKUP(A126,'Trips&amp;Operators'!$C$1:$E$9999,3,FALSE)</f>
        <v>COCA</v>
      </c>
      <c r="M126" s="12">
        <f t="shared" si="35"/>
        <v>3.0138888891087845E-2</v>
      </c>
      <c r="N126" s="13">
        <f t="shared" si="26"/>
        <v>43.400000003166497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4.6399999999999997E-2</v>
      </c>
      <c r="X126" s="75">
        <f t="shared" si="30"/>
        <v>23.329499999999999</v>
      </c>
      <c r="Y126" s="75">
        <f t="shared" si="31"/>
        <v>23.283100000000001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4"/>
        <v>4015/4016</v>
      </c>
      <c r="L127" s="61" t="str">
        <f>VLOOKUP(A127,'Trips&amp;Operators'!$C$1:$E$9999,3,FALSE)</f>
        <v>COCA</v>
      </c>
      <c r="M127" s="12">
        <f t="shared" si="35"/>
        <v>3.5324074073287193E-2</v>
      </c>
      <c r="N127" s="13">
        <f t="shared" si="26"/>
        <v>50.866666665533558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23.298300000000001</v>
      </c>
      <c r="X127" s="75">
        <f t="shared" si="30"/>
        <v>1.61E-2</v>
      </c>
      <c r="Y127" s="75">
        <f t="shared" si="31"/>
        <v>23.2822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4"/>
        <v>4019/4020</v>
      </c>
      <c r="L128" s="61" t="str">
        <f>VLOOKUP(A128,'Trips&amp;Operators'!$C$1:$E$9999,3,FALSE)</f>
        <v>YOUNG</v>
      </c>
      <c r="M128" s="12">
        <f t="shared" si="35"/>
        <v>2.7638888888759539E-2</v>
      </c>
      <c r="N128" s="13">
        <f t="shared" si="26"/>
        <v>39.799999999813735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4.7699999999999999E-2</v>
      </c>
      <c r="X128" s="75">
        <f t="shared" si="30"/>
        <v>23.3291</v>
      </c>
      <c r="Y128" s="75">
        <f t="shared" si="31"/>
        <v>23.281400000000001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4"/>
        <v>4019/4020</v>
      </c>
      <c r="L129" s="61" t="str">
        <f>VLOOKUP(A129,'Trips&amp;Operators'!$C$1:$E$9999,3,FALSE)</f>
        <v>YOUNG</v>
      </c>
      <c r="M129" s="12">
        <f t="shared" si="35"/>
        <v>3.457175925723277E-2</v>
      </c>
      <c r="N129" s="13">
        <f t="shared" si="26"/>
        <v>49.783333330415189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23.298100000000002</v>
      </c>
      <c r="X129" s="75">
        <f t="shared" si="30"/>
        <v>1.5800000000000002E-2</v>
      </c>
      <c r="Y129" s="75">
        <f t="shared" si="31"/>
        <v>23.282300000000003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4"/>
        <v>4039/4040</v>
      </c>
      <c r="L130" s="61" t="str">
        <f>VLOOKUP(A130,'Trips&amp;Operators'!$C$1:$E$9999,3,FALSE)</f>
        <v>HONTZ</v>
      </c>
      <c r="M130" s="12">
        <f t="shared" si="35"/>
        <v>2.8414351851097308E-2</v>
      </c>
      <c r="N130" s="13">
        <f t="shared" si="26"/>
        <v>40.916666665580124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4.7800000000000002E-2</v>
      </c>
      <c r="X130" s="75">
        <f t="shared" si="30"/>
        <v>23.33</v>
      </c>
      <c r="Y130" s="75">
        <f t="shared" si="31"/>
        <v>23.2822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4"/>
        <v>4039/4040</v>
      </c>
      <c r="L131" s="61" t="str">
        <f>VLOOKUP(A131,'Trips&amp;Operators'!$C$1:$E$9999,3,FALSE)</f>
        <v>HONTZ</v>
      </c>
      <c r="M131" s="12">
        <f t="shared" si="35"/>
        <v>3.4502314818382729E-2</v>
      </c>
      <c r="N131" s="13">
        <f t="shared" ref="N131:N144" si="36">$M131*24*60</f>
        <v>49.68333333847113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23.2987</v>
      </c>
      <c r="X131" s="75">
        <f t="shared" si="30"/>
        <v>1.43E-2</v>
      </c>
      <c r="Y131" s="75">
        <f t="shared" si="31"/>
        <v>23.284400000000002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4"/>
        <v>4029/4030</v>
      </c>
      <c r="L132" s="61" t="str">
        <f>VLOOKUP(A132,'Trips&amp;Operators'!$C$1:$E$9999,3,FALSE)</f>
        <v>BARTLETT</v>
      </c>
      <c r="M132" s="12">
        <f t="shared" si="35"/>
        <v>3.1458333338377997E-2</v>
      </c>
      <c r="N132" s="13">
        <f t="shared" si="36"/>
        <v>45.300000007264316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4.6699999999999998E-2</v>
      </c>
      <c r="X132" s="75">
        <f t="shared" si="30"/>
        <v>23.307700000000001</v>
      </c>
      <c r="Y132" s="75">
        <f t="shared" si="31"/>
        <v>23.260999999999999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4"/>
        <v>4029/4030</v>
      </c>
      <c r="L133" s="61" t="str">
        <f>VLOOKUP(A133,'Trips&amp;Operators'!$C$1:$E$9999,3,FALSE)</f>
        <v>BARTLETT</v>
      </c>
      <c r="M133" s="12">
        <f t="shared" si="35"/>
        <v>2.7951388889050577E-2</v>
      </c>
      <c r="N133" s="13">
        <f t="shared" si="36"/>
        <v>40.250000000232831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23.291499999999999</v>
      </c>
      <c r="X133" s="75">
        <f t="shared" si="30"/>
        <v>1.43E-2</v>
      </c>
      <c r="Y133" s="75">
        <f t="shared" si="31"/>
        <v>23.277200000000001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4"/>
        <v>4029/4030</v>
      </c>
      <c r="L134" s="61" t="str">
        <f>VLOOKUP(A134,'Trips&amp;Operators'!$C$1:$E$9999,3,FALSE)</f>
        <v>BARTLETT</v>
      </c>
      <c r="M134" s="12">
        <f t="shared" si="35"/>
        <v>3.5289351850224193E-2</v>
      </c>
      <c r="N134" s="13">
        <f t="shared" si="36"/>
        <v>50.816666664322838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5" t="str">
        <f t="shared" si="28"/>
        <v>N</v>
      </c>
      <c r="V134" s="75">
        <f t="shared" si="37"/>
        <v>0</v>
      </c>
      <c r="W134" s="75">
        <f t="shared" si="29"/>
        <v>23.291899999999998</v>
      </c>
      <c r="X134" s="75">
        <f t="shared" si="30"/>
        <v>1.43E-2</v>
      </c>
      <c r="Y134" s="75">
        <f t="shared" si="31"/>
        <v>23.2776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4"/>
        <v>4015/4016</v>
      </c>
      <c r="L135" s="61" t="str">
        <f>VLOOKUP(A135,'Trips&amp;Operators'!$C$1:$E$9999,3,FALSE)</f>
        <v>COCA</v>
      </c>
      <c r="M135" s="12">
        <f t="shared" si="35"/>
        <v>2.8194444443215616E-2</v>
      </c>
      <c r="N135" s="13">
        <f t="shared" si="36"/>
        <v>40.599999998230487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4.58E-2</v>
      </c>
      <c r="X135" s="75">
        <f t="shared" si="30"/>
        <v>23.33</v>
      </c>
      <c r="Y135" s="75">
        <f t="shared" si="31"/>
        <v>23.284199999999998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4"/>
        <v>4015/4016</v>
      </c>
      <c r="L136" s="61" t="str">
        <f>VLOOKUP(A136,'Trips&amp;Operators'!$C$1:$E$9999,3,FALSE)</f>
        <v>COCA</v>
      </c>
      <c r="M136" s="12">
        <f t="shared" si="35"/>
        <v>3.3020833339833189E-2</v>
      </c>
      <c r="N136" s="13">
        <f t="shared" si="36"/>
        <v>47.550000009359792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23.298300000000001</v>
      </c>
      <c r="X136" s="75">
        <f t="shared" si="30"/>
        <v>1.61E-2</v>
      </c>
      <c r="Y136" s="75">
        <f t="shared" si="31"/>
        <v>23.2822</v>
      </c>
      <c r="Z136" s="76">
        <f>VLOOKUP(A136,Enforcements!$C$3:$J$26,8,0)</f>
        <v>15167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4"/>
        <v>4019/4020</v>
      </c>
      <c r="L137" s="61" t="str">
        <f>VLOOKUP(A137,'Trips&amp;Operators'!$C$1:$E$9999,3,FALSE)</f>
        <v>YOUNG</v>
      </c>
      <c r="M137" s="12">
        <f t="shared" si="35"/>
        <v>3.8854166661622003E-2</v>
      </c>
      <c r="N137" s="13">
        <f t="shared" si="36"/>
        <v>55.949999992735684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4.58E-2</v>
      </c>
      <c r="X137" s="75">
        <f t="shared" si="30"/>
        <v>23.330400000000001</v>
      </c>
      <c r="Y137" s="75">
        <f t="shared" si="31"/>
        <v>23.284600000000001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4"/>
        <v>4019/4020</v>
      </c>
      <c r="L138" s="61" t="str">
        <f>VLOOKUP(A138,'Trips&amp;Operators'!$C$1:$E$9999,3,FALSE)</f>
        <v>YOUNG</v>
      </c>
      <c r="M138" s="12">
        <f t="shared" si="35"/>
        <v>3.3310185186564922E-2</v>
      </c>
      <c r="N138" s="13">
        <f t="shared" si="36"/>
        <v>47.966666668653488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23.299600000000002</v>
      </c>
      <c r="X138" s="75">
        <f t="shared" si="30"/>
        <v>2.01E-2</v>
      </c>
      <c r="Y138" s="75">
        <f t="shared" si="31"/>
        <v>23.279500000000002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4"/>
        <v>4039/4040</v>
      </c>
      <c r="L139" s="61" t="str">
        <f>VLOOKUP(A139,'Trips&amp;Operators'!$C$1:$E$9999,3,FALSE)</f>
        <v>HONTZ</v>
      </c>
      <c r="M139" s="12">
        <f t="shared" si="35"/>
        <v>3.3784722218115348E-2</v>
      </c>
      <c r="N139" s="13">
        <f t="shared" si="36"/>
        <v>48.649999994086102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4.5999999999999999E-2</v>
      </c>
      <c r="X139" s="75">
        <f t="shared" si="30"/>
        <v>23.331</v>
      </c>
      <c r="Y139" s="75">
        <f t="shared" si="31"/>
        <v>23.285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4"/>
        <v>4039/4040</v>
      </c>
      <c r="L140" s="61" t="str">
        <f>VLOOKUP(A140,'Trips&amp;Operators'!$C$1:$E$9999,3,FALSE)</f>
        <v>HONTZ</v>
      </c>
      <c r="M140" s="12">
        <f t="shared" si="35"/>
        <v>3.0787037037953269E-2</v>
      </c>
      <c r="N140" s="13">
        <f t="shared" si="36"/>
        <v>44.333333334652707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23.299600000000002</v>
      </c>
      <c r="X140" s="75">
        <f t="shared" si="30"/>
        <v>1.3599999999999999E-2</v>
      </c>
      <c r="Y140" s="75">
        <f t="shared" si="31"/>
        <v>23.286000000000001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4"/>
        <v>4029/4030</v>
      </c>
      <c r="L141" s="61" t="str">
        <f>VLOOKUP(A141,'Trips&amp;Operators'!$C$1:$E$9999,3,FALSE)</f>
        <v>BARTLETT</v>
      </c>
      <c r="M141" s="12">
        <f t="shared" si="35"/>
        <v>3.1689814815763384E-2</v>
      </c>
      <c r="N141" s="13">
        <f t="shared" si="36"/>
        <v>45.633333334699273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4.6399999999999997E-2</v>
      </c>
      <c r="X141" s="75">
        <f t="shared" si="30"/>
        <v>23.310199999999998</v>
      </c>
      <c r="Y141" s="75">
        <f t="shared" si="31"/>
        <v>23.2638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4"/>
        <v>4029/4030</v>
      </c>
      <c r="L142" s="61" t="str">
        <f>VLOOKUP(A142,'Trips&amp;Operators'!$C$1:$E$9999,3,FALSE)</f>
        <v>BARTLETT</v>
      </c>
      <c r="M142" s="12">
        <f t="shared" si="35"/>
        <v>3.2256944446999114E-2</v>
      </c>
      <c r="N142" s="13">
        <f t="shared" si="36"/>
        <v>46.450000003678724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23.295500000000001</v>
      </c>
      <c r="X142" s="75">
        <f t="shared" si="30"/>
        <v>1.5599999999999999E-2</v>
      </c>
      <c r="Y142" s="75">
        <f t="shared" si="31"/>
        <v>23.279900000000001</v>
      </c>
      <c r="Z142" s="76">
        <f>VLOOKUP(A142,Enforcements!$C$3:$J$26,8,0)</f>
        <v>63309</v>
      </c>
      <c r="AA142" s="76" t="str">
        <f>VLOOKUP(A142,Enforcements!$C$3:$J$26,3,0)</f>
        <v>GRADE CROSSING</v>
      </c>
    </row>
    <row r="143" spans="1:27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4"/>
        <v>4015/4016</v>
      </c>
      <c r="L143" s="61" t="str">
        <f>VLOOKUP(A143,'Trips&amp;Operators'!$C$1:$E$9999,3,FALSE)</f>
        <v>COCA</v>
      </c>
      <c r="M143" s="12">
        <f t="shared" si="35"/>
        <v>3.665509259008104E-2</v>
      </c>
      <c r="N143" s="13">
        <f t="shared" si="36"/>
        <v>52.783333329716697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4.58E-2</v>
      </c>
      <c r="X143" s="75">
        <f t="shared" si="30"/>
        <v>23.330200000000001</v>
      </c>
      <c r="Y143" s="75">
        <f t="shared" si="31"/>
        <v>23.284400000000002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4"/>
        <v>4015/4016</v>
      </c>
      <c r="L144" s="61" t="str">
        <f>VLOOKUP(A144,'Trips&amp;Operators'!$C$1:$E$9999,3,FALSE)</f>
        <v>COCA</v>
      </c>
      <c r="M144" s="12">
        <f t="shared" si="35"/>
        <v>3.0902777776645962E-2</v>
      </c>
      <c r="N144" s="13">
        <f t="shared" si="36"/>
        <v>44.499999998370185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23.2989</v>
      </c>
      <c r="X144" s="75">
        <f t="shared" si="30"/>
        <v>1.5599999999999999E-2</v>
      </c>
      <c r="Y144" s="75">
        <f t="shared" si="31"/>
        <v>23.283300000000001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4"/>
        <v>4019/4020</v>
      </c>
      <c r="L145" s="61" t="str">
        <f>VLOOKUP(A145,'Trips&amp;Operators'!$C$1:$E$9999,3,FALSE)</f>
        <v>YOUNG</v>
      </c>
      <c r="M145" s="12">
        <f t="shared" si="35"/>
        <v>3.8958333330811001E-2</v>
      </c>
      <c r="N145" s="13">
        <f t="shared" ref="N145:N150" si="38">$M145*24*60</f>
        <v>56.099999996367842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5.1700000000000003E-2</v>
      </c>
      <c r="X145" s="75">
        <f t="shared" si="30"/>
        <v>23.327400000000001</v>
      </c>
      <c r="Y145" s="75">
        <f t="shared" si="31"/>
        <v>23.275700000000001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4"/>
        <v>4019/4020</v>
      </c>
      <c r="L146" s="61" t="str">
        <f>VLOOKUP(A146,'Trips&amp;Operators'!$C$1:$E$9999,3,FALSE)</f>
        <v>YOUNG</v>
      </c>
      <c r="M146" s="12">
        <f t="shared" si="35"/>
        <v>3.5740740735491272E-2</v>
      </c>
      <c r="N146" s="13">
        <f t="shared" si="38"/>
        <v>51.466666659107432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23.297000000000001</v>
      </c>
      <c r="X146" s="75">
        <f t="shared" ref="X146:X148" si="42">RIGHT(H146,LEN(H146)-4)/10000</f>
        <v>1.52E-2</v>
      </c>
      <c r="Y146" s="75">
        <f t="shared" ref="Y146:Y148" si="43">ABS(X146-W146)</f>
        <v>23.2818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4"/>
        <v>4039/4040</v>
      </c>
      <c r="L147" s="61" t="str">
        <f>VLOOKUP(A147,'Trips&amp;Operators'!$C$1:$E$9999,3,FALSE)</f>
        <v>HONTZ</v>
      </c>
      <c r="M147" s="12">
        <f t="shared" si="35"/>
        <v>4.0127314816345461E-2</v>
      </c>
      <c r="N147" s="13">
        <f t="shared" si="38"/>
        <v>57.783333335537463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4.53E-2</v>
      </c>
      <c r="X147" s="75">
        <f t="shared" si="42"/>
        <v>23.3338</v>
      </c>
      <c r="Y147" s="75">
        <f t="shared" si="43"/>
        <v>23.288499999999999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4"/>
        <v>4039/4040</v>
      </c>
      <c r="L148" s="61" t="str">
        <f>VLOOKUP(A148,'Trips&amp;Operators'!$C$1:$E$9999,3,FALSE)</f>
        <v>HONTZ</v>
      </c>
      <c r="M148" s="12">
        <f t="shared" si="35"/>
        <v>3.9733796300424729E-2</v>
      </c>
      <c r="N148" s="13">
        <f t="shared" si="38"/>
        <v>57.216666672611609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23.3</v>
      </c>
      <c r="X148" s="75">
        <f t="shared" si="42"/>
        <v>1.52E-2</v>
      </c>
      <c r="Y148" s="75">
        <f t="shared" si="43"/>
        <v>23.284800000000001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4"/>
        <v>4029/4030</v>
      </c>
      <c r="L149" s="61" t="str">
        <f>VLOOKUP(A149,'Trips&amp;Operators'!$C$1:$E$9999,3,FALSE)</f>
        <v>BARTLETT</v>
      </c>
      <c r="M149" s="12">
        <f t="shared" si="35"/>
        <v>3.7083333336340729E-2</v>
      </c>
      <c r="N149" s="13">
        <f t="shared" si="38"/>
        <v>53.40000000433065</v>
      </c>
      <c r="O149" s="13"/>
      <c r="P149" s="13"/>
      <c r="Q149" s="62"/>
      <c r="R149" s="62"/>
      <c r="T149" s="75" t="str">
        <f t="shared" ref="T149:T150" si="4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9" s="75" t="str">
        <f t="shared" ref="U149:U150" si="45">IF(Y149&lt;23,"Y","N")</f>
        <v>N</v>
      </c>
      <c r="V149" s="75">
        <f t="shared" ref="V149:V150" si="46">VALUE(LEFT(A149,3))-VALUE(LEFT(A148,3))</f>
        <v>1</v>
      </c>
      <c r="W149" s="75">
        <f t="shared" ref="W149:W150" si="47">RIGHT(D149,LEN(D149)-4)/10000</f>
        <v>4.7100000000000003E-2</v>
      </c>
      <c r="X149" s="75">
        <f t="shared" ref="X149:X150" si="48">RIGHT(H149,LEN(H149)-4)/10000</f>
        <v>23.310400000000001</v>
      </c>
      <c r="Y149" s="75">
        <f t="shared" ref="Y149:Y150" si="49">ABS(X149-W149)</f>
        <v>23.263300000000001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4"/>
        <v>4029/4030</v>
      </c>
      <c r="L150" s="61" t="str">
        <f>VLOOKUP(A150,'Trips&amp;Operators'!$C$1:$E$9999,3,FALSE)</f>
        <v>BARTLETT</v>
      </c>
      <c r="M150" s="12">
        <f t="shared" si="35"/>
        <v>3.3368055555911269E-2</v>
      </c>
      <c r="N150" s="13">
        <f t="shared" si="38"/>
        <v>48.050000000512227</v>
      </c>
      <c r="O150" s="13"/>
      <c r="P150" s="13"/>
      <c r="Q150" s="62"/>
      <c r="R150" s="62"/>
      <c r="T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0" s="75" t="str">
        <f t="shared" si="45"/>
        <v>N</v>
      </c>
      <c r="V150" s="75">
        <f t="shared" si="46"/>
        <v>1</v>
      </c>
      <c r="W150" s="75">
        <f t="shared" si="47"/>
        <v>23.296600000000002</v>
      </c>
      <c r="X150" s="75">
        <f t="shared" si="48"/>
        <v>1.6E-2</v>
      </c>
      <c r="Y150" s="75">
        <f t="shared" si="49"/>
        <v>23.280600000000003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42498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145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2">
        <f>AVERAGE(N3:N148)</f>
        <v>43.105147059367027</v>
      </c>
      <c r="N155" s="6">
        <f>MIN(N3:N150)</f>
        <v>34.999999998835847</v>
      </c>
      <c r="O155" s="7">
        <f>MAX(N3:N150)</f>
        <v>57.783333335537463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MIN(O3:O148)</f>
        <v>0</v>
      </c>
      <c r="O156" s="7">
        <f>MAX(O3:O148)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7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2">
        <f>AVERAGE(N3:P150)</f>
        <v>42.480344828127123</v>
      </c>
      <c r="N158" s="6">
        <f>MIN(N3:O150)</f>
        <v>34.999999998835847</v>
      </c>
      <c r="O158" s="7">
        <f>MAX(N3:O150)</f>
        <v>57.783333335537463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0.9517241379310345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/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L127:L150 A149:P151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51">
    <cfRule type="expression" dxfId="4" priority="76">
      <formula>$P149&gt;0</formula>
    </cfRule>
    <cfRule type="expression" dxfId="3" priority="77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52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42498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2016-05-10T13:03:04Z</dcterms:modified>
</cp:coreProperties>
</file>