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Enforcements!$A$6:$V$57</definedName>
    <definedName name="_xlnm._FilterDatabase" localSheetId="2" hidden="1">'Missing Trips'!$A$2:$G$2</definedName>
    <definedName name="_xlnm._FilterDatabase" localSheetId="0" hidden="1">'Train Runs'!$A$12:$AD$154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9" i="1" l="1"/>
  <c r="X127" i="1"/>
  <c r="X128" i="1"/>
  <c r="X129" i="1"/>
  <c r="X130" i="1"/>
  <c r="X131" i="1"/>
  <c r="N127" i="1"/>
  <c r="N98" i="1"/>
  <c r="P96" i="1"/>
  <c r="N93" i="1"/>
  <c r="P131" i="1"/>
  <c r="P21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A18" i="1" s="1"/>
  <c r="W18" i="1" s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T21" i="1"/>
  <c r="V21" i="1"/>
  <c r="X21" i="1"/>
  <c r="Y21" i="1"/>
  <c r="U21" i="1" s="1"/>
  <c r="S21" i="1" s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A29" i="1" s="1"/>
  <c r="W29" i="1" s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A32" i="1" s="1"/>
  <c r="W32" i="1" s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A33" i="1" s="1"/>
  <c r="W33" i="1" s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A36" i="1" s="1"/>
  <c r="W36" i="1" s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A37" i="1" s="1"/>
  <c r="W37" i="1" s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A40" i="1" s="1"/>
  <c r="W40" i="1" s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A42" i="1" s="1"/>
  <c r="W42" i="1" s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A45" i="1" s="1"/>
  <c r="W45" i="1" s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A49" i="1" s="1"/>
  <c r="W49" i="1" s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AE50" i="1"/>
  <c r="AF50" i="1"/>
  <c r="AG50" i="1"/>
  <c r="K51" i="1"/>
  <c r="L51" i="1"/>
  <c r="M51" i="1"/>
  <c r="P51" i="1" s="1"/>
  <c r="T51" i="1"/>
  <c r="V51" i="1"/>
  <c r="X51" i="1"/>
  <c r="Y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A53" i="1" s="1"/>
  <c r="W53" i="1" s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A57" i="1" s="1"/>
  <c r="W57" i="1" s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A65" i="1" s="1"/>
  <c r="W65" i="1" s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A69" i="1" s="1"/>
  <c r="W69" i="1" s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T73" i="1"/>
  <c r="V73" i="1"/>
  <c r="X73" i="1"/>
  <c r="AA73" i="1"/>
  <c r="W73" i="1" s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A74" i="1" s="1"/>
  <c r="W74" i="1" s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A76" i="1" s="1"/>
  <c r="W76" i="1" s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A77" i="1" s="1"/>
  <c r="W77" i="1" s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A78" i="1" s="1"/>
  <c r="W78" i="1" s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A80" i="1" s="1"/>
  <c r="W80" i="1" s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A84" i="1" s="1"/>
  <c r="W84" i="1" s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V87" i="1"/>
  <c r="X87" i="1"/>
  <c r="Y87" i="1"/>
  <c r="AA87" i="1" s="1"/>
  <c r="W87" i="1" s="1"/>
  <c r="Z87" i="1"/>
  <c r="AB87" i="1"/>
  <c r="AC87" i="1"/>
  <c r="AD87" i="1"/>
  <c r="AE87" i="1"/>
  <c r="AF87" i="1"/>
  <c r="AG87" i="1"/>
  <c r="K88" i="1"/>
  <c r="L88" i="1"/>
  <c r="M88" i="1"/>
  <c r="P87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AA91" i="1" s="1"/>
  <c r="W91" i="1" s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T93" i="1"/>
  <c r="V93" i="1"/>
  <c r="X93" i="1"/>
  <c r="Y93" i="1"/>
  <c r="U93" i="1" s="1"/>
  <c r="S93" i="1" s="1"/>
  <c r="AA93" i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T98" i="1"/>
  <c r="V98" i="1"/>
  <c r="X98" i="1"/>
  <c r="Y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AA99" i="1" s="1"/>
  <c r="W99" i="1" s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P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A123" i="1" s="1"/>
  <c r="W123" i="1" s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A125" i="1" s="1"/>
  <c r="W125" i="1" s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T127" i="1"/>
  <c r="V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Y128" i="1"/>
  <c r="AA128" i="1" s="1"/>
  <c r="W128" i="1" s="1"/>
  <c r="Z128" i="1"/>
  <c r="AB128" i="1"/>
  <c r="AC128" i="1"/>
  <c r="AD128" i="1"/>
  <c r="AE128" i="1"/>
  <c r="AF128" i="1"/>
  <c r="AG128" i="1"/>
  <c r="K129" i="1"/>
  <c r="L129" i="1"/>
  <c r="M129" i="1"/>
  <c r="T129" i="1"/>
  <c r="V129" i="1"/>
  <c r="Y129" i="1"/>
  <c r="Z129" i="1"/>
  <c r="AB129" i="1"/>
  <c r="AC129" i="1"/>
  <c r="AD129" i="1"/>
  <c r="AE129" i="1"/>
  <c r="AF129" i="1"/>
  <c r="AG129" i="1"/>
  <c r="K130" i="1"/>
  <c r="L130" i="1"/>
  <c r="M130" i="1"/>
  <c r="T130" i="1"/>
  <c r="V130" i="1"/>
  <c r="Y130" i="1"/>
  <c r="Z130" i="1"/>
  <c r="AB130" i="1"/>
  <c r="AC130" i="1"/>
  <c r="AD130" i="1"/>
  <c r="AE130" i="1"/>
  <c r="AF130" i="1"/>
  <c r="AG130" i="1"/>
  <c r="K131" i="1"/>
  <c r="L131" i="1"/>
  <c r="M131" i="1"/>
  <c r="T131" i="1"/>
  <c r="V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U132" i="1" s="1"/>
  <c r="S132" i="1" s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A148" i="1" s="1"/>
  <c r="W148" i="1" s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A153" i="1" s="1"/>
  <c r="W153" i="1" s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AA95" i="1" l="1"/>
  <c r="W95" i="1" s="1"/>
  <c r="U145" i="1"/>
  <c r="S145" i="1" s="1"/>
  <c r="U137" i="1"/>
  <c r="S137" i="1" s="1"/>
  <c r="AA115" i="1"/>
  <c r="W115" i="1" s="1"/>
  <c r="AA111" i="1"/>
  <c r="W111" i="1" s="1"/>
  <c r="AA107" i="1"/>
  <c r="W107" i="1" s="1"/>
  <c r="AA103" i="1"/>
  <c r="W103" i="1" s="1"/>
  <c r="AA134" i="1"/>
  <c r="W134" i="1" s="1"/>
  <c r="AA126" i="1"/>
  <c r="W126" i="1" s="1"/>
  <c r="AA122" i="1"/>
  <c r="W122" i="1" s="1"/>
  <c r="AA72" i="1"/>
  <c r="W72" i="1" s="1"/>
  <c r="AA70" i="1"/>
  <c r="W70" i="1" s="1"/>
  <c r="AA68" i="1"/>
  <c r="W68" i="1" s="1"/>
  <c r="AA66" i="1"/>
  <c r="W66" i="1" s="1"/>
  <c r="AA64" i="1"/>
  <c r="W64" i="1" s="1"/>
  <c r="AA62" i="1"/>
  <c r="W62" i="1" s="1"/>
  <c r="AA60" i="1"/>
  <c r="W60" i="1" s="1"/>
  <c r="AA58" i="1"/>
  <c r="W58" i="1" s="1"/>
  <c r="AA56" i="1"/>
  <c r="W56" i="1" s="1"/>
  <c r="AA54" i="1"/>
  <c r="W54" i="1" s="1"/>
  <c r="AA52" i="1"/>
  <c r="W52" i="1" s="1"/>
  <c r="AA22" i="1"/>
  <c r="W22" i="1" s="1"/>
  <c r="U153" i="1"/>
  <c r="S153" i="1" s="1"/>
  <c r="U43" i="1"/>
  <c r="S43" i="1" s="1"/>
  <c r="U151" i="1"/>
  <c r="S151" i="1" s="1"/>
  <c r="AA147" i="1"/>
  <c r="W147" i="1" s="1"/>
  <c r="AA145" i="1"/>
  <c r="W145" i="1" s="1"/>
  <c r="AA141" i="1"/>
  <c r="W141" i="1" s="1"/>
  <c r="AA130" i="1"/>
  <c r="W130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89" i="1"/>
  <c r="W89" i="1" s="1"/>
  <c r="U45" i="1"/>
  <c r="S45" i="1" s="1"/>
  <c r="AA43" i="1"/>
  <c r="W43" i="1" s="1"/>
  <c r="U41" i="1"/>
  <c r="S41" i="1" s="1"/>
  <c r="U39" i="1"/>
  <c r="S39" i="1" s="1"/>
  <c r="U35" i="1"/>
  <c r="S35" i="1" s="1"/>
  <c r="U31" i="1"/>
  <c r="S31" i="1" s="1"/>
  <c r="AA27" i="1"/>
  <c r="W27" i="1" s="1"/>
  <c r="AA25" i="1"/>
  <c r="W25" i="1" s="1"/>
  <c r="U17" i="1"/>
  <c r="S17" i="1" s="1"/>
  <c r="AA150" i="1"/>
  <c r="W150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AA21" i="1"/>
  <c r="W21" i="1" s="1"/>
  <c r="AA140" i="1"/>
  <c r="W140" i="1" s="1"/>
  <c r="AA136" i="1"/>
  <c r="W136" i="1" s="1"/>
  <c r="AA135" i="1"/>
  <c r="W135" i="1" s="1"/>
  <c r="AA131" i="1"/>
  <c r="W131" i="1" s="1"/>
  <c r="AA127" i="1"/>
  <c r="W127" i="1" s="1"/>
  <c r="AA117" i="1"/>
  <c r="W117" i="1" s="1"/>
  <c r="U115" i="1"/>
  <c r="S115" i="1" s="1"/>
  <c r="AA113" i="1"/>
  <c r="W113" i="1" s="1"/>
  <c r="U111" i="1"/>
  <c r="S111" i="1" s="1"/>
  <c r="AA109" i="1"/>
  <c r="W109" i="1" s="1"/>
  <c r="U107" i="1"/>
  <c r="S107" i="1" s="1"/>
  <c r="AA105" i="1"/>
  <c r="W105" i="1" s="1"/>
  <c r="U103" i="1"/>
  <c r="S103" i="1" s="1"/>
  <c r="AA101" i="1"/>
  <c r="W101" i="1" s="1"/>
  <c r="U99" i="1"/>
  <c r="S99" i="1" s="1"/>
  <c r="AA97" i="1"/>
  <c r="W97" i="1" s="1"/>
  <c r="AA92" i="1"/>
  <c r="W92" i="1" s="1"/>
  <c r="AA90" i="1"/>
  <c r="W90" i="1" s="1"/>
  <c r="AA88" i="1"/>
  <c r="W88" i="1" s="1"/>
  <c r="U85" i="1"/>
  <c r="S85" i="1" s="1"/>
  <c r="AA83" i="1"/>
  <c r="W83" i="1" s="1"/>
  <c r="AA79" i="1"/>
  <c r="W79" i="1" s="1"/>
  <c r="AA75" i="1"/>
  <c r="W75" i="1" s="1"/>
  <c r="AA71" i="1"/>
  <c r="W71" i="1" s="1"/>
  <c r="AA67" i="1"/>
  <c r="W67" i="1" s="1"/>
  <c r="AA63" i="1"/>
  <c r="W63" i="1" s="1"/>
  <c r="AA59" i="1"/>
  <c r="W59" i="1" s="1"/>
  <c r="AA55" i="1"/>
  <c r="W55" i="1" s="1"/>
  <c r="AA51" i="1"/>
  <c r="W51" i="1" s="1"/>
  <c r="AA47" i="1"/>
  <c r="W47" i="1" s="1"/>
  <c r="AA152" i="1"/>
  <c r="W152" i="1" s="1"/>
  <c r="U152" i="1"/>
  <c r="S152" i="1" s="1"/>
  <c r="AA133" i="1"/>
  <c r="W133" i="1" s="1"/>
  <c r="AA118" i="1"/>
  <c r="W118" i="1" s="1"/>
  <c r="U117" i="1"/>
  <c r="S117" i="1" s="1"/>
  <c r="U90" i="1"/>
  <c r="S90" i="1" s="1"/>
  <c r="U110" i="1"/>
  <c r="S110" i="1" s="1"/>
  <c r="U98" i="1"/>
  <c r="S98" i="1" s="1"/>
  <c r="U148" i="1"/>
  <c r="S148" i="1" s="1"/>
  <c r="AA142" i="1"/>
  <c r="W142" i="1" s="1"/>
  <c r="U142" i="1"/>
  <c r="S142" i="1" s="1"/>
  <c r="U141" i="1"/>
  <c r="S141" i="1" s="1"/>
  <c r="AA139" i="1"/>
  <c r="W139" i="1" s="1"/>
  <c r="AA137" i="1"/>
  <c r="W137" i="1" s="1"/>
  <c r="U134" i="1"/>
  <c r="S134" i="1" s="1"/>
  <c r="AA124" i="1"/>
  <c r="W124" i="1" s="1"/>
  <c r="U123" i="1"/>
  <c r="S123" i="1" s="1"/>
  <c r="AA121" i="1"/>
  <c r="W121" i="1" s="1"/>
  <c r="U91" i="1"/>
  <c r="S91" i="1" s="1"/>
  <c r="U150" i="1"/>
  <c r="S150" i="1" s="1"/>
  <c r="U136" i="1"/>
  <c r="S136" i="1" s="1"/>
  <c r="U114" i="1"/>
  <c r="S114" i="1" s="1"/>
  <c r="U106" i="1"/>
  <c r="S106" i="1" s="1"/>
  <c r="U102" i="1"/>
  <c r="S102" i="1" s="1"/>
  <c r="U81" i="1"/>
  <c r="S81" i="1" s="1"/>
  <c r="AA146" i="1"/>
  <c r="W146" i="1" s="1"/>
  <c r="U146" i="1"/>
  <c r="S146" i="1" s="1"/>
  <c r="U140" i="1"/>
  <c r="S140" i="1" s="1"/>
  <c r="AA129" i="1"/>
  <c r="W129" i="1" s="1"/>
  <c r="AA85" i="1"/>
  <c r="W85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2" i="1"/>
  <c r="S42" i="1" s="1"/>
  <c r="U27" i="1"/>
  <c r="S27" i="1" s="1"/>
  <c r="U18" i="1"/>
  <c r="S18" i="1" s="1"/>
  <c r="AA154" i="1"/>
  <c r="W154" i="1" s="1"/>
  <c r="U154" i="1"/>
  <c r="S154" i="1" s="1"/>
  <c r="U149" i="1"/>
  <c r="S149" i="1" s="1"/>
  <c r="AA144" i="1"/>
  <c r="W144" i="1" s="1"/>
  <c r="U144" i="1"/>
  <c r="S144" i="1" s="1"/>
  <c r="AA143" i="1"/>
  <c r="W143" i="1" s="1"/>
  <c r="AA138" i="1"/>
  <c r="W138" i="1" s="1"/>
  <c r="U138" i="1"/>
  <c r="S138" i="1" s="1"/>
  <c r="AA132" i="1"/>
  <c r="W132" i="1" s="1"/>
  <c r="U130" i="1"/>
  <c r="U125" i="1"/>
  <c r="S125" i="1" s="1"/>
  <c r="AA120" i="1"/>
  <c r="W120" i="1" s="1"/>
  <c r="AA119" i="1"/>
  <c r="W119" i="1" s="1"/>
  <c r="AA94" i="1"/>
  <c r="W94" i="1" s="1"/>
  <c r="U94" i="1"/>
  <c r="S94" i="1" s="1"/>
  <c r="AA86" i="1"/>
  <c r="W86" i="1" s="1"/>
  <c r="U86" i="1"/>
  <c r="S86" i="1" s="1"/>
  <c r="AA81" i="1"/>
  <c r="W81" i="1" s="1"/>
  <c r="U77" i="1"/>
  <c r="S77" i="1" s="1"/>
  <c r="U73" i="1"/>
  <c r="S73" i="1" s="1"/>
  <c r="U69" i="1"/>
  <c r="S69" i="1" s="1"/>
  <c r="U65" i="1"/>
  <c r="S65" i="1" s="1"/>
  <c r="U61" i="1"/>
  <c r="S61" i="1" s="1"/>
  <c r="U57" i="1"/>
  <c r="S57" i="1" s="1"/>
  <c r="U53" i="1"/>
  <c r="S53" i="1" s="1"/>
  <c r="U49" i="1"/>
  <c r="S49" i="1" s="1"/>
  <c r="AA34" i="1"/>
  <c r="W34" i="1" s="1"/>
  <c r="U34" i="1"/>
  <c r="S34" i="1" s="1"/>
  <c r="U33" i="1"/>
  <c r="S33" i="1" s="1"/>
  <c r="AA28" i="1"/>
  <c r="W28" i="1" s="1"/>
  <c r="AA24" i="1"/>
  <c r="W24" i="1" s="1"/>
  <c r="U23" i="1"/>
  <c r="S23" i="1" s="1"/>
  <c r="AA16" i="1"/>
  <c r="W16" i="1" s="1"/>
  <c r="U15" i="1"/>
  <c r="S15" i="1" s="1"/>
  <c r="AA41" i="1"/>
  <c r="W41" i="1" s="1"/>
  <c r="U22" i="1"/>
  <c r="S22" i="1" s="1"/>
  <c r="AA17" i="1"/>
  <c r="W17" i="1" s="1"/>
  <c r="U113" i="1"/>
  <c r="S113" i="1" s="1"/>
  <c r="U109" i="1"/>
  <c r="S109" i="1" s="1"/>
  <c r="U105" i="1"/>
  <c r="S105" i="1" s="1"/>
  <c r="U101" i="1"/>
  <c r="S101" i="1" s="1"/>
  <c r="U97" i="1"/>
  <c r="U89" i="1"/>
  <c r="S89" i="1" s="1"/>
  <c r="AA46" i="1"/>
  <c r="W46" i="1" s="1"/>
  <c r="U46" i="1"/>
  <c r="S46" i="1" s="1"/>
  <c r="AA38" i="1"/>
  <c r="W38" i="1" s="1"/>
  <c r="U38" i="1"/>
  <c r="S38" i="1" s="1"/>
  <c r="U37" i="1"/>
  <c r="S37" i="1" s="1"/>
  <c r="AA30" i="1"/>
  <c r="W30" i="1" s="1"/>
  <c r="U30" i="1"/>
  <c r="S30" i="1" s="1"/>
  <c r="U29" i="1"/>
  <c r="S29" i="1" s="1"/>
  <c r="AA26" i="1"/>
  <c r="W26" i="1" s="1"/>
  <c r="U26" i="1"/>
  <c r="S26" i="1" s="1"/>
  <c r="U25" i="1"/>
  <c r="S25" i="1" s="1"/>
  <c r="AA20" i="1"/>
  <c r="W20" i="1" s="1"/>
  <c r="U19" i="1"/>
  <c r="S19" i="1" s="1"/>
  <c r="U143" i="1"/>
  <c r="S143" i="1" s="1"/>
  <c r="U131" i="1"/>
  <c r="S131" i="1" s="1"/>
  <c r="U126" i="1"/>
  <c r="S126" i="1" s="1"/>
  <c r="U119" i="1"/>
  <c r="S119" i="1" s="1"/>
  <c r="U118" i="1"/>
  <c r="S118" i="1" s="1"/>
  <c r="AA151" i="1"/>
  <c r="W151" i="1" s="1"/>
  <c r="U128" i="1"/>
  <c r="S128" i="1" s="1"/>
  <c r="U121" i="1"/>
  <c r="S121" i="1" s="1"/>
  <c r="U120" i="1"/>
  <c r="S120" i="1" s="1"/>
  <c r="U112" i="1"/>
  <c r="S112" i="1" s="1"/>
  <c r="U104" i="1"/>
  <c r="S104" i="1" s="1"/>
  <c r="U96" i="1"/>
  <c r="S96" i="1" s="1"/>
  <c r="U88" i="1"/>
  <c r="U147" i="1"/>
  <c r="S147" i="1" s="1"/>
  <c r="U135" i="1"/>
  <c r="S135" i="1" s="1"/>
  <c r="U32" i="1"/>
  <c r="S32" i="1" s="1"/>
  <c r="U16" i="1"/>
  <c r="S16" i="1" s="1"/>
  <c r="U133" i="1"/>
  <c r="S133" i="1" s="1"/>
  <c r="U124" i="1"/>
  <c r="S124" i="1" s="1"/>
  <c r="U116" i="1"/>
  <c r="S116" i="1" s="1"/>
  <c r="U108" i="1"/>
  <c r="S108" i="1" s="1"/>
  <c r="U100" i="1"/>
  <c r="S100" i="1" s="1"/>
  <c r="U92" i="1"/>
  <c r="S92" i="1" s="1"/>
  <c r="U84" i="1"/>
  <c r="S84" i="1" s="1"/>
  <c r="U139" i="1"/>
  <c r="S139" i="1" s="1"/>
  <c r="U127" i="1"/>
  <c r="S127" i="1" s="1"/>
  <c r="U129" i="1"/>
  <c r="S129" i="1" s="1"/>
  <c r="U122" i="1"/>
  <c r="S122" i="1" s="1"/>
  <c r="U95" i="1"/>
  <c r="S95" i="1" s="1"/>
  <c r="U87" i="1"/>
  <c r="S87" i="1" s="1"/>
  <c r="AA82" i="1"/>
  <c r="W82" i="1" s="1"/>
  <c r="U76" i="1"/>
  <c r="S76" i="1" s="1"/>
  <c r="U68" i="1"/>
  <c r="S68" i="1" s="1"/>
  <c r="U60" i="1"/>
  <c r="S60" i="1" s="1"/>
  <c r="U52" i="1"/>
  <c r="S52" i="1" s="1"/>
  <c r="U44" i="1"/>
  <c r="S44" i="1" s="1"/>
  <c r="AA39" i="1"/>
  <c r="W39" i="1" s="1"/>
  <c r="U28" i="1"/>
  <c r="S28" i="1" s="1"/>
  <c r="AA23" i="1"/>
  <c r="W23" i="1" s="1"/>
  <c r="U47" i="1"/>
  <c r="S47" i="1" s="1"/>
  <c r="U40" i="1"/>
  <c r="S40" i="1" s="1"/>
  <c r="AA35" i="1"/>
  <c r="W35" i="1" s="1"/>
  <c r="U24" i="1"/>
  <c r="S24" i="1" s="1"/>
  <c r="AA19" i="1"/>
  <c r="W19" i="1" s="1"/>
  <c r="U80" i="1"/>
  <c r="S80" i="1" s="1"/>
  <c r="U72" i="1"/>
  <c r="S72" i="1" s="1"/>
  <c r="U64" i="1"/>
  <c r="S64" i="1" s="1"/>
  <c r="U56" i="1"/>
  <c r="S56" i="1" s="1"/>
  <c r="U48" i="1"/>
  <c r="S48" i="1" s="1"/>
  <c r="U36" i="1"/>
  <c r="S36" i="1" s="1"/>
  <c r="AA31" i="1"/>
  <c r="W31" i="1" s="1"/>
  <c r="U20" i="1"/>
  <c r="S20" i="1" s="1"/>
  <c r="AA15" i="1"/>
  <c r="W15" i="1" s="1"/>
  <c r="L46" i="3"/>
  <c r="S46" i="3"/>
  <c r="R46" i="3" s="1"/>
  <c r="T46" i="3"/>
  <c r="U46" i="3"/>
  <c r="V46" i="3"/>
  <c r="L47" i="3"/>
  <c r="S47" i="3"/>
  <c r="R47" i="3" s="1"/>
  <c r="T47" i="3"/>
  <c r="U47" i="3"/>
  <c r="V47" i="3"/>
  <c r="L31" i="3"/>
  <c r="S31" i="3"/>
  <c r="R31" i="3" s="1"/>
  <c r="T31" i="3"/>
  <c r="U31" i="3"/>
  <c r="V31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36" i="3"/>
  <c r="S36" i="3"/>
  <c r="R36" i="3" s="1"/>
  <c r="T36" i="3"/>
  <c r="U36" i="3"/>
  <c r="V36" i="3"/>
  <c r="L39" i="3"/>
  <c r="S39" i="3"/>
  <c r="R39" i="3" s="1"/>
  <c r="T39" i="3"/>
  <c r="U39" i="3"/>
  <c r="V39" i="3"/>
  <c r="L37" i="3"/>
  <c r="S37" i="3"/>
  <c r="R37" i="3" s="1"/>
  <c r="T37" i="3"/>
  <c r="U37" i="3"/>
  <c r="V37" i="3"/>
  <c r="L24" i="3"/>
  <c r="S24" i="3"/>
  <c r="R24" i="3" s="1"/>
  <c r="T24" i="3"/>
  <c r="U24" i="3"/>
  <c r="V24" i="3"/>
  <c r="L49" i="3"/>
  <c r="S49" i="3"/>
  <c r="R49" i="3" s="1"/>
  <c r="T49" i="3"/>
  <c r="U49" i="3"/>
  <c r="V49" i="3"/>
  <c r="L51" i="3"/>
  <c r="S51" i="3"/>
  <c r="R51" i="3" s="1"/>
  <c r="T51" i="3"/>
  <c r="U51" i="3"/>
  <c r="V51" i="3"/>
  <c r="L52" i="3"/>
  <c r="S52" i="3"/>
  <c r="R52" i="3" s="1"/>
  <c r="T52" i="3"/>
  <c r="U52" i="3"/>
  <c r="V52" i="3"/>
  <c r="P46" i="3"/>
  <c r="Q47" i="3"/>
  <c r="P47" i="3"/>
  <c r="Q45" i="3"/>
  <c r="P45" i="3"/>
  <c r="Q10" i="3"/>
  <c r="P10" i="3"/>
  <c r="Q31" i="3"/>
  <c r="P31" i="3"/>
  <c r="Q34" i="3"/>
  <c r="P50" i="3"/>
  <c r="P39" i="3"/>
  <c r="Q37" i="3"/>
  <c r="P36" i="3"/>
  <c r="Q24" i="3"/>
  <c r="P24" i="3"/>
  <c r="Q49" i="3"/>
  <c r="P49" i="3"/>
  <c r="Q51" i="3"/>
  <c r="P51" i="3"/>
  <c r="Q52" i="3"/>
  <c r="P52" i="3"/>
  <c r="Q39" i="3" l="1"/>
  <c r="Q36" i="3"/>
  <c r="P37" i="3"/>
  <c r="P34" i="3"/>
  <c r="Q50" i="3"/>
  <c r="Q46" i="3"/>
  <c r="L57" i="3"/>
  <c r="S57" i="3"/>
  <c r="R57" i="3" s="1"/>
  <c r="T57" i="3"/>
  <c r="U57" i="3"/>
  <c r="V57" i="3"/>
  <c r="V14" i="1" l="1"/>
  <c r="Q57" i="3"/>
  <c r="V13" i="1"/>
  <c r="P57" i="3"/>
  <c r="V30" i="3" l="1"/>
  <c r="V48" i="3"/>
  <c r="V28" i="3"/>
  <c r="V7" i="3"/>
  <c r="V17" i="3"/>
  <c r="V23" i="3"/>
  <c r="V43" i="3"/>
  <c r="V11" i="3"/>
  <c r="V55" i="3"/>
  <c r="V26" i="3"/>
  <c r="V21" i="3"/>
  <c r="V27" i="3"/>
  <c r="V20" i="3"/>
  <c r="V53" i="3"/>
  <c r="V8" i="3"/>
  <c r="V56" i="3"/>
  <c r="V41" i="3"/>
  <c r="V35" i="3"/>
  <c r="V22" i="3"/>
  <c r="V16" i="3"/>
  <c r="V12" i="3"/>
  <c r="V33" i="3"/>
  <c r="V9" i="3"/>
  <c r="V40" i="3"/>
  <c r="V54" i="3"/>
  <c r="V15" i="3"/>
  <c r="V18" i="3"/>
  <c r="V19" i="3"/>
  <c r="V29" i="3"/>
  <c r="V38" i="3"/>
  <c r="V44" i="3"/>
  <c r="V14" i="3"/>
  <c r="V25" i="3"/>
  <c r="V42" i="3"/>
  <c r="V32" i="3"/>
  <c r="V13" i="3"/>
  <c r="L21" i="3"/>
  <c r="L22" i="3"/>
  <c r="L26" i="3"/>
  <c r="L28" i="3"/>
  <c r="L12" i="3"/>
  <c r="L32" i="3"/>
  <c r="L27" i="3"/>
  <c r="L16" i="3"/>
  <c r="L44" i="3"/>
  <c r="L13" i="3"/>
  <c r="L48" i="3"/>
  <c r="L20" i="3"/>
  <c r="L53" i="3"/>
  <c r="L25" i="3"/>
  <c r="L17" i="3"/>
  <c r="L7" i="3"/>
  <c r="L9" i="3"/>
  <c r="L42" i="3"/>
  <c r="L8" i="3"/>
  <c r="L56" i="3"/>
  <c r="L55" i="3"/>
  <c r="L30" i="3"/>
  <c r="L41" i="3"/>
  <c r="L23" i="3"/>
  <c r="AF14" i="1" l="1"/>
  <c r="AF13" i="1"/>
  <c r="Q23" i="3" l="1"/>
  <c r="P41" i="3"/>
  <c r="S56" i="3"/>
  <c r="R56" i="3" s="1"/>
  <c r="T56" i="3"/>
  <c r="U56" i="3"/>
  <c r="S53" i="3"/>
  <c r="R53" i="3" s="1"/>
  <c r="T53" i="3"/>
  <c r="U53" i="3"/>
  <c r="S28" i="3"/>
  <c r="R28" i="3" s="1"/>
  <c r="T28" i="3"/>
  <c r="U28" i="3"/>
  <c r="S55" i="3"/>
  <c r="R55" i="3" s="1"/>
  <c r="T55" i="3"/>
  <c r="U55" i="3"/>
  <c r="S30" i="3"/>
  <c r="R30" i="3" s="1"/>
  <c r="T30" i="3"/>
  <c r="U30" i="3"/>
  <c r="S41" i="3"/>
  <c r="R41" i="3" s="1"/>
  <c r="T41" i="3"/>
  <c r="U41" i="3"/>
  <c r="S25" i="3"/>
  <c r="R25" i="3" s="1"/>
  <c r="T25" i="3"/>
  <c r="U25" i="3"/>
  <c r="P23" i="3"/>
  <c r="S23" i="3"/>
  <c r="R23" i="3" s="1"/>
  <c r="T23" i="3"/>
  <c r="U23" i="3"/>
  <c r="L18" i="3"/>
  <c r="S18" i="3"/>
  <c r="R18" i="3" s="1"/>
  <c r="T18" i="3"/>
  <c r="U18" i="3"/>
  <c r="L35" i="3"/>
  <c r="S35" i="3"/>
  <c r="R35" i="3" s="1"/>
  <c r="T35" i="3"/>
  <c r="U35" i="3"/>
  <c r="S16" i="3"/>
  <c r="R16" i="3" s="1"/>
  <c r="T16" i="3"/>
  <c r="U16" i="3"/>
  <c r="S44" i="3"/>
  <c r="R44" i="3" s="1"/>
  <c r="T44" i="3"/>
  <c r="U44" i="3"/>
  <c r="S9" i="3"/>
  <c r="R9" i="3" s="1"/>
  <c r="T9" i="3"/>
  <c r="U9" i="3"/>
  <c r="S42" i="3"/>
  <c r="R42" i="3" s="1"/>
  <c r="T42" i="3"/>
  <c r="U42" i="3"/>
  <c r="S13" i="3"/>
  <c r="R13" i="3" s="1"/>
  <c r="T13" i="3"/>
  <c r="U13" i="3"/>
  <c r="S26" i="3"/>
  <c r="R26" i="3" s="1"/>
  <c r="T26" i="3"/>
  <c r="U26" i="3"/>
  <c r="S8" i="3"/>
  <c r="R8" i="3" s="1"/>
  <c r="T8" i="3"/>
  <c r="U8" i="3"/>
  <c r="S48" i="3"/>
  <c r="R48" i="3" s="1"/>
  <c r="T48" i="3"/>
  <c r="U48" i="3"/>
  <c r="S20" i="3"/>
  <c r="R20" i="3" s="1"/>
  <c r="T20" i="3"/>
  <c r="U20" i="3"/>
  <c r="Q41" i="3" l="1"/>
  <c r="Q30" i="3"/>
  <c r="AG13" i="1"/>
  <c r="AG14" i="1"/>
  <c r="U29" i="3"/>
  <c r="U38" i="3"/>
  <c r="U43" i="3"/>
  <c r="U40" i="3"/>
  <c r="U54" i="3"/>
  <c r="U33" i="3"/>
  <c r="U15" i="3"/>
  <c r="U19" i="3"/>
  <c r="U11" i="3"/>
  <c r="U14" i="3"/>
  <c r="U21" i="3"/>
  <c r="U22" i="3"/>
  <c r="U12" i="3"/>
  <c r="U32" i="3"/>
  <c r="U27" i="3"/>
  <c r="U17" i="3"/>
  <c r="U7" i="3"/>
  <c r="Q18" i="3"/>
  <c r="AE13" i="1"/>
  <c r="AE14" i="1"/>
  <c r="P30" i="3" s="1"/>
  <c r="P18" i="3"/>
  <c r="L33" i="3"/>
  <c r="L40" i="3"/>
  <c r="L54" i="3"/>
  <c r="L15" i="3"/>
  <c r="L29" i="3"/>
  <c r="L11" i="3"/>
  <c r="L19" i="3"/>
  <c r="L38" i="3"/>
  <c r="L43" i="3"/>
  <c r="L14" i="3"/>
  <c r="S21" i="3"/>
  <c r="R21" i="3" s="1"/>
  <c r="T21" i="3"/>
  <c r="S40" i="3"/>
  <c r="R40" i="3" s="1"/>
  <c r="T40" i="3"/>
  <c r="Q16" i="3" l="1"/>
  <c r="Q21" i="3"/>
  <c r="Q40" i="3"/>
  <c r="P40" i="3"/>
  <c r="Q35" i="3"/>
  <c r="Q9" i="3"/>
  <c r="Q26" i="3"/>
  <c r="Q48" i="3"/>
  <c r="Q25" i="3"/>
  <c r="Q55" i="3"/>
  <c r="Q28" i="3"/>
  <c r="Q56" i="3" l="1"/>
  <c r="Q53" i="3"/>
  <c r="Q8" i="3"/>
  <c r="Q42" i="3"/>
  <c r="P21" i="3"/>
  <c r="P16" i="3"/>
  <c r="Q13" i="3"/>
  <c r="Q44" i="3"/>
  <c r="P13" i="3"/>
  <c r="P48" i="3"/>
  <c r="P44" i="3"/>
  <c r="P26" i="3"/>
  <c r="P35" i="3"/>
  <c r="Q20" i="3"/>
  <c r="Q7" i="3"/>
  <c r="Q29" i="3"/>
  <c r="Q11" i="3"/>
  <c r="Q54" i="3"/>
  <c r="Q38" i="3"/>
  <c r="P29" i="3"/>
  <c r="P11" i="3"/>
  <c r="P54" i="3"/>
  <c r="P38" i="3"/>
  <c r="P12" i="3"/>
  <c r="P20" i="3"/>
  <c r="P53" i="3"/>
  <c r="P8" i="3"/>
  <c r="P42" i="3"/>
  <c r="P55" i="3"/>
  <c r="P28" i="3"/>
  <c r="P17" i="3"/>
  <c r="P56" i="3" l="1"/>
  <c r="P25" i="3"/>
  <c r="P7" i="3"/>
  <c r="P9" i="3"/>
  <c r="P27" i="3"/>
  <c r="P32" i="3"/>
  <c r="P43" i="3"/>
  <c r="P15" i="3"/>
  <c r="P14" i="3"/>
  <c r="P22" i="3"/>
  <c r="P33" i="3"/>
  <c r="P19" i="3"/>
  <c r="M19" i="5"/>
  <c r="M18" i="5"/>
  <c r="T12" i="3"/>
  <c r="T19" i="3"/>
  <c r="T14" i="3"/>
  <c r="T33" i="3"/>
  <c r="T17" i="3"/>
  <c r="T7" i="3"/>
  <c r="T29" i="3"/>
  <c r="T27" i="3"/>
  <c r="T15" i="3"/>
  <c r="T22" i="3"/>
  <c r="T11" i="3"/>
  <c r="T43" i="3"/>
  <c r="T54" i="3"/>
  <c r="T38" i="3"/>
  <c r="T32" i="3"/>
  <c r="Q17" i="3" l="1"/>
  <c r="S27" i="3"/>
  <c r="R27" i="3" s="1"/>
  <c r="S14" i="3"/>
  <c r="R14" i="3" s="1"/>
  <c r="S15" i="3"/>
  <c r="R15" i="3" s="1"/>
  <c r="Q32" i="3" l="1"/>
  <c r="Q43" i="3"/>
  <c r="S17" i="3" l="1"/>
  <c r="R17" i="3" s="1"/>
  <c r="S43" i="3"/>
  <c r="R43" i="3" s="1"/>
  <c r="S54" i="3"/>
  <c r="R54" i="3" s="1"/>
  <c r="S22" i="3"/>
  <c r="R22" i="3" s="1"/>
  <c r="S7" i="3"/>
  <c r="R7" i="3" s="1"/>
  <c r="S29" i="3"/>
  <c r="R29" i="3" s="1"/>
  <c r="Q33" i="3" l="1"/>
  <c r="Q22" i="3"/>
  <c r="Q15" i="3"/>
  <c r="Q27" i="3"/>
  <c r="AD14" i="1" l="1"/>
  <c r="AD13" i="1"/>
  <c r="S11" i="3" l="1"/>
  <c r="R11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2" i="3" l="1"/>
  <c r="R32" i="3" s="1"/>
  <c r="S33" i="3"/>
  <c r="R33" i="3" s="1"/>
  <c r="S19" i="3"/>
  <c r="R19" i="3" s="1"/>
  <c r="S38" i="3"/>
  <c r="R38" i="3" s="1"/>
  <c r="S12" i="3"/>
  <c r="R12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12" i="3" l="1"/>
  <c r="Q1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4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<sst xmlns="http://schemas.openxmlformats.org/spreadsheetml/2006/main" count="1839" uniqueCount="588">
  <si>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</si>
  <si>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</si>
  <si>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</si>
  <si>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</si>
  <si>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</si>
  <si>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</si>
  <si>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</si>
  <si>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</si>
  <si>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</si>
  <si>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</si>
  <si>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</si>
  <si>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</si>
  <si>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</si>
  <si>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</si>
  <si>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</si>
  <si>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</si>
  <si>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</si>
  <si>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</si>
  <si>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</si>
  <si>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</si>
  <si>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</si>
  <si>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</si>
  <si>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</si>
  <si>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</si>
  <si>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</si>
  <si>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</si>
  <si>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</si>
  <si>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</si>
  <si>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</si>
  <si>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</si>
  <si>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</si>
  <si>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</si>
  <si>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</si>
  <si>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</si>
  <si>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</si>
  <si>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</si>
  <si>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</si>
  <si>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</si>
  <si>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</si>
  <si>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</si>
  <si>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</si>
  <si>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</si>
  <si>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</si>
  <si>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</si>
  <si>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</si>
  <si>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</si>
  <si>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</si>
  <si>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</si>
  <si>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</si>
  <si>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</si>
  <si>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</si>
  <si>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</si>
  <si>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</si>
  <si>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</si>
  <si>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</si>
  <si>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</si>
  <si>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</si>
  <si>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</si>
  <si>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</si>
  <si>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</si>
  <si>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</si>
  <si>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</si>
  <si>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</si>
  <si>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</si>
  <si>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</si>
  <si>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</si>
  <si>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</si>
  <si>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</si>
  <si>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</si>
  <si>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</si>
  <si>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</si>
  <si>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</si>
  <si>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</si>
  <si>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</si>
  <si>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</si>
  <si>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</si>
  <si>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</si>
  <si>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</si>
  <si>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</si>
  <si>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</si>
  <si>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</si>
  <si>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</si>
  <si>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</si>
  <si>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</si>
  <si>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</si>
  <si>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</si>
  <si>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</si>
  <si>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</si>
  <si>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</si>
  <si>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</si>
  <si>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</si>
  <si>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</si>
  <si>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</si>
  <si>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</si>
  <si>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</si>
  <si>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</si>
  <si>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</si>
  <si>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</si>
  <si>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</si>
  <si>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</si>
  <si>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</si>
  <si>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</si>
  <si>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</si>
  <si>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</si>
  <si>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</si>
  <si>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</si>
  <si>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</si>
  <si>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</si>
  <si>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</si>
  <si>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</si>
  <si>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</si>
  <si>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</si>
  <si>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</si>
  <si>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</si>
  <si>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</si>
  <si>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</si>
  <si>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</si>
  <si>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</si>
  <si>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</si>
  <si>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</si>
  <si>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</si>
  <si>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</si>
  <si>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</si>
  <si>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</si>
  <si>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</si>
  <si>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</si>
  <si>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</si>
  <si>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</si>
  <si>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</si>
  <si>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</si>
  <si>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</si>
  <si>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</si>
  <si>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</si>
  <si>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</si>
  <si>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</si>
  <si>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</si>
  <si>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</si>
  <si>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</si>
  <si>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</si>
  <si>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</si>
  <si>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</si>
  <si>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</si>
  <si>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</si>
  <si>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</si>
  <si>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</si>
  <si>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</si>
  <si>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</si>
  <si>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</si>
  <si>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</si>
  <si>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</si>
  <si>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</si>
  <si>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</si>
  <si>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</si>
  <si>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</si>
  <si>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</si>
  <si>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</si>
  <si>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</si>
  <si>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</si>
  <si>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</si>
  <si>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</si>
  <si>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</si>
  <si>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</si>
  <si>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</si>
  <si>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</si>
  <si>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</si>
  <si>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</si>
  <si>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</si>
  <si>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</si>
  <si>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</si>
  <si>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</si>
  <si>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</si>
  <si>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</si>
  <si>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</si>
  <si>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</si>
  <si>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</si>
  <si>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</si>
  <si>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</si>
  <si>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</si>
  <si>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</si>
  <si>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</si>
  <si>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</si>
  <si>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</si>
  <si>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</si>
  <si>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</si>
  <si>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</si>
  <si>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</si>
  <si>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</si>
  <si>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</si>
  <si>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</si>
  <si>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</si>
  <si>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</si>
  <si>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</si>
  <si>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</si>
  <si>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</si>
  <si>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</si>
  <si>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</si>
  <si>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</si>
  <si>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</si>
  <si>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</si>
  <si>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</si>
  <si>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</si>
  <si>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</si>
  <si>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</si>
  <si>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</si>
  <si>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204:232975</t>
  </si>
  <si>
    <t>204:232993</t>
  </si>
  <si>
    <t>Omit due to TWC &lt; 1</t>
  </si>
  <si>
    <t>Reactive Enforcement (3)</t>
  </si>
  <si>
    <t>204:232990</t>
  </si>
  <si>
    <t>204:447</t>
  </si>
  <si>
    <t>204:233312</t>
  </si>
  <si>
    <t>204:232994</t>
  </si>
  <si>
    <t>204:444</t>
  </si>
  <si>
    <t>204:233305</t>
  </si>
  <si>
    <t>204:438</t>
  </si>
  <si>
    <t>204:442</t>
  </si>
  <si>
    <t>rtdc.l.rtdc.4009:itc</t>
  </si>
  <si>
    <t>rtdc.l.rtdc.4010:itc</t>
  </si>
  <si>
    <t>204:233301</t>
  </si>
  <si>
    <t>204:232984</t>
  </si>
  <si>
    <t>204:163</t>
  </si>
  <si>
    <t>204:233284</t>
  </si>
  <si>
    <t>204:437</t>
  </si>
  <si>
    <t>204:477</t>
  </si>
  <si>
    <t>BRANNON</t>
  </si>
  <si>
    <t>SHOOK</t>
  </si>
  <si>
    <t>PTC Test Train</t>
  </si>
  <si>
    <t>Coats</t>
  </si>
  <si>
    <t>rtdc.l.rtdc.4041:itc</t>
  </si>
  <si>
    <t>Form C</t>
  </si>
  <si>
    <t>rtdc.l.rtdc.4006:itc</t>
  </si>
  <si>
    <t>220-12</t>
  </si>
  <si>
    <t>236-12</t>
  </si>
  <si>
    <t>228-12</t>
  </si>
  <si>
    <t>204:132</t>
  </si>
  <si>
    <t>204:141</t>
  </si>
  <si>
    <t>204:232989</t>
  </si>
  <si>
    <t>204:233304</t>
  </si>
  <si>
    <t>204:233289</t>
  </si>
  <si>
    <t>204:232961</t>
  </si>
  <si>
    <t>204:232963</t>
  </si>
  <si>
    <t>109-12</t>
  </si>
  <si>
    <t>110-12</t>
  </si>
  <si>
    <t>Onboard in-route failure</t>
  </si>
  <si>
    <t>204:233307</t>
  </si>
  <si>
    <t>204:233311</t>
  </si>
  <si>
    <t>204:233002</t>
  </si>
  <si>
    <t>204:129</t>
  </si>
  <si>
    <t>204:435</t>
  </si>
  <si>
    <t>204:233298</t>
  </si>
  <si>
    <t>204:232969</t>
  </si>
  <si>
    <t>204:233306</t>
  </si>
  <si>
    <t>204:232981</t>
  </si>
  <si>
    <t>204:170</t>
  </si>
  <si>
    <t>204:486</t>
  </si>
  <si>
    <t>204:233288</t>
  </si>
  <si>
    <t>204:232983</t>
  </si>
  <si>
    <t>204:233287</t>
  </si>
  <si>
    <t>204:232934</t>
  </si>
  <si>
    <t>204:233326</t>
  </si>
  <si>
    <t>204:232938</t>
  </si>
  <si>
    <t>204:232965</t>
  </si>
  <si>
    <t>204:475</t>
  </si>
  <si>
    <t>224-13</t>
  </si>
  <si>
    <t>204:232971</t>
  </si>
  <si>
    <t>226-13</t>
  </si>
  <si>
    <t>227-13</t>
  </si>
  <si>
    <t>228-13</t>
  </si>
  <si>
    <t>229-13</t>
  </si>
  <si>
    <t>204:233274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</si>
  <si>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</si>
  <si>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</si>
  <si>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</si>
  <si>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</si>
  <si>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</si>
  <si>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</si>
  <si>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</si>
  <si>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</si>
  <si>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</si>
  <si>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</si>
  <si>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</si>
  <si>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</si>
  <si>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</si>
  <si>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</si>
  <si>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</si>
  <si>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LEVIN</t>
  </si>
  <si>
    <t>107-14</t>
  </si>
  <si>
    <t>115-14</t>
  </si>
  <si>
    <t>116-14</t>
  </si>
  <si>
    <t>122-14</t>
  </si>
  <si>
    <t>120-14</t>
  </si>
  <si>
    <t>127-14</t>
  </si>
  <si>
    <t>119-14</t>
  </si>
  <si>
    <t>101-14</t>
  </si>
  <si>
    <t>103-14</t>
  </si>
  <si>
    <t>105-14</t>
  </si>
  <si>
    <t>109-14</t>
  </si>
  <si>
    <t>113-14</t>
  </si>
  <si>
    <t>108-14</t>
  </si>
  <si>
    <t>110-14</t>
  </si>
  <si>
    <t>114-14</t>
  </si>
  <si>
    <t>123-14</t>
  </si>
  <si>
    <t>129-14</t>
  </si>
  <si>
    <t>131-14</t>
  </si>
  <si>
    <t>133-14</t>
  </si>
  <si>
    <t>106-14</t>
  </si>
  <si>
    <t>111-14</t>
  </si>
  <si>
    <t>102-14</t>
  </si>
  <si>
    <t>104-14</t>
  </si>
  <si>
    <t>117-14</t>
  </si>
  <si>
    <t>121-14</t>
  </si>
  <si>
    <t>118-14</t>
  </si>
  <si>
    <t>125-14</t>
  </si>
  <si>
    <t>124-14</t>
  </si>
  <si>
    <t>Wi-MAX outage (DIA)</t>
  </si>
  <si>
    <t>Early arrival</t>
  </si>
  <si>
    <t>204:706</t>
  </si>
  <si>
    <t>204:233316</t>
  </si>
  <si>
    <t>204:232666</t>
  </si>
  <si>
    <t>204:768</t>
  </si>
  <si>
    <t>204:232662</t>
  </si>
  <si>
    <t>204:719</t>
  </si>
  <si>
    <t>204:232637</t>
  </si>
  <si>
    <t>204:364</t>
  </si>
  <si>
    <t>204:19129</t>
  </si>
  <si>
    <t>204:732</t>
  </si>
  <si>
    <t>204:775</t>
  </si>
  <si>
    <t>204:189</t>
  </si>
  <si>
    <t>204:759</t>
  </si>
  <si>
    <t>204:232979</t>
  </si>
  <si>
    <t>204:233270</t>
  </si>
  <si>
    <t>204:232940</t>
  </si>
  <si>
    <t>204:493</t>
  </si>
  <si>
    <t>204:232483</t>
  </si>
  <si>
    <t>128-14</t>
  </si>
  <si>
    <t>204:232985</t>
  </si>
  <si>
    <t>204:491</t>
  </si>
  <si>
    <t>130-14</t>
  </si>
  <si>
    <t>132-14</t>
  </si>
  <si>
    <t>204:231460</t>
  </si>
  <si>
    <t>134-14</t>
  </si>
  <si>
    <t>135-14</t>
  </si>
  <si>
    <t>204:233264</t>
  </si>
  <si>
    <t>136-14</t>
  </si>
  <si>
    <t>137-14</t>
  </si>
  <si>
    <t>204:440</t>
  </si>
  <si>
    <t>138-14</t>
  </si>
  <si>
    <t>139-14</t>
  </si>
  <si>
    <t>204:27381</t>
  </si>
  <si>
    <t>140-14</t>
  </si>
  <si>
    <t>204:2284</t>
  </si>
  <si>
    <t>141-14</t>
  </si>
  <si>
    <t>142-14</t>
  </si>
  <si>
    <t>143-14</t>
  </si>
  <si>
    <t>204:233242</t>
  </si>
  <si>
    <t>144-14</t>
  </si>
  <si>
    <t>204:232928</t>
  </si>
  <si>
    <t>145-14</t>
  </si>
  <si>
    <t>146-14</t>
  </si>
  <si>
    <t>147-14</t>
  </si>
  <si>
    <t>204:233293</t>
  </si>
  <si>
    <t>148-14</t>
  </si>
  <si>
    <t>204:232972</t>
  </si>
  <si>
    <t>149-14</t>
  </si>
  <si>
    <t>204:233263</t>
  </si>
  <si>
    <t>150-14</t>
  </si>
  <si>
    <t>151-14</t>
  </si>
  <si>
    <t>152-14</t>
  </si>
  <si>
    <t>204:1171</t>
  </si>
  <si>
    <t>153-14</t>
  </si>
  <si>
    <t>154-14</t>
  </si>
  <si>
    <t>155-14</t>
  </si>
  <si>
    <t>156-14</t>
  </si>
  <si>
    <t>157-14</t>
  </si>
  <si>
    <t>204:433</t>
  </si>
  <si>
    <t>158-14</t>
  </si>
  <si>
    <t>159-14</t>
  </si>
  <si>
    <t>204:1554</t>
  </si>
  <si>
    <t>160-14</t>
  </si>
  <si>
    <t>204:233013</t>
  </si>
  <si>
    <t>161-14</t>
  </si>
  <si>
    <t>162-14</t>
  </si>
  <si>
    <t>163-14</t>
  </si>
  <si>
    <t>164-14</t>
  </si>
  <si>
    <t>204:232991</t>
  </si>
  <si>
    <t>165-14</t>
  </si>
  <si>
    <t>166-14</t>
  </si>
  <si>
    <t>204:232978</t>
  </si>
  <si>
    <t>167-14</t>
  </si>
  <si>
    <t>168-14</t>
  </si>
  <si>
    <t>204:180</t>
  </si>
  <si>
    <t>169-14</t>
  </si>
  <si>
    <t>204:233268</t>
  </si>
  <si>
    <t>170-14</t>
  </si>
  <si>
    <t>204:325</t>
  </si>
  <si>
    <t>171-14</t>
  </si>
  <si>
    <t>172-14</t>
  </si>
  <si>
    <t>204:232964</t>
  </si>
  <si>
    <t>173-14</t>
  </si>
  <si>
    <t>204:19996</t>
  </si>
  <si>
    <t>204:233280</t>
  </si>
  <si>
    <t>174-14</t>
  </si>
  <si>
    <t>175-14</t>
  </si>
  <si>
    <t>204:233315</t>
  </si>
  <si>
    <t>176-14</t>
  </si>
  <si>
    <t>177-14</t>
  </si>
  <si>
    <t>178-14</t>
  </si>
  <si>
    <t>204:223853</t>
  </si>
  <si>
    <t>179-14</t>
  </si>
  <si>
    <t>181-14</t>
  </si>
  <si>
    <t>183-14</t>
  </si>
  <si>
    <t>204:19125</t>
  </si>
  <si>
    <t>204:233308</t>
  </si>
  <si>
    <t>204:923</t>
  </si>
  <si>
    <t>184-14</t>
  </si>
  <si>
    <t>204:35823</t>
  </si>
  <si>
    <t>185-14</t>
  </si>
  <si>
    <t>186-14</t>
  </si>
  <si>
    <t>187-14</t>
  </si>
  <si>
    <t>204:233338</t>
  </si>
  <si>
    <t>188-14</t>
  </si>
  <si>
    <t>204:233019</t>
  </si>
  <si>
    <t>189-14</t>
  </si>
  <si>
    <t>190-14</t>
  </si>
  <si>
    <t>204:56508</t>
  </si>
  <si>
    <t>191-14</t>
  </si>
  <si>
    <t>192-14</t>
  </si>
  <si>
    <t>196-14</t>
  </si>
  <si>
    <t>204:233017</t>
  </si>
  <si>
    <t>197-14</t>
  </si>
  <si>
    <t>204:449</t>
  </si>
  <si>
    <t>198-14</t>
  </si>
  <si>
    <t>199-14</t>
  </si>
  <si>
    <t>200-14</t>
  </si>
  <si>
    <t>201-14</t>
  </si>
  <si>
    <t>204:233355</t>
  </si>
  <si>
    <t>202-14</t>
  </si>
  <si>
    <t>204:233032</t>
  </si>
  <si>
    <t>203-14</t>
  </si>
  <si>
    <t>204:233282</t>
  </si>
  <si>
    <t>204-14</t>
  </si>
  <si>
    <t>205-14</t>
  </si>
  <si>
    <t>206-14</t>
  </si>
  <si>
    <t>209-14</t>
  </si>
  <si>
    <t>210-14</t>
  </si>
  <si>
    <t>211-14</t>
  </si>
  <si>
    <t>212-14</t>
  </si>
  <si>
    <t>213-14</t>
  </si>
  <si>
    <t>204:427</t>
  </si>
  <si>
    <t>214-14</t>
  </si>
  <si>
    <t>215-14</t>
  </si>
  <si>
    <t>216-14</t>
  </si>
  <si>
    <t>217-14</t>
  </si>
  <si>
    <t>218-14</t>
  </si>
  <si>
    <t>204:232164</t>
  </si>
  <si>
    <t>219-14</t>
  </si>
  <si>
    <t>220-14</t>
  </si>
  <si>
    <t>204:127866</t>
  </si>
  <si>
    <t>204:183</t>
  </si>
  <si>
    <t>204:157996</t>
  </si>
  <si>
    <t>221-14</t>
  </si>
  <si>
    <t>204:154416</t>
  </si>
  <si>
    <t>222-14</t>
  </si>
  <si>
    <t>223-14</t>
  </si>
  <si>
    <t>224-14</t>
  </si>
  <si>
    <t>225-14</t>
  </si>
  <si>
    <t>204:233286</t>
  </si>
  <si>
    <t>226-14</t>
  </si>
  <si>
    <t>204:232957</t>
  </si>
  <si>
    <t>227-14</t>
  </si>
  <si>
    <t>228-14</t>
  </si>
  <si>
    <t>229-14</t>
  </si>
  <si>
    <t>230-14</t>
  </si>
  <si>
    <t>231-14</t>
  </si>
  <si>
    <t>204:502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</si>
  <si>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</si>
  <si>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</si>
  <si>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</si>
  <si>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</si>
  <si>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</si>
  <si>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</si>
  <si>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</si>
  <si>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</si>
  <si>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</si>
  <si>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</si>
  <si>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</si>
  <si>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</si>
  <si>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</si>
  <si>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204:232950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</si>
  <si>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</si>
  <si>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</si>
  <si>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</si>
  <si>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</si>
  <si>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</si>
  <si>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</si>
  <si>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</si>
  <si>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</si>
  <si>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</si>
  <si>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</si>
  <si>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</si>
  <si>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</si>
  <si>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</si>
  <si>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</si>
  <si>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</si>
  <si>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</si>
  <si>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</si>
  <si>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</si>
  <si>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</si>
  <si>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</si>
  <si>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</si>
  <si>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</si>
  <si>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</si>
  <si>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</si>
  <si>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</si>
  <si>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</si>
  <si>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</si>
  <si>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</si>
  <si>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</si>
  <si>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</si>
  <si>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</si>
  <si>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</si>
  <si>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</si>
  <si>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</si>
  <si>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</si>
  <si>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</si>
  <si>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</si>
  <si>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</si>
  <si>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</si>
  <si>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</si>
  <si>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</si>
  <si>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</si>
  <si>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</si>
  <si>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</si>
  <si>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</si>
  <si>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</si>
  <si>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</si>
  <si>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235 hits</t>
  </si>
  <si>
    <t>2016-07-13 20:02:18.155 - 2016-07-15 08:02:18.155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</si>
  <si>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</si>
  <si>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</si>
  <si>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</si>
  <si>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</si>
  <si>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</si>
  <si>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</si>
  <si>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</si>
  <si>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</si>
  <si>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</si>
  <si>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</si>
  <si>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</si>
  <si>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</si>
  <si>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</si>
  <si>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PELLITIER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</si>
  <si>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</si>
  <si>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</si>
  <si>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</si>
  <si>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</si>
  <si>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</si>
  <si>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</si>
  <si>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</si>
  <si>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</si>
  <si>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</si>
  <si>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</si>
  <si>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</si>
  <si>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208-14</t>
  </si>
  <si>
    <t>194-14</t>
  </si>
  <si>
    <t>195-14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</si>
  <si>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</si>
  <si>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</si>
  <si>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</si>
  <si>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</si>
  <si>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</si>
  <si>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</si>
  <si>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</si>
  <si>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</si>
  <si>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</si>
  <si>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</si>
  <si>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</si>
  <si>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</si>
  <si>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</si>
  <si>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</si>
  <si>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</si>
  <si>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</si>
  <si>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</si>
  <si>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</si>
  <si>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DUS 4N was STOP</t>
  </si>
  <si>
    <t>DUS 2N was STOP, switch was against</t>
  </si>
  <si>
    <t>Wi-MAX outage</t>
  </si>
  <si>
    <t>CP 61st down from 19:25 to 19:48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</si>
</sst>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4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4"/>
  <sheetViews>
    <sheetView zoomScale="85" zoomScaleNormal="85" workbookViewId="0">
      <selection activeCell="R11" sqref="R1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103" hidden="1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03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5">
        <f>Variables!A2</f>
        <v>42564</v>
      </c>
      <c r="J2" s="116"/>
      <c r="K2" s="57"/>
      <c r="L2" s="57"/>
      <c r="M2" s="117" t="s">
        <v>8</v>
      </c>
      <c r="N2" s="118"/>
      <c r="O2" s="119"/>
      <c r="P2" s="2"/>
      <c r="U2" s="103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20" t="s">
        <v>10</v>
      </c>
      <c r="J3" s="121"/>
      <c r="K3" s="58"/>
      <c r="L3" s="58"/>
      <c r="M3" s="59" t="s">
        <v>11</v>
      </c>
      <c r="N3" s="60" t="s">
        <v>12</v>
      </c>
      <c r="O3" s="3" t="s">
        <v>13</v>
      </c>
      <c r="P3" s="2"/>
      <c r="U3" s="103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COUNT($N$13:$P$1730)</f>
        <v>139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03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COUNT($N$13:$N$1730)</f>
        <v>131</v>
      </c>
      <c r="K5" s="61"/>
      <c r="L5" s="61"/>
      <c r="M5" s="62">
        <f>AVERAGE($N$13:$N$730)</f>
        <v>42.303435113831988</v>
      </c>
      <c r="N5" s="60">
        <f>MIN($N$13:$N$730)</f>
        <v>35.283333335537463</v>
      </c>
      <c r="O5" s="3">
        <f>MAX($N$13:$N$730)</f>
        <v>55.000000001164153</v>
      </c>
      <c r="P5" s="2"/>
      <c r="U5" s="103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COUNT($O$13:$O$730)</f>
        <v>0</v>
      </c>
      <c r="K6" s="61"/>
      <c r="L6" s="61"/>
      <c r="M6" s="62">
        <f>IFERROR(AVERAGE($O$13:$O$730),0)</f>
        <v>0</v>
      </c>
      <c r="N6" s="60">
        <f>MIN($O$13:$O$730)</f>
        <v>0</v>
      </c>
      <c r="O6" s="3">
        <f>MAX($O$13:$O$730)</f>
        <v>0</v>
      </c>
      <c r="P6" s="2"/>
      <c r="U6" s="103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COUNT($P$13:$P$730)</f>
        <v>8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03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COUNT($N$13:$O$730)</f>
        <v>131</v>
      </c>
      <c r="K8" s="61"/>
      <c r="L8" s="61"/>
      <c r="M8" s="62">
        <f>AVERAGE($N$13:$P$730)</f>
        <v>41.563309351890183</v>
      </c>
      <c r="N8" s="60">
        <f>MIN($N$13:$O$730)</f>
        <v>35.283333335537463</v>
      </c>
      <c r="O8" s="3">
        <f>MAX($N$13:$O$730)</f>
        <v>55.000000001164153</v>
      </c>
      <c r="P8" s="2"/>
      <c r="U8" s="103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6">
        <f>J8/J4</f>
        <v>0.94244604316546765</v>
      </c>
      <c r="K9" s="63"/>
      <c r="L9" s="63"/>
      <c r="M9" s="55"/>
      <c r="N9" s="56"/>
      <c r="O9" s="2"/>
      <c r="P9" s="2"/>
      <c r="U9" s="103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03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4" t="str">
        <f>"Eagle P3 System Performance - "&amp;TEXT(Variables!A2,"yyyy-mm-dd")</f>
        <v>Eagle P3 System Performance - 2016-07-13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04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139</v>
      </c>
      <c r="AE12" s="73" t="s">
        <v>166</v>
      </c>
      <c r="AF12" s="73" t="s">
        <v>171</v>
      </c>
      <c r="AG12" s="4" t="s">
        <v>185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293</v>
      </c>
      <c r="B13" s="7">
        <v>4031</v>
      </c>
      <c r="C13" s="26" t="s">
        <v>59</v>
      </c>
      <c r="D13" s="26" t="s">
        <v>316</v>
      </c>
      <c r="E13" s="16">
        <v>42565.132349537038</v>
      </c>
      <c r="F13" s="16">
        <v>42565.133333333331</v>
      </c>
      <c r="G13" s="7">
        <v>1</v>
      </c>
      <c r="H13" s="16" t="s">
        <v>317</v>
      </c>
      <c r="I13" s="16">
        <v>42565.159791666665</v>
      </c>
      <c r="J13" s="7">
        <v>0</v>
      </c>
      <c r="K13" s="26" t="str">
        <f t="shared" ref="K13:K14" si="0">IF(ISEVEN(B13),(B13-1)&amp;"/"&amp;B13,B13&amp;"/"&amp;(B13+1))</f>
        <v>4031/4032</v>
      </c>
      <c r="L13" s="26" t="str">
        <f>VLOOKUP(A13,'Trips&amp;Operators'!$C$1:$E$10000,3,FALSE)</f>
        <v>BEAM</v>
      </c>
      <c r="M13" s="6">
        <f t="shared" ref="M13:M14" si="1">I13-F13</f>
        <v>2.6458333333721384E-2</v>
      </c>
      <c r="N13" s="7">
        <f t="shared" ref="N13:P76" si="2">24*60*SUM($M13:$M13)</f>
        <v>38.100000000558794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105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https://search-rtdc-monitor-bjffxe2xuh6vdkpspy63sjmuny.us-east-1.es.amazonaws.com/_plugin/kibana/#/discover/Steve-Slow-Train-Analysis-(2080s-and-2083s)?_g=(refreshInterval:(display:Off,section:0,value:0),time:(from:'2016-07-14 02:10:35-0600',mode:absolute,to:'2016-07-14 04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7.0599999999999996E-2</v>
      </c>
      <c r="Z13" s="97">
        <f t="shared" ref="Z13:Z14" si="7">RIGHT(H13,LEN(H13)-4)/10000</f>
        <v>23.331600000000002</v>
      </c>
      <c r="AA13" s="97">
        <f t="shared" ref="AA13:AA14" si="8">ABS(Z13-Y13)</f>
        <v>23.261000000000003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0101-14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/stypes="*4031*20160714*"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307</v>
      </c>
      <c r="B14" s="7">
        <v>4017</v>
      </c>
      <c r="C14" s="26" t="s">
        <v>59</v>
      </c>
      <c r="D14" s="26" t="s">
        <v>318</v>
      </c>
      <c r="E14" s="16">
        <v>42565.168009259258</v>
      </c>
      <c r="F14" s="16">
        <v>42565.168981481482</v>
      </c>
      <c r="G14" s="7">
        <v>1</v>
      </c>
      <c r="H14" s="16" t="s">
        <v>234</v>
      </c>
      <c r="I14" s="16">
        <v>42565.200011574074</v>
      </c>
      <c r="J14" s="7">
        <v>1</v>
      </c>
      <c r="K14" s="26" t="str">
        <f t="shared" si="0"/>
        <v>4017/4018</v>
      </c>
      <c r="L14" s="26" t="str">
        <f>VLOOKUP(A14,'Trips&amp;Operators'!$C$1:$E$10000,3,FALSE)</f>
        <v>BEAM</v>
      </c>
      <c r="M14" s="6">
        <f t="shared" si="1"/>
        <v>3.1030092592118308E-2</v>
      </c>
      <c r="N14" s="7">
        <f t="shared" si="2"/>
        <v>44.683333332650363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105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23.2666</v>
      </c>
      <c r="Z14" s="97">
        <f t="shared" si="7"/>
        <v>1.32E-2</v>
      </c>
      <c r="AA14" s="97">
        <f t="shared" si="8"/>
        <v>23.253399999999999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0102-14</v>
      </c>
      <c r="AE14" s="75" t="str">
        <f t="shared" si="10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4" s="75" t="str">
        <f t="shared" si="11"/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294</v>
      </c>
      <c r="B15" s="7">
        <v>4042</v>
      </c>
      <c r="C15" s="26" t="s">
        <v>59</v>
      </c>
      <c r="D15" s="26" t="s">
        <v>319</v>
      </c>
      <c r="E15" s="16">
        <v>42565.15284722222</v>
      </c>
      <c r="F15" s="16">
        <v>42565.154270833336</v>
      </c>
      <c r="G15" s="7">
        <v>2</v>
      </c>
      <c r="H15" s="16" t="s">
        <v>317</v>
      </c>
      <c r="I15" s="16">
        <v>42565.181898148148</v>
      </c>
      <c r="J15" s="7">
        <v>0</v>
      </c>
      <c r="K15" s="26" t="str">
        <f t="shared" ref="K15:K78" si="15">IF(ISEVEN(B15),(B15-1)&amp;"/"&amp;B15,B15&amp;"/"&amp;(B15+1))</f>
        <v>4041/4042</v>
      </c>
      <c r="L15" s="26" t="str">
        <f>VLOOKUP(A15,'Trips&amp;Operators'!$C$1:$E$10000,3,FALSE)</f>
        <v>SPECTOR</v>
      </c>
      <c r="M15" s="6">
        <f t="shared" ref="M15:M78" si="16">I15-F15</f>
        <v>2.7627314811979886E-2</v>
      </c>
      <c r="N15" s="7">
        <f t="shared" si="2"/>
        <v>39.783333329251036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105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https://search-rtdc-monitor-bjffxe2xuh6vdkpspy63sjmuny.us-east-1.es.amazonaws.com/_plugin/kibana/#/discover/Steve-Slow-Train-Analysis-(2080s-and-2083s)?_g=(refreshInterval:(display:Off,section:0,value:0),time:(from:'2016-07-14 02:40:06-0600',mode:absolute,to:'2016-07-14 05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4" t="str">
        <f t="shared" ref="W15:W78" si="20">IF(AA15&lt;23,"Y","N")</f>
        <v>N</v>
      </c>
      <c r="X15" s="100">
        <f t="shared" ref="X15:X78" si="21">VALUE(LEFT(A15,3))-VALUE(LEFT(A14,3))</f>
        <v>1</v>
      </c>
      <c r="Y15" s="97">
        <f t="shared" ref="Y15:Y78" si="22">RIGHT(D15,LEN(D15)-4)/10000</f>
        <v>7.6799999999999993E-2</v>
      </c>
      <c r="Z15" s="97">
        <f t="shared" ref="Z15:Z78" si="23">RIGHT(H15,LEN(H15)-4)/10000</f>
        <v>23.331600000000002</v>
      </c>
      <c r="AA15" s="97">
        <f t="shared" ref="AA15:AA78" si="24">ABS(Z15-Y15)</f>
        <v>23.254800000000003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 t="shared" ref="AD15:AD78" si="25">IF(LEN(A15)=6,"0"&amp;A15,A15)</f>
        <v>0103-14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/stypes="*4042*20160714*"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9" t="s">
        <v>308</v>
      </c>
      <c r="B16" s="7">
        <v>4043</v>
      </c>
      <c r="C16" s="26" t="s">
        <v>59</v>
      </c>
      <c r="D16" s="26" t="s">
        <v>320</v>
      </c>
      <c r="E16" s="16">
        <v>42565.189039351855</v>
      </c>
      <c r="F16" s="16">
        <v>42565.190092592595</v>
      </c>
      <c r="G16" s="7">
        <v>1</v>
      </c>
      <c r="H16" s="16" t="s">
        <v>193</v>
      </c>
      <c r="I16" s="16">
        <v>42565.222766203704</v>
      </c>
      <c r="J16" s="7">
        <v>0</v>
      </c>
      <c r="K16" s="26" t="str">
        <f t="shared" si="15"/>
        <v>4043/4044</v>
      </c>
      <c r="L16" s="26" t="str">
        <f>VLOOKUP(A16,'Trips&amp;Operators'!$C$1:$E$10000,3,FALSE)</f>
        <v>SPECTOR</v>
      </c>
      <c r="M16" s="6">
        <f t="shared" si="16"/>
        <v>3.2673611109203193E-2</v>
      </c>
      <c r="N16" s="7">
        <f t="shared" si="2"/>
        <v>47.049999997252598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105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03:32:13-0600',mode:absolute,to:'2016-07-14 06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" s="74" t="str">
        <f t="shared" si="20"/>
        <v>N</v>
      </c>
      <c r="X16" s="100">
        <f t="shared" si="21"/>
        <v>1</v>
      </c>
      <c r="Y16" s="97">
        <f t="shared" si="22"/>
        <v>23.266200000000001</v>
      </c>
      <c r="Z16" s="97">
        <f t="shared" si="23"/>
        <v>1.3899999999999999E-2</v>
      </c>
      <c r="AA16" s="97">
        <f t="shared" si="24"/>
        <v>23.252300000000002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 t="shared" si="25"/>
        <v>0104-14</v>
      </c>
      <c r="AE16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6" s="75" t="str">
        <f t="shared" si="27"/>
        <v>"C:\Program Files (x86)\AstroGrep\AstroGrep.exe" /spath="C:\Users\stu\Documents\Analysis\2016-02-23 RTDC Observations" /stypes="*4043*20160714*"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295</v>
      </c>
      <c r="B17" s="7">
        <v>4038</v>
      </c>
      <c r="C17" s="26" t="s">
        <v>59</v>
      </c>
      <c r="D17" s="26" t="s">
        <v>321</v>
      </c>
      <c r="E17" s="16">
        <v>42565.176261574074</v>
      </c>
      <c r="F17" s="16">
        <v>42565.177129629628</v>
      </c>
      <c r="G17" s="7">
        <v>1</v>
      </c>
      <c r="H17" s="16" t="s">
        <v>238</v>
      </c>
      <c r="I17" s="16">
        <v>42565.203576388885</v>
      </c>
      <c r="J17" s="7">
        <v>1</v>
      </c>
      <c r="K17" s="26" t="str">
        <f t="shared" si="15"/>
        <v>4037/4038</v>
      </c>
      <c r="L17" s="26" t="str">
        <f>VLOOKUP(A17,'Trips&amp;Operators'!$C$1:$E$10000,3,FALSE)</f>
        <v>MALAVE</v>
      </c>
      <c r="M17" s="6">
        <f t="shared" si="16"/>
        <v>2.6446759256941732E-2</v>
      </c>
      <c r="N17" s="7">
        <f t="shared" si="2"/>
        <v>38.083333329996094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105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" s="74" t="str">
        <f t="shared" si="20"/>
        <v>N</v>
      </c>
      <c r="X17" s="100">
        <f t="shared" si="21"/>
        <v>1</v>
      </c>
      <c r="Y17" s="97">
        <f t="shared" si="22"/>
        <v>7.1900000000000006E-2</v>
      </c>
      <c r="Z17" s="97">
        <f t="shared" si="23"/>
        <v>23.328900000000001</v>
      </c>
      <c r="AA17" s="97">
        <f t="shared" si="24"/>
        <v>23.257000000000001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 t="shared" si="25"/>
        <v>0105-14</v>
      </c>
      <c r="AE17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7" s="75" t="str">
        <f t="shared" si="27"/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305</v>
      </c>
      <c r="B18" s="7">
        <v>4019</v>
      </c>
      <c r="C18" s="26" t="s">
        <v>59</v>
      </c>
      <c r="D18" s="26" t="s">
        <v>322</v>
      </c>
      <c r="E18" s="16">
        <v>42565.214270833334</v>
      </c>
      <c r="F18" s="16">
        <v>42565.215509259258</v>
      </c>
      <c r="G18" s="7">
        <v>1</v>
      </c>
      <c r="H18" s="16" t="s">
        <v>247</v>
      </c>
      <c r="I18" s="16">
        <v>42565.243379629632</v>
      </c>
      <c r="J18" s="7">
        <v>0</v>
      </c>
      <c r="K18" s="26" t="str">
        <f t="shared" si="15"/>
        <v>4019/4020</v>
      </c>
      <c r="L18" s="26" t="str">
        <f>VLOOKUP(A18,'Trips&amp;Operators'!$C$1:$E$10000,3,FALSE)</f>
        <v>MALAVE</v>
      </c>
      <c r="M18" s="6">
        <f t="shared" si="16"/>
        <v>2.7870370373420883E-2</v>
      </c>
      <c r="N18" s="7">
        <f t="shared" si="2"/>
        <v>40.133333337726071</v>
      </c>
      <c r="O18" s="7"/>
      <c r="P18" s="7"/>
      <c r="Q18" s="27"/>
      <c r="R18" s="27"/>
      <c r="S18" s="45">
        <f t="shared" si="17"/>
        <v>1</v>
      </c>
      <c r="T18" s="69" t="str">
        <f t="shared" si="18"/>
        <v>Southbound</v>
      </c>
      <c r="U18" s="105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04:08:33-0600',mode:absolute,to:'2016-07-14 06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4" t="str">
        <f t="shared" si="20"/>
        <v>N</v>
      </c>
      <c r="X18" s="100">
        <f t="shared" si="21"/>
        <v>1</v>
      </c>
      <c r="Y18" s="97">
        <f t="shared" si="22"/>
        <v>23.2637</v>
      </c>
      <c r="Z18" s="97">
        <f t="shared" si="23"/>
        <v>1.29E-2</v>
      </c>
      <c r="AA18" s="97">
        <f t="shared" si="24"/>
        <v>23.250800000000002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 t="shared" si="25"/>
        <v>0106-14</v>
      </c>
      <c r="AE18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8" s="75" t="str">
        <f t="shared" si="27"/>
        <v>"C:\Program Files (x86)\AstroGrep\AstroGrep.exe" /spath="C:\Users\stu\Documents\Analysis\2016-02-23 RTDC Observations" /stypes="*4019*20160714*"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286</v>
      </c>
      <c r="B19" s="7">
        <v>4025</v>
      </c>
      <c r="C19" s="26" t="s">
        <v>59</v>
      </c>
      <c r="D19" s="26" t="s">
        <v>323</v>
      </c>
      <c r="E19" s="16">
        <v>42565.179907407408</v>
      </c>
      <c r="F19" s="16">
        <v>42565.181284722225</v>
      </c>
      <c r="G19" s="7">
        <v>1</v>
      </c>
      <c r="H19" s="16" t="s">
        <v>190</v>
      </c>
      <c r="I19" s="16">
        <v>42565.212997685187</v>
      </c>
      <c r="J19" s="7">
        <v>0</v>
      </c>
      <c r="K19" s="26" t="str">
        <f t="shared" si="15"/>
        <v>4025/4026</v>
      </c>
      <c r="L19" s="26" t="str">
        <f>VLOOKUP(A19,'Trips&amp;Operators'!$C$1:$E$10000,3,FALSE)</f>
        <v>SANTIZO</v>
      </c>
      <c r="M19" s="6">
        <f t="shared" si="16"/>
        <v>3.1712962962046731E-2</v>
      </c>
      <c r="N19" s="7">
        <f t="shared" si="2"/>
        <v>45.666666665347293</v>
      </c>
      <c r="O19" s="7"/>
      <c r="P19" s="7"/>
      <c r="Q19" s="27"/>
      <c r="R19" s="27"/>
      <c r="S19" s="45">
        <f t="shared" si="17"/>
        <v>1</v>
      </c>
      <c r="T19" s="69" t="str">
        <f t="shared" si="18"/>
        <v>NorthBound</v>
      </c>
      <c r="U19" s="105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03:19:04-0600',mode:absolute,to:'2016-07-14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" s="74" t="str">
        <f t="shared" si="20"/>
        <v>N</v>
      </c>
      <c r="X19" s="100">
        <f t="shared" si="21"/>
        <v>1</v>
      </c>
      <c r="Y19" s="97">
        <f t="shared" si="22"/>
        <v>3.6400000000000002E-2</v>
      </c>
      <c r="Z19" s="97">
        <f t="shared" si="23"/>
        <v>23.331</v>
      </c>
      <c r="AA19" s="97">
        <f t="shared" si="24"/>
        <v>23.294599999999999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 t="shared" si="25"/>
        <v>0107-14</v>
      </c>
      <c r="AE19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9" s="75" t="str">
        <f t="shared" si="27"/>
        <v>"C:\Program Files (x86)\AstroGrep\AstroGrep.exe" /spath="C:\Users\stu\Documents\Analysis\2016-02-23 RTDC Observations" /stypes="*4025*20160714*"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298</v>
      </c>
      <c r="B20" s="7">
        <v>4026</v>
      </c>
      <c r="C20" s="26" t="s">
        <v>59</v>
      </c>
      <c r="D20" s="26" t="s">
        <v>199</v>
      </c>
      <c r="E20" s="16">
        <v>42565.215763888889</v>
      </c>
      <c r="F20" s="16">
        <v>42565.224918981483</v>
      </c>
      <c r="G20" s="7">
        <v>13</v>
      </c>
      <c r="H20" s="16" t="s">
        <v>126</v>
      </c>
      <c r="I20" s="16">
        <v>42565.252118055556</v>
      </c>
      <c r="J20" s="7">
        <v>0</v>
      </c>
      <c r="K20" s="26" t="str">
        <f t="shared" si="15"/>
        <v>4025/4026</v>
      </c>
      <c r="L20" s="26" t="str">
        <f>VLOOKUP(A20,'Trips&amp;Operators'!$C$1:$E$10000,3,FALSE)</f>
        <v>SANTIZO</v>
      </c>
      <c r="M20" s="6">
        <f t="shared" si="16"/>
        <v>2.7199074072996154E-2</v>
      </c>
      <c r="N20" s="7">
        <f t="shared" si="2"/>
        <v>39.166666665114462</v>
      </c>
      <c r="O20" s="7"/>
      <c r="P20" s="7"/>
      <c r="Q20" s="27"/>
      <c r="R20" s="27"/>
      <c r="S20" s="45">
        <f t="shared" si="17"/>
        <v>1</v>
      </c>
      <c r="T20" s="69" t="str">
        <f t="shared" si="18"/>
        <v>Southbound</v>
      </c>
      <c r="U20" s="105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04:10:42-0600',mode:absolute,to:'2016-07-14 07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" s="74" t="str">
        <f t="shared" si="20"/>
        <v>N</v>
      </c>
      <c r="X20" s="100">
        <f t="shared" si="21"/>
        <v>1</v>
      </c>
      <c r="Y20" s="97">
        <f t="shared" si="22"/>
        <v>23.299800000000001</v>
      </c>
      <c r="Z20" s="97">
        <f t="shared" si="23"/>
        <v>1.5599999999999999E-2</v>
      </c>
      <c r="AA20" s="97">
        <f t="shared" si="24"/>
        <v>23.284200000000002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 t="shared" si="25"/>
        <v>0108-14</v>
      </c>
      <c r="AE20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20" s="75" t="str">
        <f t="shared" si="27"/>
        <v>"C:\Program Files (x86)\AstroGrep\AstroGrep.exe" /spath="C:\Users\stu\Documents\Analysis\2016-02-23 RTDC Observations" /stypes="*4026*20160714*"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296</v>
      </c>
      <c r="B21" s="7">
        <v>4040</v>
      </c>
      <c r="C21" s="26" t="s">
        <v>59</v>
      </c>
      <c r="D21" s="26" t="s">
        <v>324</v>
      </c>
      <c r="E21" s="16">
        <v>42565.201724537037</v>
      </c>
      <c r="F21" s="16">
        <v>42565.203055555554</v>
      </c>
      <c r="G21" s="7">
        <v>1</v>
      </c>
      <c r="H21" s="16" t="s">
        <v>200</v>
      </c>
      <c r="I21" s="16">
        <v>42565.223622685182</v>
      </c>
      <c r="J21" s="7">
        <v>1</v>
      </c>
      <c r="K21" s="26" t="str">
        <f t="shared" si="15"/>
        <v>4039/4040</v>
      </c>
      <c r="L21" s="26" t="str">
        <f>VLOOKUP(A21,'Trips&amp;Operators'!$C$1:$E$10000,3,FALSE)</f>
        <v>ROCHA</v>
      </c>
      <c r="M21" s="6">
        <f t="shared" si="16"/>
        <v>2.0567129628034309E-2</v>
      </c>
      <c r="N21" s="7"/>
      <c r="O21" s="7"/>
      <c r="P21" s="7">
        <f t="shared" si="2"/>
        <v>29.616666664369404</v>
      </c>
      <c r="Q21" s="27"/>
      <c r="R21" s="27" t="s">
        <v>243</v>
      </c>
      <c r="S21" s="45">
        <f t="shared" si="17"/>
        <v>1</v>
      </c>
      <c r="T21" s="69" t="str">
        <f t="shared" si="18"/>
        <v>NorthBound</v>
      </c>
      <c r="U21" s="105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74" t="str">
        <f t="shared" si="20"/>
        <v>Y</v>
      </c>
      <c r="X21" s="100">
        <f t="shared" si="21"/>
        <v>1</v>
      </c>
      <c r="Y21" s="97">
        <f t="shared" si="22"/>
        <v>1.9129</v>
      </c>
      <c r="Z21" s="97">
        <f t="shared" si="23"/>
        <v>23.331399999999999</v>
      </c>
      <c r="AA21" s="97">
        <f t="shared" si="24"/>
        <v>21.418499999999998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 t="shared" si="25"/>
        <v>0109-14</v>
      </c>
      <c r="AE21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1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296</v>
      </c>
      <c r="B22" s="7">
        <v>4040</v>
      </c>
      <c r="C22" s="26" t="s">
        <v>59</v>
      </c>
      <c r="D22" s="26" t="s">
        <v>183</v>
      </c>
      <c r="E22" s="16">
        <v>42565.192557870374</v>
      </c>
      <c r="F22" s="16">
        <v>42565.193680555552</v>
      </c>
      <c r="G22" s="7">
        <v>1</v>
      </c>
      <c r="H22" s="16" t="s">
        <v>200</v>
      </c>
      <c r="I22" s="16">
        <v>42565.223622685182</v>
      </c>
      <c r="J22" s="7">
        <v>1</v>
      </c>
      <c r="K22" s="26" t="str">
        <f t="shared" si="15"/>
        <v>4039/4040</v>
      </c>
      <c r="L22" s="26" t="str">
        <f>VLOOKUP(A22,'Trips&amp;Operators'!$C$1:$E$10000,3,FALSE)</f>
        <v>ROCHA</v>
      </c>
      <c r="M22" s="6">
        <f t="shared" si="16"/>
        <v>2.99421296294895E-2</v>
      </c>
      <c r="N22" s="7">
        <f t="shared" si="2"/>
        <v>43.11666666646488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105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2" s="74" t="str">
        <f t="shared" si="20"/>
        <v>N</v>
      </c>
      <c r="X22" s="100">
        <f t="shared" si="21"/>
        <v>0</v>
      </c>
      <c r="Y22" s="97">
        <f t="shared" si="22"/>
        <v>4.5499999999999999E-2</v>
      </c>
      <c r="Z22" s="97">
        <f t="shared" si="23"/>
        <v>23.331399999999999</v>
      </c>
      <c r="AA22" s="97">
        <f t="shared" si="24"/>
        <v>23.285899999999998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 t="shared" si="25"/>
        <v>0109-14</v>
      </c>
      <c r="AE22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2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296</v>
      </c>
      <c r="B23" s="7">
        <v>4040</v>
      </c>
      <c r="C23" s="26" t="s">
        <v>59</v>
      </c>
      <c r="D23" s="26" t="s">
        <v>183</v>
      </c>
      <c r="E23" s="16">
        <v>42565.192557870374</v>
      </c>
      <c r="F23" s="16">
        <v>42565.195185185185</v>
      </c>
      <c r="G23" s="7">
        <v>3</v>
      </c>
      <c r="H23" s="16" t="s">
        <v>200</v>
      </c>
      <c r="I23" s="16">
        <v>42565.223622685182</v>
      </c>
      <c r="J23" s="7">
        <v>1</v>
      </c>
      <c r="K23" s="26" t="str">
        <f t="shared" si="15"/>
        <v>4039/4040</v>
      </c>
      <c r="L23" s="26" t="str">
        <f>VLOOKUP(A23,'Trips&amp;Operators'!$C$1:$E$10000,3,FALSE)</f>
        <v>ROCHA</v>
      </c>
      <c r="M23" s="6">
        <f t="shared" si="16"/>
        <v>2.8437499997380655E-2</v>
      </c>
      <c r="N23" s="7">
        <f t="shared" si="2"/>
        <v>40.949999996228144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105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3" s="74" t="str">
        <f t="shared" si="20"/>
        <v>N</v>
      </c>
      <c r="X23" s="100">
        <f t="shared" si="21"/>
        <v>0</v>
      </c>
      <c r="Y23" s="97">
        <f t="shared" si="22"/>
        <v>4.5499999999999999E-2</v>
      </c>
      <c r="Z23" s="97">
        <f t="shared" si="23"/>
        <v>23.331399999999999</v>
      </c>
      <c r="AA23" s="97">
        <f t="shared" si="24"/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 t="shared" si="25"/>
        <v>0109-14</v>
      </c>
      <c r="AE2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3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299</v>
      </c>
      <c r="B24" s="7">
        <v>4039</v>
      </c>
      <c r="C24" s="26" t="s">
        <v>59</v>
      </c>
      <c r="D24" s="26" t="s">
        <v>219</v>
      </c>
      <c r="E24" s="16">
        <v>42565.235798611109</v>
      </c>
      <c r="F24" s="16">
        <v>42565.236759259256</v>
      </c>
      <c r="G24" s="7">
        <v>1</v>
      </c>
      <c r="H24" s="16" t="s">
        <v>187</v>
      </c>
      <c r="I24" s="16">
        <v>42565.262048611112</v>
      </c>
      <c r="J24" s="7">
        <v>1</v>
      </c>
      <c r="K24" s="26" t="str">
        <f t="shared" si="15"/>
        <v>4039/4040</v>
      </c>
      <c r="L24" s="26" t="str">
        <f>VLOOKUP(A24,'Trips&amp;Operators'!$C$1:$E$10000,3,FALSE)</f>
        <v>ROCHA</v>
      </c>
      <c r="M24" s="6">
        <f t="shared" si="16"/>
        <v>2.5289351855462883E-2</v>
      </c>
      <c r="N24" s="7">
        <f t="shared" si="2"/>
        <v>36.416666671866551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105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4" s="74" t="str">
        <f t="shared" si="20"/>
        <v>N</v>
      </c>
      <c r="X24" s="100">
        <f t="shared" si="21"/>
        <v>1</v>
      </c>
      <c r="Y24" s="97">
        <f t="shared" si="22"/>
        <v>23.298400000000001</v>
      </c>
      <c r="Z24" s="97">
        <f t="shared" si="23"/>
        <v>1.4999999999999999E-2</v>
      </c>
      <c r="AA24" s="97">
        <f t="shared" si="24"/>
        <v>23.2834</v>
      </c>
      <c r="AB24" s="94">
        <f>VLOOKUP(A24,Enforcements!$C$7:$J$23,8,0)</f>
        <v>21848</v>
      </c>
      <c r="AC24" s="90" t="str">
        <f>VLOOKUP(A24,Enforcements!$C$7:$E$23,3,0)</f>
        <v>PERMANENT SPEED RESTRICTION</v>
      </c>
      <c r="AD24" s="91" t="str">
        <f t="shared" si="25"/>
        <v>0110-14</v>
      </c>
      <c r="AE2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24" s="75" t="str">
        <f t="shared" si="27"/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306</v>
      </c>
      <c r="B25" s="7">
        <v>4031</v>
      </c>
      <c r="C25" s="26" t="s">
        <v>59</v>
      </c>
      <c r="D25" s="26" t="s">
        <v>325</v>
      </c>
      <c r="E25" s="16">
        <v>42565.203831018516</v>
      </c>
      <c r="F25" s="16">
        <v>42565.204965277779</v>
      </c>
      <c r="G25" s="7">
        <v>1</v>
      </c>
      <c r="H25" s="16" t="s">
        <v>190</v>
      </c>
      <c r="I25" s="16">
        <v>42565.234212962961</v>
      </c>
      <c r="J25" s="7">
        <v>0</v>
      </c>
      <c r="K25" s="26" t="str">
        <f t="shared" si="15"/>
        <v>4031/4032</v>
      </c>
      <c r="L25" s="26" t="str">
        <f>VLOOKUP(A25,'Trips&amp;Operators'!$C$1:$E$10000,3,FALSE)</f>
        <v>STARKS</v>
      </c>
      <c r="M25" s="6">
        <f t="shared" si="16"/>
        <v>2.9247685182781424E-2</v>
      </c>
      <c r="N25" s="7">
        <f t="shared" si="2"/>
        <v>42.116666663205251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NorthBound</v>
      </c>
      <c r="U25" s="105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03:53:31-0600',mode:absolute,to:'2016-07-14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5" s="74" t="str">
        <f t="shared" si="20"/>
        <v>N</v>
      </c>
      <c r="X25" s="100">
        <f t="shared" si="21"/>
        <v>1</v>
      </c>
      <c r="Y25" s="97">
        <f t="shared" si="22"/>
        <v>7.3200000000000001E-2</v>
      </c>
      <c r="Z25" s="97">
        <f t="shared" si="23"/>
        <v>23.331</v>
      </c>
      <c r="AA25" s="97">
        <f t="shared" si="24"/>
        <v>23.2578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 t="shared" si="25"/>
        <v>0111-14</v>
      </c>
      <c r="AE25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25" s="75" t="str">
        <f t="shared" si="27"/>
        <v>"C:\Program Files (x86)\AstroGrep\AstroGrep.exe" /spath="C:\Users\stu\Documents\Analysis\2016-02-23 RTDC Observations" /stypes="*4031*20160714*"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297</v>
      </c>
      <c r="B26" s="7">
        <v>4018</v>
      </c>
      <c r="C26" s="26" t="s">
        <v>59</v>
      </c>
      <c r="D26" s="26" t="s">
        <v>215</v>
      </c>
      <c r="E26" s="16">
        <v>42565.213541666664</v>
      </c>
      <c r="F26" s="16">
        <v>42565.214861111112</v>
      </c>
      <c r="G26" s="7">
        <v>1</v>
      </c>
      <c r="H26" s="16" t="s">
        <v>192</v>
      </c>
      <c r="I26" s="16">
        <v>42565.243125000001</v>
      </c>
      <c r="J26" s="7">
        <v>0</v>
      </c>
      <c r="K26" s="26" t="str">
        <f t="shared" si="15"/>
        <v>4017/4018</v>
      </c>
      <c r="L26" s="26" t="str">
        <f>VLOOKUP(A26,'Trips&amp;Operators'!$C$1:$E$10000,3,FALSE)</f>
        <v>BEAM</v>
      </c>
      <c r="M26" s="6">
        <f t="shared" si="16"/>
        <v>2.8263888889341615E-2</v>
      </c>
      <c r="N26" s="7">
        <f t="shared" si="2"/>
        <v>40.700000000651926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105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04:07:30-0600',mode:absolute,to:'2016-07-14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74" t="str">
        <f t="shared" si="20"/>
        <v>N</v>
      </c>
      <c r="X26" s="100">
        <f t="shared" si="21"/>
        <v>2</v>
      </c>
      <c r="Y26" s="97">
        <f t="shared" si="22"/>
        <v>4.4200000000000003E-2</v>
      </c>
      <c r="Z26" s="97">
        <f t="shared" si="23"/>
        <v>23.329699999999999</v>
      </c>
      <c r="AA26" s="97">
        <f t="shared" si="24"/>
        <v>23.285499999999999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 t="shared" si="25"/>
        <v>0113-14</v>
      </c>
      <c r="AE26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26" s="75" t="str">
        <f t="shared" si="27"/>
        <v>"C:\Program Files (x86)\AstroGrep\AstroGrep.exe" /spath="C:\Users\stu\Documents\Analysis\2016-02-23 RTDC Observations" /stypes="*4018*20160714*"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300</v>
      </c>
      <c r="B27" s="7">
        <v>4017</v>
      </c>
      <c r="C27" s="26" t="s">
        <v>59</v>
      </c>
      <c r="D27" s="26" t="s">
        <v>194</v>
      </c>
      <c r="E27" s="16">
        <v>42565.25167824074</v>
      </c>
      <c r="F27" s="16">
        <v>42565.252569444441</v>
      </c>
      <c r="G27" s="7">
        <v>1</v>
      </c>
      <c r="H27" s="16" t="s">
        <v>193</v>
      </c>
      <c r="I27" s="16">
        <v>42565.282476851855</v>
      </c>
      <c r="J27" s="7">
        <v>0</v>
      </c>
      <c r="K27" s="26" t="str">
        <f t="shared" si="15"/>
        <v>4017/4018</v>
      </c>
      <c r="L27" s="26" t="str">
        <f>VLOOKUP(A27,'Trips&amp;Operators'!$C$1:$E$10000,3,FALSE)</f>
        <v>BEAM</v>
      </c>
      <c r="M27" s="6">
        <f t="shared" si="16"/>
        <v>2.9907407413702458E-2</v>
      </c>
      <c r="N27" s="7">
        <f t="shared" si="2"/>
        <v>43.06666667573154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105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05:02:25-0600',mode:absolute,to:'2016-07-14 07:46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7" s="74" t="str">
        <f t="shared" si="20"/>
        <v>N</v>
      </c>
      <c r="X27" s="100">
        <f t="shared" si="21"/>
        <v>1</v>
      </c>
      <c r="Y27" s="97">
        <f t="shared" si="22"/>
        <v>23.2986</v>
      </c>
      <c r="Z27" s="97">
        <f t="shared" si="23"/>
        <v>1.3899999999999999E-2</v>
      </c>
      <c r="AA27" s="97">
        <f t="shared" si="24"/>
        <v>23.284700000000001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 t="shared" si="25"/>
        <v>0114-14</v>
      </c>
      <c r="AE27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27" s="75" t="str">
        <f t="shared" si="27"/>
        <v>"C:\Program Files (x86)\AstroGrep\AstroGrep.exe" /spath="C:\Users\stu\Documents\Analysis\2016-02-23 RTDC Observations" /stypes="*4017*20160714*"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287</v>
      </c>
      <c r="B28" s="7">
        <v>4042</v>
      </c>
      <c r="C28" s="26" t="s">
        <v>59</v>
      </c>
      <c r="D28" s="26" t="s">
        <v>326</v>
      </c>
      <c r="E28" s="16">
        <v>42565.225659722222</v>
      </c>
      <c r="F28" s="16">
        <v>42565.226759259262</v>
      </c>
      <c r="G28" s="7">
        <v>1</v>
      </c>
      <c r="H28" s="16" t="s">
        <v>210</v>
      </c>
      <c r="I28" s="16">
        <v>42565.253958333335</v>
      </c>
      <c r="J28" s="7">
        <v>0</v>
      </c>
      <c r="K28" s="26" t="str">
        <f t="shared" si="15"/>
        <v>4041/4042</v>
      </c>
      <c r="L28" s="26" t="str">
        <f>VLOOKUP(A28,'Trips&amp;Operators'!$C$1:$E$10000,3,FALSE)</f>
        <v>BRANNON</v>
      </c>
      <c r="M28" s="6">
        <f t="shared" si="16"/>
        <v>2.7199074072996154E-2</v>
      </c>
      <c r="N28" s="7">
        <f t="shared" si="2"/>
        <v>39.166666665114462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105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04:24:57-0600',mode:absolute,to:'2016-07-14 07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8" s="74" t="str">
        <f t="shared" si="20"/>
        <v>N</v>
      </c>
      <c r="X28" s="100">
        <f t="shared" si="21"/>
        <v>1</v>
      </c>
      <c r="Y28" s="97">
        <f t="shared" si="22"/>
        <v>7.7499999999999999E-2</v>
      </c>
      <c r="Z28" s="97">
        <f t="shared" si="23"/>
        <v>23.331199999999999</v>
      </c>
      <c r="AA28" s="97">
        <f t="shared" si="24"/>
        <v>23.253699999999998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 t="shared" si="25"/>
        <v>0115-14</v>
      </c>
      <c r="AE28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28" s="75" t="str">
        <f t="shared" si="27"/>
        <v>"C:\Program Files (x86)\AstroGrep\AstroGrep.exe" /spath="C:\Users\stu\Documents\Analysis\2016-02-23 RTDC Observations" /stypes="*4042*20160714*"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288</v>
      </c>
      <c r="B29" s="7">
        <v>4041</v>
      </c>
      <c r="C29" s="26" t="s">
        <v>59</v>
      </c>
      <c r="D29" s="26" t="s">
        <v>211</v>
      </c>
      <c r="E29" s="16">
        <v>42565.255011574074</v>
      </c>
      <c r="F29" s="16">
        <v>42565.255925925929</v>
      </c>
      <c r="G29" s="7">
        <v>1</v>
      </c>
      <c r="H29" s="16" t="s">
        <v>327</v>
      </c>
      <c r="I29" s="16">
        <v>42565.293229166666</v>
      </c>
      <c r="J29" s="7">
        <v>1</v>
      </c>
      <c r="K29" s="26" t="str">
        <f t="shared" si="15"/>
        <v>4041/4042</v>
      </c>
      <c r="L29" s="26" t="str">
        <f>VLOOKUP(A29,'Trips&amp;Operators'!$C$1:$E$10000,3,FALSE)</f>
        <v>BRANNON</v>
      </c>
      <c r="M29" s="6">
        <f t="shared" si="16"/>
        <v>3.7303240736946464E-2</v>
      </c>
      <c r="N29" s="7">
        <f t="shared" si="2"/>
        <v>53.716666661202908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105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9" s="74" t="str">
        <f t="shared" si="20"/>
        <v>N</v>
      </c>
      <c r="X29" s="100">
        <f t="shared" si="21"/>
        <v>1</v>
      </c>
      <c r="Y29" s="97">
        <f t="shared" si="22"/>
        <v>23.299399999999999</v>
      </c>
      <c r="Z29" s="97">
        <f t="shared" si="23"/>
        <v>1.89E-2</v>
      </c>
      <c r="AA29" s="97">
        <f t="shared" si="24"/>
        <v>23.2805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 t="shared" si="25"/>
        <v>0116-14</v>
      </c>
      <c r="AE29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29" s="75" t="str">
        <f t="shared" si="27"/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309</v>
      </c>
      <c r="B30" s="7">
        <v>4044</v>
      </c>
      <c r="C30" s="26" t="s">
        <v>59</v>
      </c>
      <c r="D30" s="26" t="s">
        <v>115</v>
      </c>
      <c r="E30" s="16">
        <v>42565.232152777775</v>
      </c>
      <c r="F30" s="16">
        <v>42565.233217592591</v>
      </c>
      <c r="G30" s="7">
        <v>1</v>
      </c>
      <c r="H30" s="16" t="s">
        <v>245</v>
      </c>
      <c r="I30" s="16">
        <v>42565.264085648145</v>
      </c>
      <c r="J30" s="7">
        <v>0</v>
      </c>
      <c r="K30" s="26" t="str">
        <f t="shared" si="15"/>
        <v>4043/4044</v>
      </c>
      <c r="L30" s="26" t="str">
        <f>VLOOKUP(A30,'Trips&amp;Operators'!$C$1:$E$10000,3,FALSE)</f>
        <v>SPECTOR</v>
      </c>
      <c r="M30" s="6">
        <f t="shared" si="16"/>
        <v>3.0868055553582963E-2</v>
      </c>
      <c r="N30" s="7">
        <f t="shared" si="2"/>
        <v>44.449999997159466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105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04:34:18-0600',mode:absolute,to:'2016-07-14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74" t="str">
        <f t="shared" si="20"/>
        <v>N</v>
      </c>
      <c r="X30" s="100">
        <f t="shared" si="21"/>
        <v>1</v>
      </c>
      <c r="Y30" s="97">
        <f t="shared" si="22"/>
        <v>4.5100000000000001E-2</v>
      </c>
      <c r="Z30" s="97">
        <f t="shared" si="23"/>
        <v>23.331099999999999</v>
      </c>
      <c r="AA30" s="97">
        <f t="shared" si="24"/>
        <v>23.285999999999998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 t="shared" si="25"/>
        <v>0117-14</v>
      </c>
      <c r="AE30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30" s="75" t="str">
        <f t="shared" si="27"/>
        <v>"C:\Program Files (x86)\AstroGrep\AstroGrep.exe" /spath="C:\Users\stu\Documents\Analysis\2016-02-23 RTDC Observations" /stypes="*4044*20160714*"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311</v>
      </c>
      <c r="B31" s="7">
        <v>4043</v>
      </c>
      <c r="C31" s="26" t="s">
        <v>59</v>
      </c>
      <c r="D31" s="26" t="s">
        <v>211</v>
      </c>
      <c r="E31" s="16">
        <v>42565.274687500001</v>
      </c>
      <c r="F31" s="16">
        <v>42565.275833333333</v>
      </c>
      <c r="G31" s="7">
        <v>1</v>
      </c>
      <c r="H31" s="16" t="s">
        <v>187</v>
      </c>
      <c r="I31" s="16">
        <v>42565.30505787037</v>
      </c>
      <c r="J31" s="7">
        <v>0</v>
      </c>
      <c r="K31" s="26" t="str">
        <f t="shared" si="15"/>
        <v>4043/4044</v>
      </c>
      <c r="L31" s="26" t="str">
        <f>VLOOKUP(A31,'Trips&amp;Operators'!$C$1:$E$10000,3,FALSE)</f>
        <v>SPECTOR</v>
      </c>
      <c r="M31" s="6">
        <f t="shared" si="16"/>
        <v>2.9224537036498077E-2</v>
      </c>
      <c r="N31" s="7">
        <f t="shared" si="2"/>
        <v>42.083333332557231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105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05:35:33-0600',mode:absolute,to:'2016-07-14 08:19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74" t="str">
        <f t="shared" si="20"/>
        <v>N</v>
      </c>
      <c r="X31" s="100">
        <f t="shared" si="21"/>
        <v>1</v>
      </c>
      <c r="Y31" s="97">
        <f t="shared" si="22"/>
        <v>23.299399999999999</v>
      </c>
      <c r="Z31" s="97">
        <f t="shared" si="23"/>
        <v>1.4999999999999999E-2</v>
      </c>
      <c r="AA31" s="97">
        <f t="shared" si="24"/>
        <v>23.284399999999998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 t="shared" si="25"/>
        <v>0118-14</v>
      </c>
      <c r="AE31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31" s="75" t="str">
        <f t="shared" si="27"/>
        <v>"C:\Program Files (x86)\AstroGrep\AstroGrep.exe" /spath="C:\Users\stu\Documents\Analysis\2016-02-23 RTDC Observations" /stypes="*4043*20160714*"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292</v>
      </c>
      <c r="B32" s="7">
        <v>4038</v>
      </c>
      <c r="C32" s="26" t="s">
        <v>59</v>
      </c>
      <c r="D32" s="26" t="s">
        <v>328</v>
      </c>
      <c r="E32" s="16">
        <v>42565.247719907406</v>
      </c>
      <c r="F32" s="16">
        <v>42565.249074074076</v>
      </c>
      <c r="G32" s="7">
        <v>1</v>
      </c>
      <c r="H32" s="16" t="s">
        <v>249</v>
      </c>
      <c r="I32" s="16">
        <v>42565.275335648148</v>
      </c>
      <c r="J32" s="7">
        <v>0</v>
      </c>
      <c r="K32" s="26" t="str">
        <f t="shared" si="15"/>
        <v>4037/4038</v>
      </c>
      <c r="L32" s="26" t="str">
        <f>VLOOKUP(A32,'Trips&amp;Operators'!$C$1:$E$10000,3,FALSE)</f>
        <v>MALAVE</v>
      </c>
      <c r="M32" s="6">
        <f t="shared" si="16"/>
        <v>2.626157407212304E-2</v>
      </c>
      <c r="N32" s="7">
        <f t="shared" si="2"/>
        <v>37.816666663857177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105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2" s="74" t="str">
        <f t="shared" si="20"/>
        <v>N</v>
      </c>
      <c r="X32" s="100">
        <f t="shared" si="21"/>
        <v>1</v>
      </c>
      <c r="Y32" s="97">
        <f t="shared" si="22"/>
        <v>7.5899999999999995E-2</v>
      </c>
      <c r="Z32" s="97">
        <f t="shared" si="23"/>
        <v>23.329799999999999</v>
      </c>
      <c r="AA32" s="97">
        <f t="shared" si="24"/>
        <v>23.253899999999998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 t="shared" si="25"/>
        <v>0119-14</v>
      </c>
      <c r="AE32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32" s="75" t="str">
        <f t="shared" si="27"/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290</v>
      </c>
      <c r="B33" s="7">
        <v>4037</v>
      </c>
      <c r="C33" s="26" t="s">
        <v>59</v>
      </c>
      <c r="D33" s="26" t="s">
        <v>329</v>
      </c>
      <c r="E33" s="16">
        <v>42565.287314814814</v>
      </c>
      <c r="F33" s="16">
        <v>42565.288483796299</v>
      </c>
      <c r="G33" s="7">
        <v>1</v>
      </c>
      <c r="H33" s="16" t="s">
        <v>111</v>
      </c>
      <c r="I33" s="16">
        <v>42565.31490740741</v>
      </c>
      <c r="J33" s="7">
        <v>1</v>
      </c>
      <c r="K33" s="26" t="str">
        <f t="shared" si="15"/>
        <v>4037/4038</v>
      </c>
      <c r="L33" s="26" t="str">
        <f>VLOOKUP(A33,'Trips&amp;Operators'!$C$1:$E$10000,3,FALSE)</f>
        <v>MALAVE</v>
      </c>
      <c r="M33" s="6">
        <f t="shared" si="16"/>
        <v>2.6423611110658385E-2</v>
      </c>
      <c r="N33" s="7">
        <f t="shared" si="2"/>
        <v>38.049999999348074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105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3" s="74" t="str">
        <f t="shared" si="20"/>
        <v>N</v>
      </c>
      <c r="X33" s="100">
        <f t="shared" si="21"/>
        <v>1</v>
      </c>
      <c r="Y33" s="97">
        <f t="shared" si="22"/>
        <v>23.297899999999998</v>
      </c>
      <c r="Z33" s="97">
        <f t="shared" si="23"/>
        <v>1.43E-2</v>
      </c>
      <c r="AA33" s="97">
        <f t="shared" si="24"/>
        <v>23.2836</v>
      </c>
      <c r="AB33" s="94" t="e">
        <f>VLOOKUP(A33,Enforcements!$C$7:$J$23,8,0)</f>
        <v>#N/A</v>
      </c>
      <c r="AC33" s="90" t="e">
        <f>VLOOKUP(A33,Enforcements!$C$7:$E$23,3,0)</f>
        <v>#N/A</v>
      </c>
      <c r="AD33" s="91" t="str">
        <f t="shared" si="25"/>
        <v>0120-14</v>
      </c>
      <c r="AE33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33" s="75" t="str">
        <f t="shared" si="27"/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310</v>
      </c>
      <c r="B34" s="7">
        <v>4025</v>
      </c>
      <c r="C34" s="26" t="s">
        <v>59</v>
      </c>
      <c r="D34" s="26" t="s">
        <v>214</v>
      </c>
      <c r="E34" s="16">
        <v>42565.256793981483</v>
      </c>
      <c r="F34" s="16">
        <v>42565.257604166669</v>
      </c>
      <c r="G34" s="7">
        <v>1</v>
      </c>
      <c r="H34" s="16" t="s">
        <v>330</v>
      </c>
      <c r="I34" s="16">
        <v>42565.285219907404</v>
      </c>
      <c r="J34" s="7">
        <v>1</v>
      </c>
      <c r="K34" s="26" t="str">
        <f t="shared" si="15"/>
        <v>4025/4026</v>
      </c>
      <c r="L34" s="26" t="str">
        <f>VLOOKUP(A34,'Trips&amp;Operators'!$C$1:$E$10000,3,FALSE)</f>
        <v>SANTIZO</v>
      </c>
      <c r="M34" s="6">
        <f t="shared" si="16"/>
        <v>2.7615740735200234E-2</v>
      </c>
      <c r="N34" s="7">
        <f t="shared" si="2"/>
        <v>39.766666658688337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105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4" s="74" t="str">
        <f t="shared" si="20"/>
        <v>N</v>
      </c>
      <c r="X34" s="100">
        <f t="shared" si="21"/>
        <v>1</v>
      </c>
      <c r="Y34" s="97">
        <f t="shared" si="22"/>
        <v>4.3799999999999999E-2</v>
      </c>
      <c r="Z34" s="97">
        <f t="shared" si="23"/>
        <v>23.327000000000002</v>
      </c>
      <c r="AA34" s="97">
        <f t="shared" si="24"/>
        <v>23.283200000000001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 t="shared" si="25"/>
        <v>0121-14</v>
      </c>
      <c r="AE34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34" s="75" t="str">
        <f t="shared" si="27"/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289</v>
      </c>
      <c r="B35" s="7">
        <v>4026</v>
      </c>
      <c r="C35" s="26" t="s">
        <v>59</v>
      </c>
      <c r="D35" s="26" t="s">
        <v>331</v>
      </c>
      <c r="E35" s="16">
        <v>42565.286782407406</v>
      </c>
      <c r="F35" s="16">
        <v>42565.287569444445</v>
      </c>
      <c r="G35" s="7">
        <v>1</v>
      </c>
      <c r="H35" s="16" t="s">
        <v>141</v>
      </c>
      <c r="I35" s="16">
        <v>42565.324571759258</v>
      </c>
      <c r="J35" s="7">
        <v>0</v>
      </c>
      <c r="K35" s="26" t="str">
        <f t="shared" si="15"/>
        <v>4025/4026</v>
      </c>
      <c r="L35" s="26" t="str">
        <f>VLOOKUP(A35,'Trips&amp;Operators'!$C$1:$E$10000,3,FALSE)</f>
        <v>SANTIZO</v>
      </c>
      <c r="M35" s="6">
        <f t="shared" si="16"/>
        <v>3.7002314813435078E-2</v>
      </c>
      <c r="N35" s="7">
        <f t="shared" si="2"/>
        <v>53.283333331346512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105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05:52:58-0600',mode:absolute,to:'2016-07-14 08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5" s="74" t="str">
        <f t="shared" si="20"/>
        <v>N</v>
      </c>
      <c r="X35" s="100">
        <f t="shared" si="21"/>
        <v>1</v>
      </c>
      <c r="Y35" s="97">
        <f t="shared" si="22"/>
        <v>23.294</v>
      </c>
      <c r="Z35" s="97">
        <f t="shared" si="23"/>
        <v>1.61E-2</v>
      </c>
      <c r="AA35" s="97">
        <f t="shared" si="24"/>
        <v>23.277899999999999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 t="shared" si="25"/>
        <v>0122-14</v>
      </c>
      <c r="AE35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35" s="75" t="str">
        <f t="shared" si="27"/>
        <v>"C:\Program Files (x86)\AstroGrep\AstroGrep.exe" /spath="C:\Users\stu\Documents\Analysis\2016-02-23 RTDC Observations" /stypes="*4026*20160714*"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301</v>
      </c>
      <c r="B36" s="7">
        <v>4040</v>
      </c>
      <c r="C36" s="26" t="s">
        <v>59</v>
      </c>
      <c r="D36" s="26" t="s">
        <v>332</v>
      </c>
      <c r="E36" s="16">
        <v>42565.269583333335</v>
      </c>
      <c r="F36" s="16">
        <v>42565.270289351851</v>
      </c>
      <c r="G36" s="7">
        <v>1</v>
      </c>
      <c r="H36" s="16" t="s">
        <v>174</v>
      </c>
      <c r="I36" s="16">
        <v>42565.296944444446</v>
      </c>
      <c r="J36" s="7">
        <v>0</v>
      </c>
      <c r="K36" s="26" t="str">
        <f t="shared" si="15"/>
        <v>4039/4040</v>
      </c>
      <c r="L36" s="26" t="str">
        <f>VLOOKUP(A36,'Trips&amp;Operators'!$C$1:$E$10000,3,FALSE)</f>
        <v>ROCHA</v>
      </c>
      <c r="M36" s="6">
        <f t="shared" si="16"/>
        <v>2.6655092595319729E-2</v>
      </c>
      <c r="N36" s="7">
        <f t="shared" si="2"/>
        <v>38.38333333726041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105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05:28:12-0600',mode:absolute,to:'2016-07-14 08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6" s="74" t="str">
        <f t="shared" si="20"/>
        <v>N</v>
      </c>
      <c r="X36" s="100">
        <f t="shared" si="21"/>
        <v>1</v>
      </c>
      <c r="Y36" s="97">
        <f t="shared" si="22"/>
        <v>4.9299999999999997E-2</v>
      </c>
      <c r="Z36" s="97">
        <f t="shared" si="23"/>
        <v>23.3291</v>
      </c>
      <c r="AA36" s="97">
        <f t="shared" si="24"/>
        <v>23.279800000000002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 t="shared" si="25"/>
        <v>0123-14</v>
      </c>
      <c r="AE36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36" s="75" t="str">
        <f t="shared" si="27"/>
        <v>"C:\Program Files (x86)\AstroGrep\AstroGrep.exe" /spath="C:\Users\stu\Documents\Analysis\2016-02-23 RTDC Observations" /stypes="*4040*20160714*"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313</v>
      </c>
      <c r="B37" s="7">
        <v>4039</v>
      </c>
      <c r="C37" s="26" t="s">
        <v>59</v>
      </c>
      <c r="D37" s="26" t="s">
        <v>333</v>
      </c>
      <c r="E37" s="16">
        <v>42565.308599537035</v>
      </c>
      <c r="F37" s="16">
        <v>42565.310266203705</v>
      </c>
      <c r="G37" s="7">
        <v>2</v>
      </c>
      <c r="H37" s="16" t="s">
        <v>198</v>
      </c>
      <c r="I37" s="16">
        <v>42565.335381944446</v>
      </c>
      <c r="J37" s="7">
        <v>0</v>
      </c>
      <c r="K37" s="26" t="str">
        <f t="shared" si="15"/>
        <v>4039/4040</v>
      </c>
      <c r="L37" s="26" t="str">
        <f>VLOOKUP(A37,'Trips&amp;Operators'!$C$1:$E$10000,3,FALSE)</f>
        <v>ROCHA</v>
      </c>
      <c r="M37" s="6">
        <f t="shared" si="16"/>
        <v>2.5115740740147885E-2</v>
      </c>
      <c r="N37" s="7">
        <f t="shared" si="2"/>
        <v>36.166666665812954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105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06:24:23-0600',mode:absolute,to:'2016-07-14 09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7" s="74" t="str">
        <f t="shared" si="20"/>
        <v>N</v>
      </c>
      <c r="X37" s="100">
        <f t="shared" si="21"/>
        <v>1</v>
      </c>
      <c r="Y37" s="97">
        <f t="shared" si="22"/>
        <v>23.2483</v>
      </c>
      <c r="Z37" s="97">
        <f t="shared" si="23"/>
        <v>1.47E-2</v>
      </c>
      <c r="AA37" s="97">
        <f t="shared" si="24"/>
        <v>23.233599999999999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 t="shared" si="25"/>
        <v>0124-14</v>
      </c>
      <c r="AE37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37" s="75" t="str">
        <f t="shared" si="27"/>
        <v>"C:\Program Files (x86)\AstroGrep\AstroGrep.exe" /spath="C:\Users\stu\Documents\Analysis\2016-02-23 RTDC Observations" /stypes="*4039*20160714*"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312</v>
      </c>
      <c r="B38" s="7">
        <v>4031</v>
      </c>
      <c r="C38" s="26" t="s">
        <v>59</v>
      </c>
      <c r="D38" s="26" t="s">
        <v>184</v>
      </c>
      <c r="E38" s="16">
        <v>42565.277731481481</v>
      </c>
      <c r="F38" s="16">
        <v>42565.278969907406</v>
      </c>
      <c r="G38" s="7">
        <v>1</v>
      </c>
      <c r="H38" s="16" t="s">
        <v>238</v>
      </c>
      <c r="I38" s="16">
        <v>42565.306527777779</v>
      </c>
      <c r="J38" s="7">
        <v>0</v>
      </c>
      <c r="K38" s="26" t="str">
        <f t="shared" si="15"/>
        <v>4031/4032</v>
      </c>
      <c r="L38" s="26" t="str">
        <f>VLOOKUP(A38,'Trips&amp;Operators'!$C$1:$E$10000,3,FALSE)</f>
        <v>STARKS</v>
      </c>
      <c r="M38" s="6">
        <f t="shared" si="16"/>
        <v>2.7557870373129845E-2</v>
      </c>
      <c r="N38" s="7">
        <f t="shared" si="2"/>
        <v>39.683333337306976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105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05:39:56-0600',mode:absolute,to:'2016-07-14 08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8" s="74" t="str">
        <f t="shared" si="20"/>
        <v>N</v>
      </c>
      <c r="X38" s="100">
        <f t="shared" si="21"/>
        <v>1</v>
      </c>
      <c r="Y38" s="97">
        <f t="shared" si="22"/>
        <v>4.6899999999999997E-2</v>
      </c>
      <c r="Z38" s="97">
        <f t="shared" si="23"/>
        <v>23.328900000000001</v>
      </c>
      <c r="AA38" s="97">
        <f t="shared" si="24"/>
        <v>23.282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 t="shared" si="25"/>
        <v>0125-14</v>
      </c>
      <c r="AE38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38" s="75" t="str">
        <f t="shared" si="27"/>
        <v>"C:\Program Files (x86)\AstroGrep\AstroGrep.exe" /spath="C:\Users\stu\Documents\Analysis\2016-02-23 RTDC Observations" /stypes="*4031*20160714*"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291</v>
      </c>
      <c r="B39" s="7">
        <v>4018</v>
      </c>
      <c r="C39" s="26" t="s">
        <v>59</v>
      </c>
      <c r="D39" s="26" t="s">
        <v>188</v>
      </c>
      <c r="E39" s="16">
        <v>42565.28733796296</v>
      </c>
      <c r="F39" s="16">
        <v>42565.288576388892</v>
      </c>
      <c r="G39" s="7">
        <v>1</v>
      </c>
      <c r="H39" s="16" t="s">
        <v>174</v>
      </c>
      <c r="I39" s="16">
        <v>42565.316296296296</v>
      </c>
      <c r="J39" s="7">
        <v>1</v>
      </c>
      <c r="K39" s="26" t="str">
        <f t="shared" si="15"/>
        <v>4017/4018</v>
      </c>
      <c r="L39" s="26" t="str">
        <f>VLOOKUP(A39,'Trips&amp;Operators'!$C$1:$E$10000,3,FALSE)</f>
        <v>BEAM</v>
      </c>
      <c r="M39" s="6">
        <f t="shared" si="16"/>
        <v>2.7719907404389232E-2</v>
      </c>
      <c r="N39" s="7">
        <f t="shared" si="2"/>
        <v>39.916666662320495</v>
      </c>
      <c r="O39" s="7"/>
      <c r="P39" s="7"/>
      <c r="Q39" s="27"/>
      <c r="R39" s="27"/>
      <c r="S39" s="45">
        <f t="shared" si="17"/>
        <v>1</v>
      </c>
      <c r="T39" s="69" t="str">
        <f t="shared" si="18"/>
        <v>NorthBound</v>
      </c>
      <c r="U39" s="105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9" s="74" t="str">
        <f t="shared" si="20"/>
        <v>N</v>
      </c>
      <c r="X39" s="100">
        <f t="shared" si="21"/>
        <v>2</v>
      </c>
      <c r="Y39" s="97">
        <f t="shared" si="22"/>
        <v>4.6399999999999997E-2</v>
      </c>
      <c r="Z39" s="97">
        <f t="shared" si="23"/>
        <v>23.3291</v>
      </c>
      <c r="AA39" s="97">
        <f t="shared" si="24"/>
        <v>23.282700000000002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 t="shared" si="25"/>
        <v>0127-14</v>
      </c>
      <c r="AE39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39" s="75" t="str">
        <f t="shared" si="27"/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334</v>
      </c>
      <c r="B40" s="7">
        <v>4017</v>
      </c>
      <c r="C40" s="26" t="s">
        <v>59</v>
      </c>
      <c r="D40" s="26" t="s">
        <v>335</v>
      </c>
      <c r="E40" s="16">
        <v>42565.328136574077</v>
      </c>
      <c r="F40" s="16">
        <v>42565.328831018516</v>
      </c>
      <c r="G40" s="7">
        <v>0</v>
      </c>
      <c r="H40" s="16" t="s">
        <v>187</v>
      </c>
      <c r="I40" s="16">
        <v>42565.356215277781</v>
      </c>
      <c r="J40" s="7">
        <v>1</v>
      </c>
      <c r="K40" s="26" t="str">
        <f t="shared" si="15"/>
        <v>4017/4018</v>
      </c>
      <c r="L40" s="26" t="str">
        <f>VLOOKUP(A40,'Trips&amp;Operators'!$C$1:$E$10000,3,FALSE)</f>
        <v>BEAM</v>
      </c>
      <c r="M40" s="6">
        <f t="shared" si="16"/>
        <v>2.7384259265090805E-2</v>
      </c>
      <c r="N40" s="7">
        <f t="shared" si="2"/>
        <v>39.433333341730759</v>
      </c>
      <c r="O40" s="7"/>
      <c r="P40" s="7"/>
      <c r="Q40" s="27"/>
      <c r="R40" s="27"/>
      <c r="S40" s="45">
        <f t="shared" si="17"/>
        <v>1</v>
      </c>
      <c r="T40" s="69" t="str">
        <f t="shared" si="18"/>
        <v>Southbound</v>
      </c>
      <c r="U40" s="105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0" s="74" t="str">
        <f t="shared" si="20"/>
        <v>N</v>
      </c>
      <c r="X40" s="100">
        <f t="shared" si="21"/>
        <v>1</v>
      </c>
      <c r="Y40" s="97">
        <f t="shared" si="22"/>
        <v>23.298500000000001</v>
      </c>
      <c r="Z40" s="97">
        <f t="shared" si="23"/>
        <v>1.4999999999999999E-2</v>
      </c>
      <c r="AA40" s="97">
        <f t="shared" si="24"/>
        <v>23.2835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 t="shared" si="25"/>
        <v>0128-14</v>
      </c>
      <c r="AE4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40" s="75" t="str">
        <f t="shared" si="27"/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302</v>
      </c>
      <c r="B41" s="7">
        <v>4042</v>
      </c>
      <c r="C41" s="26" t="s">
        <v>59</v>
      </c>
      <c r="D41" s="26" t="s">
        <v>336</v>
      </c>
      <c r="E41" s="16">
        <v>42565.294618055559</v>
      </c>
      <c r="F41" s="16">
        <v>42565.295555555553</v>
      </c>
      <c r="G41" s="7">
        <v>1</v>
      </c>
      <c r="H41" s="16" t="s">
        <v>174</v>
      </c>
      <c r="I41" s="16">
        <v>42565.326631944445</v>
      </c>
      <c r="J41" s="7">
        <v>0</v>
      </c>
      <c r="K41" s="26" t="str">
        <f t="shared" si="15"/>
        <v>4041/4042</v>
      </c>
      <c r="L41" s="26" t="str">
        <f>VLOOKUP(A41,'Trips&amp;Operators'!$C$1:$E$10000,3,FALSE)</f>
        <v>BRANNON</v>
      </c>
      <c r="M41" s="6">
        <f t="shared" si="16"/>
        <v>3.107638889196096E-2</v>
      </c>
      <c r="N41" s="7">
        <f t="shared" si="2"/>
        <v>44.750000004423782</v>
      </c>
      <c r="O41" s="7"/>
      <c r="P41" s="7"/>
      <c r="Q41" s="27"/>
      <c r="R41" s="27"/>
      <c r="S41" s="45">
        <f t="shared" si="17"/>
        <v>1</v>
      </c>
      <c r="T41" s="69" t="str">
        <f t="shared" si="18"/>
        <v>NorthBound</v>
      </c>
      <c r="U41" s="105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06:04:15-0600',mode:absolute,to:'2016-07-14 08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1" s="74" t="str">
        <f t="shared" si="20"/>
        <v>N</v>
      </c>
      <c r="X41" s="100">
        <f t="shared" si="21"/>
        <v>1</v>
      </c>
      <c r="Y41" s="97">
        <f t="shared" si="22"/>
        <v>4.9099999999999998E-2</v>
      </c>
      <c r="Z41" s="97">
        <f t="shared" si="23"/>
        <v>23.3291</v>
      </c>
      <c r="AA41" s="97">
        <f t="shared" si="24"/>
        <v>23.28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 t="shared" si="25"/>
        <v>0129-14</v>
      </c>
      <c r="AE4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41" s="75" t="str">
        <f t="shared" si="27"/>
        <v>"C:\Program Files (x86)\AstroGrep\AstroGrep.exe" /spath="C:\Users\stu\Documents\Analysis\2016-02-23 RTDC Observations" /stypes="*4042*20160714*"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337</v>
      </c>
      <c r="B42" s="7">
        <v>4041</v>
      </c>
      <c r="C42" s="26" t="s">
        <v>59</v>
      </c>
      <c r="D42" s="26" t="s">
        <v>204</v>
      </c>
      <c r="E42" s="16">
        <v>42565.33630787037</v>
      </c>
      <c r="F42" s="16">
        <v>42565.337673611109</v>
      </c>
      <c r="G42" s="7">
        <v>1</v>
      </c>
      <c r="H42" s="16" t="s">
        <v>198</v>
      </c>
      <c r="I42" s="16">
        <v>42565.366932870369</v>
      </c>
      <c r="J42" s="7">
        <v>2</v>
      </c>
      <c r="K42" s="26" t="str">
        <f t="shared" si="15"/>
        <v>4041/4042</v>
      </c>
      <c r="L42" s="26" t="str">
        <f>VLOOKUP(A42,'Trips&amp;Operators'!$C$1:$E$10000,3,FALSE)</f>
        <v>BRANNON</v>
      </c>
      <c r="M42" s="6">
        <f t="shared" si="16"/>
        <v>2.9259259259561077E-2</v>
      </c>
      <c r="N42" s="7">
        <f t="shared" si="2"/>
        <v>42.133333333767951</v>
      </c>
      <c r="O42" s="7"/>
      <c r="P42" s="7"/>
      <c r="Q42" s="27"/>
      <c r="R42" s="27"/>
      <c r="S42" s="45">
        <f t="shared" si="17"/>
        <v>1</v>
      </c>
      <c r="T42" s="69" t="str">
        <f t="shared" si="18"/>
        <v>Southbound</v>
      </c>
      <c r="U42" s="105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2" s="74" t="str">
        <f t="shared" si="20"/>
        <v>N</v>
      </c>
      <c r="X42" s="100">
        <f t="shared" si="21"/>
        <v>1</v>
      </c>
      <c r="Y42" s="97">
        <f t="shared" si="22"/>
        <v>23.297499999999999</v>
      </c>
      <c r="Z42" s="97">
        <f t="shared" si="23"/>
        <v>1.47E-2</v>
      </c>
      <c r="AA42" s="97">
        <f t="shared" si="24"/>
        <v>23.282799999999998</v>
      </c>
      <c r="AB42" s="94">
        <f>VLOOKUP(A42,Enforcements!$C$7:$J$23,8,0)</f>
        <v>30562</v>
      </c>
      <c r="AC42" s="90" t="str">
        <f>VLOOKUP(A42,Enforcements!$C$7:$E$23,3,0)</f>
        <v>PERMANENT SPEED RESTRICTION</v>
      </c>
      <c r="AD42" s="91" t="str">
        <f t="shared" si="25"/>
        <v>0130-14</v>
      </c>
      <c r="AE4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42" s="75" t="str">
        <f t="shared" si="27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303</v>
      </c>
      <c r="B43" s="7">
        <v>4044</v>
      </c>
      <c r="C43" s="26" t="s">
        <v>59</v>
      </c>
      <c r="D43" s="26" t="s">
        <v>209</v>
      </c>
      <c r="E43" s="16">
        <v>42565.310613425929</v>
      </c>
      <c r="F43" s="16">
        <v>42565.311631944445</v>
      </c>
      <c r="G43" s="7">
        <v>1</v>
      </c>
      <c r="H43" s="16" t="s">
        <v>140</v>
      </c>
      <c r="I43" s="16">
        <v>42565.338310185187</v>
      </c>
      <c r="J43" s="7">
        <v>2</v>
      </c>
      <c r="K43" s="26" t="str">
        <f t="shared" si="15"/>
        <v>4043/4044</v>
      </c>
      <c r="L43" s="26" t="str">
        <f>VLOOKUP(A43,'Trips&amp;Operators'!$C$1:$E$10000,3,FALSE)</f>
        <v>SPECTOR</v>
      </c>
      <c r="M43" s="6">
        <f t="shared" si="16"/>
        <v>2.6678240741603076E-2</v>
      </c>
      <c r="N43" s="7">
        <f t="shared" si="2"/>
        <v>38.41666666790843</v>
      </c>
      <c r="O43" s="7"/>
      <c r="P43" s="7"/>
      <c r="Q43" s="27"/>
      <c r="R43" s="27"/>
      <c r="S43" s="45">
        <f t="shared" si="17"/>
        <v>1</v>
      </c>
      <c r="T43" s="69" t="str">
        <f t="shared" si="18"/>
        <v>NorthBound</v>
      </c>
      <c r="U43" s="105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74" t="str">
        <f t="shared" si="20"/>
        <v>N</v>
      </c>
      <c r="X43" s="100">
        <f t="shared" si="21"/>
        <v>1</v>
      </c>
      <c r="Y43" s="97">
        <f t="shared" si="22"/>
        <v>4.4699999999999997E-2</v>
      </c>
      <c r="Z43" s="97">
        <f t="shared" si="23"/>
        <v>23.330200000000001</v>
      </c>
      <c r="AA43" s="97">
        <f t="shared" si="24"/>
        <v>23.285500000000003</v>
      </c>
      <c r="AB43" s="94">
        <f>VLOOKUP(A43,Enforcements!$C$7:$J$23,8,0)</f>
        <v>17867</v>
      </c>
      <c r="AC43" s="90" t="str">
        <f>VLOOKUP(A43,Enforcements!$C$7:$E$23,3,0)</f>
        <v>PERMANENT SPEED RESTRICTION</v>
      </c>
      <c r="AD43" s="91" t="str">
        <f t="shared" si="25"/>
        <v>0131-14</v>
      </c>
      <c r="AE4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43" s="75" t="str">
        <f t="shared" si="27"/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338</v>
      </c>
      <c r="B44" s="7">
        <v>4043</v>
      </c>
      <c r="C44" s="26" t="s">
        <v>59</v>
      </c>
      <c r="D44" s="26" t="s">
        <v>211</v>
      </c>
      <c r="E44" s="16">
        <v>42565.348460648151</v>
      </c>
      <c r="F44" s="16">
        <v>42565.349293981482</v>
      </c>
      <c r="G44" s="7">
        <v>1</v>
      </c>
      <c r="H44" s="16" t="s">
        <v>193</v>
      </c>
      <c r="I44" s="16">
        <v>42565.379004629627</v>
      </c>
      <c r="J44" s="7">
        <v>0</v>
      </c>
      <c r="K44" s="26" t="str">
        <f t="shared" si="15"/>
        <v>4043/4044</v>
      </c>
      <c r="L44" s="26" t="str">
        <f>VLOOKUP(A44,'Trips&amp;Operators'!$C$1:$E$10000,3,FALSE)</f>
        <v>SPECTOR</v>
      </c>
      <c r="M44" s="6">
        <f t="shared" si="16"/>
        <v>2.9710648144828156E-2</v>
      </c>
      <c r="N44" s="7">
        <f t="shared" si="2"/>
        <v>42.783333328552544</v>
      </c>
      <c r="O44" s="7"/>
      <c r="P44" s="7"/>
      <c r="Q44" s="27"/>
      <c r="R44" s="27"/>
      <c r="S44" s="45">
        <f t="shared" si="17"/>
        <v>1</v>
      </c>
      <c r="T44" s="69" t="str">
        <f t="shared" si="18"/>
        <v>Southbound</v>
      </c>
      <c r="U44" s="105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07:21:47-0600',mode:absolute,to:'2016-07-14 10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74" t="str">
        <f t="shared" si="20"/>
        <v>N</v>
      </c>
      <c r="X44" s="100">
        <f t="shared" si="21"/>
        <v>1</v>
      </c>
      <c r="Y44" s="97">
        <f t="shared" si="22"/>
        <v>23.299399999999999</v>
      </c>
      <c r="Z44" s="97">
        <f t="shared" si="23"/>
        <v>1.3899999999999999E-2</v>
      </c>
      <c r="AA44" s="97">
        <f t="shared" si="24"/>
        <v>23.285499999999999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 t="shared" si="25"/>
        <v>0132-14</v>
      </c>
      <c r="AE4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44" s="75" t="str">
        <f t="shared" si="27"/>
        <v>"C:\Program Files (x86)\AstroGrep\AstroGrep.exe" /spath="C:\Users\stu\Documents\Analysis\2016-02-23 RTDC Observations" /stypes="*4043*20160714*"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304</v>
      </c>
      <c r="B45" s="7">
        <v>4038</v>
      </c>
      <c r="C45" s="26" t="s">
        <v>59</v>
      </c>
      <c r="D45" s="26" t="s">
        <v>188</v>
      </c>
      <c r="E45" s="16">
        <v>42565.320428240739</v>
      </c>
      <c r="F45" s="16">
        <v>42565.321319444447</v>
      </c>
      <c r="G45" s="7">
        <v>1</v>
      </c>
      <c r="H45" s="16" t="s">
        <v>339</v>
      </c>
      <c r="I45" s="16">
        <v>42565.347129629627</v>
      </c>
      <c r="J45" s="7">
        <v>0</v>
      </c>
      <c r="K45" s="26" t="str">
        <f t="shared" si="15"/>
        <v>4037/4038</v>
      </c>
      <c r="L45" s="26" t="str">
        <f>VLOOKUP(A45,'Trips&amp;Operators'!$C$1:$E$10000,3,FALSE)</f>
        <v>MALAVE</v>
      </c>
      <c r="M45" s="6">
        <f t="shared" si="16"/>
        <v>2.5810185179580003E-2</v>
      </c>
      <c r="N45" s="7">
        <f t="shared" si="2"/>
        <v>37.166666658595204</v>
      </c>
      <c r="O45" s="7"/>
      <c r="P45" s="7"/>
      <c r="Q45" s="27"/>
      <c r="R45" s="27"/>
      <c r="S45" s="45">
        <f t="shared" si="17"/>
        <v>1</v>
      </c>
      <c r="T45" s="69" t="str">
        <f t="shared" si="18"/>
        <v>NorthBound</v>
      </c>
      <c r="U45" s="105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06:41:25-0600',mode:absolute,to:'2016-07-14 09:19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5" s="74" t="str">
        <f t="shared" si="20"/>
        <v>N</v>
      </c>
      <c r="X45" s="100">
        <f t="shared" si="21"/>
        <v>1</v>
      </c>
      <c r="Y45" s="97">
        <f t="shared" si="22"/>
        <v>4.6399999999999997E-2</v>
      </c>
      <c r="Z45" s="97">
        <f t="shared" si="23"/>
        <v>23.146000000000001</v>
      </c>
      <c r="AA45" s="97">
        <f t="shared" si="24"/>
        <v>23.099600000000002</v>
      </c>
      <c r="AB45" s="94" t="e">
        <f>VLOOKUP(A45,Enforcements!$C$7:$J$23,8,0)</f>
        <v>#N/A</v>
      </c>
      <c r="AC45" s="90" t="e">
        <f>VLOOKUP(A45,Enforcements!$C$7:$E$23,3,0)</f>
        <v>#N/A</v>
      </c>
      <c r="AD45" s="91" t="str">
        <f t="shared" si="25"/>
        <v>0133-14</v>
      </c>
      <c r="AE4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45" s="75" t="str">
        <f t="shared" si="27"/>
        <v>"C:\Program Files (x86)\AstroGrep\AstroGrep.exe" /spath="C:\Users\stu\Documents\Analysis\2016-02-23 RTDC Observations" /stypes="*4038*20160714*"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340</v>
      </c>
      <c r="B46" s="7">
        <v>4037</v>
      </c>
      <c r="C46" s="26" t="s">
        <v>59</v>
      </c>
      <c r="D46" s="26" t="s">
        <v>250</v>
      </c>
      <c r="E46" s="16">
        <v>42565.360821759263</v>
      </c>
      <c r="F46" s="16">
        <v>42565.361932870372</v>
      </c>
      <c r="G46" s="7">
        <v>1</v>
      </c>
      <c r="H46" s="16" t="s">
        <v>61</v>
      </c>
      <c r="I46" s="16">
        <v>42565.387708333335</v>
      </c>
      <c r="J46" s="7">
        <v>0</v>
      </c>
      <c r="K46" s="26" t="str">
        <f t="shared" si="15"/>
        <v>4037/4038</v>
      </c>
      <c r="L46" s="26" t="str">
        <f>VLOOKUP(A46,'Trips&amp;Operators'!$C$1:$E$10000,3,FALSE)</f>
        <v>MALAVE</v>
      </c>
      <c r="M46" s="6">
        <f t="shared" si="16"/>
        <v>2.5775462963792961E-2</v>
      </c>
      <c r="N46" s="7">
        <f t="shared" si="2"/>
        <v>37.116666667861864</v>
      </c>
      <c r="O46" s="7"/>
      <c r="P46" s="7"/>
      <c r="Q46" s="27"/>
      <c r="R46" s="27"/>
      <c r="S46" s="45">
        <f t="shared" si="17"/>
        <v>1</v>
      </c>
      <c r="T46" s="69" t="str">
        <f t="shared" si="18"/>
        <v>Southbound</v>
      </c>
      <c r="U46" s="105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07:39:35-0600',mode:absolute,to:'2016-07-14 10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6" s="74" t="str">
        <f t="shared" si="20"/>
        <v>N</v>
      </c>
      <c r="X46" s="100">
        <f t="shared" si="21"/>
        <v>1</v>
      </c>
      <c r="Y46" s="97">
        <f t="shared" si="22"/>
        <v>23.296900000000001</v>
      </c>
      <c r="Z46" s="97">
        <f t="shared" si="23"/>
        <v>1.52E-2</v>
      </c>
      <c r="AA46" s="97">
        <f t="shared" si="24"/>
        <v>23.281700000000001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 t="shared" si="25"/>
        <v>0134-14</v>
      </c>
      <c r="AE4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46" s="75" t="str">
        <f t="shared" si="27"/>
        <v>"C:\Program Files (x86)\AstroGrep\AstroGrep.exe" /spath="C:\Users\stu\Documents\Analysis\2016-02-23 RTDC Observations" /stypes="*4037*20160714*"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341</v>
      </c>
      <c r="B47" s="7">
        <v>4025</v>
      </c>
      <c r="C47" s="26" t="s">
        <v>59</v>
      </c>
      <c r="D47" s="26" t="s">
        <v>197</v>
      </c>
      <c r="E47" s="16">
        <v>42565.330555555556</v>
      </c>
      <c r="F47" s="16">
        <v>42565.331608796296</v>
      </c>
      <c r="G47" s="7">
        <v>1</v>
      </c>
      <c r="H47" s="16" t="s">
        <v>342</v>
      </c>
      <c r="I47" s="16">
        <v>42565.358159722222</v>
      </c>
      <c r="J47" s="7">
        <v>0</v>
      </c>
      <c r="K47" s="26" t="str">
        <f t="shared" si="15"/>
        <v>4025/4026</v>
      </c>
      <c r="L47" s="26" t="str">
        <f>VLOOKUP(A47,'Trips&amp;Operators'!$C$1:$E$10000,3,FALSE)</f>
        <v>SANTIZO</v>
      </c>
      <c r="M47" s="6">
        <f t="shared" si="16"/>
        <v>2.6550925926130731E-2</v>
      </c>
      <c r="N47" s="7">
        <f t="shared" si="2"/>
        <v>38.233333333628252</v>
      </c>
      <c r="O47" s="7"/>
      <c r="P47" s="7"/>
      <c r="Q47" s="27"/>
      <c r="R47" s="27"/>
      <c r="S47" s="45">
        <f t="shared" si="17"/>
        <v>1</v>
      </c>
      <c r="T47" s="69" t="str">
        <f t="shared" si="18"/>
        <v>NorthBound</v>
      </c>
      <c r="U47" s="105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7" s="74" t="str">
        <f t="shared" si="20"/>
        <v>N</v>
      </c>
      <c r="X47" s="100">
        <f t="shared" si="21"/>
        <v>1</v>
      </c>
      <c r="Y47" s="97">
        <f t="shared" si="22"/>
        <v>4.6600000000000003E-2</v>
      </c>
      <c r="Z47" s="97">
        <f t="shared" si="23"/>
        <v>23.3264</v>
      </c>
      <c r="AA47" s="97">
        <f t="shared" si="24"/>
        <v>23.279799999999998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 t="shared" si="25"/>
        <v>0135-14</v>
      </c>
      <c r="AE4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47" s="75" t="str">
        <f t="shared" si="27"/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343</v>
      </c>
      <c r="B48" s="7">
        <v>4026</v>
      </c>
      <c r="C48" s="26" t="s">
        <v>59</v>
      </c>
      <c r="D48" s="26" t="s">
        <v>258</v>
      </c>
      <c r="E48" s="16">
        <v>42565.360613425924</v>
      </c>
      <c r="F48" s="16">
        <v>42565.361342592594</v>
      </c>
      <c r="G48" s="7">
        <v>1</v>
      </c>
      <c r="H48" s="16" t="s">
        <v>187</v>
      </c>
      <c r="I48" s="16">
        <v>42565.397546296299</v>
      </c>
      <c r="J48" s="7">
        <v>0</v>
      </c>
      <c r="K48" s="26" t="str">
        <f t="shared" si="15"/>
        <v>4025/4026</v>
      </c>
      <c r="L48" s="26" t="str">
        <f>VLOOKUP(A48,'Trips&amp;Operators'!$C$1:$E$10000,3,FALSE)</f>
        <v>SANTIZO</v>
      </c>
      <c r="M48" s="6">
        <f t="shared" si="16"/>
        <v>3.6203703704813961E-2</v>
      </c>
      <c r="N48" s="7">
        <f t="shared" si="2"/>
        <v>52.133333334932104</v>
      </c>
      <c r="O48" s="7"/>
      <c r="P48" s="7"/>
      <c r="Q48" s="27"/>
      <c r="R48" s="27"/>
      <c r="S48" s="45">
        <f t="shared" si="17"/>
        <v>1</v>
      </c>
      <c r="T48" s="69" t="str">
        <f t="shared" si="18"/>
        <v>Southbound</v>
      </c>
      <c r="U48" s="105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07:39:17-0600',mode:absolute,to:'2016-07-14 10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8" s="74" t="str">
        <f t="shared" si="20"/>
        <v>N</v>
      </c>
      <c r="X48" s="100">
        <f t="shared" si="21"/>
        <v>1</v>
      </c>
      <c r="Y48" s="97">
        <f t="shared" si="22"/>
        <v>23.293399999999998</v>
      </c>
      <c r="Z48" s="97">
        <f t="shared" si="23"/>
        <v>1.4999999999999999E-2</v>
      </c>
      <c r="AA48" s="97">
        <f t="shared" si="24"/>
        <v>23.278399999999998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 t="shared" si="25"/>
        <v>0136-14</v>
      </c>
      <c r="AE4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48" s="75" t="str">
        <f t="shared" si="27"/>
        <v>"C:\Program Files (x86)\AstroGrep\AstroGrep.exe" /spath="C:\Users\stu\Documents\Analysis\2016-02-23 RTDC Observations" /stypes="*4026*20160714*"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344</v>
      </c>
      <c r="B49" s="7">
        <v>4040</v>
      </c>
      <c r="C49" s="26" t="s">
        <v>59</v>
      </c>
      <c r="D49" s="26" t="s">
        <v>345</v>
      </c>
      <c r="E49" s="16">
        <v>42565.342546296299</v>
      </c>
      <c r="F49" s="16">
        <v>42565.343182870369</v>
      </c>
      <c r="G49" s="7">
        <v>0</v>
      </c>
      <c r="H49" s="16" t="s">
        <v>244</v>
      </c>
      <c r="I49" s="16">
        <v>42565.368252314816</v>
      </c>
      <c r="J49" s="7">
        <v>1</v>
      </c>
      <c r="K49" s="26" t="str">
        <f t="shared" si="15"/>
        <v>4039/4040</v>
      </c>
      <c r="L49" s="26" t="str">
        <f>VLOOKUP(A49,'Trips&amp;Operators'!$C$1:$E$10000,3,FALSE)</f>
        <v>ROCHA</v>
      </c>
      <c r="M49" s="6">
        <f t="shared" si="16"/>
        <v>2.5069444447581191E-2</v>
      </c>
      <c r="N49" s="7">
        <f t="shared" si="2"/>
        <v>36.100000004516914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NorthBound</v>
      </c>
      <c r="U49" s="105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74" t="str">
        <f t="shared" si="20"/>
        <v>N</v>
      </c>
      <c r="X49" s="100">
        <f t="shared" si="21"/>
        <v>1</v>
      </c>
      <c r="Y49" s="97">
        <f t="shared" si="22"/>
        <v>4.3999999999999997E-2</v>
      </c>
      <c r="Z49" s="97">
        <f t="shared" si="23"/>
        <v>23.3307</v>
      </c>
      <c r="AA49" s="97">
        <f t="shared" si="24"/>
        <v>23.2867</v>
      </c>
      <c r="AB49" s="94" t="e">
        <f>VLOOKUP(A49,Enforcements!$C$7:$J$23,8,0)</f>
        <v>#N/A</v>
      </c>
      <c r="AC49" s="90" t="e">
        <f>VLOOKUP(A49,Enforcements!$C$7:$E$23,3,0)</f>
        <v>#N/A</v>
      </c>
      <c r="AD49" s="91" t="str">
        <f t="shared" si="25"/>
        <v>0137-14</v>
      </c>
      <c r="AE49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49" s="75" t="str">
        <f t="shared" si="27"/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346</v>
      </c>
      <c r="B50" s="7">
        <v>4039</v>
      </c>
      <c r="C50" s="26" t="s">
        <v>59</v>
      </c>
      <c r="D50" s="26" t="s">
        <v>219</v>
      </c>
      <c r="E50" s="16">
        <v>42565.380787037036</v>
      </c>
      <c r="F50" s="16">
        <v>42565.381701388891</v>
      </c>
      <c r="G50" s="7">
        <v>1</v>
      </c>
      <c r="H50" s="16" t="s">
        <v>198</v>
      </c>
      <c r="I50" s="16">
        <v>42565.40865740741</v>
      </c>
      <c r="J50" s="7">
        <v>1</v>
      </c>
      <c r="K50" s="26" t="str">
        <f t="shared" si="15"/>
        <v>4039/4040</v>
      </c>
      <c r="L50" s="26" t="str">
        <f>VLOOKUP(A50,'Trips&amp;Operators'!$C$1:$E$10000,3,FALSE)</f>
        <v>ROCHA</v>
      </c>
      <c r="M50" s="6">
        <f t="shared" si="16"/>
        <v>2.6956018518831115E-2</v>
      </c>
      <c r="N50" s="7">
        <f t="shared" si="2"/>
        <v>38.816666667116806</v>
      </c>
      <c r="O50" s="7"/>
      <c r="P50" s="7"/>
      <c r="Q50" s="27"/>
      <c r="R50" s="27"/>
      <c r="S50" s="45">
        <f t="shared" si="17"/>
        <v>1</v>
      </c>
      <c r="T50" s="69" t="str">
        <f t="shared" si="18"/>
        <v>Southbound</v>
      </c>
      <c r="U50" s="105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74" t="str">
        <f t="shared" si="20"/>
        <v>N</v>
      </c>
      <c r="X50" s="100">
        <f t="shared" si="21"/>
        <v>1</v>
      </c>
      <c r="Y50" s="97">
        <f t="shared" si="22"/>
        <v>23.298400000000001</v>
      </c>
      <c r="Z50" s="97">
        <f t="shared" si="23"/>
        <v>1.47E-2</v>
      </c>
      <c r="AA50" s="97">
        <f t="shared" si="24"/>
        <v>23.2837</v>
      </c>
      <c r="AB50" s="94">
        <f>VLOOKUP(A50,Enforcements!$C$7:$J$23,8,0)</f>
        <v>183829</v>
      </c>
      <c r="AC50" s="90" t="str">
        <f>VLOOKUP(A50,Enforcements!$C$7:$E$23,3,0)</f>
        <v>PERMANENT SPEED RESTRICTION</v>
      </c>
      <c r="AD50" s="91" t="str">
        <f t="shared" si="25"/>
        <v>0138-14</v>
      </c>
      <c r="AE50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50" s="75" t="str">
        <f t="shared" si="27"/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347</v>
      </c>
      <c r="B51" s="7">
        <v>4031</v>
      </c>
      <c r="C51" s="26" t="s">
        <v>59</v>
      </c>
      <c r="D51" s="26" t="s">
        <v>348</v>
      </c>
      <c r="E51" s="16">
        <v>42565.35255787037</v>
      </c>
      <c r="F51" s="16">
        <v>42565.360706018517</v>
      </c>
      <c r="G51" s="7">
        <v>11</v>
      </c>
      <c r="H51" s="16" t="s">
        <v>255</v>
      </c>
      <c r="I51" s="16">
        <v>42565.362060185187</v>
      </c>
      <c r="J51" s="7">
        <v>1</v>
      </c>
      <c r="K51" s="26" t="str">
        <f t="shared" si="15"/>
        <v>4031/4032</v>
      </c>
      <c r="L51" s="26" t="str">
        <f>VLOOKUP(A51,'Trips&amp;Operators'!$C$1:$E$10000,3,FALSE)</f>
        <v>STARKS</v>
      </c>
      <c r="M51" s="6">
        <f t="shared" si="16"/>
        <v>1.3541666703531519E-3</v>
      </c>
      <c r="N51" s="7"/>
      <c r="O51" s="7"/>
      <c r="P51" s="7">
        <f t="shared" si="2"/>
        <v>1.9500000053085387</v>
      </c>
      <c r="Q51" s="27"/>
      <c r="R51" s="27" t="s">
        <v>243</v>
      </c>
      <c r="S51" s="45">
        <f t="shared" si="17"/>
        <v>0</v>
      </c>
      <c r="T51" s="69" t="str">
        <f t="shared" si="18"/>
        <v>NorthBound</v>
      </c>
      <c r="U51" s="105">
        <f>COUNTIFS(Variables!$M$2:$M$19,IF(T51="NorthBound","&gt;=","&lt;=")&amp;Y51,Variables!$M$2:$M$19,IF(T51="NorthBound","&lt;=","&gt;=")&amp;Z51)</f>
        <v>0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07:27:41-0600',mode:absolute,to:'2016-07-14 09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1" s="74" t="str">
        <f t="shared" si="20"/>
        <v>Y</v>
      </c>
      <c r="X51" s="100">
        <f t="shared" si="21"/>
        <v>1</v>
      </c>
      <c r="Y51" s="97">
        <f t="shared" si="22"/>
        <v>2.7381000000000002</v>
      </c>
      <c r="Z51" s="97">
        <v>2.88</v>
      </c>
      <c r="AA51" s="97">
        <f t="shared" si="24"/>
        <v>0.14189999999999969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 t="shared" si="25"/>
        <v>0139-14</v>
      </c>
      <c r="AE51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51" s="75" t="str">
        <f t="shared" si="27"/>
        <v>"C:\Program Files (x86)\AstroGrep\AstroGrep.exe" /spath="C:\Users\stu\Documents\Analysis\2016-02-23 RTDC Observations" /stypes="*4031*20160714*" /stext=" 14:.+((prompt.+disp)|(slice.+state.+chan)|(ment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349</v>
      </c>
      <c r="B52" s="7">
        <v>4032</v>
      </c>
      <c r="C52" s="26" t="s">
        <v>59</v>
      </c>
      <c r="D52" s="26" t="s">
        <v>256</v>
      </c>
      <c r="E52" s="16">
        <v>42565.391469907408</v>
      </c>
      <c r="F52" s="16">
        <v>42565.393425925926</v>
      </c>
      <c r="G52" s="7">
        <v>2</v>
      </c>
      <c r="H52" s="16" t="s">
        <v>350</v>
      </c>
      <c r="I52" s="16">
        <v>42565.420543981483</v>
      </c>
      <c r="J52" s="7">
        <v>0</v>
      </c>
      <c r="K52" s="26" t="str">
        <f t="shared" si="15"/>
        <v>4031/4032</v>
      </c>
      <c r="L52" s="26" t="str">
        <f>VLOOKUP(A52,'Trips&amp;Operators'!$C$1:$E$10000,3,FALSE)</f>
        <v>STARKS</v>
      </c>
      <c r="M52" s="6">
        <f t="shared" si="16"/>
        <v>2.7118055557366461E-2</v>
      </c>
      <c r="N52" s="7">
        <f t="shared" si="2"/>
        <v>39.050000002607703</v>
      </c>
      <c r="O52" s="7"/>
      <c r="P52" s="7"/>
      <c r="Q52" s="27"/>
      <c r="R52" s="27"/>
      <c r="S52" s="45">
        <f t="shared" si="17"/>
        <v>1</v>
      </c>
      <c r="T52" s="69" t="str">
        <f t="shared" si="18"/>
        <v>Southbound</v>
      </c>
      <c r="U52" s="105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08:23:43-0600',mode:absolute,to:'2016-07-14 11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2" s="74" t="str">
        <f t="shared" si="20"/>
        <v>N</v>
      </c>
      <c r="X52" s="100">
        <f t="shared" si="21"/>
        <v>1</v>
      </c>
      <c r="Y52" s="97">
        <f t="shared" si="22"/>
        <v>23.298300000000001</v>
      </c>
      <c r="Z52" s="97">
        <f t="shared" si="23"/>
        <v>0.22839999999999999</v>
      </c>
      <c r="AA52" s="97">
        <f t="shared" si="24"/>
        <v>23.069900000000001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 t="shared" si="25"/>
        <v>0140-14</v>
      </c>
      <c r="AE52" s="75" t="str">
        <f t="shared" si="26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52" s="75" t="str">
        <f t="shared" si="27"/>
        <v>"C:\Program Files (x86)\AstroGrep\AstroGrep.exe" /spath="C:\Users\stu\Documents\Analysis\2016-02-23 RTDC Observations" /stypes="*4032*20160714*"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351</v>
      </c>
      <c r="B53" s="7">
        <v>4018</v>
      </c>
      <c r="C53" s="26" t="s">
        <v>59</v>
      </c>
      <c r="D53" s="26" t="s">
        <v>175</v>
      </c>
      <c r="E53" s="16">
        <v>42565.36037037037</v>
      </c>
      <c r="F53" s="16">
        <v>42565.36451388889</v>
      </c>
      <c r="G53" s="7">
        <v>5</v>
      </c>
      <c r="H53" s="16" t="s">
        <v>255</v>
      </c>
      <c r="I53" s="16">
        <v>42565.390868055554</v>
      </c>
      <c r="J53" s="7">
        <v>1</v>
      </c>
      <c r="K53" s="26" t="str">
        <f t="shared" si="15"/>
        <v>4017/4018</v>
      </c>
      <c r="L53" s="26" t="str">
        <f>VLOOKUP(A53,'Trips&amp;Operators'!$C$1:$E$10000,3,FALSE)</f>
        <v>BEAM</v>
      </c>
      <c r="M53" s="6">
        <f t="shared" si="16"/>
        <v>2.6354166664532386E-2</v>
      </c>
      <c r="N53" s="7">
        <f t="shared" si="2"/>
        <v>37.949999996926636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NorthBound</v>
      </c>
      <c r="U53" s="105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74" t="str">
        <f t="shared" si="20"/>
        <v>N</v>
      </c>
      <c r="X53" s="100">
        <f t="shared" si="21"/>
        <v>1</v>
      </c>
      <c r="Y53" s="97">
        <f t="shared" si="22"/>
        <v>4.53E-2</v>
      </c>
      <c r="Z53" s="97">
        <f t="shared" si="23"/>
        <v>23.328800000000001</v>
      </c>
      <c r="AA53" s="97">
        <f t="shared" si="24"/>
        <v>23.2835</v>
      </c>
      <c r="AB53" s="94">
        <f>VLOOKUP(A53,Enforcements!$C$7:$J$23,8,0)</f>
        <v>161962</v>
      </c>
      <c r="AC53" s="90" t="str">
        <f>VLOOKUP(A53,Enforcements!$C$7:$E$23,3,0)</f>
        <v>PERMANENT SPEED RESTRICTION</v>
      </c>
      <c r="AD53" s="91" t="str">
        <f t="shared" si="25"/>
        <v>0141-14</v>
      </c>
      <c r="AE53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53" s="75" t="str">
        <f t="shared" si="27"/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352</v>
      </c>
      <c r="B54" s="7">
        <v>4017</v>
      </c>
      <c r="C54" s="26" t="s">
        <v>59</v>
      </c>
      <c r="D54" s="26" t="s">
        <v>196</v>
      </c>
      <c r="E54" s="16">
        <v>42565.401666666665</v>
      </c>
      <c r="F54" s="16">
        <v>42565.402372685188</v>
      </c>
      <c r="G54" s="7">
        <v>1</v>
      </c>
      <c r="H54" s="16" t="s">
        <v>193</v>
      </c>
      <c r="I54" s="16">
        <v>42565.428761574076</v>
      </c>
      <c r="J54" s="7">
        <v>0</v>
      </c>
      <c r="K54" s="26" t="str">
        <f t="shared" si="15"/>
        <v>4017/4018</v>
      </c>
      <c r="L54" s="26" t="str">
        <f>VLOOKUP(A54,'Trips&amp;Operators'!$C$1:$E$10000,3,FALSE)</f>
        <v>BEAM</v>
      </c>
      <c r="M54" s="6">
        <f t="shared" si="16"/>
        <v>2.6388888887595385E-2</v>
      </c>
      <c r="N54" s="7">
        <f t="shared" si="2"/>
        <v>37.999999998137355</v>
      </c>
      <c r="O54" s="7"/>
      <c r="P54" s="7"/>
      <c r="Q54" s="27"/>
      <c r="R54" s="27"/>
      <c r="S54" s="45">
        <f t="shared" si="17"/>
        <v>1</v>
      </c>
      <c r="T54" s="69" t="str">
        <f t="shared" si="18"/>
        <v>Southbound</v>
      </c>
      <c r="U54" s="105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08:38:24-0600',mode:absolute,to:'2016-07-14 11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4" s="74" t="str">
        <f t="shared" si="20"/>
        <v>N</v>
      </c>
      <c r="X54" s="100">
        <f t="shared" si="21"/>
        <v>1</v>
      </c>
      <c r="Y54" s="97">
        <f t="shared" si="22"/>
        <v>23.297999999999998</v>
      </c>
      <c r="Z54" s="97">
        <f t="shared" si="23"/>
        <v>1.3899999999999999E-2</v>
      </c>
      <c r="AA54" s="97">
        <f t="shared" si="24"/>
        <v>23.284099999999999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 t="shared" si="25"/>
        <v>0142-14</v>
      </c>
      <c r="AE54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54" s="75" t="str">
        <f t="shared" si="27"/>
        <v>"C:\Program Files (x86)\AstroGrep\AstroGrep.exe" /spath="C:\Users\stu\Documents\Analysis\2016-02-23 RTDC Observations" /stypes="*4017*20160714*"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353</v>
      </c>
      <c r="B55" s="7">
        <v>4042</v>
      </c>
      <c r="C55" s="26" t="s">
        <v>59</v>
      </c>
      <c r="D55" s="26" t="s">
        <v>183</v>
      </c>
      <c r="E55" s="16">
        <v>42565.368043981478</v>
      </c>
      <c r="F55" s="16">
        <v>42565.368819444448</v>
      </c>
      <c r="G55" s="7">
        <v>1</v>
      </c>
      <c r="H55" s="16" t="s">
        <v>354</v>
      </c>
      <c r="I55" s="16">
        <v>42565.39980324074</v>
      </c>
      <c r="J55" s="7">
        <v>0</v>
      </c>
      <c r="K55" s="26" t="str">
        <f t="shared" si="15"/>
        <v>4041/4042</v>
      </c>
      <c r="L55" s="26" t="str">
        <f>VLOOKUP(A55,'Trips&amp;Operators'!$C$1:$E$10000,3,FALSE)</f>
        <v>BRANNON</v>
      </c>
      <c r="M55" s="6">
        <f t="shared" si="16"/>
        <v>3.0983796292275656E-2</v>
      </c>
      <c r="N55" s="7">
        <f t="shared" si="2"/>
        <v>44.616666660876945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105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5" s="74" t="str">
        <f t="shared" si="20"/>
        <v>N</v>
      </c>
      <c r="X55" s="100">
        <f t="shared" si="21"/>
        <v>1</v>
      </c>
      <c r="Y55" s="97">
        <f t="shared" si="22"/>
        <v>4.5499999999999999E-2</v>
      </c>
      <c r="Z55" s="97">
        <f t="shared" si="23"/>
        <v>23.324200000000001</v>
      </c>
      <c r="AA55" s="97">
        <f t="shared" si="24"/>
        <v>23.278700000000001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 t="shared" si="25"/>
        <v>0143-14</v>
      </c>
      <c r="AE55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55" s="75" t="str">
        <f t="shared" si="27"/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355</v>
      </c>
      <c r="B56" s="7">
        <v>4041</v>
      </c>
      <c r="C56" s="26" t="s">
        <v>59</v>
      </c>
      <c r="D56" s="26" t="s">
        <v>356</v>
      </c>
      <c r="E56" s="16">
        <v>42565.412222222221</v>
      </c>
      <c r="F56" s="16">
        <v>42565.413877314815</v>
      </c>
      <c r="G56" s="7">
        <v>2</v>
      </c>
      <c r="H56" s="16" t="s">
        <v>198</v>
      </c>
      <c r="I56" s="16">
        <v>42565.440023148149</v>
      </c>
      <c r="J56" s="7">
        <v>2</v>
      </c>
      <c r="K56" s="26" t="str">
        <f t="shared" si="15"/>
        <v>4041/4042</v>
      </c>
      <c r="L56" s="26" t="str">
        <f>VLOOKUP(A56,'Trips&amp;Operators'!$C$1:$E$10000,3,FALSE)</f>
        <v>BRANNON</v>
      </c>
      <c r="M56" s="6">
        <f t="shared" si="16"/>
        <v>2.6145833333430346E-2</v>
      </c>
      <c r="N56" s="7">
        <f t="shared" si="2"/>
        <v>37.650000000139698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105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6" s="74" t="str">
        <f t="shared" si="20"/>
        <v>N</v>
      </c>
      <c r="X56" s="100">
        <f t="shared" si="21"/>
        <v>1</v>
      </c>
      <c r="Y56" s="97">
        <f t="shared" si="22"/>
        <v>23.2928</v>
      </c>
      <c r="Z56" s="97">
        <f t="shared" si="23"/>
        <v>1.47E-2</v>
      </c>
      <c r="AA56" s="97">
        <f t="shared" si="24"/>
        <v>23.278099999999998</v>
      </c>
      <c r="AB56" s="94">
        <f>VLOOKUP(A56,Enforcements!$C$7:$J$23,8,0)</f>
        <v>15167</v>
      </c>
      <c r="AC56" s="90" t="str">
        <f>VLOOKUP(A56,Enforcements!$C$7:$E$23,3,0)</f>
        <v>PERMANENT SPEED RESTRICTION</v>
      </c>
      <c r="AD56" s="91" t="str">
        <f t="shared" si="25"/>
        <v>0144-14</v>
      </c>
      <c r="AE56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56" s="75" t="str">
        <f t="shared" si="27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357</v>
      </c>
      <c r="B57" s="7">
        <v>4044</v>
      </c>
      <c r="C57" s="26" t="s">
        <v>59</v>
      </c>
      <c r="D57" s="26" t="s">
        <v>222</v>
      </c>
      <c r="E57" s="16">
        <v>42565.382175925923</v>
      </c>
      <c r="F57" s="16">
        <v>42565.382881944446</v>
      </c>
      <c r="G57" s="7">
        <v>1</v>
      </c>
      <c r="H57" s="16" t="s">
        <v>210</v>
      </c>
      <c r="I57" s="16">
        <v>42565.410011574073</v>
      </c>
      <c r="J57" s="7">
        <v>0</v>
      </c>
      <c r="K57" s="26" t="str">
        <f t="shared" si="15"/>
        <v>4043/4044</v>
      </c>
      <c r="L57" s="26" t="str">
        <f>VLOOKUP(A57,'Trips&amp;Operators'!$C$1:$E$10000,3,FALSE)</f>
        <v>SPECTOR</v>
      </c>
      <c r="M57" s="6">
        <f t="shared" si="16"/>
        <v>2.7129629626870155E-2</v>
      </c>
      <c r="N57" s="7">
        <f t="shared" si="2"/>
        <v>39.066666662693024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105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08:10:20-0600',mode:absolute,to:'2016-07-14 10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74" t="str">
        <f t="shared" si="20"/>
        <v>N</v>
      </c>
      <c r="X57" s="100">
        <f t="shared" si="21"/>
        <v>1</v>
      </c>
      <c r="Y57" s="97">
        <f t="shared" si="22"/>
        <v>4.3700000000000003E-2</v>
      </c>
      <c r="Z57" s="97">
        <f t="shared" si="23"/>
        <v>23.331199999999999</v>
      </c>
      <c r="AA57" s="97">
        <f t="shared" si="24"/>
        <v>23.287499999999998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 t="shared" si="25"/>
        <v>0145-14</v>
      </c>
      <c r="AE57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57" s="75" t="str">
        <f t="shared" si="27"/>
        <v>"C:\Program Files (x86)\AstroGrep\AstroGrep.exe" /spath="C:\Users\stu\Documents\Analysis\2016-02-23 RTDC Observations" /stypes="*4044*20160714*"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358</v>
      </c>
      <c r="B58" s="7">
        <v>4043</v>
      </c>
      <c r="C58" s="26" t="s">
        <v>59</v>
      </c>
      <c r="D58" s="26" t="s">
        <v>201</v>
      </c>
      <c r="E58" s="16">
        <v>42565.417905092596</v>
      </c>
      <c r="F58" s="16">
        <v>42565.418842592589</v>
      </c>
      <c r="G58" s="7">
        <v>1</v>
      </c>
      <c r="H58" s="16" t="s">
        <v>141</v>
      </c>
      <c r="I58" s="16">
        <v>42565.450532407405</v>
      </c>
      <c r="J58" s="7">
        <v>1</v>
      </c>
      <c r="K58" s="26" t="str">
        <f t="shared" si="15"/>
        <v>4043/4044</v>
      </c>
      <c r="L58" s="26" t="str">
        <f>VLOOKUP(A58,'Trips&amp;Operators'!$C$1:$E$10000,3,FALSE)</f>
        <v>SPECTOR</v>
      </c>
      <c r="M58" s="6">
        <f t="shared" si="16"/>
        <v>3.1689814815763384E-2</v>
      </c>
      <c r="N58" s="7">
        <f t="shared" si="2"/>
        <v>45.633333334699273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105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74" t="str">
        <f t="shared" si="20"/>
        <v>N</v>
      </c>
      <c r="X58" s="100">
        <f t="shared" si="21"/>
        <v>1</v>
      </c>
      <c r="Y58" s="97">
        <f t="shared" si="22"/>
        <v>23.298200000000001</v>
      </c>
      <c r="Z58" s="97">
        <f t="shared" si="23"/>
        <v>1.61E-2</v>
      </c>
      <c r="AA58" s="97">
        <f t="shared" si="24"/>
        <v>23.2821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 t="shared" si="25"/>
        <v>0146-14</v>
      </c>
      <c r="AE58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58" s="75" t="str">
        <f t="shared" si="27"/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359</v>
      </c>
      <c r="B59" s="7">
        <v>4038</v>
      </c>
      <c r="C59" s="26" t="s">
        <v>59</v>
      </c>
      <c r="D59" s="26" t="s">
        <v>183</v>
      </c>
      <c r="E59" s="16">
        <v>42565.393090277779</v>
      </c>
      <c r="F59" s="16">
        <v>42565.394259259258</v>
      </c>
      <c r="G59" s="7">
        <v>1</v>
      </c>
      <c r="H59" s="16" t="s">
        <v>360</v>
      </c>
      <c r="I59" s="16">
        <v>42565.420856481483</v>
      </c>
      <c r="J59" s="7">
        <v>0</v>
      </c>
      <c r="K59" s="26" t="str">
        <f t="shared" si="15"/>
        <v>4037/4038</v>
      </c>
      <c r="L59" s="26" t="str">
        <f>VLOOKUP(A59,'Trips&amp;Operators'!$C$1:$E$10000,3,FALSE)</f>
        <v>MALAVE</v>
      </c>
      <c r="M59" s="6">
        <f t="shared" si="16"/>
        <v>2.6597222225973383E-2</v>
      </c>
      <c r="N59" s="7">
        <f t="shared" si="2"/>
        <v>38.300000005401671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105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9" s="74" t="str">
        <f t="shared" si="20"/>
        <v>N</v>
      </c>
      <c r="X59" s="100">
        <f t="shared" si="21"/>
        <v>1</v>
      </c>
      <c r="Y59" s="97">
        <f t="shared" si="22"/>
        <v>4.5499999999999999E-2</v>
      </c>
      <c r="Z59" s="97">
        <f t="shared" si="23"/>
        <v>23.3293</v>
      </c>
      <c r="AA59" s="97">
        <f t="shared" si="24"/>
        <v>23.283799999999999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 t="shared" si="25"/>
        <v>0147-14</v>
      </c>
      <c r="AE59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59" s="75" t="str">
        <f t="shared" si="27"/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361</v>
      </c>
      <c r="B60" s="7">
        <v>4037</v>
      </c>
      <c r="C60" s="26" t="s">
        <v>59</v>
      </c>
      <c r="D60" s="26" t="s">
        <v>362</v>
      </c>
      <c r="E60" s="16">
        <v>42565.433715277781</v>
      </c>
      <c r="F60" s="16">
        <v>42565.435300925928</v>
      </c>
      <c r="G60" s="7">
        <v>2</v>
      </c>
      <c r="H60" s="16" t="s">
        <v>71</v>
      </c>
      <c r="I60" s="16">
        <v>42565.461747685185</v>
      </c>
      <c r="J60" s="7">
        <v>0</v>
      </c>
      <c r="K60" s="26" t="str">
        <f t="shared" si="15"/>
        <v>4037/4038</v>
      </c>
      <c r="L60" s="26" t="str">
        <f>VLOOKUP(A60,'Trips&amp;Operators'!$C$1:$E$10000,3,FALSE)</f>
        <v>MALAVE</v>
      </c>
      <c r="M60" s="6">
        <f t="shared" si="16"/>
        <v>2.6446759256941732E-2</v>
      </c>
      <c r="N60" s="7">
        <f t="shared" si="2"/>
        <v>38.083333329996094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105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09:24:33-0600',mode:absolute,to:'2016-07-14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0" s="74" t="str">
        <f t="shared" si="20"/>
        <v>N</v>
      </c>
      <c r="X60" s="100">
        <f t="shared" si="21"/>
        <v>1</v>
      </c>
      <c r="Y60" s="97">
        <f t="shared" si="22"/>
        <v>23.2972</v>
      </c>
      <c r="Z60" s="97">
        <f t="shared" si="23"/>
        <v>1.49E-2</v>
      </c>
      <c r="AA60" s="97">
        <f t="shared" si="24"/>
        <v>23.282299999999999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 t="shared" si="25"/>
        <v>0148-14</v>
      </c>
      <c r="AE60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60" s="75" t="str">
        <f t="shared" si="27"/>
        <v>"C:\Program Files (x86)\AstroGrep\AstroGrep.exe" /spath="C:\Users\stu\Documents\Analysis\2016-02-23 RTDC Observations" /stypes="*4037*20160714*" /stext=" 17:.+((prompt.+disp)|(slice.+state.+chan)|(ment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363</v>
      </c>
      <c r="B61" s="7">
        <v>4025</v>
      </c>
      <c r="C61" s="26" t="s">
        <v>59</v>
      </c>
      <c r="D61" s="26" t="s">
        <v>197</v>
      </c>
      <c r="E61" s="16">
        <v>42565.403043981481</v>
      </c>
      <c r="F61" s="16">
        <v>42565.403981481482</v>
      </c>
      <c r="G61" s="7">
        <v>1</v>
      </c>
      <c r="H61" s="16" t="s">
        <v>364</v>
      </c>
      <c r="I61" s="16">
        <v>42565.431111111109</v>
      </c>
      <c r="J61" s="7">
        <v>1</v>
      </c>
      <c r="K61" s="26" t="str">
        <f t="shared" si="15"/>
        <v>4025/4026</v>
      </c>
      <c r="L61" s="26" t="str">
        <f>VLOOKUP(A61,'Trips&amp;Operators'!$C$1:$E$10000,3,FALSE)</f>
        <v>SANTIZO</v>
      </c>
      <c r="M61" s="6">
        <f t="shared" si="16"/>
        <v>2.7129629626870155E-2</v>
      </c>
      <c r="N61" s="7">
        <f t="shared" si="2"/>
        <v>39.066666662693024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105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4" t="str">
        <f t="shared" si="20"/>
        <v>N</v>
      </c>
      <c r="X61" s="100">
        <f t="shared" si="21"/>
        <v>1</v>
      </c>
      <c r="Y61" s="97">
        <f t="shared" si="22"/>
        <v>4.6600000000000003E-2</v>
      </c>
      <c r="Z61" s="97">
        <f t="shared" si="23"/>
        <v>23.3263</v>
      </c>
      <c r="AA61" s="97">
        <f t="shared" si="24"/>
        <v>23.279699999999998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 t="shared" si="25"/>
        <v>0149-14</v>
      </c>
      <c r="AE61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61" s="75" t="str">
        <f t="shared" si="27"/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365</v>
      </c>
      <c r="B62" s="7">
        <v>4026</v>
      </c>
      <c r="C62" s="26" t="s">
        <v>59</v>
      </c>
      <c r="D62" s="26" t="s">
        <v>260</v>
      </c>
      <c r="E62" s="16">
        <v>42565.432615740741</v>
      </c>
      <c r="F62" s="16">
        <v>42565.433333333334</v>
      </c>
      <c r="G62" s="7">
        <v>1</v>
      </c>
      <c r="H62" s="16" t="s">
        <v>187</v>
      </c>
      <c r="I62" s="16">
        <v>42565.470729166664</v>
      </c>
      <c r="J62" s="7">
        <v>0</v>
      </c>
      <c r="K62" s="26" t="str">
        <f t="shared" si="15"/>
        <v>4025/4026</v>
      </c>
      <c r="L62" s="26" t="str">
        <f>VLOOKUP(A62,'Trips&amp;Operators'!$C$1:$E$10000,3,FALSE)</f>
        <v>SANTIZO</v>
      </c>
      <c r="M62" s="6">
        <f t="shared" si="16"/>
        <v>3.739583332935581E-2</v>
      </c>
      <c r="N62" s="7">
        <f t="shared" si="2"/>
        <v>53.849999994272366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105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09:22:58-0600',mode:absolute,to:'2016-07-14 12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4" t="str">
        <f t="shared" si="20"/>
        <v>N</v>
      </c>
      <c r="X62" s="100">
        <f t="shared" si="21"/>
        <v>1</v>
      </c>
      <c r="Y62" s="97">
        <f t="shared" si="22"/>
        <v>23.293800000000001</v>
      </c>
      <c r="Z62" s="97">
        <f t="shared" si="23"/>
        <v>1.4999999999999999E-2</v>
      </c>
      <c r="AA62" s="97">
        <f t="shared" si="24"/>
        <v>23.2788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 t="shared" si="25"/>
        <v>0150-14</v>
      </c>
      <c r="AE62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62" s="75" t="str">
        <f t="shared" si="27"/>
        <v>"C:\Program Files (x86)\AstroGrep\AstroGrep.exe" /spath="C:\Users\stu\Documents\Analysis\2016-02-23 RTDC Observations" /stypes="*4026*20160714*" /stext=" 17:.+((prompt.+disp)|(slice.+state.+chan)|(ment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366</v>
      </c>
      <c r="B63" s="7">
        <v>4040</v>
      </c>
      <c r="C63" s="26" t="s">
        <v>59</v>
      </c>
      <c r="D63" s="26" t="s">
        <v>248</v>
      </c>
      <c r="E63" s="16">
        <v>42565.415706018517</v>
      </c>
      <c r="F63" s="16">
        <v>42565.416458333333</v>
      </c>
      <c r="G63" s="7">
        <v>1</v>
      </c>
      <c r="H63" s="16" t="s">
        <v>237</v>
      </c>
      <c r="I63" s="16">
        <v>42565.441643518519</v>
      </c>
      <c r="J63" s="7">
        <v>1</v>
      </c>
      <c r="K63" s="26" t="str">
        <f t="shared" si="15"/>
        <v>4039/4040</v>
      </c>
      <c r="L63" s="26" t="str">
        <f>VLOOKUP(A63,'Trips&amp;Operators'!$C$1:$E$10000,3,FALSE)</f>
        <v>ROCHA</v>
      </c>
      <c r="M63" s="6">
        <f t="shared" si="16"/>
        <v>2.5185185186273884E-2</v>
      </c>
      <c r="N63" s="7">
        <f t="shared" si="2"/>
        <v>36.266666668234393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105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74" t="str">
        <f t="shared" si="20"/>
        <v>N</v>
      </c>
      <c r="X63" s="100">
        <f t="shared" si="21"/>
        <v>1</v>
      </c>
      <c r="Y63" s="97">
        <f t="shared" si="22"/>
        <v>4.3499999999999997E-2</v>
      </c>
      <c r="Z63" s="97">
        <f t="shared" si="23"/>
        <v>23.330400000000001</v>
      </c>
      <c r="AA63" s="97">
        <f t="shared" si="24"/>
        <v>23.286899999999999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 t="shared" si="25"/>
        <v>0151-14</v>
      </c>
      <c r="AE6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63" s="75" t="str">
        <f t="shared" si="27"/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367</v>
      </c>
      <c r="B64" s="7">
        <v>4039</v>
      </c>
      <c r="C64" s="26" t="s">
        <v>59</v>
      </c>
      <c r="D64" s="26" t="s">
        <v>189</v>
      </c>
      <c r="E64" s="16">
        <v>42565.455196759256</v>
      </c>
      <c r="F64" s="16">
        <v>42565.456354166665</v>
      </c>
      <c r="G64" s="7">
        <v>1</v>
      </c>
      <c r="H64" s="16" t="s">
        <v>368</v>
      </c>
      <c r="I64" s="16">
        <v>42565.480856481481</v>
      </c>
      <c r="J64" s="7">
        <v>0</v>
      </c>
      <c r="K64" s="26" t="str">
        <f t="shared" si="15"/>
        <v>4039/4040</v>
      </c>
      <c r="L64" s="26" t="str">
        <f>VLOOKUP(A64,'Trips&amp;Operators'!$C$1:$E$10000,3,FALSE)</f>
        <v>ROCHA</v>
      </c>
      <c r="M64" s="6">
        <f t="shared" si="16"/>
        <v>2.4502314816345461E-2</v>
      </c>
      <c r="N64" s="7">
        <f t="shared" si="2"/>
        <v>35.283333335537463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105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09:55:29-0600',mode:absolute,to:'2016-07-14 12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74" t="str">
        <f t="shared" si="20"/>
        <v>N</v>
      </c>
      <c r="X64" s="100">
        <f t="shared" si="21"/>
        <v>1</v>
      </c>
      <c r="Y64" s="97">
        <f t="shared" si="22"/>
        <v>23.2987</v>
      </c>
      <c r="Z64" s="97">
        <f t="shared" si="23"/>
        <v>0.1171</v>
      </c>
      <c r="AA64" s="97">
        <f t="shared" si="24"/>
        <v>23.1816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 t="shared" si="25"/>
        <v>0152-14</v>
      </c>
      <c r="AE6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64" s="75" t="str">
        <f t="shared" si="27"/>
        <v>"C:\Program Files (x86)\AstroGrep\AstroGrep.exe" /spath="C:\Users\stu\Documents\Analysis\2016-02-23 RTDC Observations" /stypes="*4039*20160714*"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369</v>
      </c>
      <c r="B65" s="7">
        <v>4020</v>
      </c>
      <c r="C65" s="26" t="s">
        <v>59</v>
      </c>
      <c r="D65" s="26" t="s">
        <v>188</v>
      </c>
      <c r="E65" s="16">
        <v>42565.42769675926</v>
      </c>
      <c r="F65" s="16">
        <v>42565.428541666668</v>
      </c>
      <c r="G65" s="7">
        <v>1</v>
      </c>
      <c r="H65" s="16" t="s">
        <v>218</v>
      </c>
      <c r="I65" s="16">
        <v>42565.453460648147</v>
      </c>
      <c r="J65" s="7">
        <v>0</v>
      </c>
      <c r="K65" s="26" t="str">
        <f t="shared" si="15"/>
        <v>4019/4020</v>
      </c>
      <c r="L65" s="26" t="str">
        <f>VLOOKUP(A65,'Trips&amp;Operators'!$C$1:$E$10000,3,FALSE)</f>
        <v>STARKS</v>
      </c>
      <c r="M65" s="6">
        <f t="shared" si="16"/>
        <v>2.491898147854954E-2</v>
      </c>
      <c r="N65" s="7">
        <f t="shared" si="2"/>
        <v>35.883333329111338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105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09:15:53-0600',mode:absolute,to:'2016-07-14 11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74" t="str">
        <f t="shared" si="20"/>
        <v>N</v>
      </c>
      <c r="X65" s="100">
        <f t="shared" si="21"/>
        <v>1</v>
      </c>
      <c r="Y65" s="97">
        <f t="shared" si="22"/>
        <v>4.6399999999999997E-2</v>
      </c>
      <c r="Z65" s="97">
        <f t="shared" si="23"/>
        <v>23.330100000000002</v>
      </c>
      <c r="AA65" s="97">
        <f t="shared" si="24"/>
        <v>23.283700000000003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 t="shared" si="25"/>
        <v>0153-14</v>
      </c>
      <c r="AE65" s="75" t="str">
        <f t="shared" si="2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65" s="75" t="str">
        <f t="shared" si="27"/>
        <v>"C:\Program Files (x86)\AstroGrep\AstroGrep.exe" /spath="C:\Users\stu\Documents\Analysis\2016-02-23 RTDC Observations" /stypes="*4020*20160714*"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370</v>
      </c>
      <c r="B66" s="7">
        <v>4019</v>
      </c>
      <c r="C66" s="26" t="s">
        <v>59</v>
      </c>
      <c r="D66" s="26" t="s">
        <v>264</v>
      </c>
      <c r="E66" s="16">
        <v>42565.465451388889</v>
      </c>
      <c r="F66" s="16">
        <v>42565.466331018521</v>
      </c>
      <c r="G66" s="7">
        <v>1</v>
      </c>
      <c r="H66" s="16" t="s">
        <v>61</v>
      </c>
      <c r="I66" s="16">
        <v>42565.492615740739</v>
      </c>
      <c r="J66" s="7">
        <v>2</v>
      </c>
      <c r="K66" s="26" t="str">
        <f t="shared" si="15"/>
        <v>4019/4020</v>
      </c>
      <c r="L66" s="26" t="str">
        <f>VLOOKUP(A66,'Trips&amp;Operators'!$C$1:$E$10000,3,FALSE)</f>
        <v>STARKS</v>
      </c>
      <c r="M66" s="6">
        <f t="shared" si="16"/>
        <v>2.6284722218406387E-2</v>
      </c>
      <c r="N66" s="7">
        <f t="shared" si="2"/>
        <v>37.849999994505197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105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74" t="str">
        <f t="shared" si="20"/>
        <v>N</v>
      </c>
      <c r="X66" s="100">
        <f t="shared" si="21"/>
        <v>1</v>
      </c>
      <c r="Y66" s="97">
        <f t="shared" si="22"/>
        <v>23.2971</v>
      </c>
      <c r="Z66" s="97">
        <f t="shared" si="23"/>
        <v>1.52E-2</v>
      </c>
      <c r="AA66" s="97">
        <f t="shared" si="24"/>
        <v>23.2819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 t="shared" si="25"/>
        <v>0154-14</v>
      </c>
      <c r="AE66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66" s="75" t="str">
        <f t="shared" si="27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371</v>
      </c>
      <c r="B67" s="7">
        <v>4018</v>
      </c>
      <c r="C67" s="26" t="s">
        <v>59</v>
      </c>
      <c r="D67" s="26" t="s">
        <v>345</v>
      </c>
      <c r="E67" s="16">
        <v>42565.431493055556</v>
      </c>
      <c r="F67" s="16">
        <v>42565.43346064815</v>
      </c>
      <c r="G67" s="7">
        <v>2</v>
      </c>
      <c r="H67" s="16" t="s">
        <v>200</v>
      </c>
      <c r="I67" s="16">
        <v>42565.462141203701</v>
      </c>
      <c r="J67" s="7">
        <v>0</v>
      </c>
      <c r="K67" s="26" t="str">
        <f t="shared" si="15"/>
        <v>4017/4018</v>
      </c>
      <c r="L67" s="26" t="str">
        <f>VLOOKUP(A67,'Trips&amp;Operators'!$C$1:$E$10000,3,FALSE)</f>
        <v>YORK</v>
      </c>
      <c r="M67" s="6">
        <f t="shared" si="16"/>
        <v>2.8680555551545694E-2</v>
      </c>
      <c r="N67" s="7">
        <f t="shared" si="2"/>
        <v>41.2999999942258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105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74" t="str">
        <f t="shared" si="20"/>
        <v>N</v>
      </c>
      <c r="X67" s="100">
        <f t="shared" si="21"/>
        <v>1</v>
      </c>
      <c r="Y67" s="97">
        <f t="shared" si="22"/>
        <v>4.3999999999999997E-2</v>
      </c>
      <c r="Z67" s="97">
        <f t="shared" si="23"/>
        <v>23.331399999999999</v>
      </c>
      <c r="AA67" s="97">
        <f t="shared" si="24"/>
        <v>23.287399999999998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 t="shared" si="25"/>
        <v>0155-14</v>
      </c>
      <c r="AE67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7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371</v>
      </c>
      <c r="B68" s="7">
        <v>4018</v>
      </c>
      <c r="C68" s="26" t="s">
        <v>59</v>
      </c>
      <c r="D68" s="26" t="s">
        <v>183</v>
      </c>
      <c r="E68" s="16">
        <v>42565.431493055556</v>
      </c>
      <c r="F68" s="16">
        <v>42565.435023148151</v>
      </c>
      <c r="G68" s="7">
        <v>5</v>
      </c>
      <c r="H68" s="16" t="s">
        <v>200</v>
      </c>
      <c r="I68" s="16">
        <v>42565.462141203701</v>
      </c>
      <c r="J68" s="7">
        <v>0</v>
      </c>
      <c r="K68" s="26" t="str">
        <f t="shared" si="15"/>
        <v>4017/4018</v>
      </c>
      <c r="L68" s="26" t="str">
        <f>VLOOKUP(A68,'Trips&amp;Operators'!$C$1:$E$10000,3,FALSE)</f>
        <v>YORK</v>
      </c>
      <c r="M68" s="6">
        <f t="shared" si="16"/>
        <v>2.7118055550090503E-2</v>
      </c>
      <c r="N68" s="7">
        <f t="shared" si="2"/>
        <v>39.049999992130324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105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74" t="str">
        <f t="shared" si="20"/>
        <v>N</v>
      </c>
      <c r="X68" s="100">
        <f t="shared" si="21"/>
        <v>0</v>
      </c>
      <c r="Y68" s="97">
        <f t="shared" si="22"/>
        <v>4.5499999999999999E-2</v>
      </c>
      <c r="Z68" s="97">
        <f t="shared" si="23"/>
        <v>23.331399999999999</v>
      </c>
      <c r="AA68" s="97">
        <f t="shared" si="24"/>
        <v>23.285899999999998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 t="shared" si="25"/>
        <v>0155-14</v>
      </c>
      <c r="AE68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8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372</v>
      </c>
      <c r="B69" s="7">
        <v>4017</v>
      </c>
      <c r="C69" s="26" t="s">
        <v>59</v>
      </c>
      <c r="D69" s="26" t="s">
        <v>211</v>
      </c>
      <c r="E69" s="16">
        <v>42565.47216435185</v>
      </c>
      <c r="F69" s="16">
        <v>42565.472812499997</v>
      </c>
      <c r="G69" s="7">
        <v>0</v>
      </c>
      <c r="H69" s="16" t="s">
        <v>60</v>
      </c>
      <c r="I69" s="16">
        <v>42565.502337962964</v>
      </c>
      <c r="J69" s="7">
        <v>0</v>
      </c>
      <c r="K69" s="26" t="str">
        <f t="shared" si="15"/>
        <v>4017/4018</v>
      </c>
      <c r="L69" s="26" t="str">
        <f>VLOOKUP(A69,'Trips&amp;Operators'!$C$1:$E$10000,3,FALSE)</f>
        <v>YORK</v>
      </c>
      <c r="M69" s="6">
        <f t="shared" si="16"/>
        <v>2.9525462967285421E-2</v>
      </c>
      <c r="N69" s="7">
        <f t="shared" si="2"/>
        <v>42.516666672891006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105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10:19:55-0600',mode:absolute,to:'2016-07-14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74" t="str">
        <f t="shared" si="20"/>
        <v>N</v>
      </c>
      <c r="X69" s="100">
        <f t="shared" si="21"/>
        <v>1</v>
      </c>
      <c r="Y69" s="97">
        <f t="shared" si="22"/>
        <v>23.299399999999999</v>
      </c>
      <c r="Z69" s="97">
        <f t="shared" si="23"/>
        <v>1.4500000000000001E-2</v>
      </c>
      <c r="AA69" s="97">
        <f t="shared" si="24"/>
        <v>23.284899999999997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 t="shared" si="25"/>
        <v>0156-14</v>
      </c>
      <c r="AE69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69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372</v>
      </c>
      <c r="B70" s="7">
        <v>4017</v>
      </c>
      <c r="C70" s="26" t="s">
        <v>59</v>
      </c>
      <c r="D70" s="26" t="s">
        <v>246</v>
      </c>
      <c r="E70" s="16">
        <v>42565.463425925926</v>
      </c>
      <c r="F70" s="16">
        <v>42565.464143518519</v>
      </c>
      <c r="G70" s="7">
        <v>1</v>
      </c>
      <c r="H70" s="16" t="s">
        <v>60</v>
      </c>
      <c r="I70" s="16">
        <v>42565.502337962964</v>
      </c>
      <c r="J70" s="7">
        <v>0</v>
      </c>
      <c r="K70" s="26" t="str">
        <f t="shared" si="15"/>
        <v>4017/4018</v>
      </c>
      <c r="L70" s="26" t="str">
        <f>VLOOKUP(A70,'Trips&amp;Operators'!$C$1:$E$10000,3,FALSE)</f>
        <v>YORK</v>
      </c>
      <c r="M70" s="6">
        <f t="shared" si="16"/>
        <v>3.8194444445252884E-2</v>
      </c>
      <c r="N70" s="7">
        <f t="shared" si="2"/>
        <v>55.000000001164153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105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10:07:20-0600',mode:absolute,to:'2016-07-14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74" t="str">
        <f t="shared" si="20"/>
        <v>N</v>
      </c>
      <c r="X70" s="100">
        <f t="shared" si="21"/>
        <v>0</v>
      </c>
      <c r="Y70" s="97">
        <f t="shared" si="22"/>
        <v>23.3002</v>
      </c>
      <c r="Z70" s="97">
        <f t="shared" si="23"/>
        <v>1.4500000000000001E-2</v>
      </c>
      <c r="AA70" s="97">
        <f t="shared" si="24"/>
        <v>23.285699999999999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 t="shared" si="25"/>
        <v>0156-14</v>
      </c>
      <c r="AE7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70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373</v>
      </c>
      <c r="B71" s="7">
        <v>4042</v>
      </c>
      <c r="C71" s="26" t="s">
        <v>59</v>
      </c>
      <c r="D71" s="26" t="s">
        <v>374</v>
      </c>
      <c r="E71" s="16">
        <v>42565.440995370373</v>
      </c>
      <c r="F71" s="16">
        <v>42565.442002314812</v>
      </c>
      <c r="G71" s="7">
        <v>1</v>
      </c>
      <c r="H71" s="16" t="s">
        <v>192</v>
      </c>
      <c r="I71" s="16">
        <v>42565.472754629627</v>
      </c>
      <c r="J71" s="7">
        <v>0</v>
      </c>
      <c r="K71" s="26" t="str">
        <f t="shared" si="15"/>
        <v>4041/4042</v>
      </c>
      <c r="L71" s="26" t="str">
        <f>VLOOKUP(A71,'Trips&amp;Operators'!$C$1:$E$10000,3,FALSE)</f>
        <v>BRANNON</v>
      </c>
      <c r="M71" s="6">
        <f t="shared" si="16"/>
        <v>3.0752314814890269E-2</v>
      </c>
      <c r="N71" s="7">
        <f t="shared" si="2"/>
        <v>44.283333333441988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105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09:35:02-0600',mode:absolute,to:'2016-07-14 12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74" t="str">
        <f t="shared" si="20"/>
        <v>N</v>
      </c>
      <c r="X71" s="100">
        <f t="shared" si="21"/>
        <v>1</v>
      </c>
      <c r="Y71" s="97">
        <f t="shared" si="22"/>
        <v>4.3299999999999998E-2</v>
      </c>
      <c r="Z71" s="97">
        <f t="shared" si="23"/>
        <v>23.329699999999999</v>
      </c>
      <c r="AA71" s="97">
        <f t="shared" si="24"/>
        <v>23.2864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 t="shared" si="25"/>
        <v>0157-14</v>
      </c>
      <c r="AE7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71" s="75" t="str">
        <f t="shared" si="27"/>
        <v>"C:\Program Files (x86)\AstroGrep\AstroGrep.exe" /spath="C:\Users\stu\Documents\Analysis\2016-02-23 RTDC Observations" /stypes="*4042*20160714*"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375</v>
      </c>
      <c r="B72" s="7">
        <v>4041</v>
      </c>
      <c r="C72" s="26" t="s">
        <v>59</v>
      </c>
      <c r="D72" s="26" t="s">
        <v>261</v>
      </c>
      <c r="E72" s="16">
        <v>42565.482199074075</v>
      </c>
      <c r="F72" s="16">
        <v>42565.482997685183</v>
      </c>
      <c r="G72" s="7">
        <v>1</v>
      </c>
      <c r="H72" s="16" t="s">
        <v>61</v>
      </c>
      <c r="I72" s="16">
        <v>42565.512013888889</v>
      </c>
      <c r="J72" s="7">
        <v>0</v>
      </c>
      <c r="K72" s="26" t="str">
        <f t="shared" si="15"/>
        <v>4041/4042</v>
      </c>
      <c r="L72" s="26" t="str">
        <f>VLOOKUP(A72,'Trips&amp;Operators'!$C$1:$E$10000,3,FALSE)</f>
        <v>BRANNON</v>
      </c>
      <c r="M72" s="6">
        <f t="shared" si="16"/>
        <v>2.9016203705396038E-2</v>
      </c>
      <c r="N72" s="7">
        <f t="shared" si="2"/>
        <v>41.783333335770294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105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10:34:22-0600',mode:absolute,to:'2016-07-14 13:17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74" t="str">
        <f t="shared" si="20"/>
        <v>N</v>
      </c>
      <c r="X72" s="100">
        <f t="shared" si="21"/>
        <v>1</v>
      </c>
      <c r="Y72" s="97">
        <f t="shared" si="22"/>
        <v>23.296500000000002</v>
      </c>
      <c r="Z72" s="97">
        <f t="shared" si="23"/>
        <v>1.52E-2</v>
      </c>
      <c r="AA72" s="97">
        <f t="shared" si="24"/>
        <v>23.281300000000002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 t="shared" si="25"/>
        <v>0158-14</v>
      </c>
      <c r="AE7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72" s="75" t="str">
        <f t="shared" si="27"/>
        <v>"C:\Program Files (x86)\AstroGrep\AstroGrep.exe" /spath="C:\Users\stu\Documents\Analysis\2016-02-23 RTDC Observations" /stypes="*4041*20160714*"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376</v>
      </c>
      <c r="B73" s="7">
        <v>4044</v>
      </c>
      <c r="C73" s="26" t="s">
        <v>59</v>
      </c>
      <c r="D73" s="26" t="s">
        <v>66</v>
      </c>
      <c r="E73" s="16">
        <v>42565.452604166669</v>
      </c>
      <c r="F73" s="16">
        <v>42565.537499999999</v>
      </c>
      <c r="G73" s="7">
        <v>3</v>
      </c>
      <c r="H73" s="16" t="s">
        <v>377</v>
      </c>
      <c r="I73" s="16">
        <v>42565.559745370374</v>
      </c>
      <c r="J73" s="7">
        <v>0</v>
      </c>
      <c r="K73" s="26" t="str">
        <f t="shared" si="15"/>
        <v>4043/4044</v>
      </c>
      <c r="L73" s="26" t="str">
        <f>VLOOKUP(A73,'Trips&amp;Operators'!$C$1:$E$10000,3,FALSE)</f>
        <v>SHOOK</v>
      </c>
      <c r="M73" s="6">
        <f t="shared" si="16"/>
        <v>2.2245370375458151E-2</v>
      </c>
      <c r="N73" s="7"/>
      <c r="O73" s="7"/>
      <c r="P73" s="7">
        <v>1</v>
      </c>
      <c r="Q73" s="27"/>
      <c r="R73" s="27" t="s">
        <v>243</v>
      </c>
      <c r="S73" s="45">
        <f t="shared" si="17"/>
        <v>0</v>
      </c>
      <c r="T73" s="69" t="str">
        <f t="shared" si="18"/>
        <v>NorthBound</v>
      </c>
      <c r="U73" s="105">
        <f>COUNTIFS(Variables!$M$2:$M$19,IF(T73="NorthBound","&gt;=","&lt;=")&amp;Y73,Variables!$M$2:$M$19,IF(T73="NorthBound","&lt;=","&gt;=")&amp;Z73)</f>
        <v>0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09:51:45-0600',mode:absolute,to:'2016-07-14 14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3" s="74" t="str">
        <f t="shared" si="20"/>
        <v>Y</v>
      </c>
      <c r="X73" s="100">
        <f t="shared" si="21"/>
        <v>1</v>
      </c>
      <c r="Y73" s="97">
        <v>0</v>
      </c>
      <c r="Z73" s="97">
        <v>0</v>
      </c>
      <c r="AA73" s="97">
        <f t="shared" si="24"/>
        <v>0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 t="shared" si="25"/>
        <v>0159-14</v>
      </c>
      <c r="AE7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73" s="75" t="str">
        <f t="shared" si="27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378</v>
      </c>
      <c r="B74" s="7">
        <v>4043</v>
      </c>
      <c r="C74" s="26" t="s">
        <v>59</v>
      </c>
      <c r="D74" s="26" t="s">
        <v>379</v>
      </c>
      <c r="E74" s="16">
        <v>42565.491631944446</v>
      </c>
      <c r="F74" s="16">
        <v>42565.496030092596</v>
      </c>
      <c r="G74" s="7">
        <v>6</v>
      </c>
      <c r="H74" s="16" t="s">
        <v>111</v>
      </c>
      <c r="I74" s="16">
        <v>42565.523333333331</v>
      </c>
      <c r="J74" s="7">
        <v>0</v>
      </c>
      <c r="K74" s="26" t="str">
        <f t="shared" si="15"/>
        <v>4043/4044</v>
      </c>
      <c r="L74" s="26" t="str">
        <f>VLOOKUP(A74,'Trips&amp;Operators'!$C$1:$E$10000,3,FALSE)</f>
        <v>SHOOK</v>
      </c>
      <c r="M74" s="6">
        <f t="shared" si="16"/>
        <v>2.7303240734909195E-2</v>
      </c>
      <c r="N74" s="7">
        <f t="shared" si="2"/>
        <v>39.316666658269241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Southbound</v>
      </c>
      <c r="U74" s="105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10:47:57-0600',mode:absolute,to:'2016-07-14 13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4" s="74" t="str">
        <f t="shared" si="20"/>
        <v>N</v>
      </c>
      <c r="X74" s="100">
        <f t="shared" si="21"/>
        <v>1</v>
      </c>
      <c r="Y74" s="97">
        <f t="shared" si="22"/>
        <v>23.301300000000001</v>
      </c>
      <c r="Z74" s="97">
        <f t="shared" si="23"/>
        <v>1.43E-2</v>
      </c>
      <c r="AA74" s="97">
        <f t="shared" si="24"/>
        <v>23.287000000000003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 t="shared" si="25"/>
        <v>0160-14</v>
      </c>
      <c r="AE7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74" s="75" t="str">
        <f t="shared" si="27"/>
        <v>"C:\Program Files (x86)\AstroGrep\AstroGrep.exe" /spath="C:\Users\stu\Documents\Analysis\2016-02-23 RTDC Observations" /stypes="*4043*20160714*"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380</v>
      </c>
      <c r="B75" s="7">
        <v>4038</v>
      </c>
      <c r="C75" s="26" t="s">
        <v>59</v>
      </c>
      <c r="D75" s="26" t="s">
        <v>195</v>
      </c>
      <c r="E75" s="16">
        <v>42565.46465277778</v>
      </c>
      <c r="F75" s="16">
        <v>42565.465902777774</v>
      </c>
      <c r="G75" s="7">
        <v>1</v>
      </c>
      <c r="H75" s="16" t="s">
        <v>259</v>
      </c>
      <c r="I75" s="16">
        <v>42565.493587962963</v>
      </c>
      <c r="J75" s="7">
        <v>0</v>
      </c>
      <c r="K75" s="26" t="str">
        <f t="shared" si="15"/>
        <v>4037/4038</v>
      </c>
      <c r="L75" s="26" t="str">
        <f>VLOOKUP(A75,'Trips&amp;Operators'!$C$1:$E$10000,3,FALSE)</f>
        <v>REBOLETTI</v>
      </c>
      <c r="M75" s="6">
        <f t="shared" si="16"/>
        <v>2.768518518860219E-2</v>
      </c>
      <c r="N75" s="7">
        <f t="shared" si="2"/>
        <v>39.866666671587154</v>
      </c>
      <c r="O75" s="7"/>
      <c r="P75" s="7"/>
      <c r="Q75" s="27"/>
      <c r="R75" s="27"/>
      <c r="S75" s="45">
        <f t="shared" si="17"/>
        <v>1</v>
      </c>
      <c r="T75" s="69" t="str">
        <f t="shared" si="18"/>
        <v>NorthBound</v>
      </c>
      <c r="U75" s="105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10:09:06-0600',mode:absolute,to:'2016-07-14 12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5" s="74" t="str">
        <f t="shared" si="20"/>
        <v>N</v>
      </c>
      <c r="X75" s="100">
        <f t="shared" si="21"/>
        <v>1</v>
      </c>
      <c r="Y75" s="97">
        <f t="shared" si="22"/>
        <v>4.6199999999999998E-2</v>
      </c>
      <c r="Z75" s="97">
        <f t="shared" si="23"/>
        <v>23.332599999999999</v>
      </c>
      <c r="AA75" s="97">
        <f t="shared" si="24"/>
        <v>23.2864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 t="shared" si="25"/>
        <v>0161-14</v>
      </c>
      <c r="AE7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75" s="75" t="str">
        <f t="shared" si="27"/>
        <v>"C:\Program Files (x86)\AstroGrep\AstroGrep.exe" /spath="C:\Users\stu\Documents\Analysis\2016-02-23 RTDC Observations" /stypes="*4038*20160714*" /stext=" 17:.+((prompt.+disp)|(slice.+state.+chan)|(ment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381</v>
      </c>
      <c r="B76" s="7">
        <v>4037</v>
      </c>
      <c r="C76" s="26" t="s">
        <v>59</v>
      </c>
      <c r="D76" s="26" t="s">
        <v>208</v>
      </c>
      <c r="E76" s="16">
        <v>42565.501192129632</v>
      </c>
      <c r="F76" s="16">
        <v>42565.502800925926</v>
      </c>
      <c r="G76" s="7">
        <v>2</v>
      </c>
      <c r="H76" s="16" t="s">
        <v>187</v>
      </c>
      <c r="I76" s="16">
        <v>42565.533310185187</v>
      </c>
      <c r="J76" s="7">
        <v>0</v>
      </c>
      <c r="K76" s="26" t="str">
        <f t="shared" si="15"/>
        <v>4037/4038</v>
      </c>
      <c r="L76" s="26" t="str">
        <f>VLOOKUP(A76,'Trips&amp;Operators'!$C$1:$E$10000,3,FALSE)</f>
        <v>REBOLETTI</v>
      </c>
      <c r="M76" s="6">
        <f t="shared" si="16"/>
        <v>3.050925926072523E-2</v>
      </c>
      <c r="N76" s="7">
        <f t="shared" si="2"/>
        <v>43.933333335444331</v>
      </c>
      <c r="O76" s="7"/>
      <c r="P76" s="7"/>
      <c r="Q76" s="27"/>
      <c r="R76" s="27"/>
      <c r="S76" s="45">
        <f t="shared" si="17"/>
        <v>1</v>
      </c>
      <c r="T76" s="69" t="str">
        <f t="shared" si="18"/>
        <v>Southbound</v>
      </c>
      <c r="U76" s="105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11:01:43-0600',mode:absolute,to:'2016-07-14 13:47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6" s="74" t="str">
        <f t="shared" si="20"/>
        <v>N</v>
      </c>
      <c r="X76" s="100">
        <f t="shared" si="21"/>
        <v>1</v>
      </c>
      <c r="Y76" s="97">
        <f t="shared" si="22"/>
        <v>23.298999999999999</v>
      </c>
      <c r="Z76" s="97">
        <f t="shared" si="23"/>
        <v>1.4999999999999999E-2</v>
      </c>
      <c r="AA76" s="97">
        <f t="shared" si="24"/>
        <v>23.283999999999999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 t="shared" si="25"/>
        <v>0162-14</v>
      </c>
      <c r="AE7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76" s="75" t="str">
        <f t="shared" si="27"/>
        <v>"C:\Program Files (x86)\AstroGrep\AstroGrep.exe" /spath="C:\Users\stu\Documents\Analysis\2016-02-23 RTDC Observations" /stypes="*4037*20160714*"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382</v>
      </c>
      <c r="B77" s="7">
        <v>4025</v>
      </c>
      <c r="C77" s="26" t="s">
        <v>59</v>
      </c>
      <c r="D77" s="26" t="s">
        <v>70</v>
      </c>
      <c r="E77" s="16">
        <v>42565.472777777781</v>
      </c>
      <c r="F77" s="16">
        <v>42565.474097222221</v>
      </c>
      <c r="G77" s="7">
        <v>1</v>
      </c>
      <c r="H77" s="16" t="s">
        <v>249</v>
      </c>
      <c r="I77" s="16">
        <v>42565.505439814813</v>
      </c>
      <c r="J77" s="7">
        <v>0</v>
      </c>
      <c r="K77" s="26" t="str">
        <f t="shared" si="15"/>
        <v>4025/4026</v>
      </c>
      <c r="L77" s="26" t="str">
        <f>VLOOKUP(A77,'Trips&amp;Operators'!$C$1:$E$10000,3,FALSE)</f>
        <v>NELSON</v>
      </c>
      <c r="M77" s="6">
        <f t="shared" si="16"/>
        <v>3.1342592592409346E-2</v>
      </c>
      <c r="N77" s="7">
        <f t="shared" ref="N77:P139" si="29">24*60*SUM($M77:$M77)</f>
        <v>45.133333333069459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105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10:20:48-0600',mode:absolute,to:'2016-07-14 13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7" s="74" t="str">
        <f t="shared" si="20"/>
        <v>N</v>
      </c>
      <c r="X77" s="100">
        <f t="shared" si="21"/>
        <v>1</v>
      </c>
      <c r="Y77" s="97">
        <f t="shared" si="22"/>
        <v>4.5699999999999998E-2</v>
      </c>
      <c r="Z77" s="97">
        <f t="shared" si="23"/>
        <v>23.329799999999999</v>
      </c>
      <c r="AA77" s="97">
        <f t="shared" si="24"/>
        <v>23.284099999999999</v>
      </c>
      <c r="AB77" s="94" t="e">
        <f>VLOOKUP(A77,Enforcements!$C$7:$J$23,8,0)</f>
        <v>#N/A</v>
      </c>
      <c r="AC77" s="90" t="e">
        <f>VLOOKUP(A77,Enforcements!$C$7:$E$23,3,0)</f>
        <v>#N/A</v>
      </c>
      <c r="AD77" s="91" t="str">
        <f t="shared" si="25"/>
        <v>0163-14</v>
      </c>
      <c r="AE7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77" s="75" t="str">
        <f t="shared" si="27"/>
        <v>"C:\Program Files (x86)\AstroGrep\AstroGrep.exe" /spath="C:\Users\stu\Documents\Analysis\2016-02-23 RTDC Observations" /stypes="*4025*20160714*" /stext=" 18:.+((prompt.+disp)|(slice.+state.+chan)|(ment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383</v>
      </c>
      <c r="B78" s="7">
        <v>4026</v>
      </c>
      <c r="C78" s="26" t="s">
        <v>59</v>
      </c>
      <c r="D78" s="26" t="s">
        <v>384</v>
      </c>
      <c r="E78" s="16">
        <v>42565.513321759259</v>
      </c>
      <c r="F78" s="16">
        <v>42565.514513888891</v>
      </c>
      <c r="G78" s="7">
        <v>1</v>
      </c>
      <c r="H78" s="16" t="s">
        <v>61</v>
      </c>
      <c r="I78" s="16">
        <v>42565.543680555558</v>
      </c>
      <c r="J78" s="7">
        <v>0</v>
      </c>
      <c r="K78" s="26" t="str">
        <f t="shared" si="15"/>
        <v>4025/4026</v>
      </c>
      <c r="L78" s="26" t="str">
        <f>VLOOKUP(A78,'Trips&amp;Operators'!$C$1:$E$10000,3,FALSE)</f>
        <v>NELSON</v>
      </c>
      <c r="M78" s="6">
        <f t="shared" si="16"/>
        <v>2.9166666667151731E-2</v>
      </c>
      <c r="N78" s="7">
        <f t="shared" si="29"/>
        <v>42.000000000698492</v>
      </c>
      <c r="O78" s="7"/>
      <c r="P78" s="7"/>
      <c r="Q78" s="27"/>
      <c r="R78" s="27"/>
      <c r="S78" s="45">
        <f t="shared" si="17"/>
        <v>1</v>
      </c>
      <c r="T78" s="69" t="str">
        <f t="shared" si="18"/>
        <v>Southbound</v>
      </c>
      <c r="U78" s="105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11:19:11-0600',mode:absolute,to:'2016-07-14 14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8" s="74" t="str">
        <f t="shared" si="20"/>
        <v>N</v>
      </c>
      <c r="X78" s="100">
        <f t="shared" si="21"/>
        <v>1</v>
      </c>
      <c r="Y78" s="97">
        <f t="shared" si="22"/>
        <v>23.299099999999999</v>
      </c>
      <c r="Z78" s="97">
        <f t="shared" si="23"/>
        <v>1.52E-2</v>
      </c>
      <c r="AA78" s="97">
        <f t="shared" si="24"/>
        <v>23.283899999999999</v>
      </c>
      <c r="AB78" s="94" t="e">
        <f>VLOOKUP(A78,Enforcements!$C$7:$J$23,8,0)</f>
        <v>#N/A</v>
      </c>
      <c r="AC78" s="90" t="e">
        <f>VLOOKUP(A78,Enforcements!$C$7:$E$23,3,0)</f>
        <v>#N/A</v>
      </c>
      <c r="AD78" s="91" t="str">
        <f t="shared" si="25"/>
        <v>0164-14</v>
      </c>
      <c r="AE7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78" s="75" t="str">
        <f t="shared" si="27"/>
        <v>"C:\Program Files (x86)\AstroGrep\AstroGrep.exe" /spath="C:\Users\stu\Documents\Analysis\2016-02-23 RTDC Observations" /stypes="*4026*20160714*" /stext=" 19:.+((prompt.+disp)|(slice.+state.+chan)|(ment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385</v>
      </c>
      <c r="B79" s="7">
        <v>4031</v>
      </c>
      <c r="C79" s="26" t="s">
        <v>59</v>
      </c>
      <c r="D79" s="26" t="s">
        <v>151</v>
      </c>
      <c r="E79" s="16">
        <v>42565.481736111113</v>
      </c>
      <c r="F79" s="16">
        <v>42565.483252314814</v>
      </c>
      <c r="G79" s="7">
        <v>2</v>
      </c>
      <c r="H79" s="16" t="s">
        <v>255</v>
      </c>
      <c r="I79" s="16">
        <v>42565.514351851853</v>
      </c>
      <c r="J79" s="7">
        <v>1</v>
      </c>
      <c r="K79" s="26" t="str">
        <f t="shared" ref="K79:K141" si="30">IF(ISEVEN(B79),(B79-1)&amp;"/"&amp;B79,B79&amp;"/"&amp;(B79+1))</f>
        <v>4031/4032</v>
      </c>
      <c r="L79" s="26" t="str">
        <f>VLOOKUP(A79,'Trips&amp;Operators'!$C$1:$E$10000,3,FALSE)</f>
        <v>NEWELL</v>
      </c>
      <c r="M79" s="6">
        <f t="shared" ref="M79:M141" si="31">I79-F79</f>
        <v>3.1099537038244307E-2</v>
      </c>
      <c r="N79" s="7">
        <f t="shared" si="29"/>
        <v>44.783333335071802</v>
      </c>
      <c r="O79" s="7"/>
      <c r="P79" s="7"/>
      <c r="Q79" s="27"/>
      <c r="R79" s="27"/>
      <c r="S79" s="45">
        <f t="shared" ref="S79:S141" si="32">SUM(U79:U79)/12</f>
        <v>1</v>
      </c>
      <c r="T79" s="69" t="str">
        <f t="shared" ref="T79:T141" si="33">IF(ISEVEN(LEFT(A79,3)),"Southbound","NorthBound")</f>
        <v>NorthBound</v>
      </c>
      <c r="U79" s="105">
        <f>COUNTIFS(Variables!$M$2:$M$19,IF(T79="NorthBound","&gt;=","&lt;=")&amp;Y79,Variables!$M$2:$M$19,IF(T79="NorthBound","&lt;=","&gt;=")&amp;Z79)</f>
        <v>12</v>
      </c>
      <c r="V79" s="74" t="str">
        <f t="shared" ref="V79:V141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9" s="74" t="str">
        <f t="shared" ref="W79:W141" si="35">IF(AA79&lt;23,"Y","N")</f>
        <v>N</v>
      </c>
      <c r="X79" s="100">
        <f t="shared" ref="X79:X141" si="36">VALUE(LEFT(A79,3))-VALUE(LEFT(A78,3))</f>
        <v>1</v>
      </c>
      <c r="Y79" s="97">
        <f t="shared" ref="Y79:Y141" si="37">RIGHT(D79,LEN(D79)-4)/10000</f>
        <v>4.58E-2</v>
      </c>
      <c r="Z79" s="97">
        <f t="shared" ref="Z79:Z141" si="38">RIGHT(H79,LEN(H79)-4)/10000</f>
        <v>23.328800000000001</v>
      </c>
      <c r="AA79" s="97">
        <f t="shared" ref="AA79:AA141" si="39">ABS(Z79-Y79)</f>
        <v>23.283000000000001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 t="shared" ref="AD79:AD141" si="40">IF(LEN(A79)=6,"0"&amp;A79,A79)</f>
        <v>0165-14</v>
      </c>
      <c r="AE79" s="75" t="str">
        <f t="shared" ref="AE79:AE141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79" s="75" t="str">
        <f t="shared" ref="AF79:AF141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AG79" s="1" t="str">
        <f t="shared" ref="AG79:AG141" si="43">IF(VALUE(LEFT(A79,3))&lt;300,"EC","NWGL")</f>
        <v>EC</v>
      </c>
    </row>
    <row r="80" spans="1:33" x14ac:dyDescent="0.25">
      <c r="A80" s="49" t="s">
        <v>386</v>
      </c>
      <c r="B80" s="7">
        <v>4032</v>
      </c>
      <c r="C80" s="26" t="s">
        <v>59</v>
      </c>
      <c r="D80" s="26" t="s">
        <v>387</v>
      </c>
      <c r="E80" s="16">
        <v>42565.520821759259</v>
      </c>
      <c r="F80" s="16">
        <v>42565.52171296296</v>
      </c>
      <c r="G80" s="7">
        <v>1</v>
      </c>
      <c r="H80" s="16" t="s">
        <v>186</v>
      </c>
      <c r="I80" s="16">
        <v>42565.554178240738</v>
      </c>
      <c r="J80" s="7">
        <v>0</v>
      </c>
      <c r="K80" s="26" t="str">
        <f t="shared" si="30"/>
        <v>4031/4032</v>
      </c>
      <c r="L80" s="26" t="str">
        <f>VLOOKUP(A80,'Trips&amp;Operators'!$C$1:$E$10000,3,FALSE)</f>
        <v>NEWELL</v>
      </c>
      <c r="M80" s="6">
        <f t="shared" si="31"/>
        <v>3.2465277778101154E-2</v>
      </c>
      <c r="N80" s="7">
        <f t="shared" si="29"/>
        <v>46.750000000465661</v>
      </c>
      <c r="O80" s="7"/>
      <c r="P80" s="7"/>
      <c r="Q80" s="27"/>
      <c r="R80" s="27"/>
      <c r="S80" s="45">
        <f t="shared" si="32"/>
        <v>1</v>
      </c>
      <c r="T80" s="69" t="str">
        <f t="shared" si="33"/>
        <v>Southbound</v>
      </c>
      <c r="U80" s="105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0" s="74" t="str">
        <f t="shared" si="35"/>
        <v>N</v>
      </c>
      <c r="X80" s="100">
        <f t="shared" si="36"/>
        <v>1</v>
      </c>
      <c r="Y80" s="97">
        <f t="shared" si="37"/>
        <v>23.297799999999999</v>
      </c>
      <c r="Z80" s="97">
        <f t="shared" si="38"/>
        <v>1.54E-2</v>
      </c>
      <c r="AA80" s="97">
        <f t="shared" si="39"/>
        <v>23.282399999999999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 t="shared" si="40"/>
        <v>0166-14</v>
      </c>
      <c r="AE80" s="75" t="str">
        <f t="shared" si="41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80" s="75" t="str">
        <f t="shared" si="42"/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49" t="s">
        <v>388</v>
      </c>
      <c r="B81" s="7">
        <v>4020</v>
      </c>
      <c r="C81" s="26" t="s">
        <v>59</v>
      </c>
      <c r="D81" s="26" t="s">
        <v>197</v>
      </c>
      <c r="E81" s="16">
        <v>42565.497048611112</v>
      </c>
      <c r="F81" s="16">
        <v>42565.498287037037</v>
      </c>
      <c r="G81" s="7">
        <v>1</v>
      </c>
      <c r="H81" s="16" t="s">
        <v>269</v>
      </c>
      <c r="I81" s="16">
        <v>42565.526087962964</v>
      </c>
      <c r="J81" s="7">
        <v>0</v>
      </c>
      <c r="K81" s="26" t="str">
        <f t="shared" si="30"/>
        <v>4019/4020</v>
      </c>
      <c r="L81" s="26" t="str">
        <f>VLOOKUP(A81,'Trips&amp;Operators'!$C$1:$E$10000,3,FALSE)</f>
        <v>PELLITIER</v>
      </c>
      <c r="M81" s="6">
        <f t="shared" si="31"/>
        <v>2.7800925927294884E-2</v>
      </c>
      <c r="N81" s="7">
        <f t="shared" si="29"/>
        <v>40.033333335304633</v>
      </c>
      <c r="O81" s="7"/>
      <c r="P81" s="7"/>
      <c r="Q81" s="27"/>
      <c r="R81" s="27"/>
      <c r="S81" s="45">
        <f t="shared" si="32"/>
        <v>1</v>
      </c>
      <c r="T81" s="69" t="str">
        <f t="shared" si="33"/>
        <v>NorthBound</v>
      </c>
      <c r="U81" s="105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10:55:45-0600',mode:absolute,to:'2016-07-14 13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4" t="str">
        <f t="shared" si="35"/>
        <v>N</v>
      </c>
      <c r="X81" s="100">
        <f t="shared" si="36"/>
        <v>1</v>
      </c>
      <c r="Y81" s="97">
        <f t="shared" si="37"/>
        <v>4.6600000000000003E-2</v>
      </c>
      <c r="Z81" s="97">
        <f t="shared" si="38"/>
        <v>23.327400000000001</v>
      </c>
      <c r="AA81" s="97">
        <f t="shared" si="39"/>
        <v>23.280799999999999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 t="shared" si="40"/>
        <v>0167-14</v>
      </c>
      <c r="AE8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81" s="75" t="str">
        <f t="shared" si="42"/>
        <v>"C:\Program Files (x86)\AstroGrep\AstroGrep.exe" /spath="C:\Users\stu\Documents\Analysis\2016-02-23 RTDC Observations" /stypes="*4020*20160714*" /stext=" 18:.+((prompt.+disp)|(slice.+state.+chan)|(ment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49" t="s">
        <v>389</v>
      </c>
      <c r="B82" s="7">
        <v>4019</v>
      </c>
      <c r="C82" s="26" t="s">
        <v>59</v>
      </c>
      <c r="D82" s="26" t="s">
        <v>236</v>
      </c>
      <c r="E82" s="16">
        <v>42565.529270833336</v>
      </c>
      <c r="F82" s="16">
        <v>42565.530821759261</v>
      </c>
      <c r="G82" s="7">
        <v>2</v>
      </c>
      <c r="H82" s="16" t="s">
        <v>390</v>
      </c>
      <c r="I82" s="16">
        <v>42565.56890046296</v>
      </c>
      <c r="J82" s="7">
        <v>0</v>
      </c>
      <c r="K82" s="26" t="str">
        <f t="shared" si="30"/>
        <v>4019/4020</v>
      </c>
      <c r="L82" s="26" t="str">
        <f>VLOOKUP(A82,'Trips&amp;Operators'!$C$1:$E$10000,3,FALSE)</f>
        <v>PELLITIER</v>
      </c>
      <c r="M82" s="6">
        <f t="shared" si="31"/>
        <v>3.8078703699284233E-2</v>
      </c>
      <c r="N82" s="7">
        <f t="shared" si="29"/>
        <v>54.833333326969296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Southbound</v>
      </c>
      <c r="U82" s="105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11:42:09-0600',mode:absolute,to:'2016-07-14 14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74" t="str">
        <f t="shared" si="35"/>
        <v>N</v>
      </c>
      <c r="X82" s="100">
        <f t="shared" si="36"/>
        <v>1</v>
      </c>
      <c r="Y82" s="97">
        <f t="shared" si="37"/>
        <v>23.2989</v>
      </c>
      <c r="Z82" s="97">
        <f t="shared" si="38"/>
        <v>1.7999999999999999E-2</v>
      </c>
      <c r="AA82" s="97">
        <f t="shared" si="39"/>
        <v>23.280899999999999</v>
      </c>
      <c r="AB82" s="94" t="e">
        <f>VLOOKUP(A82,Enforcements!$C$7:$J$23,8,0)</f>
        <v>#N/A</v>
      </c>
      <c r="AC82" s="90" t="e">
        <f>VLOOKUP(A82,Enforcements!$C$7:$E$23,3,0)</f>
        <v>#N/A</v>
      </c>
      <c r="AD82" s="91" t="str">
        <f t="shared" si="40"/>
        <v>0168-14</v>
      </c>
      <c r="AE8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82" s="75" t="str">
        <f t="shared" si="42"/>
        <v>"C:\Program Files (x86)\AstroGrep\AstroGrep.exe" /spath="C:\Users\stu\Documents\Analysis\2016-02-23 RTDC Observations" /stypes="*4019*20160714*" /stext=" 19:.+((prompt.+disp)|(slice.+state.+chan)|(ment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49" t="s">
        <v>391</v>
      </c>
      <c r="B83" s="7">
        <v>4018</v>
      </c>
      <c r="C83" s="26" t="s">
        <v>59</v>
      </c>
      <c r="D83" s="26" t="s">
        <v>70</v>
      </c>
      <c r="E83" s="16">
        <v>42565.505624999998</v>
      </c>
      <c r="F83" s="16">
        <v>42565.506550925929</v>
      </c>
      <c r="G83" s="7">
        <v>1</v>
      </c>
      <c r="H83" s="16" t="s">
        <v>392</v>
      </c>
      <c r="I83" s="16">
        <v>42565.536087962966</v>
      </c>
      <c r="J83" s="7">
        <v>0</v>
      </c>
      <c r="K83" s="26" t="str">
        <f t="shared" si="30"/>
        <v>4017/4018</v>
      </c>
      <c r="L83" s="26" t="str">
        <f>VLOOKUP(A83,'Trips&amp;Operators'!$C$1:$E$10000,3,FALSE)</f>
        <v>ADANE</v>
      </c>
      <c r="M83" s="6">
        <f t="shared" si="31"/>
        <v>2.9537037036789116E-2</v>
      </c>
      <c r="N83" s="7">
        <f t="shared" si="29"/>
        <v>42.533333332976326</v>
      </c>
      <c r="O83" s="7"/>
      <c r="P83" s="7"/>
      <c r="Q83" s="27"/>
      <c r="R83" s="27"/>
      <c r="S83" s="45">
        <f t="shared" si="32"/>
        <v>1</v>
      </c>
      <c r="T83" s="69" t="str">
        <f t="shared" si="33"/>
        <v>NorthBound</v>
      </c>
      <c r="U83" s="105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11:08:06-0600',mode:absolute,to:'2016-07-14 13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4" t="str">
        <f t="shared" si="35"/>
        <v>N</v>
      </c>
      <c r="X83" s="100">
        <f t="shared" si="36"/>
        <v>1</v>
      </c>
      <c r="Y83" s="97">
        <f t="shared" si="37"/>
        <v>4.5699999999999998E-2</v>
      </c>
      <c r="Z83" s="97">
        <f t="shared" si="38"/>
        <v>23.326799999999999</v>
      </c>
      <c r="AA83" s="97">
        <f t="shared" si="39"/>
        <v>23.281099999999999</v>
      </c>
      <c r="AB83" s="94" t="e">
        <f>VLOOKUP(A83,Enforcements!$C$7:$J$23,8,0)</f>
        <v>#N/A</v>
      </c>
      <c r="AC83" s="90" t="e">
        <f>VLOOKUP(A83,Enforcements!$C$7:$E$23,3,0)</f>
        <v>#N/A</v>
      </c>
      <c r="AD83" s="91" t="str">
        <f t="shared" si="40"/>
        <v>0169-14</v>
      </c>
      <c r="AE83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83" s="75" t="str">
        <f t="shared" si="42"/>
        <v>"C:\Program Files (x86)\AstroGrep\AstroGrep.exe" /spath="C:\Users\stu\Documents\Analysis\2016-02-23 RTDC Observations" /stypes="*4018*20160714*" /stext=" 18:.+((prompt.+disp)|(slice.+state.+chan)|(ment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49" t="s">
        <v>393</v>
      </c>
      <c r="B84" s="7">
        <v>4017</v>
      </c>
      <c r="C84" s="26" t="s">
        <v>59</v>
      </c>
      <c r="D84" s="26" t="s">
        <v>250</v>
      </c>
      <c r="E84" s="16">
        <v>42565.545914351853</v>
      </c>
      <c r="F84" s="16">
        <v>42565.547349537039</v>
      </c>
      <c r="G84" s="7">
        <v>2</v>
      </c>
      <c r="H84" s="16" t="s">
        <v>394</v>
      </c>
      <c r="I84" s="16">
        <v>42565.57644675926</v>
      </c>
      <c r="J84" s="7">
        <v>1</v>
      </c>
      <c r="K84" s="26" t="str">
        <f t="shared" si="30"/>
        <v>4017/4018</v>
      </c>
      <c r="L84" s="26" t="str">
        <f>VLOOKUP(A84,'Trips&amp;Operators'!$C$1:$E$10000,3,FALSE)</f>
        <v>ADANE</v>
      </c>
      <c r="M84" s="6">
        <f t="shared" si="31"/>
        <v>2.9097222221025731E-2</v>
      </c>
      <c r="N84" s="7">
        <f t="shared" si="29"/>
        <v>41.899999998277053</v>
      </c>
      <c r="O84" s="7"/>
      <c r="P84" s="7"/>
      <c r="Q84" s="27"/>
      <c r="R84" s="27"/>
      <c r="S84" s="45">
        <f t="shared" si="32"/>
        <v>1</v>
      </c>
      <c r="T84" s="69" t="str">
        <f t="shared" si="33"/>
        <v>Southbound</v>
      </c>
      <c r="U84" s="105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4" t="str">
        <f t="shared" si="35"/>
        <v>N</v>
      </c>
      <c r="X84" s="100">
        <f t="shared" si="36"/>
        <v>1</v>
      </c>
      <c r="Y84" s="97">
        <f t="shared" si="37"/>
        <v>23.296900000000001</v>
      </c>
      <c r="Z84" s="97">
        <f t="shared" si="38"/>
        <v>3.2500000000000001E-2</v>
      </c>
      <c r="AA84" s="97">
        <f t="shared" si="39"/>
        <v>23.264400000000002</v>
      </c>
      <c r="AB84" s="94">
        <f>VLOOKUP(A84,Enforcements!$C$7:$J$23,8,0)</f>
        <v>42961</v>
      </c>
      <c r="AC84" s="90" t="str">
        <f>VLOOKUP(A84,Enforcements!$C$7:$E$23,3,0)</f>
        <v>GRADE CROSSING</v>
      </c>
      <c r="AD84" s="91" t="str">
        <f t="shared" si="40"/>
        <v>0170-14</v>
      </c>
      <c r="AE84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84" s="75" t="str">
        <f t="shared" si="42"/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49" t="s">
        <v>395</v>
      </c>
      <c r="B85" s="7">
        <v>4042</v>
      </c>
      <c r="C85" s="26" t="s">
        <v>59</v>
      </c>
      <c r="D85" s="26" t="s">
        <v>115</v>
      </c>
      <c r="E85" s="16">
        <v>42565.5153125</v>
      </c>
      <c r="F85" s="16">
        <v>42565.519791666666</v>
      </c>
      <c r="G85" s="7">
        <v>6</v>
      </c>
      <c r="H85" s="16" t="s">
        <v>140</v>
      </c>
      <c r="I85" s="16">
        <v>42565.546018518522</v>
      </c>
      <c r="J85" s="7">
        <v>0</v>
      </c>
      <c r="K85" s="26" t="str">
        <f t="shared" si="30"/>
        <v>4041/4042</v>
      </c>
      <c r="L85" s="26" t="str">
        <f>VLOOKUP(A85,'Trips&amp;Operators'!$C$1:$E$10000,3,FALSE)</f>
        <v>STAMBAUGH</v>
      </c>
      <c r="M85" s="6">
        <f t="shared" si="31"/>
        <v>2.6226851856335998E-2</v>
      </c>
      <c r="N85" s="7">
        <f t="shared" si="29"/>
        <v>37.766666673123837</v>
      </c>
      <c r="O85" s="7"/>
      <c r="P85" s="7"/>
      <c r="Q85" s="27"/>
      <c r="R85" s="27"/>
      <c r="S85" s="45">
        <f t="shared" si="32"/>
        <v>1</v>
      </c>
      <c r="T85" s="69" t="str">
        <f t="shared" si="33"/>
        <v>NorthBound</v>
      </c>
      <c r="U85" s="105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11:22:03-0600',mode:absolute,to:'2016-07-14 14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74" t="str">
        <f t="shared" si="35"/>
        <v>N</v>
      </c>
      <c r="X85" s="100">
        <f t="shared" si="36"/>
        <v>1</v>
      </c>
      <c r="Y85" s="97">
        <f t="shared" si="37"/>
        <v>4.5100000000000001E-2</v>
      </c>
      <c r="Z85" s="97">
        <f t="shared" si="38"/>
        <v>23.330200000000001</v>
      </c>
      <c r="AA85" s="97">
        <f t="shared" si="39"/>
        <v>23.2851</v>
      </c>
      <c r="AB85" s="94" t="e">
        <f>VLOOKUP(A85,Enforcements!$C$7:$J$23,8,0)</f>
        <v>#N/A</v>
      </c>
      <c r="AC85" s="90" t="e">
        <f>VLOOKUP(A85,Enforcements!$C$7:$E$23,3,0)</f>
        <v>#N/A</v>
      </c>
      <c r="AD85" s="91" t="str">
        <f t="shared" si="40"/>
        <v>0171-14</v>
      </c>
      <c r="AE85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85" s="75" t="str">
        <f t="shared" si="42"/>
        <v>"C:\Program Files (x86)\AstroGrep\AstroGrep.exe" /spath="C:\Users\stu\Documents\Analysis\2016-02-23 RTDC Observations" /stypes="*4042*20160714*" /stext=" 19:.+((prompt.+disp)|(slice.+state.+chan)|(ment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49" t="s">
        <v>396</v>
      </c>
      <c r="B86" s="7">
        <v>4041</v>
      </c>
      <c r="C86" s="26" t="s">
        <v>59</v>
      </c>
      <c r="D86" s="26" t="s">
        <v>397</v>
      </c>
      <c r="E86" s="16">
        <v>42565.555173611108</v>
      </c>
      <c r="F86" s="16">
        <v>42565.556435185186</v>
      </c>
      <c r="G86" s="7">
        <v>1</v>
      </c>
      <c r="H86" s="16" t="s">
        <v>247</v>
      </c>
      <c r="I86" s="16">
        <v>42565.589444444442</v>
      </c>
      <c r="J86" s="7">
        <v>0</v>
      </c>
      <c r="K86" s="26" t="str">
        <f t="shared" si="30"/>
        <v>4041/4042</v>
      </c>
      <c r="L86" s="26" t="str">
        <f>VLOOKUP(A86,'Trips&amp;Operators'!$C$1:$E$10000,3,FALSE)</f>
        <v>STAMBAUGH</v>
      </c>
      <c r="M86" s="6">
        <f t="shared" si="31"/>
        <v>3.3009259255777579E-2</v>
      </c>
      <c r="N86" s="7">
        <f t="shared" si="29"/>
        <v>47.533333328319713</v>
      </c>
      <c r="O86" s="7"/>
      <c r="P86" s="7"/>
      <c r="Q86" s="27"/>
      <c r="R86" s="27"/>
      <c r="S86" s="45">
        <f t="shared" si="32"/>
        <v>1</v>
      </c>
      <c r="T86" s="69" t="str">
        <f t="shared" si="33"/>
        <v>Southbound</v>
      </c>
      <c r="U86" s="105">
        <f>COUNTIFS(Variables!$M$2:$M$19,IF(T86="NorthBound","&gt;=","&lt;=")&amp;Y86,Variables!$M$2:$M$19,IF(T86="NorthBound","&lt;=","&gt;=")&amp;Z86)</f>
        <v>12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12:19:27-0600',mode:absolute,to:'2016-07-14 15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74" t="str">
        <f t="shared" si="35"/>
        <v>N</v>
      </c>
      <c r="X86" s="100">
        <f t="shared" si="36"/>
        <v>1</v>
      </c>
      <c r="Y86" s="97">
        <f t="shared" si="37"/>
        <v>23.296399999999998</v>
      </c>
      <c r="Z86" s="97">
        <f t="shared" si="38"/>
        <v>1.29E-2</v>
      </c>
      <c r="AA86" s="97">
        <f t="shared" si="39"/>
        <v>23.2835</v>
      </c>
      <c r="AB86" s="94" t="e">
        <f>VLOOKUP(A86,Enforcements!$C$7:$J$23,8,0)</f>
        <v>#N/A</v>
      </c>
      <c r="AC86" s="90" t="e">
        <f>VLOOKUP(A86,Enforcements!$C$7:$E$23,3,0)</f>
        <v>#N/A</v>
      </c>
      <c r="AD86" s="91" t="str">
        <f t="shared" si="40"/>
        <v>0172-14</v>
      </c>
      <c r="AE86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86" s="75" t="str">
        <f t="shared" si="42"/>
        <v>"C:\Program Files (x86)\AstroGrep\AstroGrep.exe" /spath="C:\Users\stu\Documents\Analysis\2016-02-23 RTDC Observations" /stypes="*4041*20160714*"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49" t="s">
        <v>398</v>
      </c>
      <c r="B87" s="7">
        <v>4044</v>
      </c>
      <c r="C87" s="26" t="s">
        <v>59</v>
      </c>
      <c r="D87" s="26" t="s">
        <v>399</v>
      </c>
      <c r="E87" s="16">
        <v>42565.536782407406</v>
      </c>
      <c r="F87" s="16">
        <v>42565.537546296298</v>
      </c>
      <c r="G87" s="7">
        <v>1</v>
      </c>
      <c r="H87" s="16" t="s">
        <v>400</v>
      </c>
      <c r="I87" s="16">
        <v>42565.559791666667</v>
      </c>
      <c r="J87" s="7">
        <v>0</v>
      </c>
      <c r="K87" s="26" t="str">
        <f t="shared" si="30"/>
        <v>4043/4044</v>
      </c>
      <c r="L87" s="26" t="str">
        <f>VLOOKUP(A87,'Trips&amp;Operators'!$C$1:$E$10000,3,FALSE)</f>
        <v>SHOOK</v>
      </c>
      <c r="M87" s="6">
        <f t="shared" si="31"/>
        <v>2.2245370368182193E-2</v>
      </c>
      <c r="N87" s="7"/>
      <c r="O87" s="7"/>
      <c r="P87" s="7">
        <f>24*60*SUM($M87:$M88)</f>
        <v>43.416666663251817</v>
      </c>
      <c r="Q87" s="27"/>
      <c r="R87" s="27" t="s">
        <v>584</v>
      </c>
      <c r="S87" s="45">
        <f t="shared" si="32"/>
        <v>1</v>
      </c>
      <c r="T87" s="69" t="str">
        <f t="shared" si="33"/>
        <v>NorthBound</v>
      </c>
      <c r="U87" s="105">
        <f>COUNTIFS(Variables!$M$2:$M$19,IF(T87="NorthBound","&gt;=","&lt;=")&amp;Y87,Variables!$M$2:$M$19,IF(T87="NorthBound","&lt;=","&gt;=")&amp;Z87)</f>
        <v>12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11:52:58-0600',mode:absolute,to:'2016-07-14 14:26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7" s="74" t="str">
        <f t="shared" si="35"/>
        <v>Y</v>
      </c>
      <c r="X87" s="100">
        <f t="shared" si="36"/>
        <v>1</v>
      </c>
      <c r="Y87" s="97">
        <f t="shared" si="37"/>
        <v>1.9996</v>
      </c>
      <c r="Z87" s="97">
        <f t="shared" si="38"/>
        <v>23.327999999999999</v>
      </c>
      <c r="AA87" s="97">
        <f t="shared" si="39"/>
        <v>21.328399999999998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 t="shared" si="40"/>
        <v>0173-14</v>
      </c>
      <c r="AE87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7" s="75" t="str">
        <f t="shared" si="42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49" t="s">
        <v>398</v>
      </c>
      <c r="B88" s="7">
        <v>4044</v>
      </c>
      <c r="C88" s="26" t="s">
        <v>59</v>
      </c>
      <c r="D88" s="26" t="s">
        <v>175</v>
      </c>
      <c r="E88" s="16">
        <v>42565.524861111109</v>
      </c>
      <c r="F88" s="16">
        <v>42565.525914351849</v>
      </c>
      <c r="G88" s="7">
        <v>1</v>
      </c>
      <c r="H88" s="16" t="s">
        <v>377</v>
      </c>
      <c r="I88" s="16">
        <v>42565.533819444441</v>
      </c>
      <c r="J88" s="7">
        <v>0</v>
      </c>
      <c r="K88" s="26" t="str">
        <f t="shared" si="30"/>
        <v>4043/4044</v>
      </c>
      <c r="L88" s="26" t="str">
        <f>VLOOKUP(A88,'Trips&amp;Operators'!$C$1:$E$10000,3,FALSE)</f>
        <v>SHOOK</v>
      </c>
      <c r="M88" s="6">
        <f t="shared" si="31"/>
        <v>7.9050925924093463E-3</v>
      </c>
      <c r="N88" s="7"/>
      <c r="O88" s="7"/>
      <c r="P88" s="7"/>
      <c r="Q88" s="27"/>
      <c r="R88" s="27"/>
      <c r="S88" s="45"/>
      <c r="T88" s="69" t="str">
        <f t="shared" si="33"/>
        <v>NorthBound</v>
      </c>
      <c r="U88" s="105">
        <f>COUNTIFS(Variables!$M$2:$M$19,IF(T88="NorthBound","&gt;=","&lt;=")&amp;Y88,Variables!$M$2:$M$19,IF(T88="NorthBound","&lt;=","&gt;=")&amp;Z88)</f>
        <v>0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11:35:48-0600',mode:absolute,to:'2016-07-14 13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74" t="str">
        <f t="shared" si="35"/>
        <v>Y</v>
      </c>
      <c r="X88" s="100">
        <f t="shared" si="36"/>
        <v>0</v>
      </c>
      <c r="Y88" s="97">
        <f t="shared" si="37"/>
        <v>4.53E-2</v>
      </c>
      <c r="Z88" s="97">
        <f t="shared" si="38"/>
        <v>0.15540000000000001</v>
      </c>
      <c r="AA88" s="97">
        <f t="shared" si="39"/>
        <v>0.1101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 t="shared" si="40"/>
        <v>0173-14</v>
      </c>
      <c r="AE88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8" s="75" t="str">
        <f t="shared" si="42"/>
        <v>"C:\Program Files (x86)\AstroGrep\AstroGrep.exe" /spath="C:\Users\stu\Documents\Analysis\2016-02-23 RTDC Observations" /stypes="*4044*20160714*" /stext=" 18:.+((prompt.+disp)|(slice.+state.+chan)|(ment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49" t="s">
        <v>401</v>
      </c>
      <c r="B89" s="7">
        <v>4043</v>
      </c>
      <c r="C89" s="26" t="s">
        <v>59</v>
      </c>
      <c r="D89" s="26" t="s">
        <v>211</v>
      </c>
      <c r="E89" s="16">
        <v>42565.564282407409</v>
      </c>
      <c r="F89" s="16">
        <v>42565.566018518519</v>
      </c>
      <c r="G89" s="7">
        <v>2</v>
      </c>
      <c r="H89" s="16" t="s">
        <v>187</v>
      </c>
      <c r="I89" s="16">
        <v>42565.598368055558</v>
      </c>
      <c r="J89" s="7">
        <v>1</v>
      </c>
      <c r="K89" s="26" t="str">
        <f t="shared" si="30"/>
        <v>4043/4044</v>
      </c>
      <c r="L89" s="26" t="str">
        <f>VLOOKUP(A89,'Trips&amp;Operators'!$C$1:$E$10000,3,FALSE)</f>
        <v>SHOOK</v>
      </c>
      <c r="M89" s="6">
        <f t="shared" si="31"/>
        <v>3.234953703940846E-2</v>
      </c>
      <c r="N89" s="7">
        <f t="shared" si="29"/>
        <v>46.583333336748183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Southbound</v>
      </c>
      <c r="U89" s="105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74" t="str">
        <f t="shared" si="35"/>
        <v>N</v>
      </c>
      <c r="X89" s="100">
        <f t="shared" si="36"/>
        <v>1</v>
      </c>
      <c r="Y89" s="97">
        <f t="shared" si="37"/>
        <v>23.299399999999999</v>
      </c>
      <c r="Z89" s="97">
        <f t="shared" si="38"/>
        <v>1.4999999999999999E-2</v>
      </c>
      <c r="AA89" s="97">
        <f t="shared" si="39"/>
        <v>23.284399999999998</v>
      </c>
      <c r="AB89" s="94">
        <f>VLOOKUP(A89,Enforcements!$C$7:$J$23,8,0)</f>
        <v>228668</v>
      </c>
      <c r="AC89" s="90" t="str">
        <f>VLOOKUP(A89,Enforcements!$C$7:$E$23,3,0)</f>
        <v>PERMANENT SPEED RESTRICTION</v>
      </c>
      <c r="AD89" s="91" t="str">
        <f t="shared" si="40"/>
        <v>0174-14</v>
      </c>
      <c r="AE89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89" s="75" t="str">
        <f t="shared" si="42"/>
        <v>"C:\Program Files (x86)\AstroGrep\AstroGrep.exe" /spath="C:\Users\stu\Documents\Analysis\2016-02-23 RTDC Observations" /stypes="*4043*20160714*" /stext=" 20:.+((prompt.+disp)|(slice.+state.+chan)|(ment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49" t="s">
        <v>402</v>
      </c>
      <c r="B90" s="7">
        <v>4038</v>
      </c>
      <c r="C90" s="26" t="s">
        <v>59</v>
      </c>
      <c r="D90" s="26" t="s">
        <v>183</v>
      </c>
      <c r="E90" s="16">
        <v>42565.535150462965</v>
      </c>
      <c r="F90" s="16">
        <v>42565.535949074074</v>
      </c>
      <c r="G90" s="7">
        <v>1</v>
      </c>
      <c r="H90" s="16" t="s">
        <v>403</v>
      </c>
      <c r="I90" s="16">
        <v>42565.566643518519</v>
      </c>
      <c r="J90" s="7">
        <v>1</v>
      </c>
      <c r="K90" s="26" t="str">
        <f t="shared" si="30"/>
        <v>4037/4038</v>
      </c>
      <c r="L90" s="26" t="str">
        <f>VLOOKUP(A90,'Trips&amp;Operators'!$C$1:$E$10000,3,FALSE)</f>
        <v>REBOLETTI</v>
      </c>
      <c r="M90" s="6">
        <f t="shared" si="31"/>
        <v>3.0694444445543922E-2</v>
      </c>
      <c r="N90" s="7">
        <f t="shared" si="29"/>
        <v>44.200000001583248</v>
      </c>
      <c r="O90" s="7"/>
      <c r="P90" s="7"/>
      <c r="Q90" s="27"/>
      <c r="R90" s="27"/>
      <c r="S90" s="45">
        <f t="shared" si="32"/>
        <v>1</v>
      </c>
      <c r="T90" s="69" t="str">
        <f t="shared" si="33"/>
        <v>NorthBound</v>
      </c>
      <c r="U90" s="105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74" t="str">
        <f t="shared" si="35"/>
        <v>N</v>
      </c>
      <c r="X90" s="100">
        <f t="shared" si="36"/>
        <v>1</v>
      </c>
      <c r="Y90" s="97">
        <f t="shared" si="37"/>
        <v>4.5499999999999999E-2</v>
      </c>
      <c r="Z90" s="97">
        <f t="shared" si="38"/>
        <v>23.331499999999998</v>
      </c>
      <c r="AA90" s="97">
        <f t="shared" si="39"/>
        <v>23.285999999999998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 t="shared" si="40"/>
        <v>0175-14</v>
      </c>
      <c r="AE90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90" s="75" t="str">
        <f t="shared" si="42"/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49" t="s">
        <v>404</v>
      </c>
      <c r="B91" s="7">
        <v>4037</v>
      </c>
      <c r="C91" s="26" t="s">
        <v>59</v>
      </c>
      <c r="D91" s="26" t="s">
        <v>335</v>
      </c>
      <c r="E91" s="16">
        <v>42565.573807870373</v>
      </c>
      <c r="F91" s="16">
        <v>42565.57471064815</v>
      </c>
      <c r="G91" s="7">
        <v>1</v>
      </c>
      <c r="H91" s="16" t="s">
        <v>111</v>
      </c>
      <c r="I91" s="16">
        <v>42565.608275462961</v>
      </c>
      <c r="J91" s="7">
        <v>0</v>
      </c>
      <c r="K91" s="26" t="str">
        <f t="shared" si="30"/>
        <v>4037/4038</v>
      </c>
      <c r="L91" s="26" t="str">
        <f>VLOOKUP(A91,'Trips&amp;Operators'!$C$1:$E$10000,3,FALSE)</f>
        <v>REBOLETTI</v>
      </c>
      <c r="M91" s="6">
        <f t="shared" si="31"/>
        <v>3.3564814810233656E-2</v>
      </c>
      <c r="N91" s="7">
        <f t="shared" si="29"/>
        <v>48.333333326736465</v>
      </c>
      <c r="O91" s="7"/>
      <c r="P91" s="7"/>
      <c r="Q91" s="27"/>
      <c r="R91" s="27"/>
      <c r="S91" s="45">
        <f t="shared" si="32"/>
        <v>1</v>
      </c>
      <c r="T91" s="69" t="str">
        <f t="shared" si="33"/>
        <v>Southbound</v>
      </c>
      <c r="U91" s="105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12:46:17-0600',mode:absolute,to:'2016-07-14 15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74" t="str">
        <f t="shared" si="35"/>
        <v>N</v>
      </c>
      <c r="X91" s="100">
        <f t="shared" si="36"/>
        <v>1</v>
      </c>
      <c r="Y91" s="97">
        <f t="shared" si="37"/>
        <v>23.298500000000001</v>
      </c>
      <c r="Z91" s="97">
        <f t="shared" si="38"/>
        <v>1.43E-2</v>
      </c>
      <c r="AA91" s="97">
        <f t="shared" si="39"/>
        <v>23.284200000000002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 t="shared" si="40"/>
        <v>0176-14</v>
      </c>
      <c r="AE91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91" s="75" t="str">
        <f t="shared" si="42"/>
        <v>"C:\Program Files (x86)\AstroGrep\AstroGrep.exe" /spath="C:\Users\stu\Documents\Analysis\2016-02-23 RTDC Observations" /stypes="*4037*20160714*"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49" t="s">
        <v>405</v>
      </c>
      <c r="B92" s="7">
        <v>4025</v>
      </c>
      <c r="C92" s="26" t="s">
        <v>59</v>
      </c>
      <c r="D92" s="26" t="s">
        <v>66</v>
      </c>
      <c r="E92" s="16">
        <v>42565.545497685183</v>
      </c>
      <c r="F92" s="16">
        <v>42565.546597222223</v>
      </c>
      <c r="G92" s="7">
        <v>1</v>
      </c>
      <c r="H92" s="16" t="s">
        <v>210</v>
      </c>
      <c r="I92" s="16">
        <v>42565.576898148145</v>
      </c>
      <c r="J92" s="7">
        <v>0</v>
      </c>
      <c r="K92" s="26" t="str">
        <f t="shared" si="30"/>
        <v>4025/4026</v>
      </c>
      <c r="L92" s="26" t="str">
        <f>VLOOKUP(A92,'Trips&amp;Operators'!$C$1:$E$10000,3,FALSE)</f>
        <v>NELSON</v>
      </c>
      <c r="M92" s="6">
        <f t="shared" si="31"/>
        <v>3.0300925922347233E-2</v>
      </c>
      <c r="N92" s="7">
        <f t="shared" si="29"/>
        <v>43.633333328180015</v>
      </c>
      <c r="O92" s="7"/>
      <c r="P92" s="7"/>
      <c r="Q92" s="27"/>
      <c r="R92" s="27"/>
      <c r="S92" s="45">
        <f t="shared" si="32"/>
        <v>1</v>
      </c>
      <c r="T92" s="69" t="str">
        <f t="shared" si="33"/>
        <v>NorthBound</v>
      </c>
      <c r="U92" s="105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12:05:31-0600',mode:absolute,to:'2016-07-14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74" t="str">
        <f t="shared" si="35"/>
        <v>N</v>
      </c>
      <c r="X92" s="100">
        <f t="shared" si="36"/>
        <v>1</v>
      </c>
      <c r="Y92" s="97">
        <f t="shared" si="37"/>
        <v>4.5999999999999999E-2</v>
      </c>
      <c r="Z92" s="97">
        <f t="shared" si="38"/>
        <v>23.331199999999999</v>
      </c>
      <c r="AA92" s="97">
        <f t="shared" si="39"/>
        <v>23.2852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 t="shared" si="40"/>
        <v>0177-14</v>
      </c>
      <c r="AE92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92" s="75" t="str">
        <f t="shared" si="42"/>
        <v>"C:\Program Files (x86)\AstroGrep\AstroGrep.exe" /spath="C:\Users\stu\Documents\Analysis\2016-02-23 RTDC Observations" /stypes="*4025*20160714*" /stext=" 19:.+((prompt.+disp)|(slice.+state.+chan)|(ment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49" t="s">
        <v>406</v>
      </c>
      <c r="B93" s="7">
        <v>4026</v>
      </c>
      <c r="C93" s="26" t="s">
        <v>59</v>
      </c>
      <c r="D93" s="26" t="s">
        <v>387</v>
      </c>
      <c r="E93" s="16">
        <v>42565.584363425929</v>
      </c>
      <c r="F93" s="16">
        <v>42565.585300925923</v>
      </c>
      <c r="G93" s="7">
        <v>1</v>
      </c>
      <c r="H93" s="16" t="s">
        <v>407</v>
      </c>
      <c r="I93" s="16">
        <v>42565.623206018521</v>
      </c>
      <c r="J93" s="7">
        <v>1</v>
      </c>
      <c r="K93" s="26" t="str">
        <f t="shared" si="30"/>
        <v>4025/4026</v>
      </c>
      <c r="L93" s="26" t="str">
        <f>VLOOKUP(A93,'Trips&amp;Operators'!$C$1:$E$10000,3,FALSE)</f>
        <v>NELSON</v>
      </c>
      <c r="M93" s="6">
        <f t="shared" si="31"/>
        <v>3.7905092598521151E-2</v>
      </c>
      <c r="N93" s="7">
        <f t="shared" si="29"/>
        <v>54.583333341870457</v>
      </c>
      <c r="O93" s="7"/>
      <c r="P93" s="7"/>
      <c r="Q93" s="27"/>
      <c r="R93" s="27"/>
      <c r="S93" s="45">
        <f t="shared" si="32"/>
        <v>1</v>
      </c>
      <c r="T93" s="69" t="str">
        <f t="shared" si="33"/>
        <v>Southbound</v>
      </c>
      <c r="U93" s="105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74" t="str">
        <f t="shared" si="35"/>
        <v>N</v>
      </c>
      <c r="X93" s="100">
        <f t="shared" si="36"/>
        <v>1</v>
      </c>
      <c r="Y93" s="97">
        <f t="shared" si="37"/>
        <v>23.297799999999999</v>
      </c>
      <c r="Z93" s="97">
        <v>0.01</v>
      </c>
      <c r="AA93" s="97">
        <f t="shared" si="39"/>
        <v>23.287799999999997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 t="shared" si="40"/>
        <v>0178-14</v>
      </c>
      <c r="AE93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93" s="75" t="str">
        <f t="shared" si="42"/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49" t="s">
        <v>408</v>
      </c>
      <c r="B94" s="7">
        <v>4031</v>
      </c>
      <c r="C94" s="26" t="s">
        <v>59</v>
      </c>
      <c r="D94" s="26" t="s">
        <v>115</v>
      </c>
      <c r="E94" s="16">
        <v>42565.55736111111</v>
      </c>
      <c r="F94" s="16">
        <v>42565.558518518519</v>
      </c>
      <c r="G94" s="7">
        <v>1</v>
      </c>
      <c r="H94" s="16" t="s">
        <v>403</v>
      </c>
      <c r="I94" s="16">
        <v>42565.587696759256</v>
      </c>
      <c r="J94" s="7">
        <v>0</v>
      </c>
      <c r="K94" s="26" t="str">
        <f t="shared" si="30"/>
        <v>4031/4032</v>
      </c>
      <c r="L94" s="26" t="str">
        <f>VLOOKUP(A94,'Trips&amp;Operators'!$C$1:$E$10000,3,FALSE)</f>
        <v>NEWELL</v>
      </c>
      <c r="M94" s="6">
        <f t="shared" si="31"/>
        <v>2.9178240736655425E-2</v>
      </c>
      <c r="N94" s="7">
        <f t="shared" si="29"/>
        <v>42.016666660783812</v>
      </c>
      <c r="O94" s="7"/>
      <c r="P94" s="7"/>
      <c r="Q94" s="27"/>
      <c r="R94" s="27"/>
      <c r="S94" s="45">
        <f t="shared" si="32"/>
        <v>1</v>
      </c>
      <c r="T94" s="69" t="str">
        <f t="shared" si="33"/>
        <v>NorthBound</v>
      </c>
      <c r="U94" s="105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12:22:36-0600',mode:absolute,to:'2016-07-14 15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4" s="74" t="str">
        <f t="shared" si="35"/>
        <v>N</v>
      </c>
      <c r="X94" s="100">
        <f t="shared" si="36"/>
        <v>1</v>
      </c>
      <c r="Y94" s="97">
        <f t="shared" si="37"/>
        <v>4.5100000000000001E-2</v>
      </c>
      <c r="Z94" s="97">
        <f t="shared" si="38"/>
        <v>23.331499999999998</v>
      </c>
      <c r="AA94" s="97">
        <f t="shared" si="39"/>
        <v>23.286399999999997</v>
      </c>
      <c r="AB94" s="94" t="e">
        <f>VLOOKUP(A94,Enforcements!$C$7:$J$23,8,0)</f>
        <v>#N/A</v>
      </c>
      <c r="AC94" s="90" t="e">
        <f>VLOOKUP(A94,Enforcements!$C$7:$E$23,3,0)</f>
        <v>#N/A</v>
      </c>
      <c r="AD94" s="91" t="str">
        <f t="shared" si="40"/>
        <v>0179-14</v>
      </c>
      <c r="AE94" s="75" t="str">
        <f t="shared" si="41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94" s="75" t="str">
        <f t="shared" si="42"/>
        <v>"C:\Program Files (x86)\AstroGrep\AstroGrep.exe" /spath="C:\Users\stu\Documents\Analysis\2016-02-23 RTDC Observations" /stypes="*4031*20160714*"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409</v>
      </c>
      <c r="B95" s="7">
        <v>4020</v>
      </c>
      <c r="C95" s="26" t="s">
        <v>59</v>
      </c>
      <c r="D95" s="26" t="s">
        <v>209</v>
      </c>
      <c r="E95" s="16">
        <v>42565.571412037039</v>
      </c>
      <c r="F95" s="16">
        <v>42565.572708333333</v>
      </c>
      <c r="G95" s="7">
        <v>1</v>
      </c>
      <c r="H95" s="16" t="s">
        <v>238</v>
      </c>
      <c r="I95" s="16">
        <v>42565.599652777775</v>
      </c>
      <c r="J95" s="7">
        <v>0</v>
      </c>
      <c r="K95" s="26" t="str">
        <f t="shared" si="30"/>
        <v>4019/4020</v>
      </c>
      <c r="L95" s="26" t="str">
        <f>VLOOKUP(A95,'Trips&amp;Operators'!$C$1:$E$10000,3,FALSE)</f>
        <v>BRANNON</v>
      </c>
      <c r="M95" s="6">
        <f t="shared" si="31"/>
        <v>2.6944444442051463E-2</v>
      </c>
      <c r="N95" s="7">
        <f t="shared" si="29"/>
        <v>38.799999996554106</v>
      </c>
      <c r="O95" s="7"/>
      <c r="P95" s="7"/>
      <c r="Q95" s="27"/>
      <c r="R95" s="27"/>
      <c r="S95" s="45">
        <f t="shared" si="32"/>
        <v>1</v>
      </c>
      <c r="T95" s="69" t="str">
        <f t="shared" si="33"/>
        <v>NorthBound</v>
      </c>
      <c r="U95" s="105">
        <f>COUNTIFS(Variables!$M$2:$M$19,IF(T95="NorthBound","&gt;=","&lt;=")&amp;Y95,Variables!$M$2:$M$19,IF(T95="NorthBound","&lt;=","&gt;=")&amp;Z95)</f>
        <v>12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12:42:50-0600',mode:absolute,to:'2016-07-14 15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5" s="74" t="str">
        <f t="shared" si="35"/>
        <v>N</v>
      </c>
      <c r="X95" s="100">
        <f t="shared" si="36"/>
        <v>2</v>
      </c>
      <c r="Y95" s="97">
        <f t="shared" si="37"/>
        <v>4.4699999999999997E-2</v>
      </c>
      <c r="Z95" s="97">
        <f t="shared" si="38"/>
        <v>23.328900000000001</v>
      </c>
      <c r="AA95" s="97">
        <f t="shared" si="39"/>
        <v>23.284200000000002</v>
      </c>
      <c r="AB95" s="94" t="e">
        <f>VLOOKUP(A95,Enforcements!$C$7:$J$23,8,0)</f>
        <v>#N/A</v>
      </c>
      <c r="AC95" s="90" t="e">
        <f>VLOOKUP(A95,Enforcements!$C$7:$E$23,3,0)</f>
        <v>#N/A</v>
      </c>
      <c r="AD95" s="91" t="str">
        <f t="shared" si="40"/>
        <v>0181-14</v>
      </c>
      <c r="AE95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95" s="75" t="str">
        <f t="shared" si="42"/>
        <v>"C:\Program Files (x86)\AstroGrep\AstroGrep.exe" /spath="C:\Users\stu\Documents\Analysis\2016-02-23 RTDC Observations" /stypes="*4020*20160714*"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410</v>
      </c>
      <c r="B96" s="7">
        <v>4018</v>
      </c>
      <c r="C96" s="26" t="s">
        <v>59</v>
      </c>
      <c r="D96" s="26" t="s">
        <v>411</v>
      </c>
      <c r="E96" s="16">
        <v>42565.58734953704</v>
      </c>
      <c r="F96" s="16">
        <v>42565.588240740741</v>
      </c>
      <c r="G96" s="7">
        <v>1</v>
      </c>
      <c r="H96" s="16" t="s">
        <v>412</v>
      </c>
      <c r="I96" s="16">
        <v>42565.610358796293</v>
      </c>
      <c r="J96" s="7">
        <v>0</v>
      </c>
      <c r="K96" s="26" t="str">
        <f t="shared" si="30"/>
        <v>4017/4018</v>
      </c>
      <c r="L96" s="26" t="str">
        <f>VLOOKUP(A96,'Trips&amp;Operators'!$C$1:$E$10000,3,FALSE)</f>
        <v>ADANE</v>
      </c>
      <c r="M96" s="6">
        <f t="shared" si="31"/>
        <v>2.2118055552709848E-2</v>
      </c>
      <c r="N96" s="7"/>
      <c r="O96" s="7"/>
      <c r="P96" s="7">
        <f>24*60*SUM($M96:$M97)</f>
        <v>34.533333338331431</v>
      </c>
      <c r="Q96" s="27"/>
      <c r="R96" s="27" t="s">
        <v>585</v>
      </c>
      <c r="S96" s="45">
        <f t="shared" si="32"/>
        <v>1</v>
      </c>
      <c r="T96" s="69" t="str">
        <f t="shared" si="33"/>
        <v>NorthBound</v>
      </c>
      <c r="U96" s="105">
        <f>COUNTIFS(Variables!$M$2:$M$19,IF(T96="NorthBound","&gt;=","&lt;=")&amp;Y96,Variables!$M$2:$M$19,IF(T96="NorthBound","&lt;=","&gt;=")&amp;Z96)</f>
        <v>12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6" s="74" t="str">
        <f t="shared" si="35"/>
        <v>Y</v>
      </c>
      <c r="X96" s="100">
        <f t="shared" si="36"/>
        <v>2</v>
      </c>
      <c r="Y96" s="97">
        <f t="shared" si="37"/>
        <v>1.9125000000000001</v>
      </c>
      <c r="Z96" s="97">
        <f t="shared" si="38"/>
        <v>23.3308</v>
      </c>
      <c r="AA96" s="97">
        <f t="shared" si="39"/>
        <v>21.418299999999999</v>
      </c>
      <c r="AB96" s="94">
        <f>VLOOKUP(A96,Enforcements!$C$7:$J$23,8,0)</f>
        <v>230436</v>
      </c>
      <c r="AC96" s="90" t="str">
        <f>VLOOKUP(A96,Enforcements!$C$7:$E$23,3,0)</f>
        <v>PERMANENT SPEED RESTRICTION</v>
      </c>
      <c r="AD96" s="91" t="str">
        <f t="shared" si="40"/>
        <v>0183-14</v>
      </c>
      <c r="AE96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6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49" t="s">
        <v>410</v>
      </c>
      <c r="B97" s="7">
        <v>4018</v>
      </c>
      <c r="C97" s="26" t="s">
        <v>59</v>
      </c>
      <c r="D97" s="26" t="s">
        <v>195</v>
      </c>
      <c r="E97" s="16">
        <v>42565.581458333334</v>
      </c>
      <c r="F97" s="16">
        <v>42565.582719907405</v>
      </c>
      <c r="G97" s="7">
        <v>1</v>
      </c>
      <c r="H97" s="16" t="s">
        <v>413</v>
      </c>
      <c r="I97" s="16">
        <v>42565.584583333337</v>
      </c>
      <c r="J97" s="7">
        <v>0</v>
      </c>
      <c r="K97" s="26" t="str">
        <f t="shared" si="30"/>
        <v>4017/4018</v>
      </c>
      <c r="L97" s="26" t="str">
        <f>VLOOKUP(A97,'Trips&amp;Operators'!$C$1:$E$10000,3,FALSE)</f>
        <v>ADANE</v>
      </c>
      <c r="M97" s="6">
        <f t="shared" si="31"/>
        <v>1.8634259322425351E-3</v>
      </c>
      <c r="N97" s="7"/>
      <c r="O97" s="7"/>
      <c r="P97" s="7"/>
      <c r="Q97" s="27"/>
      <c r="R97" s="27"/>
      <c r="S97" s="45"/>
      <c r="T97" s="69" t="str">
        <f t="shared" si="33"/>
        <v>NorthBound</v>
      </c>
      <c r="U97" s="105">
        <f>COUNTIFS(Variables!$M$2:$M$19,IF(T97="NorthBound","&gt;=","&lt;=")&amp;Y97,Variables!$M$2:$M$19,IF(T97="NorthBound","&lt;=","&gt;=")&amp;Z97)</f>
        <v>0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12:57:18-0600',mode:absolute,to:'2016-07-14 15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4" t="str">
        <f t="shared" si="35"/>
        <v>Y</v>
      </c>
      <c r="X97" s="100">
        <f t="shared" si="36"/>
        <v>0</v>
      </c>
      <c r="Y97" s="97">
        <f t="shared" si="37"/>
        <v>4.6199999999999998E-2</v>
      </c>
      <c r="Z97" s="97">
        <f t="shared" si="38"/>
        <v>9.2299999999999993E-2</v>
      </c>
      <c r="AA97" s="97">
        <f t="shared" si="39"/>
        <v>4.6099999999999995E-2</v>
      </c>
      <c r="AB97" s="94">
        <f>VLOOKUP(A97,Enforcements!$C$7:$J$23,8,0)</f>
        <v>230436</v>
      </c>
      <c r="AC97" s="90" t="str">
        <f>VLOOKUP(A97,Enforcements!$C$7:$E$23,3,0)</f>
        <v>PERMANENT SPEED RESTRICTION</v>
      </c>
      <c r="AD97" s="91" t="str">
        <f t="shared" si="40"/>
        <v>0183-14</v>
      </c>
      <c r="AE97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7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49" t="s">
        <v>414</v>
      </c>
      <c r="B98" s="7">
        <v>4017</v>
      </c>
      <c r="C98" s="26" t="s">
        <v>59</v>
      </c>
      <c r="D98" s="26" t="s">
        <v>252</v>
      </c>
      <c r="E98" s="16">
        <v>42565.620335648149</v>
      </c>
      <c r="F98" s="16">
        <v>42565.621516203704</v>
      </c>
      <c r="G98" s="7">
        <v>1</v>
      </c>
      <c r="H98" s="16" t="s">
        <v>415</v>
      </c>
      <c r="I98" s="16">
        <v>42565.65215277778</v>
      </c>
      <c r="J98" s="7">
        <v>1</v>
      </c>
      <c r="K98" s="26" t="str">
        <f t="shared" si="30"/>
        <v>4017/4018</v>
      </c>
      <c r="L98" s="26" t="str">
        <f>VLOOKUP(A98,'Trips&amp;Operators'!$C$1:$E$10000,3,FALSE)</f>
        <v>ADANE</v>
      </c>
      <c r="M98" s="6">
        <f t="shared" si="31"/>
        <v>3.0636574076197576E-2</v>
      </c>
      <c r="N98" s="7">
        <f t="shared" si="29"/>
        <v>44.116666669724509</v>
      </c>
      <c r="O98" s="7"/>
      <c r="P98" s="7"/>
      <c r="Q98" s="27"/>
      <c r="R98" s="27"/>
      <c r="S98" s="45">
        <f t="shared" si="32"/>
        <v>1</v>
      </c>
      <c r="T98" s="69" t="str">
        <f t="shared" si="33"/>
        <v>Southbound</v>
      </c>
      <c r="U98" s="105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4" t="str">
        <f t="shared" si="35"/>
        <v>N</v>
      </c>
      <c r="X98" s="100">
        <f t="shared" si="36"/>
        <v>1</v>
      </c>
      <c r="Y98" s="97">
        <f t="shared" si="37"/>
        <v>23.298100000000002</v>
      </c>
      <c r="Z98" s="97">
        <v>0.01</v>
      </c>
      <c r="AA98" s="97">
        <f t="shared" si="39"/>
        <v>23.2881</v>
      </c>
      <c r="AB98" s="94">
        <f>VLOOKUP(A98,Enforcements!$C$7:$J$23,8,0)</f>
        <v>78469</v>
      </c>
      <c r="AC98" s="90" t="str">
        <f>VLOOKUP(A98,Enforcements!$C$7:$E$23,3,0)</f>
        <v>GRADE CROSSING</v>
      </c>
      <c r="AD98" s="91" t="str">
        <f t="shared" si="40"/>
        <v>0184-14</v>
      </c>
      <c r="AE98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98" s="75" t="str">
        <f t="shared" si="42"/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49" t="s">
        <v>416</v>
      </c>
      <c r="B99" s="7">
        <v>4042</v>
      </c>
      <c r="C99" s="26" t="s">
        <v>59</v>
      </c>
      <c r="D99" s="26" t="s">
        <v>262</v>
      </c>
      <c r="E99" s="16">
        <v>42565.591053240743</v>
      </c>
      <c r="F99" s="16">
        <v>42565.592291666668</v>
      </c>
      <c r="G99" s="7">
        <v>1</v>
      </c>
      <c r="H99" s="16" t="s">
        <v>181</v>
      </c>
      <c r="I99" s="16">
        <v>42565.620717592596</v>
      </c>
      <c r="J99" s="7">
        <v>0</v>
      </c>
      <c r="K99" s="26" t="str">
        <f t="shared" si="30"/>
        <v>4041/4042</v>
      </c>
      <c r="L99" s="26" t="str">
        <f>VLOOKUP(A99,'Trips&amp;Operators'!$C$1:$E$10000,3,FALSE)</f>
        <v>STAMBAUGH</v>
      </c>
      <c r="M99" s="6">
        <f t="shared" si="31"/>
        <v>2.842592592787696E-2</v>
      </c>
      <c r="N99" s="7">
        <f t="shared" si="29"/>
        <v>40.933333336142823</v>
      </c>
      <c r="O99" s="7"/>
      <c r="P99" s="7"/>
      <c r="Q99" s="27"/>
      <c r="R99" s="27"/>
      <c r="S99" s="45">
        <f t="shared" si="32"/>
        <v>1</v>
      </c>
      <c r="T99" s="69" t="str">
        <f t="shared" si="33"/>
        <v>NorthBound</v>
      </c>
      <c r="U99" s="105">
        <f>COUNTIFS(Variables!$M$2:$M$19,IF(T99="NorthBound","&gt;=","&lt;=")&amp;Y99,Variables!$M$2:$M$19,IF(T99="NorthBound","&lt;=","&gt;=")&amp;Z99)</f>
        <v>12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13:11:07-0600',mode:absolute,to:'2016-07-14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74" t="str">
        <f t="shared" si="35"/>
        <v>N</v>
      </c>
      <c r="X99" s="100">
        <f t="shared" si="36"/>
        <v>1</v>
      </c>
      <c r="Y99" s="97">
        <f t="shared" si="37"/>
        <v>4.7500000000000001E-2</v>
      </c>
      <c r="Z99" s="97">
        <f t="shared" si="38"/>
        <v>23.329899999999999</v>
      </c>
      <c r="AA99" s="97">
        <f t="shared" si="39"/>
        <v>23.282399999999999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 t="shared" si="40"/>
        <v>0185-14</v>
      </c>
      <c r="AE99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99" s="75" t="str">
        <f t="shared" si="42"/>
        <v>"C:\Program Files (x86)\AstroGrep\AstroGrep.exe" /spath="C:\Users\stu\Documents\Analysis\2016-02-23 RTDC Observations" /stypes="*4042*20160714*" /stext=" 20:.+((prompt.+disp)|(slice.+state.+chan)|(ment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49" t="s">
        <v>417</v>
      </c>
      <c r="B100" s="7">
        <v>4041</v>
      </c>
      <c r="C100" s="26" t="s">
        <v>59</v>
      </c>
      <c r="D100" s="26" t="s">
        <v>196</v>
      </c>
      <c r="E100" s="16">
        <v>42565.630729166667</v>
      </c>
      <c r="F100" s="16">
        <v>42565.6325</v>
      </c>
      <c r="G100" s="7">
        <v>2</v>
      </c>
      <c r="H100" s="16" t="s">
        <v>203</v>
      </c>
      <c r="I100" s="16">
        <v>42565.661226851851</v>
      </c>
      <c r="J100" s="7">
        <v>0</v>
      </c>
      <c r="K100" s="26" t="str">
        <f t="shared" si="30"/>
        <v>4041/4042</v>
      </c>
      <c r="L100" s="26" t="str">
        <f>VLOOKUP(A100,'Trips&amp;Operators'!$C$1:$E$10000,3,FALSE)</f>
        <v>STAMBAUGH</v>
      </c>
      <c r="M100" s="6">
        <f t="shared" si="31"/>
        <v>2.8726851851388346E-2</v>
      </c>
      <c r="N100" s="7">
        <f t="shared" si="29"/>
        <v>41.366666665999219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Southbound</v>
      </c>
      <c r="U100" s="105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14:08:15-0600',mode:absolute,to:'2016-07-14 16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74" t="str">
        <f t="shared" si="35"/>
        <v>N</v>
      </c>
      <c r="X100" s="100">
        <f t="shared" si="36"/>
        <v>1</v>
      </c>
      <c r="Y100" s="97">
        <f t="shared" si="37"/>
        <v>23.297999999999998</v>
      </c>
      <c r="Z100" s="97">
        <f t="shared" si="38"/>
        <v>1.38E-2</v>
      </c>
      <c r="AA100" s="97">
        <f t="shared" si="39"/>
        <v>23.284199999999998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 t="shared" si="40"/>
        <v>0186-14</v>
      </c>
      <c r="AE100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00" s="75" t="str">
        <f t="shared" si="42"/>
        <v>"C:\Program Files (x86)\AstroGrep\AstroGrep.exe" /spath="C:\Users\stu\Documents\Analysis\2016-02-23 RTDC Observations" /stypes="*4041*20160714*"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49" t="s">
        <v>418</v>
      </c>
      <c r="B101" s="7">
        <v>4044</v>
      </c>
      <c r="C101" s="26" t="s">
        <v>59</v>
      </c>
      <c r="D101" s="26" t="s">
        <v>212</v>
      </c>
      <c r="E101" s="16">
        <v>42565.599976851852</v>
      </c>
      <c r="F101" s="16">
        <v>42565.601018518515</v>
      </c>
      <c r="G101" s="7">
        <v>1</v>
      </c>
      <c r="H101" s="16" t="s">
        <v>419</v>
      </c>
      <c r="I101" s="16">
        <v>42565.633576388886</v>
      </c>
      <c r="J101" s="7">
        <v>1</v>
      </c>
      <c r="K101" s="26" t="str">
        <f t="shared" si="30"/>
        <v>4043/4044</v>
      </c>
      <c r="L101" s="26" t="str">
        <f>VLOOKUP(A101,'Trips&amp;Operators'!$C$1:$E$10000,3,FALSE)</f>
        <v>SHOOK</v>
      </c>
      <c r="M101" s="6">
        <f t="shared" si="31"/>
        <v>3.25578703705105E-2</v>
      </c>
      <c r="N101" s="7">
        <f t="shared" si="29"/>
        <v>46.88333333353512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NorthBound</v>
      </c>
      <c r="U101" s="105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1" s="74" t="str">
        <f t="shared" si="35"/>
        <v>N</v>
      </c>
      <c r="X101" s="100">
        <f t="shared" si="36"/>
        <v>1</v>
      </c>
      <c r="Y101" s="97">
        <f t="shared" si="37"/>
        <v>4.4400000000000002E-2</v>
      </c>
      <c r="Z101" s="97">
        <f t="shared" si="38"/>
        <v>23.3338</v>
      </c>
      <c r="AA101" s="97">
        <f t="shared" si="39"/>
        <v>23.289400000000001</v>
      </c>
      <c r="AB101" s="94">
        <f>VLOOKUP(A101,Enforcements!$C$7:$J$23,8,0)</f>
        <v>47865</v>
      </c>
      <c r="AC101" s="90" t="str">
        <f>VLOOKUP(A101,Enforcements!$C$7:$E$23,3,0)</f>
        <v>GRADE CROSSING</v>
      </c>
      <c r="AD101" s="91" t="str">
        <f t="shared" si="40"/>
        <v>0187-14</v>
      </c>
      <c r="AE101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01" s="75" t="str">
        <f t="shared" si="42"/>
        <v>"C:\Program Files (x86)\AstroGrep\AstroGrep.exe" /spath="C:\Users\stu\Documents\Analysis\2016-02-23 RTDC Observations" /stypes="*4044*20160714*"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49" t="s">
        <v>420</v>
      </c>
      <c r="B102" s="7">
        <v>4043</v>
      </c>
      <c r="C102" s="26" t="s">
        <v>59</v>
      </c>
      <c r="D102" s="26" t="s">
        <v>421</v>
      </c>
      <c r="E102" s="16">
        <v>42565.63795138889</v>
      </c>
      <c r="F102" s="16">
        <v>42565.639050925929</v>
      </c>
      <c r="G102" s="7">
        <v>1</v>
      </c>
      <c r="H102" s="16" t="s">
        <v>253</v>
      </c>
      <c r="I102" s="16">
        <v>42565.673043981478</v>
      </c>
      <c r="J102" s="7">
        <v>1</v>
      </c>
      <c r="K102" s="26" t="str">
        <f t="shared" si="30"/>
        <v>4043/4044</v>
      </c>
      <c r="L102" s="26" t="str">
        <f>VLOOKUP(A102,'Trips&amp;Operators'!$C$1:$E$10000,3,FALSE)</f>
        <v>SHOOK</v>
      </c>
      <c r="M102" s="6">
        <f t="shared" si="31"/>
        <v>3.3993055549217388E-2</v>
      </c>
      <c r="N102" s="7">
        <f t="shared" si="29"/>
        <v>48.949999990873039</v>
      </c>
      <c r="O102" s="7"/>
      <c r="P102" s="7"/>
      <c r="Q102" s="27"/>
      <c r="R102" s="27"/>
      <c r="S102" s="45">
        <f t="shared" si="32"/>
        <v>1</v>
      </c>
      <c r="T102" s="69" t="str">
        <f t="shared" si="33"/>
        <v>Southbound</v>
      </c>
      <c r="U102" s="105">
        <f>COUNTIFS(Variables!$M$2:$M$19,IF(T102="NorthBound","&gt;=","&lt;=")&amp;Y102,Variables!$M$2:$M$19,IF(T102="NorthBound","&lt;=","&gt;=")&amp;Z102)</f>
        <v>12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2" s="74" t="str">
        <f t="shared" si="35"/>
        <v>N</v>
      </c>
      <c r="X102" s="100">
        <f t="shared" si="36"/>
        <v>1</v>
      </c>
      <c r="Y102" s="97">
        <f t="shared" si="37"/>
        <v>23.3019</v>
      </c>
      <c r="Z102" s="97">
        <f t="shared" si="38"/>
        <v>1.7000000000000001E-2</v>
      </c>
      <c r="AA102" s="97">
        <f t="shared" si="39"/>
        <v>23.2849</v>
      </c>
      <c r="AB102" s="94">
        <f>VLOOKUP(A102,Enforcements!$C$7:$J$23,8,0)</f>
        <v>48048</v>
      </c>
      <c r="AC102" s="90" t="str">
        <f>VLOOKUP(A102,Enforcements!$C$7:$E$23,3,0)</f>
        <v>GRADE CROSSING</v>
      </c>
      <c r="AD102" s="91" t="str">
        <f t="shared" si="40"/>
        <v>0188-14</v>
      </c>
      <c r="AE102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02" s="75" t="str">
        <f t="shared" si="42"/>
        <v>"C:\Program Files (x86)\AstroGrep\AstroGrep.exe" /spath="C:\Users\stu\Documents\Analysis\2016-02-23 RTDC Observations" /stypes="*4043*20160714*"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49" t="s">
        <v>422</v>
      </c>
      <c r="B103" s="7">
        <v>4038</v>
      </c>
      <c r="C103" s="26" t="s">
        <v>59</v>
      </c>
      <c r="D103" s="26" t="s">
        <v>183</v>
      </c>
      <c r="E103" s="16">
        <v>42565.609907407408</v>
      </c>
      <c r="F103" s="16">
        <v>42565.611134259256</v>
      </c>
      <c r="G103" s="7">
        <v>1</v>
      </c>
      <c r="H103" s="16" t="s">
        <v>181</v>
      </c>
      <c r="I103" s="16">
        <v>42565.640775462962</v>
      </c>
      <c r="J103" s="7">
        <v>0</v>
      </c>
      <c r="K103" s="26" t="str">
        <f t="shared" si="30"/>
        <v>4037/4038</v>
      </c>
      <c r="L103" s="26" t="str">
        <f>VLOOKUP(A103,'Trips&amp;Operators'!$C$1:$E$10000,3,FALSE)</f>
        <v>REBOLETTI</v>
      </c>
      <c r="M103" s="6">
        <f t="shared" si="31"/>
        <v>2.9641203705978114E-2</v>
      </c>
      <c r="N103" s="7">
        <f t="shared" si="29"/>
        <v>42.683333336608484</v>
      </c>
      <c r="O103" s="7"/>
      <c r="P103" s="7"/>
      <c r="Q103" s="27"/>
      <c r="R103" s="27"/>
      <c r="S103" s="45">
        <f t="shared" si="32"/>
        <v>1</v>
      </c>
      <c r="T103" s="69" t="str">
        <f t="shared" si="33"/>
        <v>NorthBound</v>
      </c>
      <c r="U103" s="105">
        <f>COUNTIFS(Variables!$M$2:$M$19,IF(T103="NorthBound","&gt;=","&lt;=")&amp;Y103,Variables!$M$2:$M$19,IF(T103="NorthBound","&lt;=","&gt;=")&amp;Z103)</f>
        <v>12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13:38:16-0600',mode:absolute,to:'2016-07-14 16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74" t="str">
        <f t="shared" si="35"/>
        <v>N</v>
      </c>
      <c r="X103" s="100">
        <f t="shared" si="36"/>
        <v>1</v>
      </c>
      <c r="Y103" s="97">
        <f t="shared" si="37"/>
        <v>4.5499999999999999E-2</v>
      </c>
      <c r="Z103" s="97">
        <f t="shared" si="38"/>
        <v>23.329899999999999</v>
      </c>
      <c r="AA103" s="97">
        <f t="shared" si="39"/>
        <v>23.284399999999998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 t="shared" si="40"/>
        <v>0189-14</v>
      </c>
      <c r="AE103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03" s="75" t="str">
        <f t="shared" si="42"/>
        <v>"C:\Program Files (x86)\AstroGrep\AstroGrep.exe" /spath="C:\Users\stu\Documents\Analysis\2016-02-23 RTDC Observations" /stypes="*4038*20160714*" /stext=" 21:.+((prompt.+disp)|(slice.+state.+chan)|(ment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49" t="s">
        <v>423</v>
      </c>
      <c r="B104" s="7">
        <v>4037</v>
      </c>
      <c r="C104" s="26" t="s">
        <v>59</v>
      </c>
      <c r="D104" s="26" t="s">
        <v>219</v>
      </c>
      <c r="E104" s="16">
        <v>42565.646585648145</v>
      </c>
      <c r="F104" s="16">
        <v>42565.647812499999</v>
      </c>
      <c r="G104" s="7">
        <v>1</v>
      </c>
      <c r="H104" s="16" t="s">
        <v>424</v>
      </c>
      <c r="I104" s="16">
        <v>42565.672013888892</v>
      </c>
      <c r="J104" s="7">
        <v>0</v>
      </c>
      <c r="K104" s="26" t="str">
        <f t="shared" si="30"/>
        <v>4037/4038</v>
      </c>
      <c r="L104" s="26" t="str">
        <f>VLOOKUP(A104,'Trips&amp;Operators'!$C$1:$E$10000,3,FALSE)</f>
        <v>REBOLETTI</v>
      </c>
      <c r="M104" s="6">
        <f t="shared" si="31"/>
        <v>2.4201388892834075E-2</v>
      </c>
      <c r="N104" s="7"/>
      <c r="O104" s="7"/>
      <c r="P104" s="7">
        <f t="shared" si="29"/>
        <v>34.850000005681068</v>
      </c>
      <c r="Q104" s="27"/>
      <c r="R104" s="27" t="s">
        <v>243</v>
      </c>
      <c r="S104" s="45">
        <f t="shared" si="32"/>
        <v>0.5</v>
      </c>
      <c r="T104" s="69" t="str">
        <f t="shared" si="33"/>
        <v>Southbound</v>
      </c>
      <c r="U104" s="105">
        <f>COUNTIFS(Variables!$M$2:$M$19,IF(T104="NorthBound","&gt;=","&lt;=")&amp;Y104,Variables!$M$2:$M$19,IF(T104="NorthBound","&lt;=","&gt;=")&amp;Z104)</f>
        <v>6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14:31:05-0600',mode:absolute,to:'2016-07-14 17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74" t="str">
        <f t="shared" si="35"/>
        <v>Y</v>
      </c>
      <c r="X104" s="100">
        <f t="shared" si="36"/>
        <v>1</v>
      </c>
      <c r="Y104" s="97">
        <f t="shared" si="37"/>
        <v>23.298400000000001</v>
      </c>
      <c r="Z104" s="97">
        <f t="shared" si="38"/>
        <v>5.6508000000000003</v>
      </c>
      <c r="AA104" s="97">
        <f t="shared" si="39"/>
        <v>17.647600000000001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 t="shared" si="40"/>
        <v>0190-14</v>
      </c>
      <c r="AE104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104" s="75" t="str">
        <f t="shared" si="42"/>
        <v>"C:\Program Files (x86)\AstroGrep\AstroGrep.exe" /spath="C:\Users\stu\Documents\Analysis\2016-02-23 RTDC Observations" /stypes="*4037*20160714*" /stext=" 22:.+((prompt.+disp)|(slice.+state.+chan)|(ment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49" t="s">
        <v>425</v>
      </c>
      <c r="B105" s="7">
        <v>4025</v>
      </c>
      <c r="C105" s="26" t="s">
        <v>59</v>
      </c>
      <c r="D105" s="26" t="s">
        <v>215</v>
      </c>
      <c r="E105" s="16">
        <v>42565.624652777777</v>
      </c>
      <c r="F105" s="16">
        <v>42565.625613425924</v>
      </c>
      <c r="G105" s="7">
        <v>1</v>
      </c>
      <c r="H105" s="16" t="s">
        <v>190</v>
      </c>
      <c r="I105" s="16">
        <v>42565.651030092595</v>
      </c>
      <c r="J105" s="7">
        <v>0</v>
      </c>
      <c r="K105" s="26" t="str">
        <f t="shared" si="30"/>
        <v>4025/4026</v>
      </c>
      <c r="L105" s="26" t="str">
        <f>VLOOKUP(A105,'Trips&amp;Operators'!$C$1:$E$10000,3,FALSE)</f>
        <v>NELSON</v>
      </c>
      <c r="M105" s="6">
        <f t="shared" si="31"/>
        <v>2.5416666670935228E-2</v>
      </c>
      <c r="N105" s="7">
        <f t="shared" si="29"/>
        <v>36.600000006146729</v>
      </c>
      <c r="O105" s="7"/>
      <c r="P105" s="7"/>
      <c r="Q105" s="27"/>
      <c r="R105" s="27"/>
      <c r="S105" s="45">
        <f t="shared" si="32"/>
        <v>1</v>
      </c>
      <c r="T105" s="69" t="str">
        <f t="shared" si="33"/>
        <v>NorthBound</v>
      </c>
      <c r="U105" s="105">
        <f>COUNTIFS(Variables!$M$2:$M$19,IF(T105="NorthBound","&gt;=","&lt;=")&amp;Y105,Variables!$M$2:$M$19,IF(T105="NorthBound","&lt;=","&gt;=")&amp;Z105)</f>
        <v>12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13:59:30-0600',mode:absolute,to:'2016-07-14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4" t="str">
        <f t="shared" si="35"/>
        <v>N</v>
      </c>
      <c r="X105" s="100">
        <f t="shared" si="36"/>
        <v>1</v>
      </c>
      <c r="Y105" s="97">
        <f t="shared" si="37"/>
        <v>4.4200000000000003E-2</v>
      </c>
      <c r="Z105" s="97">
        <f t="shared" si="38"/>
        <v>23.331</v>
      </c>
      <c r="AA105" s="97">
        <f t="shared" si="39"/>
        <v>23.286799999999999</v>
      </c>
      <c r="AB105" s="94" t="e">
        <f>VLOOKUP(A105,Enforcements!$C$7:$J$23,8,0)</f>
        <v>#N/A</v>
      </c>
      <c r="AC105" s="90" t="e">
        <f>VLOOKUP(A105,Enforcements!$C$7:$E$23,3,0)</f>
        <v>#N/A</v>
      </c>
      <c r="AD105" s="91" t="str">
        <f t="shared" si="40"/>
        <v>0191-14</v>
      </c>
      <c r="AE105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05" s="75" t="str">
        <f t="shared" si="42"/>
        <v>"C:\Program Files (x86)\AstroGrep\AstroGrep.exe" /spath="C:\Users\stu\Documents\Analysis\2016-02-23 RTDC Observations" /stypes="*4025*20160714*" /stext=" 21:.+((prompt.+disp)|(slice.+state.+chan)|(ment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49" t="s">
        <v>426</v>
      </c>
      <c r="B106" s="7">
        <v>4026</v>
      </c>
      <c r="C106" s="26" t="s">
        <v>59</v>
      </c>
      <c r="D106" s="26" t="s">
        <v>205</v>
      </c>
      <c r="E106" s="16">
        <v>42565.658576388887</v>
      </c>
      <c r="F106" s="16">
        <v>42565.659398148149</v>
      </c>
      <c r="G106" s="7">
        <v>1</v>
      </c>
      <c r="H106" s="16" t="s">
        <v>234</v>
      </c>
      <c r="I106" s="16">
        <v>42565.694733796299</v>
      </c>
      <c r="J106" s="7">
        <v>0</v>
      </c>
      <c r="K106" s="26" t="str">
        <f t="shared" si="30"/>
        <v>4025/4026</v>
      </c>
      <c r="L106" s="26" t="str">
        <f>VLOOKUP(A106,'Trips&amp;Operators'!$C$1:$E$10000,3,FALSE)</f>
        <v>NELSON</v>
      </c>
      <c r="M106" s="6">
        <f t="shared" si="31"/>
        <v>3.5335648150066845E-2</v>
      </c>
      <c r="N106" s="7">
        <f t="shared" si="29"/>
        <v>50.883333336096257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Southbound</v>
      </c>
      <c r="U106" s="105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14:48:21-0600',mode:absolute,to:'2016-07-14 17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4" t="str">
        <f t="shared" si="35"/>
        <v>N</v>
      </c>
      <c r="X106" s="100">
        <f t="shared" si="36"/>
        <v>1</v>
      </c>
      <c r="Y106" s="97">
        <f t="shared" si="37"/>
        <v>23.299299999999999</v>
      </c>
      <c r="Z106" s="97">
        <f t="shared" si="38"/>
        <v>1.32E-2</v>
      </c>
      <c r="AA106" s="97">
        <f t="shared" si="39"/>
        <v>23.286099999999998</v>
      </c>
      <c r="AB106" s="94" t="e">
        <f>VLOOKUP(A106,Enforcements!$C$7:$J$23,8,0)</f>
        <v>#N/A</v>
      </c>
      <c r="AC106" s="90" t="e">
        <f>VLOOKUP(A106,Enforcements!$C$7:$E$23,3,0)</f>
        <v>#N/A</v>
      </c>
      <c r="AD106" s="91" t="str">
        <f t="shared" si="40"/>
        <v>0192-14</v>
      </c>
      <c r="AE106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06" s="75" t="str">
        <f t="shared" si="42"/>
        <v>"C:\Program Files (x86)\AstroGrep\AstroGrep.exe" /spath="C:\Users\stu\Documents\Analysis\2016-02-23 RTDC Observations" /stypes="*4026*20160714*" /stext=" 22:.+((prompt.+disp)|(slice.+state.+chan)|(ment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49" t="s">
        <v>427</v>
      </c>
      <c r="B107" s="7">
        <v>4019</v>
      </c>
      <c r="C107" s="26" t="s">
        <v>59</v>
      </c>
      <c r="D107" s="26" t="s">
        <v>428</v>
      </c>
      <c r="E107" s="16">
        <v>42565.68377314815</v>
      </c>
      <c r="F107" s="16">
        <v>42565.684525462966</v>
      </c>
      <c r="G107" s="7">
        <v>1</v>
      </c>
      <c r="H107" s="16" t="s">
        <v>71</v>
      </c>
      <c r="I107" s="16">
        <v>42565.712314814817</v>
      </c>
      <c r="J107" s="7">
        <v>0</v>
      </c>
      <c r="K107" s="26" t="str">
        <f t="shared" si="30"/>
        <v>4019/4020</v>
      </c>
      <c r="L107" s="26" t="str">
        <f>VLOOKUP(A107,'Trips&amp;Operators'!$C$1:$E$10000,3,FALSE)</f>
        <v>HELVIE</v>
      </c>
      <c r="M107" s="6">
        <f t="shared" si="31"/>
        <v>2.7789351850515231E-2</v>
      </c>
      <c r="N107" s="7">
        <f t="shared" si="29"/>
        <v>40.016666664741933</v>
      </c>
      <c r="O107" s="7"/>
      <c r="P107" s="7"/>
      <c r="Q107" s="27"/>
      <c r="R107" s="27"/>
      <c r="S107" s="45">
        <f t="shared" si="32"/>
        <v>1</v>
      </c>
      <c r="T107" s="69" t="str">
        <f t="shared" si="33"/>
        <v>Southbound</v>
      </c>
      <c r="U107" s="105">
        <f>COUNTIFS(Variables!$M$2:$M$19,IF(T107="NorthBound","&gt;=","&lt;=")&amp;Y107,Variables!$M$2:$M$19,IF(T107="NorthBound","&lt;=","&gt;=")&amp;Z107)</f>
        <v>12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15:24:38-0600',mode:absolute,to:'2016-07-14 18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4" t="str">
        <f t="shared" si="35"/>
        <v>N</v>
      </c>
      <c r="X107" s="100">
        <f t="shared" si="36"/>
        <v>4</v>
      </c>
      <c r="Y107" s="97">
        <f t="shared" si="37"/>
        <v>23.3017</v>
      </c>
      <c r="Z107" s="97">
        <f t="shared" si="38"/>
        <v>1.49E-2</v>
      </c>
      <c r="AA107" s="97">
        <f t="shared" si="39"/>
        <v>23.286799999999999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 t="shared" si="40"/>
        <v>0196-14</v>
      </c>
      <c r="AE107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07" s="75" t="str">
        <f t="shared" si="42"/>
        <v>"C:\Program Files (x86)\AstroGrep\AstroGrep.exe" /spath="C:\Users\stu\Documents\Analysis\2016-02-23 RTDC Observations" /stypes="*4019*20160714*" /stext=" 23:.+((prompt.+disp)|(slice.+state.+chan)|(ment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49" t="s">
        <v>429</v>
      </c>
      <c r="B108" s="7">
        <v>4018</v>
      </c>
      <c r="C108" s="26" t="s">
        <v>59</v>
      </c>
      <c r="D108" s="26" t="s">
        <v>430</v>
      </c>
      <c r="E108" s="16">
        <v>42565.656550925924</v>
      </c>
      <c r="F108" s="16">
        <v>42565.657349537039</v>
      </c>
      <c r="G108" s="7">
        <v>1</v>
      </c>
      <c r="H108" s="16" t="s">
        <v>245</v>
      </c>
      <c r="I108" s="16">
        <v>42565.682060185187</v>
      </c>
      <c r="J108" s="7">
        <v>1</v>
      </c>
      <c r="K108" s="26" t="str">
        <f t="shared" si="30"/>
        <v>4017/4018</v>
      </c>
      <c r="L108" s="26" t="str">
        <f>VLOOKUP(A108,'Trips&amp;Operators'!$C$1:$E$10000,3,FALSE)</f>
        <v>ADANE</v>
      </c>
      <c r="M108" s="6">
        <f t="shared" si="31"/>
        <v>2.47106481474475E-2</v>
      </c>
      <c r="N108" s="7">
        <f t="shared" si="29"/>
        <v>35.583333332324401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105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14:45:26-0600',mode:absolute,to:'2016-07-14 17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74" t="str">
        <f t="shared" si="35"/>
        <v>N</v>
      </c>
      <c r="X108" s="100">
        <f t="shared" si="36"/>
        <v>1</v>
      </c>
      <c r="Y108" s="97">
        <f t="shared" si="37"/>
        <v>4.4900000000000002E-2</v>
      </c>
      <c r="Z108" s="97">
        <f t="shared" si="38"/>
        <v>23.331099999999999</v>
      </c>
      <c r="AA108" s="97">
        <f t="shared" si="39"/>
        <v>23.286200000000001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 t="shared" si="40"/>
        <v>0197-14</v>
      </c>
      <c r="AE108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08" s="75" t="str">
        <f t="shared" si="42"/>
        <v>"C:\Program Files (x86)\AstroGrep\AstroGrep.exe" /spath="C:\Users\stu\Documents\Analysis\2016-02-23 RTDC Observations" /stypes="*4018*20160714*" /stext=" 22:.+((prompt.+disp)|(slice.+state.+chan)|(ment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49" t="s">
        <v>431</v>
      </c>
      <c r="B109" s="7">
        <v>4017</v>
      </c>
      <c r="C109" s="26" t="s">
        <v>59</v>
      </c>
      <c r="D109" s="26" t="s">
        <v>204</v>
      </c>
      <c r="E109" s="16">
        <v>42565.691192129627</v>
      </c>
      <c r="F109" s="16">
        <v>42565.695439814815</v>
      </c>
      <c r="G109" s="7">
        <v>6</v>
      </c>
      <c r="H109" s="16" t="s">
        <v>198</v>
      </c>
      <c r="I109" s="16">
        <v>42565.724976851852</v>
      </c>
      <c r="J109" s="7">
        <v>1</v>
      </c>
      <c r="K109" s="26" t="str">
        <f t="shared" si="30"/>
        <v>4017/4018</v>
      </c>
      <c r="L109" s="26" t="str">
        <f>VLOOKUP(A109,'Trips&amp;Operators'!$C$1:$E$10000,3,FALSE)</f>
        <v>ADANE</v>
      </c>
      <c r="M109" s="6">
        <f t="shared" si="31"/>
        <v>2.9537037036789116E-2</v>
      </c>
      <c r="N109" s="7">
        <f t="shared" si="29"/>
        <v>42.533333332976326</v>
      </c>
      <c r="O109" s="7"/>
      <c r="P109" s="7"/>
      <c r="Q109" s="27"/>
      <c r="R109" s="27"/>
      <c r="S109" s="45">
        <f t="shared" si="32"/>
        <v>1</v>
      </c>
      <c r="T109" s="69" t="str">
        <f t="shared" si="33"/>
        <v>Southbound</v>
      </c>
      <c r="U109" s="105">
        <f>COUNTIFS(Variables!$M$2:$M$19,IF(T109="NorthBound","&gt;=","&lt;=")&amp;Y109,Variables!$M$2:$M$19,IF(T109="NorthBound","&lt;=","&gt;=")&amp;Z109)</f>
        <v>12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74" t="str">
        <f t="shared" si="35"/>
        <v>N</v>
      </c>
      <c r="X109" s="100">
        <f t="shared" si="36"/>
        <v>1</v>
      </c>
      <c r="Y109" s="97">
        <f t="shared" si="37"/>
        <v>23.297499999999999</v>
      </c>
      <c r="Z109" s="97">
        <f t="shared" si="38"/>
        <v>1.47E-2</v>
      </c>
      <c r="AA109" s="97">
        <f t="shared" si="39"/>
        <v>23.282799999999998</v>
      </c>
      <c r="AB109" s="94">
        <f>VLOOKUP(A109,Enforcements!$C$7:$J$23,8,0)</f>
        <v>10694</v>
      </c>
      <c r="AC109" s="90" t="str">
        <f>VLOOKUP(A109,Enforcements!$C$7:$E$23,3,0)</f>
        <v>PERMANENT SPEED RESTRICTION</v>
      </c>
      <c r="AD109" s="91" t="str">
        <f t="shared" si="40"/>
        <v>0198-14</v>
      </c>
      <c r="AE109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09" s="75" t="str">
        <f t="shared" si="42"/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49" t="s">
        <v>432</v>
      </c>
      <c r="B110" s="7">
        <v>4042</v>
      </c>
      <c r="C110" s="26" t="s">
        <v>59</v>
      </c>
      <c r="D110" s="26" t="s">
        <v>215</v>
      </c>
      <c r="E110" s="16">
        <v>42565.663391203707</v>
      </c>
      <c r="F110" s="16">
        <v>42565.664247685185</v>
      </c>
      <c r="G110" s="7">
        <v>1</v>
      </c>
      <c r="H110" s="16" t="s">
        <v>255</v>
      </c>
      <c r="I110" s="16">
        <v>42565.699606481481</v>
      </c>
      <c r="J110" s="7">
        <v>0</v>
      </c>
      <c r="K110" s="26" t="str">
        <f t="shared" si="30"/>
        <v>4041/4042</v>
      </c>
      <c r="L110" s="26" t="str">
        <f>VLOOKUP(A110,'Trips&amp;Operators'!$C$1:$E$10000,3,FALSE)</f>
        <v>STAMBAUGH</v>
      </c>
      <c r="M110" s="6">
        <f t="shared" si="31"/>
        <v>3.5358796296350192E-2</v>
      </c>
      <c r="N110" s="7">
        <f t="shared" si="29"/>
        <v>50.916666666744277</v>
      </c>
      <c r="O110" s="7"/>
      <c r="P110" s="7"/>
      <c r="Q110" s="27"/>
      <c r="R110" s="27"/>
      <c r="S110" s="45">
        <f t="shared" si="32"/>
        <v>1</v>
      </c>
      <c r="T110" s="69" t="str">
        <f t="shared" si="33"/>
        <v>NorthBound</v>
      </c>
      <c r="U110" s="105">
        <f>COUNTIFS(Variables!$M$2:$M$19,IF(T110="NorthBound","&gt;=","&lt;=")&amp;Y110,Variables!$M$2:$M$19,IF(T110="NorthBound","&lt;=","&gt;=")&amp;Z110)</f>
        <v>12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14:55:17-0600',mode:absolute,to:'2016-07-14 17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74" t="str">
        <f t="shared" si="35"/>
        <v>N</v>
      </c>
      <c r="X110" s="100">
        <f t="shared" si="36"/>
        <v>1</v>
      </c>
      <c r="Y110" s="97">
        <f t="shared" si="37"/>
        <v>4.4200000000000003E-2</v>
      </c>
      <c r="Z110" s="97">
        <f t="shared" si="38"/>
        <v>23.328800000000001</v>
      </c>
      <c r="AA110" s="97">
        <f t="shared" si="39"/>
        <v>23.284600000000001</v>
      </c>
      <c r="AB110" s="94" t="e">
        <f>VLOOKUP(A110,Enforcements!$C$7:$J$23,8,0)</f>
        <v>#N/A</v>
      </c>
      <c r="AC110" s="90" t="e">
        <f>VLOOKUP(A110,Enforcements!$C$7:$E$23,3,0)</f>
        <v>#N/A</v>
      </c>
      <c r="AD110" s="91" t="str">
        <f t="shared" si="40"/>
        <v>0199-14</v>
      </c>
      <c r="AE110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10" s="75" t="str">
        <f t="shared" si="42"/>
        <v>"C:\Program Files (x86)\AstroGrep\AstroGrep.exe" /spath="C:\Users\stu\Documents\Analysis\2016-02-23 RTDC Observations" /stypes="*4042*20160714*"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49" t="s">
        <v>433</v>
      </c>
      <c r="B111" s="7">
        <v>4041</v>
      </c>
      <c r="C111" s="26" t="s">
        <v>59</v>
      </c>
      <c r="D111" s="26" t="s">
        <v>240</v>
      </c>
      <c r="E111" s="16">
        <v>42565.704513888886</v>
      </c>
      <c r="F111" s="16">
        <v>42565.705543981479</v>
      </c>
      <c r="G111" s="7">
        <v>1</v>
      </c>
      <c r="H111" s="16" t="s">
        <v>61</v>
      </c>
      <c r="I111" s="16">
        <v>42565.732546296298</v>
      </c>
      <c r="J111" s="7">
        <v>0</v>
      </c>
      <c r="K111" s="26" t="str">
        <f t="shared" si="30"/>
        <v>4041/4042</v>
      </c>
      <c r="L111" s="26" t="str">
        <f>VLOOKUP(A111,'Trips&amp;Operators'!$C$1:$E$10000,3,FALSE)</f>
        <v>STAMBAUGH</v>
      </c>
      <c r="M111" s="6">
        <f t="shared" si="31"/>
        <v>2.7002314818673767E-2</v>
      </c>
      <c r="N111" s="7">
        <f t="shared" si="29"/>
        <v>38.883333338890225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Southbound</v>
      </c>
      <c r="U111" s="105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15:54:30-0600',mode:absolute,to:'2016-07-14 18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74" t="str">
        <f t="shared" si="35"/>
        <v>N</v>
      </c>
      <c r="X111" s="100">
        <f t="shared" si="36"/>
        <v>1</v>
      </c>
      <c r="Y111" s="97">
        <f t="shared" si="37"/>
        <v>23.296299999999999</v>
      </c>
      <c r="Z111" s="97">
        <f t="shared" si="38"/>
        <v>1.52E-2</v>
      </c>
      <c r="AA111" s="97">
        <f t="shared" si="39"/>
        <v>23.281099999999999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 t="shared" si="40"/>
        <v>0200-14</v>
      </c>
      <c r="AE111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11" s="75" t="str">
        <f t="shared" si="42"/>
        <v>"C:\Program Files (x86)\AstroGrep\AstroGrep.exe" /spath="C:\Users\stu\Documents\Analysis\2016-02-23 RTDC Observations" /stypes="*4041*20160714*"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49" t="s">
        <v>434</v>
      </c>
      <c r="B112" s="7">
        <v>4044</v>
      </c>
      <c r="C112" s="26" t="s">
        <v>59</v>
      </c>
      <c r="D112" s="26" t="s">
        <v>430</v>
      </c>
      <c r="E112" s="16">
        <v>42565.674502314818</v>
      </c>
      <c r="F112" s="16">
        <v>42565.675462962965</v>
      </c>
      <c r="G112" s="7">
        <v>1</v>
      </c>
      <c r="H112" s="16" t="s">
        <v>435</v>
      </c>
      <c r="I112" s="16">
        <v>42565.70484953704</v>
      </c>
      <c r="J112" s="7">
        <v>0</v>
      </c>
      <c r="K112" s="26" t="str">
        <f t="shared" si="30"/>
        <v>4043/4044</v>
      </c>
      <c r="L112" s="26" t="str">
        <f>VLOOKUP(A112,'Trips&amp;Operators'!$C$1:$E$10000,3,FALSE)</f>
        <v>SHOOK</v>
      </c>
      <c r="M112" s="6">
        <f t="shared" si="31"/>
        <v>2.9386574075033423E-2</v>
      </c>
      <c r="N112" s="7">
        <f t="shared" si="29"/>
        <v>42.316666668048128</v>
      </c>
      <c r="O112" s="7"/>
      <c r="P112" s="7"/>
      <c r="Q112" s="27"/>
      <c r="R112" s="27"/>
      <c r="S112" s="45">
        <f t="shared" si="32"/>
        <v>1</v>
      </c>
      <c r="T112" s="69" t="str">
        <f t="shared" si="33"/>
        <v>NorthBound</v>
      </c>
      <c r="U112" s="105">
        <f>COUNTIFS(Variables!$M$2:$M$19,IF(T112="NorthBound","&gt;=","&lt;=")&amp;Y112,Variables!$M$2:$M$19,IF(T112="NorthBound","&lt;=","&gt;=")&amp;Z112)</f>
        <v>12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15:11:17-0600',mode:absolute,to:'2016-07-14 17:54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2" s="74" t="str">
        <f t="shared" si="35"/>
        <v>N</v>
      </c>
      <c r="X112" s="100">
        <f t="shared" si="36"/>
        <v>1</v>
      </c>
      <c r="Y112" s="97">
        <f t="shared" si="37"/>
        <v>4.4900000000000002E-2</v>
      </c>
      <c r="Z112" s="97">
        <f t="shared" si="38"/>
        <v>23.3355</v>
      </c>
      <c r="AA112" s="97">
        <f t="shared" si="39"/>
        <v>23.290600000000001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 t="shared" si="40"/>
        <v>0201-14</v>
      </c>
      <c r="AE112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12" s="75" t="str">
        <f t="shared" si="42"/>
        <v>"C:\Program Files (x86)\AstroGrep\AstroGrep.exe" /spath="C:\Users\stu\Documents\Analysis\2016-02-23 RTDC Observations" /stypes="*4044*20160714*"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49" t="s">
        <v>436</v>
      </c>
      <c r="B113" s="7">
        <v>4043</v>
      </c>
      <c r="C113" s="26" t="s">
        <v>59</v>
      </c>
      <c r="D113" s="26" t="s">
        <v>437</v>
      </c>
      <c r="E113" s="16">
        <v>42565.709641203706</v>
      </c>
      <c r="F113" s="16">
        <v>42565.710532407407</v>
      </c>
      <c r="G113" s="7">
        <v>1</v>
      </c>
      <c r="H113" s="16" t="s">
        <v>60</v>
      </c>
      <c r="I113" s="16">
        <v>42565.744305555556</v>
      </c>
      <c r="J113" s="7">
        <v>1</v>
      </c>
      <c r="K113" s="26" t="str">
        <f t="shared" si="30"/>
        <v>4043/4044</v>
      </c>
      <c r="L113" s="26" t="str">
        <f>VLOOKUP(A113,'Trips&amp;Operators'!$C$1:$E$10000,3,FALSE)</f>
        <v>SHOOK</v>
      </c>
      <c r="M113" s="6">
        <f t="shared" si="31"/>
        <v>3.3773148148611654E-2</v>
      </c>
      <c r="N113" s="7">
        <f t="shared" si="29"/>
        <v>48.633333334000781</v>
      </c>
      <c r="O113" s="7"/>
      <c r="P113" s="7"/>
      <c r="Q113" s="27"/>
      <c r="R113" s="27"/>
      <c r="S113" s="45">
        <f t="shared" si="32"/>
        <v>1</v>
      </c>
      <c r="T113" s="69" t="str">
        <f t="shared" si="33"/>
        <v>Southbound</v>
      </c>
      <c r="U113" s="105">
        <f>COUNTIFS(Variables!$M$2:$M$19,IF(T113="NorthBound","&gt;=","&lt;=")&amp;Y113,Variables!$M$2:$M$19,IF(T113="NorthBound","&lt;=","&gt;=")&amp;Z113)</f>
        <v>12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3" s="74" t="str">
        <f t="shared" si="35"/>
        <v>N</v>
      </c>
      <c r="X113" s="100">
        <f t="shared" si="36"/>
        <v>1</v>
      </c>
      <c r="Y113" s="97">
        <f t="shared" si="37"/>
        <v>23.3032</v>
      </c>
      <c r="Z113" s="97">
        <f t="shared" si="38"/>
        <v>1.4500000000000001E-2</v>
      </c>
      <c r="AA113" s="97">
        <f t="shared" si="39"/>
        <v>23.288699999999999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 t="shared" si="40"/>
        <v>0202-14</v>
      </c>
      <c r="AE113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13" s="75" t="str">
        <f t="shared" si="42"/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49" t="s">
        <v>438</v>
      </c>
      <c r="B114" s="7">
        <v>4040</v>
      </c>
      <c r="C114" s="26" t="s">
        <v>59</v>
      </c>
      <c r="D114" s="26" t="s">
        <v>175</v>
      </c>
      <c r="E114" s="16">
        <v>42565.689317129632</v>
      </c>
      <c r="F114" s="16">
        <v>42565.690520833334</v>
      </c>
      <c r="G114" s="7">
        <v>1</v>
      </c>
      <c r="H114" s="16" t="s">
        <v>439</v>
      </c>
      <c r="I114" s="16">
        <v>42565.720960648148</v>
      </c>
      <c r="J114" s="7">
        <v>0</v>
      </c>
      <c r="K114" s="26" t="str">
        <f t="shared" si="30"/>
        <v>4039/4040</v>
      </c>
      <c r="L114" s="26" t="str">
        <f>VLOOKUP(A114,'Trips&amp;Operators'!$C$1:$E$10000,3,FALSE)</f>
        <v>REBOLETTI</v>
      </c>
      <c r="M114" s="6">
        <f t="shared" si="31"/>
        <v>3.0439814814599231E-2</v>
      </c>
      <c r="N114" s="7">
        <f t="shared" si="29"/>
        <v>43.833333333022892</v>
      </c>
      <c r="O114" s="7"/>
      <c r="P114" s="7"/>
      <c r="Q114" s="27"/>
      <c r="R114" s="27"/>
      <c r="S114" s="45">
        <f t="shared" si="32"/>
        <v>1</v>
      </c>
      <c r="T114" s="69" t="str">
        <f t="shared" si="33"/>
        <v>NorthBound</v>
      </c>
      <c r="U114" s="105">
        <f>COUNTIFS(Variables!$M$2:$M$19,IF(T114="NorthBound","&gt;=","&lt;=")&amp;Y114,Variables!$M$2:$M$19,IF(T114="NorthBound","&lt;=","&gt;=")&amp;Z114)</f>
        <v>12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15:32:37-0600',mode:absolute,to:'2016-07-14 18:18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4" s="74" t="str">
        <f t="shared" si="35"/>
        <v>N</v>
      </c>
      <c r="X114" s="100">
        <f t="shared" si="36"/>
        <v>1</v>
      </c>
      <c r="Y114" s="97">
        <f t="shared" si="37"/>
        <v>4.53E-2</v>
      </c>
      <c r="Z114" s="97">
        <f t="shared" si="38"/>
        <v>23.328199999999999</v>
      </c>
      <c r="AA114" s="97">
        <f t="shared" si="39"/>
        <v>23.282899999999998</v>
      </c>
      <c r="AB114" s="94" t="e">
        <f>VLOOKUP(A114,Enforcements!$C$7:$J$23,8,0)</f>
        <v>#N/A</v>
      </c>
      <c r="AC114" s="90" t="e">
        <f>VLOOKUP(A114,Enforcements!$C$7:$E$23,3,0)</f>
        <v>#N/A</v>
      </c>
      <c r="AD114" s="91" t="str">
        <f t="shared" si="40"/>
        <v>0203-14</v>
      </c>
      <c r="AE114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14" s="75" t="str">
        <f t="shared" si="42"/>
        <v>"C:\Program Files (x86)\AstroGrep\AstroGrep.exe" /spath="C:\Users\stu\Documents\Analysis\2016-02-23 RTDC Observations" /stypes="*4040*20160714*" /stext=" 23:.+((prompt.+disp)|(slice.+state.+chan)|(ment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49" t="s">
        <v>440</v>
      </c>
      <c r="B115" s="7">
        <v>4039</v>
      </c>
      <c r="C115" s="26" t="s">
        <v>59</v>
      </c>
      <c r="D115" s="26" t="s">
        <v>250</v>
      </c>
      <c r="E115" s="16">
        <v>42565.724583333336</v>
      </c>
      <c r="F115" s="16">
        <v>42565.725578703707</v>
      </c>
      <c r="G115" s="7">
        <v>1</v>
      </c>
      <c r="H115" s="16" t="s">
        <v>111</v>
      </c>
      <c r="I115" s="16">
        <v>42565.753506944442</v>
      </c>
      <c r="J115" s="7">
        <v>0</v>
      </c>
      <c r="K115" s="26" t="str">
        <f t="shared" si="30"/>
        <v>4039/4040</v>
      </c>
      <c r="L115" s="26" t="str">
        <f>VLOOKUP(A115,'Trips&amp;Operators'!$C$1:$E$10000,3,FALSE)</f>
        <v>REBOLETTI</v>
      </c>
      <c r="M115" s="6">
        <f t="shared" si="31"/>
        <v>2.7928240735491272E-2</v>
      </c>
      <c r="N115" s="7">
        <f t="shared" si="29"/>
        <v>40.216666659107432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Southbound</v>
      </c>
      <c r="U115" s="105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16:23:24-0600',mode:absolute,to:'2016-07-14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5" s="74" t="str">
        <f t="shared" si="35"/>
        <v>N</v>
      </c>
      <c r="X115" s="100">
        <f t="shared" si="36"/>
        <v>1</v>
      </c>
      <c r="Y115" s="97">
        <f t="shared" si="37"/>
        <v>23.296900000000001</v>
      </c>
      <c r="Z115" s="97">
        <f t="shared" si="38"/>
        <v>1.43E-2</v>
      </c>
      <c r="AA115" s="97">
        <f t="shared" si="39"/>
        <v>23.282600000000002</v>
      </c>
      <c r="AB115" s="94" t="e">
        <f>VLOOKUP(A115,Enforcements!$C$7:$J$23,8,0)</f>
        <v>#N/A</v>
      </c>
      <c r="AC115" s="90" t="e">
        <f>VLOOKUP(A115,Enforcements!$C$7:$E$23,3,0)</f>
        <v>#N/A</v>
      </c>
      <c r="AD115" s="91" t="str">
        <f t="shared" si="40"/>
        <v>0204-14</v>
      </c>
      <c r="AE115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15" s="75" t="str">
        <f t="shared" si="42"/>
        <v>"C:\Program Files (x86)\AstroGrep\AstroGrep.exe" /spath="C:\Users\stu\Documents\Analysis\2016-02-23 RTDC Observations" /stypes="*4039*20160715*" /stext=" 00:.+((prompt.+disp)|(slice.+state.+chan)|(ment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49" t="s">
        <v>441</v>
      </c>
      <c r="B116" s="7">
        <v>4025</v>
      </c>
      <c r="C116" s="26" t="s">
        <v>59</v>
      </c>
      <c r="D116" s="26" t="s">
        <v>209</v>
      </c>
      <c r="E116" s="16">
        <v>42565.695081018515</v>
      </c>
      <c r="F116" s="16">
        <v>42565.696030092593</v>
      </c>
      <c r="G116" s="7">
        <v>1</v>
      </c>
      <c r="H116" s="16" t="s">
        <v>257</v>
      </c>
      <c r="I116" s="16">
        <v>42565.72515046296</v>
      </c>
      <c r="J116" s="7">
        <v>0</v>
      </c>
      <c r="K116" s="26" t="str">
        <f t="shared" si="30"/>
        <v>4025/4026</v>
      </c>
      <c r="L116" s="26" t="str">
        <f>VLOOKUP(A116,'Trips&amp;Operators'!$C$1:$E$10000,3,FALSE)</f>
        <v>NELSON</v>
      </c>
      <c r="M116" s="6">
        <f t="shared" si="31"/>
        <v>2.9120370367309079E-2</v>
      </c>
      <c r="N116" s="7">
        <f t="shared" si="29"/>
        <v>41.933333328925073</v>
      </c>
      <c r="O116" s="7"/>
      <c r="P116" s="7"/>
      <c r="Q116" s="27"/>
      <c r="R116" s="27"/>
      <c r="S116" s="45">
        <f t="shared" si="32"/>
        <v>1</v>
      </c>
      <c r="T116" s="69" t="str">
        <f t="shared" si="33"/>
        <v>NorthBound</v>
      </c>
      <c r="U116" s="105">
        <f>COUNTIFS(Variables!$M$2:$M$19,IF(T116="NorthBound","&gt;=","&lt;=")&amp;Y116,Variables!$M$2:$M$19,IF(T116="NorthBound","&lt;=","&gt;=")&amp;Z116)</f>
        <v>12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15:40:55-0600',mode:absolute,to:'2016-07-14 18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4" t="str">
        <f t="shared" si="35"/>
        <v>N</v>
      </c>
      <c r="X116" s="100">
        <f t="shared" si="36"/>
        <v>1</v>
      </c>
      <c r="Y116" s="97">
        <f t="shared" si="37"/>
        <v>4.4699999999999997E-2</v>
      </c>
      <c r="Z116" s="97">
        <f t="shared" si="38"/>
        <v>23.328700000000001</v>
      </c>
      <c r="AA116" s="97">
        <f t="shared" si="39"/>
        <v>23.284000000000002</v>
      </c>
      <c r="AB116" s="94" t="e">
        <f>VLOOKUP(A116,Enforcements!$C$7:$J$23,8,0)</f>
        <v>#N/A</v>
      </c>
      <c r="AC116" s="90" t="e">
        <f>VLOOKUP(A116,Enforcements!$C$7:$E$23,3,0)</f>
        <v>#N/A</v>
      </c>
      <c r="AD116" s="91" t="str">
        <f t="shared" si="40"/>
        <v>0205-14</v>
      </c>
      <c r="AE116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16" s="75" t="str">
        <f t="shared" si="42"/>
        <v>"C:\Program Files (x86)\AstroGrep\AstroGrep.exe" /spath="C:\Users\stu\Documents\Analysis\2016-02-23 RTDC Observations" /stypes="*4025*20160714*"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49" t="s">
        <v>442</v>
      </c>
      <c r="B117" s="7">
        <v>4026</v>
      </c>
      <c r="C117" s="26" t="s">
        <v>59</v>
      </c>
      <c r="D117" s="26" t="s">
        <v>199</v>
      </c>
      <c r="E117" s="16">
        <v>42565.733506944445</v>
      </c>
      <c r="F117" s="16">
        <v>42565.734965277778</v>
      </c>
      <c r="G117" s="7">
        <v>2</v>
      </c>
      <c r="H117" s="16" t="s">
        <v>61</v>
      </c>
      <c r="I117" s="16">
        <v>42565.762418981481</v>
      </c>
      <c r="J117" s="7">
        <v>1</v>
      </c>
      <c r="K117" s="26" t="str">
        <f t="shared" si="30"/>
        <v>4025/4026</v>
      </c>
      <c r="L117" s="26" t="str">
        <f>VLOOKUP(A117,'Trips&amp;Operators'!$C$1:$E$10000,3,FALSE)</f>
        <v>NELSON</v>
      </c>
      <c r="M117" s="6">
        <f t="shared" si="31"/>
        <v>2.7453703703940846E-2</v>
      </c>
      <c r="N117" s="7">
        <f t="shared" si="29"/>
        <v>39.533333333674818</v>
      </c>
      <c r="O117" s="7"/>
      <c r="P117" s="7"/>
      <c r="Q117" s="27"/>
      <c r="R117" s="27"/>
      <c r="S117" s="45">
        <f t="shared" si="32"/>
        <v>1</v>
      </c>
      <c r="T117" s="69" t="str">
        <f t="shared" si="33"/>
        <v>Southbound</v>
      </c>
      <c r="U117" s="105">
        <f>COUNTIFS(Variables!$M$2:$M$19,IF(T117="NorthBound","&gt;=","&lt;=")&amp;Y117,Variables!$M$2:$M$19,IF(T117="NorthBound","&lt;=","&gt;=")&amp;Z117)</f>
        <v>12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4" t="str">
        <f t="shared" si="35"/>
        <v>N</v>
      </c>
      <c r="X117" s="100">
        <f t="shared" si="36"/>
        <v>1</v>
      </c>
      <c r="Y117" s="97">
        <f t="shared" si="37"/>
        <v>23.299800000000001</v>
      </c>
      <c r="Z117" s="97">
        <f t="shared" si="38"/>
        <v>1.52E-2</v>
      </c>
      <c r="AA117" s="97">
        <f t="shared" si="39"/>
        <v>23.284600000000001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 t="shared" si="40"/>
        <v>0206-14</v>
      </c>
      <c r="AE117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17" s="75" t="str">
        <f t="shared" si="42"/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49" t="s">
        <v>443</v>
      </c>
      <c r="B118" s="7">
        <v>4020</v>
      </c>
      <c r="C118" s="26" t="s">
        <v>59</v>
      </c>
      <c r="D118" s="26" t="s">
        <v>175</v>
      </c>
      <c r="E118" s="16">
        <v>42565.716354166667</v>
      </c>
      <c r="F118" s="16">
        <v>42565.717256944445</v>
      </c>
      <c r="G118" s="7">
        <v>1</v>
      </c>
      <c r="H118" s="16" t="s">
        <v>249</v>
      </c>
      <c r="I118" s="16">
        <v>42565.744212962964</v>
      </c>
      <c r="J118" s="7">
        <v>0</v>
      </c>
      <c r="K118" s="26" t="str">
        <f t="shared" si="30"/>
        <v>4019/4020</v>
      </c>
      <c r="L118" s="26" t="str">
        <f>VLOOKUP(A118,'Trips&amp;Operators'!$C$1:$E$10000,3,FALSE)</f>
        <v>MAELZER</v>
      </c>
      <c r="M118" s="6">
        <f t="shared" si="31"/>
        <v>2.6956018518831115E-2</v>
      </c>
      <c r="N118" s="7">
        <f t="shared" si="29"/>
        <v>38.816666667116806</v>
      </c>
      <c r="O118" s="7"/>
      <c r="P118" s="7"/>
      <c r="Q118" s="27"/>
      <c r="R118" s="27"/>
      <c r="S118" s="45">
        <f t="shared" si="32"/>
        <v>1</v>
      </c>
      <c r="T118" s="69" t="str">
        <f t="shared" si="33"/>
        <v>NorthBound</v>
      </c>
      <c r="U118" s="105">
        <f>COUNTIFS(Variables!$M$2:$M$19,IF(T118="NorthBound","&gt;=","&lt;=")&amp;Y118,Variables!$M$2:$M$19,IF(T118="NorthBound","&lt;=","&gt;=")&amp;Z118)</f>
        <v>12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16:11:33-0600',mode:absolute,to:'2016-07-14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74" t="str">
        <f t="shared" si="35"/>
        <v>N</v>
      </c>
      <c r="X118" s="100">
        <f t="shared" si="36"/>
        <v>3</v>
      </c>
      <c r="Y118" s="97">
        <f t="shared" si="37"/>
        <v>4.53E-2</v>
      </c>
      <c r="Z118" s="97">
        <f t="shared" si="38"/>
        <v>23.329799999999999</v>
      </c>
      <c r="AA118" s="97">
        <f t="shared" si="39"/>
        <v>23.284499999999998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 t="shared" si="40"/>
        <v>0209-14</v>
      </c>
      <c r="AE118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18" s="75" t="str">
        <f t="shared" si="42"/>
        <v>"C:\Program Files (x86)\AstroGrep\AstroGrep.exe" /spath="C:\Users\stu\Documents\Analysis\2016-02-23 RTDC Observations" /stypes="*4020*20160714*"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49" t="s">
        <v>444</v>
      </c>
      <c r="B119" s="7">
        <v>4019</v>
      </c>
      <c r="C119" s="26" t="s">
        <v>59</v>
      </c>
      <c r="D119" s="26" t="s">
        <v>256</v>
      </c>
      <c r="E119" s="16">
        <v>42565.753958333335</v>
      </c>
      <c r="F119" s="16">
        <v>42565.754907407405</v>
      </c>
      <c r="G119" s="7">
        <v>1</v>
      </c>
      <c r="H119" s="16" t="s">
        <v>235</v>
      </c>
      <c r="I119" s="16">
        <v>42565.78324074074</v>
      </c>
      <c r="J119" s="7">
        <v>2</v>
      </c>
      <c r="K119" s="26" t="str">
        <f t="shared" si="30"/>
        <v>4019/4020</v>
      </c>
      <c r="L119" s="26" t="str">
        <f>VLOOKUP(A119,'Trips&amp;Operators'!$C$1:$E$10000,3,FALSE)</f>
        <v>MAELZER</v>
      </c>
      <c r="M119" s="6">
        <f t="shared" si="31"/>
        <v>2.8333333335467614E-2</v>
      </c>
      <c r="N119" s="7">
        <f t="shared" si="29"/>
        <v>40.800000003073364</v>
      </c>
      <c r="O119" s="7"/>
      <c r="P119" s="7"/>
      <c r="Q119" s="27"/>
      <c r="R119" s="27"/>
      <c r="S119" s="45">
        <f t="shared" si="32"/>
        <v>1</v>
      </c>
      <c r="T119" s="69" t="str">
        <f t="shared" si="33"/>
        <v>Southbound</v>
      </c>
      <c r="U119" s="105">
        <f>COUNTIFS(Variables!$M$2:$M$19,IF(T119="NorthBound","&gt;=","&lt;=")&amp;Y119,Variables!$M$2:$M$19,IF(T119="NorthBound","&lt;=","&gt;=")&amp;Z119)</f>
        <v>12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74" t="str">
        <f t="shared" si="35"/>
        <v>N</v>
      </c>
      <c r="X119" s="100">
        <f t="shared" si="36"/>
        <v>1</v>
      </c>
      <c r="Y119" s="97">
        <f t="shared" si="37"/>
        <v>23.298300000000001</v>
      </c>
      <c r="Z119" s="97">
        <f t="shared" si="38"/>
        <v>1.41E-2</v>
      </c>
      <c r="AA119" s="97">
        <f t="shared" si="39"/>
        <v>23.284200000000002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 t="shared" si="40"/>
        <v>0210-14</v>
      </c>
      <c r="AE119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19" s="75" t="str">
        <f t="shared" si="42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49" t="s">
        <v>445</v>
      </c>
      <c r="B120" s="7">
        <v>4018</v>
      </c>
      <c r="C120" s="26" t="s">
        <v>59</v>
      </c>
      <c r="D120" s="26" t="s">
        <v>223</v>
      </c>
      <c r="E120" s="16">
        <v>42565.7265162037</v>
      </c>
      <c r="F120" s="16">
        <v>42565.728703703702</v>
      </c>
      <c r="G120" s="7">
        <v>3</v>
      </c>
      <c r="H120" s="16" t="s">
        <v>173</v>
      </c>
      <c r="I120" s="16">
        <v>42565.754699074074</v>
      </c>
      <c r="J120" s="7">
        <v>0</v>
      </c>
      <c r="K120" s="26" t="str">
        <f t="shared" si="30"/>
        <v>4017/4018</v>
      </c>
      <c r="L120" s="26" t="str">
        <f>VLOOKUP(A120,'Trips&amp;Operators'!$C$1:$E$10000,3,FALSE)</f>
        <v>HELVIE</v>
      </c>
      <c r="M120" s="6">
        <f t="shared" si="31"/>
        <v>2.5995370371674653E-2</v>
      </c>
      <c r="N120" s="7">
        <f t="shared" si="29"/>
        <v>37.433333335211501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NorthBound</v>
      </c>
      <c r="U120" s="105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16:26:11-0600',mode:absolute,to:'2016-07-14 19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0" s="74" t="str">
        <f t="shared" si="35"/>
        <v>N</v>
      </c>
      <c r="X120" s="100">
        <f t="shared" si="36"/>
        <v>1</v>
      </c>
      <c r="Y120" s="97">
        <f t="shared" si="37"/>
        <v>4.7699999999999999E-2</v>
      </c>
      <c r="Z120" s="97">
        <f t="shared" si="38"/>
        <v>23.330300000000001</v>
      </c>
      <c r="AA120" s="97">
        <f t="shared" si="39"/>
        <v>23.282600000000002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 t="shared" si="40"/>
        <v>0211-14</v>
      </c>
      <c r="AE120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20" s="75" t="str">
        <f t="shared" si="42"/>
        <v>"C:\Program Files (x86)\AstroGrep\AstroGrep.exe" /spath="C:\Users\stu\Documents\Analysis\2016-02-23 RTDC Observations" /stypes="*4018*20160715*" /stext=" 00:.+((prompt.+disp)|(slice.+state.+chan)|(ment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49" t="s">
        <v>446</v>
      </c>
      <c r="B121" s="7">
        <v>4017</v>
      </c>
      <c r="C121" s="26" t="s">
        <v>59</v>
      </c>
      <c r="D121" s="26" t="s">
        <v>240</v>
      </c>
      <c r="E121" s="16">
        <v>42565.764074074075</v>
      </c>
      <c r="F121" s="16">
        <v>42565.765219907407</v>
      </c>
      <c r="G121" s="7">
        <v>1</v>
      </c>
      <c r="H121" s="16" t="s">
        <v>193</v>
      </c>
      <c r="I121" s="16">
        <v>42565.794745370367</v>
      </c>
      <c r="J121" s="7">
        <v>0</v>
      </c>
      <c r="K121" s="26" t="str">
        <f t="shared" si="30"/>
        <v>4017/4018</v>
      </c>
      <c r="L121" s="26" t="str">
        <f>VLOOKUP(A121,'Trips&amp;Operators'!$C$1:$E$10000,3,FALSE)</f>
        <v>HELVIE</v>
      </c>
      <c r="M121" s="6">
        <f t="shared" si="31"/>
        <v>2.9525462960009463E-2</v>
      </c>
      <c r="N121" s="7">
        <f t="shared" si="29"/>
        <v>42.516666662413627</v>
      </c>
      <c r="O121" s="7"/>
      <c r="P121" s="7"/>
      <c r="Q121" s="27"/>
      <c r="R121" s="27"/>
      <c r="S121" s="45">
        <f t="shared" si="32"/>
        <v>1</v>
      </c>
      <c r="T121" s="69" t="str">
        <f t="shared" si="33"/>
        <v>Southbound</v>
      </c>
      <c r="U121" s="105">
        <f>COUNTIFS(Variables!$M$2:$M$19,IF(T121="NorthBound","&gt;=","&lt;=")&amp;Y121,Variables!$M$2:$M$19,IF(T121="NorthBound","&lt;=","&gt;=")&amp;Z121)</f>
        <v>12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17:20:16-0600',mode:absolute,to:'2016-07-14 20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1" s="74" t="str">
        <f t="shared" si="35"/>
        <v>N</v>
      </c>
      <c r="X121" s="100">
        <f t="shared" si="36"/>
        <v>1</v>
      </c>
      <c r="Y121" s="97">
        <f t="shared" si="37"/>
        <v>23.296299999999999</v>
      </c>
      <c r="Z121" s="97">
        <f t="shared" si="38"/>
        <v>1.3899999999999999E-2</v>
      </c>
      <c r="AA121" s="97">
        <f t="shared" si="39"/>
        <v>23.282399999999999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 t="shared" si="40"/>
        <v>0212-14</v>
      </c>
      <c r="AE121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21" s="75" t="str">
        <f t="shared" si="42"/>
        <v>"C:\Program Files (x86)\AstroGrep\AstroGrep.exe" /spath="C:\Users\stu\Documents\Analysis\2016-02-23 RTDC Observations" /stypes="*4017*20160715*" /stext=" 01:.+((prompt.+disp)|(slice.+state.+chan)|(ment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49" t="s">
        <v>447</v>
      </c>
      <c r="B122" s="7">
        <v>4042</v>
      </c>
      <c r="C122" s="26" t="s">
        <v>59</v>
      </c>
      <c r="D122" s="26" t="s">
        <v>448</v>
      </c>
      <c r="E122" s="16">
        <v>42565.734768518516</v>
      </c>
      <c r="F122" s="16">
        <v>42565.736493055556</v>
      </c>
      <c r="G122" s="7">
        <v>2</v>
      </c>
      <c r="H122" s="16" t="s">
        <v>190</v>
      </c>
      <c r="I122" s="16">
        <v>42565.764641203707</v>
      </c>
      <c r="J122" s="7">
        <v>0</v>
      </c>
      <c r="K122" s="26" t="str">
        <f t="shared" si="30"/>
        <v>4041/4042</v>
      </c>
      <c r="L122" s="26" t="str">
        <f>VLOOKUP(A122,'Trips&amp;Operators'!$C$1:$E$10000,3,FALSE)</f>
        <v>MOSES</v>
      </c>
      <c r="M122" s="6">
        <f t="shared" si="31"/>
        <v>2.8148148150648922E-2</v>
      </c>
      <c r="N122" s="7">
        <f t="shared" si="29"/>
        <v>40.533333336934447</v>
      </c>
      <c r="O122" s="7"/>
      <c r="P122" s="7"/>
      <c r="Q122" s="27"/>
      <c r="R122" s="27"/>
      <c r="S122" s="45">
        <f t="shared" si="32"/>
        <v>1</v>
      </c>
      <c r="T122" s="69" t="str">
        <f t="shared" si="33"/>
        <v>NorthBound</v>
      </c>
      <c r="U122" s="105">
        <f>COUNTIFS(Variables!$M$2:$M$19,IF(T122="NorthBound","&gt;=","&lt;=")&amp;Y122,Variables!$M$2:$M$19,IF(T122="NorthBound","&lt;=","&gt;=")&amp;Z122)</f>
        <v>12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16:38:04-0600',mode:absolute,to:'2016-07-14 19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74" t="str">
        <f t="shared" si="35"/>
        <v>N</v>
      </c>
      <c r="X122" s="100">
        <f t="shared" si="36"/>
        <v>1</v>
      </c>
      <c r="Y122" s="97">
        <f t="shared" si="37"/>
        <v>4.2700000000000002E-2</v>
      </c>
      <c r="Z122" s="97">
        <f t="shared" si="38"/>
        <v>23.331</v>
      </c>
      <c r="AA122" s="97">
        <f t="shared" si="39"/>
        <v>23.2883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 t="shared" si="40"/>
        <v>0213-14</v>
      </c>
      <c r="AE122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22" s="75" t="str">
        <f t="shared" si="42"/>
        <v>"C:\Program Files (x86)\AstroGrep\AstroGrep.exe" /spath="C:\Users\stu\Documents\Analysis\2016-02-23 RTDC Observations" /stypes="*4042*20160715*" /stext=" 00:.+((prompt.+disp)|(slice.+state.+chan)|(ment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49" t="s">
        <v>449</v>
      </c>
      <c r="B123" s="7">
        <v>4041</v>
      </c>
      <c r="C123" s="26" t="s">
        <v>59</v>
      </c>
      <c r="D123" s="26" t="s">
        <v>329</v>
      </c>
      <c r="E123" s="16">
        <v>42565.773923611108</v>
      </c>
      <c r="F123" s="16">
        <v>42565.775000000001</v>
      </c>
      <c r="G123" s="7">
        <v>1</v>
      </c>
      <c r="H123" s="16" t="s">
        <v>61</v>
      </c>
      <c r="I123" s="16">
        <v>42565.805069444446</v>
      </c>
      <c r="J123" s="7">
        <v>1</v>
      </c>
      <c r="K123" s="26" t="str">
        <f t="shared" si="30"/>
        <v>4041/4042</v>
      </c>
      <c r="L123" s="26" t="str">
        <f>VLOOKUP(A123,'Trips&amp;Operators'!$C$1:$E$10000,3,FALSE)</f>
        <v>MOSES</v>
      </c>
      <c r="M123" s="6">
        <f t="shared" si="31"/>
        <v>3.0069444444961846E-2</v>
      </c>
      <c r="N123" s="7">
        <f t="shared" si="29"/>
        <v>43.300000000745058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105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74" t="str">
        <f t="shared" si="35"/>
        <v>N</v>
      </c>
      <c r="X123" s="100">
        <f t="shared" si="36"/>
        <v>1</v>
      </c>
      <c r="Y123" s="97">
        <f t="shared" si="37"/>
        <v>23.297899999999998</v>
      </c>
      <c r="Z123" s="97">
        <f t="shared" si="38"/>
        <v>1.52E-2</v>
      </c>
      <c r="AA123" s="97">
        <f t="shared" si="39"/>
        <v>23.282699999999998</v>
      </c>
      <c r="AB123" s="94">
        <f>VLOOKUP(A123,Enforcements!$C$7:$J$23,8,0)</f>
        <v>15167</v>
      </c>
      <c r="AC123" s="90" t="str">
        <f>VLOOKUP(A123,Enforcements!$C$7:$E$23,3,0)</f>
        <v>PERMANENT SPEED RESTRICTION</v>
      </c>
      <c r="AD123" s="91" t="str">
        <f t="shared" si="40"/>
        <v>0214-14</v>
      </c>
      <c r="AE123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23" s="75" t="str">
        <f t="shared" si="42"/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49" t="s">
        <v>450</v>
      </c>
      <c r="B124" s="7">
        <v>4044</v>
      </c>
      <c r="C124" s="26" t="s">
        <v>59</v>
      </c>
      <c r="D124" s="26" t="s">
        <v>209</v>
      </c>
      <c r="E124" s="16">
        <v>42565.74658564815</v>
      </c>
      <c r="F124" s="16">
        <v>42565.747847222221</v>
      </c>
      <c r="G124" s="7">
        <v>1</v>
      </c>
      <c r="H124" s="16" t="s">
        <v>213</v>
      </c>
      <c r="I124" s="16">
        <v>42565.775509259256</v>
      </c>
      <c r="J124" s="7">
        <v>0</v>
      </c>
      <c r="K124" s="26" t="str">
        <f t="shared" si="30"/>
        <v>4043/4044</v>
      </c>
      <c r="L124" s="26" t="str">
        <f>VLOOKUP(A124,'Trips&amp;Operators'!$C$1:$E$10000,3,FALSE)</f>
        <v>STAMBAUGH</v>
      </c>
      <c r="M124" s="6">
        <f t="shared" si="31"/>
        <v>2.7662037035042886E-2</v>
      </c>
      <c r="N124" s="7">
        <f t="shared" si="29"/>
        <v>39.833333330461755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NorthBound</v>
      </c>
      <c r="U124" s="105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16:55:05-0600',mode:absolute,to:'2016-07-14 19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74" t="str">
        <f t="shared" si="35"/>
        <v>N</v>
      </c>
      <c r="X124" s="100">
        <f t="shared" si="36"/>
        <v>1</v>
      </c>
      <c r="Y124" s="97">
        <f t="shared" si="37"/>
        <v>4.4699999999999997E-2</v>
      </c>
      <c r="Z124" s="97">
        <f t="shared" si="38"/>
        <v>23.330500000000001</v>
      </c>
      <c r="AA124" s="97">
        <f t="shared" si="39"/>
        <v>23.285800000000002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 t="shared" si="40"/>
        <v>0215-14</v>
      </c>
      <c r="AE124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24" s="75" t="str">
        <f t="shared" si="42"/>
        <v>"C:\Program Files (x86)\AstroGrep\AstroGrep.exe" /spath="C:\Users\stu\Documents\Analysis\2016-02-23 RTDC Observations" /stypes="*4044*20160715*"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49" t="s">
        <v>451</v>
      </c>
      <c r="B125" s="7">
        <v>4043</v>
      </c>
      <c r="C125" s="26" t="s">
        <v>59</v>
      </c>
      <c r="D125" s="26" t="s">
        <v>208</v>
      </c>
      <c r="E125" s="16">
        <v>42565.784502314818</v>
      </c>
      <c r="F125" s="16">
        <v>42565.785613425927</v>
      </c>
      <c r="G125" s="7">
        <v>1</v>
      </c>
      <c r="H125" s="16" t="s">
        <v>126</v>
      </c>
      <c r="I125" s="16">
        <v>42565.815486111111</v>
      </c>
      <c r="J125" s="7">
        <v>0</v>
      </c>
      <c r="K125" s="26" t="str">
        <f t="shared" si="30"/>
        <v>4043/4044</v>
      </c>
      <c r="L125" s="26" t="str">
        <f>VLOOKUP(A125,'Trips&amp;Operators'!$C$1:$E$10000,3,FALSE)</f>
        <v>STAMBAUGH</v>
      </c>
      <c r="M125" s="6">
        <f t="shared" si="31"/>
        <v>2.9872685183363501E-2</v>
      </c>
      <c r="N125" s="7">
        <f t="shared" si="29"/>
        <v>43.016666664043441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Southbound</v>
      </c>
      <c r="U125" s="105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17:49:41-0600',mode:absolute,to:'2016-07-14 20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4" t="str">
        <f t="shared" si="35"/>
        <v>N</v>
      </c>
      <c r="X125" s="100">
        <f t="shared" si="36"/>
        <v>1</v>
      </c>
      <c r="Y125" s="97">
        <f t="shared" si="37"/>
        <v>23.298999999999999</v>
      </c>
      <c r="Z125" s="97">
        <f t="shared" si="38"/>
        <v>1.5599999999999999E-2</v>
      </c>
      <c r="AA125" s="97">
        <f t="shared" si="39"/>
        <v>23.2834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 t="shared" si="40"/>
        <v>0216-14</v>
      </c>
      <c r="AE125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25" s="75" t="str">
        <f t="shared" si="42"/>
        <v>"C:\Program Files (x86)\AstroGrep\AstroGrep.exe" /spath="C:\Users\stu\Documents\Analysis\2016-02-23 RTDC Observations" /stypes="*4043*20160715*"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452</v>
      </c>
      <c r="B126" s="7">
        <v>4040</v>
      </c>
      <c r="C126" s="26" t="s">
        <v>59</v>
      </c>
      <c r="D126" s="26" t="s">
        <v>222</v>
      </c>
      <c r="E126" s="16">
        <v>42565.758356481485</v>
      </c>
      <c r="F126" s="16">
        <v>42565.759525462963</v>
      </c>
      <c r="G126" s="7">
        <v>1</v>
      </c>
      <c r="H126" s="16" t="s">
        <v>251</v>
      </c>
      <c r="I126" s="16">
        <v>42565.78534722222</v>
      </c>
      <c r="J126" s="7">
        <v>0</v>
      </c>
      <c r="K126" s="26" t="str">
        <f t="shared" si="30"/>
        <v>4039/4040</v>
      </c>
      <c r="L126" s="26" t="str">
        <f>VLOOKUP(A126,'Trips&amp;Operators'!$C$1:$E$10000,3,FALSE)</f>
        <v>LEVIN</v>
      </c>
      <c r="M126" s="6">
        <f t="shared" si="31"/>
        <v>2.5821759256359655E-2</v>
      </c>
      <c r="N126" s="7">
        <f t="shared" si="29"/>
        <v>37.183333329157904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NorthBound</v>
      </c>
      <c r="U126" s="105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17:12:02-0600',mode:absolute,to:'2016-07-14 19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4" t="str">
        <f t="shared" si="35"/>
        <v>N</v>
      </c>
      <c r="X126" s="100">
        <f t="shared" si="36"/>
        <v>1</v>
      </c>
      <c r="Y126" s="97">
        <f t="shared" si="37"/>
        <v>4.3700000000000003E-2</v>
      </c>
      <c r="Z126" s="97">
        <f t="shared" si="38"/>
        <v>23.3306</v>
      </c>
      <c r="AA126" s="97">
        <f t="shared" si="39"/>
        <v>23.286899999999999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 t="shared" si="40"/>
        <v>0217-14</v>
      </c>
      <c r="AE126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26" s="75" t="str">
        <f t="shared" si="42"/>
        <v>"C:\Program Files (x86)\AstroGrep\AstroGrep.exe" /spath="C:\Users\stu\Documents\Analysis\2016-02-23 RTDC Observations" /stypes="*4040*20160715*"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49" t="s">
        <v>453</v>
      </c>
      <c r="B127" s="7">
        <v>4039</v>
      </c>
      <c r="C127" s="26" t="s">
        <v>59</v>
      </c>
      <c r="D127" s="26" t="s">
        <v>454</v>
      </c>
      <c r="E127" s="16">
        <v>42565.798784722225</v>
      </c>
      <c r="F127" s="16">
        <v>42565.799687500003</v>
      </c>
      <c r="G127" s="7">
        <v>1</v>
      </c>
      <c r="H127" s="16" t="s">
        <v>186</v>
      </c>
      <c r="I127" s="16">
        <v>42565.824699074074</v>
      </c>
      <c r="J127" s="7">
        <v>0</v>
      </c>
      <c r="K127" s="26" t="str">
        <f t="shared" si="30"/>
        <v>4039/4040</v>
      </c>
      <c r="L127" s="26" t="str">
        <f>VLOOKUP(A127,'Trips&amp;Operators'!$C$1:$E$10000,3,FALSE)</f>
        <v>LEVIN</v>
      </c>
      <c r="M127" s="6">
        <f t="shared" si="31"/>
        <v>2.5011574070958886E-2</v>
      </c>
      <c r="N127" s="7">
        <f t="shared" si="29"/>
        <v>36.016666662180796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Southbound</v>
      </c>
      <c r="U127" s="105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4" t="str">
        <f t="shared" si="35"/>
        <v>N</v>
      </c>
      <c r="X127" s="100">
        <f t="shared" si="36"/>
        <v>1</v>
      </c>
      <c r="Y127" s="97">
        <f t="shared" si="37"/>
        <v>23.2164</v>
      </c>
      <c r="Z127" s="97">
        <f t="shared" si="38"/>
        <v>1.54E-2</v>
      </c>
      <c r="AA127" s="97">
        <f t="shared" si="39"/>
        <v>23.201000000000001</v>
      </c>
      <c r="AB127" s="94" t="e">
        <f>VLOOKUP(A127,Enforcements!$C$7:$J$23,8,0)</f>
        <v>#N/A</v>
      </c>
      <c r="AC127" s="90" t="e">
        <f>VLOOKUP(A127,Enforcements!$C$7:$E$23,3,0)</f>
        <v>#N/A</v>
      </c>
      <c r="AD127" s="91" t="str">
        <f t="shared" si="40"/>
        <v>0218-14</v>
      </c>
      <c r="AE127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27" s="75" t="str">
        <f t="shared" si="42"/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49" t="s">
        <v>455</v>
      </c>
      <c r="B128" s="7">
        <v>4025</v>
      </c>
      <c r="C128" s="26" t="s">
        <v>59</v>
      </c>
      <c r="D128" s="26" t="s">
        <v>151</v>
      </c>
      <c r="E128" s="16">
        <v>42565.766284722224</v>
      </c>
      <c r="F128" s="16">
        <v>42565.768425925926</v>
      </c>
      <c r="G128" s="7">
        <v>3</v>
      </c>
      <c r="H128" s="16" t="s">
        <v>191</v>
      </c>
      <c r="I128" s="16">
        <v>42565.796053240738</v>
      </c>
      <c r="J128" s="7">
        <v>1</v>
      </c>
      <c r="K128" s="26" t="str">
        <f t="shared" si="30"/>
        <v>4025/4026</v>
      </c>
      <c r="L128" s="26" t="str">
        <f>VLOOKUP(A128,'Trips&amp;Operators'!$C$1:$E$10000,3,FALSE)</f>
        <v>STURGEON</v>
      </c>
      <c r="M128" s="6">
        <f t="shared" si="31"/>
        <v>2.7627314811979886E-2</v>
      </c>
      <c r="N128" s="7">
        <f t="shared" si="29"/>
        <v>39.783333329251036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NorthBound</v>
      </c>
      <c r="U128" s="105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8" s="74" t="str">
        <f t="shared" si="35"/>
        <v>N</v>
      </c>
      <c r="X128" s="100">
        <f t="shared" si="36"/>
        <v>1</v>
      </c>
      <c r="Y128" s="97">
        <f t="shared" si="37"/>
        <v>4.58E-2</v>
      </c>
      <c r="Z128" s="97">
        <f t="shared" si="38"/>
        <v>23.329499999999999</v>
      </c>
      <c r="AA128" s="97">
        <f t="shared" si="39"/>
        <v>23.2837</v>
      </c>
      <c r="AB128" s="94" t="e">
        <f>VLOOKUP(A128,Enforcements!$C$7:$J$23,8,0)</f>
        <v>#N/A</v>
      </c>
      <c r="AC128" s="90" t="e">
        <f>VLOOKUP(A128,Enforcements!$C$7:$E$23,3,0)</f>
        <v>#N/A</v>
      </c>
      <c r="AD128" s="91" t="str">
        <f t="shared" si="40"/>
        <v>0219-14</v>
      </c>
      <c r="AE128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28" s="75" t="str">
        <f t="shared" si="42"/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456</v>
      </c>
      <c r="B129" s="7">
        <v>4026</v>
      </c>
      <c r="C129" s="26" t="s">
        <v>59</v>
      </c>
      <c r="D129" s="26" t="s">
        <v>457</v>
      </c>
      <c r="E129" s="16">
        <v>42565.826828703706</v>
      </c>
      <c r="F129" s="16">
        <v>42565.827384259261</v>
      </c>
      <c r="G129" s="7">
        <v>0</v>
      </c>
      <c r="H129" s="16" t="s">
        <v>458</v>
      </c>
      <c r="I129" s="16">
        <v>42565.845706018517</v>
      </c>
      <c r="J129" s="7">
        <v>0</v>
      </c>
      <c r="K129" s="26" t="str">
        <f t="shared" si="30"/>
        <v>4025/4026</v>
      </c>
      <c r="L129" s="26" t="str">
        <f>VLOOKUP(A129,'Trips&amp;Operators'!$C$1:$E$10000,3,FALSE)</f>
        <v>STURGEON</v>
      </c>
      <c r="M129" s="6">
        <f t="shared" si="31"/>
        <v>1.8321759256650694E-2</v>
      </c>
      <c r="N129" s="7"/>
      <c r="O129" s="7"/>
      <c r="P129" s="7">
        <f>24*60*SUM($M129:$M130)</f>
        <v>51.68333332403563</v>
      </c>
      <c r="Q129" s="27"/>
      <c r="R129" s="27" t="s">
        <v>586</v>
      </c>
      <c r="S129" s="45">
        <f t="shared" si="32"/>
        <v>1</v>
      </c>
      <c r="T129" s="69" t="str">
        <f t="shared" si="33"/>
        <v>Southbound</v>
      </c>
      <c r="U129" s="105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18:50:38-0600',mode:absolute,to:'2016-07-14 21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9" s="74" t="str">
        <f t="shared" si="35"/>
        <v>Y</v>
      </c>
      <c r="X129" s="100">
        <f t="shared" si="36"/>
        <v>1</v>
      </c>
      <c r="Y129" s="97">
        <f t="shared" si="37"/>
        <v>12.7866</v>
      </c>
      <c r="Z129" s="97">
        <f t="shared" si="38"/>
        <v>1.83E-2</v>
      </c>
      <c r="AA129" s="97">
        <f t="shared" si="39"/>
        <v>12.7683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 t="shared" si="40"/>
        <v>0220-14</v>
      </c>
      <c r="AE129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29" s="75" t="str">
        <f t="shared" si="42"/>
        <v>"C:\Program Files (x86)\AstroGrep\AstroGrep.exe" /spath="C:\Users\stu\Documents\Analysis\2016-02-23 RTDC Observations" /stypes="*4026*20160715*" /stext=" 02:.+((prompt.+disp)|(slice.+state.+chan)|(ment ac)|(system.+state.+chan)|(\|lc)|(penalty)|(\[timeout))" /e /r /s</v>
      </c>
      <c r="AG129" s="1" t="str">
        <f t="shared" si="43"/>
        <v>EC</v>
      </c>
    </row>
    <row r="130" spans="1:33" s="25" customFormat="1" x14ac:dyDescent="0.25">
      <c r="A130" s="49" t="s">
        <v>456</v>
      </c>
      <c r="B130" s="7">
        <v>4026</v>
      </c>
      <c r="C130" s="26" t="s">
        <v>59</v>
      </c>
      <c r="D130" s="26" t="s">
        <v>261</v>
      </c>
      <c r="E130" s="16">
        <v>42565.803379629629</v>
      </c>
      <c r="F130" s="16">
        <v>42565.804756944446</v>
      </c>
      <c r="G130" s="7">
        <v>1</v>
      </c>
      <c r="H130" s="16" t="s">
        <v>459</v>
      </c>
      <c r="I130" s="16">
        <v>42565.822326388887</v>
      </c>
      <c r="J130" s="7">
        <v>0</v>
      </c>
      <c r="K130" s="26" t="str">
        <f t="shared" si="30"/>
        <v>4025/4026</v>
      </c>
      <c r="L130" s="26" t="str">
        <f>VLOOKUP(A130,'Trips&amp;Operators'!$C$1:$E$10000,3,FALSE)</f>
        <v>STURGEON</v>
      </c>
      <c r="M130" s="6">
        <f t="shared" si="31"/>
        <v>1.7569444440596271E-2</v>
      </c>
      <c r="N130" s="7"/>
      <c r="O130" s="7"/>
      <c r="P130" s="7"/>
      <c r="Q130" s="27"/>
      <c r="R130" s="27"/>
      <c r="S130" s="45"/>
      <c r="T130" s="69" t="str">
        <f t="shared" si="33"/>
        <v>Southbound</v>
      </c>
      <c r="U130" s="105">
        <f>COUNTIFS(Variables!$M$2:$M$19,IF(T130="NorthBound","&gt;=","&lt;=")&amp;Y130,Variables!$M$2:$M$19,IF(T130="NorthBound","&lt;=","&gt;=")&amp;Z130)</f>
        <v>0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18:16:52-0600',mode:absolute,to:'2016-07-14 20:44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74" t="str">
        <f t="shared" si="35"/>
        <v>Y</v>
      </c>
      <c r="X130" s="100">
        <f t="shared" si="36"/>
        <v>0</v>
      </c>
      <c r="Y130" s="97">
        <f t="shared" si="37"/>
        <v>23.296500000000002</v>
      </c>
      <c r="Z130" s="97">
        <f t="shared" si="38"/>
        <v>15.7996</v>
      </c>
      <c r="AA130" s="97">
        <f t="shared" si="39"/>
        <v>7.4969000000000019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 t="shared" si="40"/>
        <v>0220-14</v>
      </c>
      <c r="AE130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0" s="75" t="str">
        <f t="shared" si="42"/>
        <v>"C:\Program Files (x86)\AstroGrep\AstroGrep.exe" /spath="C:\Users\stu\Documents\Analysis\2016-02-23 RTDC Observations" /stypes="*4026*20160715*"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460</v>
      </c>
      <c r="B131" s="7">
        <v>4020</v>
      </c>
      <c r="C131" s="26" t="s">
        <v>59</v>
      </c>
      <c r="D131" s="26" t="s">
        <v>215</v>
      </c>
      <c r="E131" s="16">
        <v>42565.786134259259</v>
      </c>
      <c r="F131" s="16">
        <v>42565.787094907406</v>
      </c>
      <c r="G131" s="7">
        <v>1</v>
      </c>
      <c r="H131" s="16" t="s">
        <v>461</v>
      </c>
      <c r="I131" s="16">
        <v>42565.813831018517</v>
      </c>
      <c r="J131" s="7">
        <v>0</v>
      </c>
      <c r="K131" s="26" t="str">
        <f t="shared" si="30"/>
        <v>4019/4020</v>
      </c>
      <c r="L131" s="26" t="str">
        <f>VLOOKUP(A131,'Trips&amp;Operators'!$C$1:$E$10000,3,FALSE)</f>
        <v>MAELZER</v>
      </c>
      <c r="M131" s="6">
        <f t="shared" si="31"/>
        <v>2.6736111110949423E-2</v>
      </c>
      <c r="N131" s="7"/>
      <c r="O131" s="7"/>
      <c r="P131" s="7">
        <f t="shared" si="29"/>
        <v>38.499999999767169</v>
      </c>
      <c r="Q131" s="27"/>
      <c r="R131" s="27" t="s">
        <v>587</v>
      </c>
      <c r="S131" s="45">
        <f t="shared" si="32"/>
        <v>1</v>
      </c>
      <c r="T131" s="69" t="str">
        <f t="shared" si="33"/>
        <v>NorthBound</v>
      </c>
      <c r="U131" s="105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17:52:02-0600',mode:absolute,to:'2016-07-14 20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1" s="74" t="str">
        <f t="shared" si="35"/>
        <v>Y</v>
      </c>
      <c r="X131" s="100">
        <f t="shared" si="36"/>
        <v>1</v>
      </c>
      <c r="Y131" s="97">
        <f t="shared" si="37"/>
        <v>4.4200000000000003E-2</v>
      </c>
      <c r="Z131" s="97">
        <f t="shared" si="38"/>
        <v>15.441599999999999</v>
      </c>
      <c r="AA131" s="97">
        <f t="shared" si="39"/>
        <v>15.397399999999999</v>
      </c>
      <c r="AB131" s="94" t="e">
        <f>VLOOKUP(A131,Enforcements!$C$7:$J$23,8,0)</f>
        <v>#N/A</v>
      </c>
      <c r="AC131" s="90" t="e">
        <f>VLOOKUP(A131,Enforcements!$C$7:$E$23,3,0)</f>
        <v>#N/A</v>
      </c>
      <c r="AD131" s="91" t="str">
        <f t="shared" si="40"/>
        <v>0221-14</v>
      </c>
      <c r="AE13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1" s="75" t="str">
        <f t="shared" si="42"/>
        <v>"C:\Program Files (x86)\AstroGrep\AstroGrep.exe" /spath="C:\Users\stu\Documents\Analysis\2016-02-23 RTDC Observations" /stypes="*4020*20160715*" /stext=" 01:.+((prompt.+disp)|(slice.+state.+chan)|(ment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x14ac:dyDescent="0.25">
      <c r="A132" s="49" t="s">
        <v>462</v>
      </c>
      <c r="B132" s="7">
        <v>4019</v>
      </c>
      <c r="C132" s="26" t="s">
        <v>59</v>
      </c>
      <c r="D132" s="26" t="s">
        <v>204</v>
      </c>
      <c r="E132" s="16">
        <v>42565.826238425929</v>
      </c>
      <c r="F132" s="16">
        <v>42565.827037037037</v>
      </c>
      <c r="G132" s="7">
        <v>1</v>
      </c>
      <c r="H132" s="16" t="s">
        <v>235</v>
      </c>
      <c r="I132" s="16">
        <v>42565.859317129631</v>
      </c>
      <c r="J132" s="7">
        <v>0</v>
      </c>
      <c r="K132" s="26" t="str">
        <f t="shared" si="30"/>
        <v>4019/4020</v>
      </c>
      <c r="L132" s="26" t="str">
        <f>VLOOKUP(A132,'Trips&amp;Operators'!$C$1:$E$10000,3,FALSE)</f>
        <v>MAELZER</v>
      </c>
      <c r="M132" s="6">
        <f t="shared" si="31"/>
        <v>3.2280092593282461E-2</v>
      </c>
      <c r="N132" s="7">
        <f t="shared" si="29"/>
        <v>46.483333334326744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Southbound</v>
      </c>
      <c r="U132" s="105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18:49:47-0600',mode:absolute,to:'2016-07-14 21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2" s="74" t="str">
        <f t="shared" si="35"/>
        <v>N</v>
      </c>
      <c r="X132" s="100">
        <f t="shared" si="36"/>
        <v>1</v>
      </c>
      <c r="Y132" s="97">
        <f t="shared" si="37"/>
        <v>23.297499999999999</v>
      </c>
      <c r="Z132" s="97">
        <f t="shared" si="38"/>
        <v>1.41E-2</v>
      </c>
      <c r="AA132" s="97">
        <f t="shared" si="39"/>
        <v>23.2834</v>
      </c>
      <c r="AB132" s="94" t="e">
        <f>VLOOKUP(A132,Enforcements!$C$7:$J$23,8,0)</f>
        <v>#N/A</v>
      </c>
      <c r="AC132" s="90" t="e">
        <f>VLOOKUP(A132,Enforcements!$C$7:$E$23,3,0)</f>
        <v>#N/A</v>
      </c>
      <c r="AD132" s="91" t="str">
        <f t="shared" si="40"/>
        <v>0222-14</v>
      </c>
      <c r="AE13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32" s="75" t="str">
        <f t="shared" si="42"/>
        <v>"C:\Program Files (x86)\AstroGrep\AstroGrep.exe" /spath="C:\Users\stu\Documents\Analysis\2016-02-23 RTDC Observations" /stypes="*4019*20160715*" /stext=" 02:.+((prompt.+disp)|(slice.+state.+chan)|(ment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x14ac:dyDescent="0.25">
      <c r="A133" s="49" t="s">
        <v>463</v>
      </c>
      <c r="B133" s="7">
        <v>4042</v>
      </c>
      <c r="C133" s="26" t="s">
        <v>59</v>
      </c>
      <c r="D133" s="26" t="s">
        <v>223</v>
      </c>
      <c r="E133" s="16">
        <v>42565.80982638889</v>
      </c>
      <c r="F133" s="16">
        <v>42565.811527777776</v>
      </c>
      <c r="G133" s="7">
        <v>2</v>
      </c>
      <c r="H133" s="16" t="s">
        <v>255</v>
      </c>
      <c r="I133" s="16">
        <v>42565.837453703702</v>
      </c>
      <c r="J133" s="7">
        <v>0</v>
      </c>
      <c r="K133" s="26" t="str">
        <f t="shared" si="30"/>
        <v>4041/4042</v>
      </c>
      <c r="L133" s="26" t="str">
        <f>VLOOKUP(A133,'Trips&amp;Operators'!$C$1:$E$10000,3,FALSE)</f>
        <v>KILLION</v>
      </c>
      <c r="M133" s="6">
        <f t="shared" si="31"/>
        <v>2.5925925925548654E-2</v>
      </c>
      <c r="N133" s="7">
        <f t="shared" si="29"/>
        <v>37.333333332790062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NorthBound</v>
      </c>
      <c r="U133" s="105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18:26:09-0600',mode:absolute,to:'2016-07-14 21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3" s="74" t="str">
        <f t="shared" si="35"/>
        <v>N</v>
      </c>
      <c r="X133" s="100">
        <f t="shared" si="36"/>
        <v>1</v>
      </c>
      <c r="Y133" s="97">
        <f t="shared" si="37"/>
        <v>4.7699999999999999E-2</v>
      </c>
      <c r="Z133" s="97">
        <f t="shared" si="38"/>
        <v>23.328800000000001</v>
      </c>
      <c r="AA133" s="97">
        <f t="shared" si="39"/>
        <v>23.281100000000002</v>
      </c>
      <c r="AB133" s="94" t="e">
        <f>VLOOKUP(A133,Enforcements!$C$7:$J$23,8,0)</f>
        <v>#N/A</v>
      </c>
      <c r="AC133" s="90" t="e">
        <f>VLOOKUP(A133,Enforcements!$C$7:$E$23,3,0)</f>
        <v>#N/A</v>
      </c>
      <c r="AD133" s="91" t="str">
        <f t="shared" si="40"/>
        <v>0223-14</v>
      </c>
      <c r="AE133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33" s="75" t="str">
        <f t="shared" si="42"/>
        <v>"C:\Program Files (x86)\AstroGrep\AstroGrep.exe" /spath="C:\Users\stu\Documents\Analysis\2016-02-23 RTDC Observations" /stypes="*4042*20160715*" /stext=" 02:.+((prompt.+disp)|(slice.+state.+chan)|(ment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x14ac:dyDescent="0.25">
      <c r="A134" s="49" t="s">
        <v>464</v>
      </c>
      <c r="B134" s="7">
        <v>4041</v>
      </c>
      <c r="C134" s="26" t="s">
        <v>59</v>
      </c>
      <c r="D134" s="26" t="s">
        <v>264</v>
      </c>
      <c r="E134" s="16">
        <v>42565.844178240739</v>
      </c>
      <c r="F134" s="16">
        <v>42565.84511574074</v>
      </c>
      <c r="G134" s="7">
        <v>1</v>
      </c>
      <c r="H134" s="16" t="s">
        <v>71</v>
      </c>
      <c r="I134" s="16">
        <v>42565.878888888888</v>
      </c>
      <c r="J134" s="7">
        <v>2</v>
      </c>
      <c r="K134" s="26" t="str">
        <f t="shared" si="30"/>
        <v>4041/4042</v>
      </c>
      <c r="L134" s="26" t="str">
        <f>VLOOKUP(A134,'Trips&amp;Operators'!$C$1:$E$10000,3,FALSE)</f>
        <v>KILLION</v>
      </c>
      <c r="M134" s="6">
        <f t="shared" si="31"/>
        <v>3.3773148148611654E-2</v>
      </c>
      <c r="N134" s="7">
        <f t="shared" si="29"/>
        <v>48.633333334000781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Southbound</v>
      </c>
      <c r="U134" s="105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4" s="74" t="str">
        <f t="shared" si="35"/>
        <v>N</v>
      </c>
      <c r="X134" s="100">
        <f t="shared" si="36"/>
        <v>1</v>
      </c>
      <c r="Y134" s="97">
        <f t="shared" si="37"/>
        <v>23.2971</v>
      </c>
      <c r="Z134" s="97">
        <f t="shared" si="38"/>
        <v>1.49E-2</v>
      </c>
      <c r="AA134" s="97">
        <f t="shared" si="39"/>
        <v>23.2822</v>
      </c>
      <c r="AB134" s="94">
        <f>VLOOKUP(A134,Enforcements!$C$7:$J$23,8,0)</f>
        <v>30562</v>
      </c>
      <c r="AC134" s="90" t="str">
        <f>VLOOKUP(A134,Enforcements!$C$7:$E$23,3,0)</f>
        <v>PERMANENT SPEED RESTRICTION</v>
      </c>
      <c r="AD134" s="91" t="str">
        <f t="shared" si="40"/>
        <v>0224-14</v>
      </c>
      <c r="AE134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34" s="75" t="str">
        <f t="shared" si="42"/>
        <v>"C:\Program Files (x86)\AstroGrep\AstroGrep.exe" /spath="C:\Users\stu\Documents\Analysis\2016-02-23 RTDC Observations" /stypes="*4041*20160715*" /stext=" 03:.+((prompt.+disp)|(slice.+state.+chan)|(ment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x14ac:dyDescent="0.25">
      <c r="A135" s="49" t="s">
        <v>465</v>
      </c>
      <c r="B135" s="7">
        <v>4040</v>
      </c>
      <c r="C135" s="26" t="s">
        <v>59</v>
      </c>
      <c r="D135" s="26" t="s">
        <v>184</v>
      </c>
      <c r="E135" s="16">
        <v>42565.831666666665</v>
      </c>
      <c r="F135" s="16">
        <v>42565.832569444443</v>
      </c>
      <c r="G135" s="7">
        <v>1</v>
      </c>
      <c r="H135" s="16" t="s">
        <v>466</v>
      </c>
      <c r="I135" s="16">
        <v>42565.858148148145</v>
      </c>
      <c r="J135" s="7">
        <v>0</v>
      </c>
      <c r="K135" s="26" t="str">
        <f t="shared" si="30"/>
        <v>4039/4040</v>
      </c>
      <c r="L135" s="26" t="str">
        <f>VLOOKUP(A135,'Trips&amp;Operators'!$C$1:$E$10000,3,FALSE)</f>
        <v>LEVIN</v>
      </c>
      <c r="M135" s="6">
        <f t="shared" si="31"/>
        <v>2.5578703702194616E-2</v>
      </c>
      <c r="N135" s="7">
        <f t="shared" si="29"/>
        <v>36.833333331160247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NorthBound</v>
      </c>
      <c r="U135" s="105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18:57:36-0600',mode:absolute,to:'2016-07-14 21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4" t="str">
        <f t="shared" si="35"/>
        <v>N</v>
      </c>
      <c r="X135" s="100">
        <f t="shared" si="36"/>
        <v>1</v>
      </c>
      <c r="Y135" s="97">
        <f t="shared" si="37"/>
        <v>4.6899999999999997E-2</v>
      </c>
      <c r="Z135" s="97">
        <f t="shared" si="38"/>
        <v>23.328600000000002</v>
      </c>
      <c r="AA135" s="97">
        <f t="shared" si="39"/>
        <v>23.281700000000001</v>
      </c>
      <c r="AB135" s="94" t="e">
        <f>VLOOKUP(A135,Enforcements!$C$7:$J$23,8,0)</f>
        <v>#N/A</v>
      </c>
      <c r="AC135" s="90" t="e">
        <f>VLOOKUP(A135,Enforcements!$C$7:$E$23,3,0)</f>
        <v>#N/A</v>
      </c>
      <c r="AD135" s="91" t="str">
        <f t="shared" si="40"/>
        <v>0225-14</v>
      </c>
      <c r="AE135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35" s="75" t="str">
        <f t="shared" si="42"/>
        <v>"C:\Program Files (x86)\AstroGrep\AstroGrep.exe" /spath="C:\Users\stu\Documents\Analysis\2016-02-23 RTDC Observations" /stypes="*4040*20160715*"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x14ac:dyDescent="0.25">
      <c r="A136" s="49" t="s">
        <v>467</v>
      </c>
      <c r="B136" s="7">
        <v>4039</v>
      </c>
      <c r="C136" s="26" t="s">
        <v>59</v>
      </c>
      <c r="D136" s="26" t="s">
        <v>468</v>
      </c>
      <c r="E136" s="16">
        <v>42565.863310185188</v>
      </c>
      <c r="F136" s="16">
        <v>42565.864016203705</v>
      </c>
      <c r="G136" s="7">
        <v>1</v>
      </c>
      <c r="H136" s="16" t="s">
        <v>61</v>
      </c>
      <c r="I136" s="16">
        <v>42565.898252314815</v>
      </c>
      <c r="J136" s="7">
        <v>0</v>
      </c>
      <c r="K136" s="26" t="str">
        <f t="shared" si="30"/>
        <v>4039/4040</v>
      </c>
      <c r="L136" s="26" t="str">
        <f>VLOOKUP(A136,'Trips&amp;Operators'!$C$1:$E$10000,3,FALSE)</f>
        <v>LEVIN</v>
      </c>
      <c r="M136" s="6">
        <f t="shared" si="31"/>
        <v>3.4236111110658385E-2</v>
      </c>
      <c r="N136" s="7">
        <f t="shared" si="29"/>
        <v>49.299999999348074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Southbound</v>
      </c>
      <c r="U136" s="105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19:43:10-0600',mode:absolute,to:'2016-07-14 22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4" t="str">
        <f t="shared" si="35"/>
        <v>N</v>
      </c>
      <c r="X136" s="100">
        <f t="shared" si="36"/>
        <v>1</v>
      </c>
      <c r="Y136" s="97">
        <f t="shared" si="37"/>
        <v>23.2957</v>
      </c>
      <c r="Z136" s="97">
        <f t="shared" si="38"/>
        <v>1.52E-2</v>
      </c>
      <c r="AA136" s="97">
        <f t="shared" si="39"/>
        <v>23.2805</v>
      </c>
      <c r="AB136" s="94" t="e">
        <f>VLOOKUP(A136,Enforcements!$C$7:$J$23,8,0)</f>
        <v>#N/A</v>
      </c>
      <c r="AC136" s="90" t="e">
        <f>VLOOKUP(A136,Enforcements!$C$7:$E$23,3,0)</f>
        <v>#N/A</v>
      </c>
      <c r="AD136" s="91" t="str">
        <f t="shared" si="40"/>
        <v>0226-14</v>
      </c>
      <c r="AE136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36" s="75" t="str">
        <f t="shared" si="42"/>
        <v>"C:\Program Files (x86)\AstroGrep\AstroGrep.exe" /spath="C:\Users\stu\Documents\Analysis\2016-02-23 RTDC Observations" /stypes="*4039*20160715*"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x14ac:dyDescent="0.25">
      <c r="A137" s="49" t="s">
        <v>469</v>
      </c>
      <c r="B137" s="7">
        <v>4025</v>
      </c>
      <c r="C137" s="26" t="s">
        <v>59</v>
      </c>
      <c r="D137" s="26" t="s">
        <v>254</v>
      </c>
      <c r="E137" s="16">
        <v>42565.847604166665</v>
      </c>
      <c r="F137" s="16">
        <v>42565.848738425928</v>
      </c>
      <c r="G137" s="7">
        <v>1</v>
      </c>
      <c r="H137" s="16" t="s">
        <v>342</v>
      </c>
      <c r="I137" s="16">
        <v>42565.879664351851</v>
      </c>
      <c r="J137" s="7">
        <v>0</v>
      </c>
      <c r="K137" s="26" t="str">
        <f t="shared" si="30"/>
        <v>4025/4026</v>
      </c>
      <c r="L137" s="26" t="str">
        <f>VLOOKUP(A137,'Trips&amp;Operators'!$C$1:$E$10000,3,FALSE)</f>
        <v>STURGEON</v>
      </c>
      <c r="M137" s="6">
        <f t="shared" si="31"/>
        <v>3.0925925922929309E-2</v>
      </c>
      <c r="N137" s="7">
        <f t="shared" si="29"/>
        <v>44.533333329018205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NorthBound</v>
      </c>
      <c r="U137" s="105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19:20:33-0600',mode:absolute,to:'2016-07-14 22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4" t="str">
        <f t="shared" si="35"/>
        <v>N</v>
      </c>
      <c r="X137" s="100">
        <f t="shared" si="36"/>
        <v>1</v>
      </c>
      <c r="Y137" s="97">
        <f t="shared" si="37"/>
        <v>4.8599999999999997E-2</v>
      </c>
      <c r="Z137" s="97">
        <f t="shared" si="38"/>
        <v>23.3264</v>
      </c>
      <c r="AA137" s="97">
        <f t="shared" si="39"/>
        <v>23.277799999999999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 t="shared" si="40"/>
        <v>0227-14</v>
      </c>
      <c r="AE137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37" s="75" t="str">
        <f t="shared" si="42"/>
        <v>"C:\Program Files (x86)\AstroGrep\AstroGrep.exe" /spath="C:\Users\stu\Documents\Analysis\2016-02-23 RTDC Observations" /stypes="*4025*20160715*" /stext=" 03:.+((prompt.+disp)|(slice.+state.+chan)|(ment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x14ac:dyDescent="0.25">
      <c r="A138" s="49" t="s">
        <v>470</v>
      </c>
      <c r="B138" s="7">
        <v>4026</v>
      </c>
      <c r="C138" s="26" t="s">
        <v>59</v>
      </c>
      <c r="D138" s="26" t="s">
        <v>261</v>
      </c>
      <c r="E138" s="16">
        <v>42565.885983796295</v>
      </c>
      <c r="F138" s="16">
        <v>42565.887083333335</v>
      </c>
      <c r="G138" s="7">
        <v>1</v>
      </c>
      <c r="H138" s="16" t="s">
        <v>220</v>
      </c>
      <c r="I138" s="16">
        <v>42565.919421296298</v>
      </c>
      <c r="J138" s="7">
        <v>0</v>
      </c>
      <c r="K138" s="26" t="str">
        <f t="shared" si="30"/>
        <v>4025/4026</v>
      </c>
      <c r="L138" s="26" t="str">
        <f>VLOOKUP(A138,'Trips&amp;Operators'!$C$1:$E$10000,3,FALSE)</f>
        <v>STURGEON</v>
      </c>
      <c r="M138" s="6">
        <f t="shared" si="31"/>
        <v>3.2337962962628808E-2</v>
      </c>
      <c r="N138" s="7">
        <f t="shared" si="29"/>
        <v>46.566666666185483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Southbound</v>
      </c>
      <c r="U138" s="105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20:15:49-0600',mode:absolute,to:'2016-07-14 23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4" t="str">
        <f t="shared" si="35"/>
        <v>N</v>
      </c>
      <c r="X138" s="100">
        <f t="shared" si="36"/>
        <v>1</v>
      </c>
      <c r="Y138" s="97">
        <f t="shared" si="37"/>
        <v>23.296500000000002</v>
      </c>
      <c r="Z138" s="97">
        <f t="shared" si="38"/>
        <v>1.6299999999999999E-2</v>
      </c>
      <c r="AA138" s="97">
        <f t="shared" si="39"/>
        <v>23.280200000000001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 t="shared" si="40"/>
        <v>0228-14</v>
      </c>
      <c r="AE138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8" s="75" t="str">
        <f t="shared" si="42"/>
        <v>"C:\Program Files (x86)\AstroGrep\AstroGrep.exe" /spath="C:\Users\stu\Documents\Analysis\2016-02-23 RTDC Observations" /stypes="*4026*20160715*" /stext=" 04:.+((prompt.+disp)|(slice.+state.+chan)|(ment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x14ac:dyDescent="0.25">
      <c r="A139" s="49" t="s">
        <v>471</v>
      </c>
      <c r="B139" s="7">
        <v>4020</v>
      </c>
      <c r="C139" s="26" t="s">
        <v>59</v>
      </c>
      <c r="D139" s="26" t="s">
        <v>175</v>
      </c>
      <c r="E139" s="16">
        <v>42565.863703703704</v>
      </c>
      <c r="F139" s="16">
        <v>42565.864849537036</v>
      </c>
      <c r="G139" s="7">
        <v>1</v>
      </c>
      <c r="H139" s="16" t="s">
        <v>182</v>
      </c>
      <c r="I139" s="16">
        <v>42565.900636574072</v>
      </c>
      <c r="J139" s="7">
        <v>0</v>
      </c>
      <c r="K139" s="26" t="str">
        <f t="shared" si="30"/>
        <v>4019/4020</v>
      </c>
      <c r="L139" s="26" t="str">
        <f>VLOOKUP(A139,'Trips&amp;Operators'!$C$1:$E$10000,3,FALSE)</f>
        <v>MAELZER</v>
      </c>
      <c r="M139" s="6">
        <f t="shared" si="31"/>
        <v>3.5787037035333924E-2</v>
      </c>
      <c r="N139" s="7">
        <f t="shared" si="29"/>
        <v>51.533333330880851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NorthBound</v>
      </c>
      <c r="U139" s="105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19:43:44-0600',mode:absolute,to:'2016-07-14 22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9" s="74" t="str">
        <f t="shared" si="35"/>
        <v>N</v>
      </c>
      <c r="X139" s="100">
        <f t="shared" si="36"/>
        <v>1</v>
      </c>
      <c r="Y139" s="97">
        <f t="shared" si="37"/>
        <v>4.53E-2</v>
      </c>
      <c r="Z139" s="97">
        <f t="shared" si="38"/>
        <v>23.3276</v>
      </c>
      <c r="AA139" s="97">
        <f t="shared" si="39"/>
        <v>23.282299999999999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 t="shared" si="40"/>
        <v>0229-14</v>
      </c>
      <c r="AE139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9" s="75" t="str">
        <f t="shared" si="42"/>
        <v>"C:\Program Files (x86)\AstroGrep\AstroGrep.exe" /spath="C:\Users\stu\Documents\Analysis\2016-02-23 RTDC Observations" /stypes="*4020*20160715*"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x14ac:dyDescent="0.25">
      <c r="A140" s="49" t="s">
        <v>472</v>
      </c>
      <c r="B140" s="7">
        <v>4019</v>
      </c>
      <c r="C140" s="26" t="s">
        <v>59</v>
      </c>
      <c r="D140" s="26" t="s">
        <v>68</v>
      </c>
      <c r="E140" s="16">
        <v>42565.908993055556</v>
      </c>
      <c r="F140" s="16">
        <v>42565.909918981481</v>
      </c>
      <c r="G140" s="7">
        <v>1</v>
      </c>
      <c r="H140" s="16" t="s">
        <v>82</v>
      </c>
      <c r="I140" s="16">
        <v>42565.94017361111</v>
      </c>
      <c r="J140" s="7">
        <v>0</v>
      </c>
      <c r="K140" s="26" t="str">
        <f t="shared" si="30"/>
        <v>4019/4020</v>
      </c>
      <c r="L140" s="26" t="str">
        <f>VLOOKUP(A140,'Trips&amp;Operators'!$C$1:$E$10000,3,FALSE)</f>
        <v>MAELZER</v>
      </c>
      <c r="M140" s="6">
        <f t="shared" si="31"/>
        <v>3.0254629629780538E-2</v>
      </c>
      <c r="N140" s="7">
        <f t="shared" ref="N140:N154" si="44">24*60*SUM($M140:$M140)</f>
        <v>43.566666666883975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Southbound</v>
      </c>
      <c r="U140" s="105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20:48:57-0600',mode:absolute,to:'2016-07-14 23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0" s="74" t="str">
        <f t="shared" si="35"/>
        <v>N</v>
      </c>
      <c r="X140" s="100">
        <f t="shared" si="36"/>
        <v>1</v>
      </c>
      <c r="Y140" s="97">
        <f t="shared" si="37"/>
        <v>23.297699999999999</v>
      </c>
      <c r="Z140" s="97">
        <f t="shared" si="38"/>
        <v>1.5800000000000002E-2</v>
      </c>
      <c r="AA140" s="97">
        <f t="shared" si="39"/>
        <v>23.2819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 t="shared" si="40"/>
        <v>0230-14</v>
      </c>
      <c r="AE140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0" s="75" t="str">
        <f t="shared" si="42"/>
        <v>"C:\Program Files (x86)\AstroGrep\AstroGrep.exe" /spath="C:\Users\stu\Documents\Analysis\2016-02-23 RTDC Observations" /stypes="*4019*20160715*"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x14ac:dyDescent="0.25">
      <c r="A141" s="49" t="s">
        <v>473</v>
      </c>
      <c r="B141" s="7">
        <v>4042</v>
      </c>
      <c r="C141" s="26" t="s">
        <v>59</v>
      </c>
      <c r="D141" s="26" t="s">
        <v>474</v>
      </c>
      <c r="E141" s="16">
        <v>42565.894456018519</v>
      </c>
      <c r="F141" s="16">
        <v>42565.895694444444</v>
      </c>
      <c r="G141" s="7">
        <v>1</v>
      </c>
      <c r="H141" s="16" t="s">
        <v>221</v>
      </c>
      <c r="I141" s="16">
        <v>42565.921782407408</v>
      </c>
      <c r="J141" s="7">
        <v>1</v>
      </c>
      <c r="K141" s="26" t="str">
        <f t="shared" si="30"/>
        <v>4041/4042</v>
      </c>
      <c r="L141" s="26" t="str">
        <f>VLOOKUP(A141,'Trips&amp;Operators'!$C$1:$E$10000,3,FALSE)</f>
        <v>MOSES</v>
      </c>
      <c r="M141" s="6">
        <f t="shared" si="31"/>
        <v>2.6087962964083999E-2</v>
      </c>
      <c r="N141" s="7">
        <f t="shared" si="44"/>
        <v>37.566666668280959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NorthBound</v>
      </c>
      <c r="U141" s="105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74" t="str">
        <f t="shared" si="35"/>
        <v>N</v>
      </c>
      <c r="X141" s="100">
        <f t="shared" si="36"/>
        <v>1</v>
      </c>
      <c r="Y141" s="97">
        <f t="shared" si="37"/>
        <v>5.0200000000000002E-2</v>
      </c>
      <c r="Z141" s="97">
        <f t="shared" si="38"/>
        <v>23.328399999999998</v>
      </c>
      <c r="AA141" s="97">
        <f t="shared" si="39"/>
        <v>23.278199999999998</v>
      </c>
      <c r="AB141" s="94">
        <f>VLOOKUP(A141,Enforcements!$C$7:$J$23,8,0)</f>
        <v>232080</v>
      </c>
      <c r="AC141" s="90" t="str">
        <f>VLOOKUP(A141,Enforcements!$C$7:$E$23,3,0)</f>
        <v>PERMANENT SPEED RESTRICTION</v>
      </c>
      <c r="AD141" s="91" t="str">
        <f t="shared" si="40"/>
        <v>0231-14</v>
      </c>
      <c r="AE141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1" s="75" t="str">
        <f t="shared" si="42"/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x14ac:dyDescent="0.25">
      <c r="A142" s="49" t="s">
        <v>475</v>
      </c>
      <c r="B142" s="7">
        <v>4041</v>
      </c>
      <c r="C142" s="26" t="s">
        <v>59</v>
      </c>
      <c r="D142" s="26" t="s">
        <v>239</v>
      </c>
      <c r="E142" s="16">
        <v>42565.932222222225</v>
      </c>
      <c r="F142" s="16">
        <v>42565.933761574073</v>
      </c>
      <c r="G142" s="7">
        <v>2</v>
      </c>
      <c r="H142" s="16" t="s">
        <v>193</v>
      </c>
      <c r="I142" s="16">
        <v>42565.963819444441</v>
      </c>
      <c r="J142" s="7">
        <v>0</v>
      </c>
      <c r="K142" s="26" t="str">
        <f t="shared" ref="K142:K154" si="45">IF(ISEVEN(B142),(B142-1)&amp;"/"&amp;B142,B142&amp;"/"&amp;(B142+1))</f>
        <v>4041/4042</v>
      </c>
      <c r="L142" s="26" t="str">
        <f>VLOOKUP(A142,'Trips&amp;Operators'!$C$1:$E$10000,3,FALSE)</f>
        <v>MOSES</v>
      </c>
      <c r="M142" s="6">
        <f t="shared" ref="M142:M154" si="46">I142-F142</f>
        <v>3.0057870368182193E-2</v>
      </c>
      <c r="N142" s="7">
        <f t="shared" si="44"/>
        <v>43.283333330182359</v>
      </c>
      <c r="O142" s="7"/>
      <c r="P142" s="7"/>
      <c r="Q142" s="27"/>
      <c r="R142" s="27"/>
      <c r="S142" s="45">
        <f t="shared" ref="S142:S154" si="47">SUM(U142:U142)/12</f>
        <v>1</v>
      </c>
      <c r="T142" s="69" t="str">
        <f t="shared" ref="T142:T154" si="48">IF(ISEVEN(LEFT(A142,3)),"Southbound","NorthBound")</f>
        <v>Southbound</v>
      </c>
      <c r="U142" s="105">
        <f>COUNTIFS(Variables!$M$2:$M$19,IF(T142="NorthBound","&gt;=","&lt;=")&amp;Y142,Variables!$M$2:$M$19,IF(T142="NorthBound","&lt;=","&gt;=")&amp;Z142)</f>
        <v>12</v>
      </c>
      <c r="V142" s="74" t="str">
        <f t="shared" ref="V142:V154" si="49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https://search-rtdc-monitor-bjffxe2xuh6vdkpspy63sjmuny.us-east-1.es.amazonaws.com/_plugin/kibana/#/discover/Steve-Slow-Train-Analysis-(2080s-and-2083s)?_g=(refreshInterval:(display:Off,section:0,value:0),time:(from:'2016-07-14 21:22:24-0600',mode:absolute,to:'2016-07-15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74" t="str">
        <f t="shared" ref="W142:W154" si="50">IF(AA142&lt;23,"Y","N")</f>
        <v>N</v>
      </c>
      <c r="X142" s="100">
        <f t="shared" ref="X142:X154" si="51">VALUE(LEFT(A142,3))-VALUE(LEFT(A141,3))</f>
        <v>1</v>
      </c>
      <c r="Y142" s="97">
        <f t="shared" ref="Y142:Y154" si="52">RIGHT(D142,LEN(D142)-4)/10000</f>
        <v>23.296099999999999</v>
      </c>
      <c r="Z142" s="97">
        <f t="shared" ref="Z142:Z154" si="53">RIGHT(H142,LEN(H142)-4)/10000</f>
        <v>1.3899999999999999E-2</v>
      </c>
      <c r="AA142" s="97">
        <f t="shared" ref="AA142:AA154" si="54">ABS(Z142-Y142)</f>
        <v>23.2822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 t="shared" ref="AD142:AD154" si="55">IF(LEN(A142)=6,"0"&amp;A142,A142)</f>
        <v>0232-14</v>
      </c>
      <c r="AE142" s="75" t="str">
        <f t="shared" ref="AE142:AE154" si="56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42" s="75" t="str">
        <f t="shared" ref="AF142:AF154" si="57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/stypes="*4041*20160715*" /stext=" 05:.+((prompt.+disp)|(slice.+state.+chan)|(ment ac)|(system.+state.+chan)|(\|lc)|(penalty)|(\[timeout))" /e /r /s</v>
      </c>
      <c r="AG142" s="1" t="str">
        <f t="shared" ref="AG142:AG154" si="58">IF(VALUE(LEFT(A142,3))&lt;300,"EC","NWGL")</f>
        <v>EC</v>
      </c>
    </row>
    <row r="143" spans="1:33" s="25" customFormat="1" x14ac:dyDescent="0.25">
      <c r="A143" s="49" t="s">
        <v>476</v>
      </c>
      <c r="B143" s="7">
        <v>4040</v>
      </c>
      <c r="C143" s="26" t="s">
        <v>59</v>
      </c>
      <c r="D143" s="26" t="s">
        <v>70</v>
      </c>
      <c r="E143" s="16">
        <v>42565.910983796297</v>
      </c>
      <c r="F143" s="16">
        <v>42565.911944444444</v>
      </c>
      <c r="G143" s="7">
        <v>1</v>
      </c>
      <c r="H143" s="16" t="s">
        <v>191</v>
      </c>
      <c r="I143" s="16">
        <v>42565.94226851852</v>
      </c>
      <c r="J143" s="7">
        <v>0</v>
      </c>
      <c r="K143" s="26" t="str">
        <f t="shared" si="45"/>
        <v>4039/4040</v>
      </c>
      <c r="L143" s="26" t="str">
        <f>VLOOKUP(A143,'Trips&amp;Operators'!$C$1:$E$10000,3,FALSE)</f>
        <v>LEVIN</v>
      </c>
      <c r="M143" s="6">
        <f t="shared" si="46"/>
        <v>3.0324074075906537E-2</v>
      </c>
      <c r="N143" s="7">
        <f t="shared" si="44"/>
        <v>43.666666669305414</v>
      </c>
      <c r="O143" s="7"/>
      <c r="P143" s="7"/>
      <c r="Q143" s="27"/>
      <c r="R143" s="27"/>
      <c r="S143" s="45">
        <f t="shared" si="47"/>
        <v>1</v>
      </c>
      <c r="T143" s="69" t="str">
        <f t="shared" si="48"/>
        <v>NorthBound</v>
      </c>
      <c r="U143" s="105">
        <f>COUNTIFS(Variables!$M$2:$M$19,IF(T143="NorthBound","&gt;=","&lt;=")&amp;Y143,Variables!$M$2:$M$19,IF(T143="NorthBound","&lt;=","&gt;=")&amp;Z143)</f>
        <v>12</v>
      </c>
      <c r="V14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20:51:49-0600',mode:absolute,to:'2016-07-14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4" t="str">
        <f t="shared" si="50"/>
        <v>N</v>
      </c>
      <c r="X143" s="100">
        <f t="shared" si="51"/>
        <v>1</v>
      </c>
      <c r="Y143" s="97">
        <f t="shared" si="52"/>
        <v>4.5699999999999998E-2</v>
      </c>
      <c r="Z143" s="97">
        <f t="shared" si="53"/>
        <v>23.329499999999999</v>
      </c>
      <c r="AA143" s="97">
        <f t="shared" si="54"/>
        <v>23.283799999999999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 t="shared" si="55"/>
        <v>0233-14</v>
      </c>
      <c r="AE143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43" s="75" t="str">
        <f t="shared" si="57"/>
        <v>"C:\Program Files (x86)\AstroGrep\AstroGrep.exe" /spath="C:\Users\stu\Documents\Analysis\2016-02-23 RTDC Observations" /stypes="*4040*20160715*" /stext=" 04:.+((prompt.+disp)|(slice.+state.+chan)|(ment ac)|(system.+state.+chan)|(\|lc)|(penalty)|(\[timeout))" /e /r /s</v>
      </c>
      <c r="AG143" s="1" t="str">
        <f t="shared" si="58"/>
        <v>EC</v>
      </c>
    </row>
    <row r="144" spans="1:33" s="25" customFormat="1" x14ac:dyDescent="0.25">
      <c r="A144" s="49" t="s">
        <v>477</v>
      </c>
      <c r="B144" s="7">
        <v>4039</v>
      </c>
      <c r="C144" s="26" t="s">
        <v>59</v>
      </c>
      <c r="D144" s="26" t="s">
        <v>264</v>
      </c>
      <c r="E144" s="16">
        <v>42565.949583333335</v>
      </c>
      <c r="F144" s="16">
        <v>42565.950937499998</v>
      </c>
      <c r="G144" s="7">
        <v>1</v>
      </c>
      <c r="H144" s="16" t="s">
        <v>235</v>
      </c>
      <c r="I144" s="16">
        <v>42565.981678240743</v>
      </c>
      <c r="J144" s="7">
        <v>0</v>
      </c>
      <c r="K144" s="26" t="str">
        <f t="shared" si="45"/>
        <v>4039/4040</v>
      </c>
      <c r="L144" s="26" t="str">
        <f>VLOOKUP(A144,'Trips&amp;Operators'!$C$1:$E$10000,3,FALSE)</f>
        <v>LEVIN</v>
      </c>
      <c r="M144" s="6">
        <f t="shared" si="46"/>
        <v>3.0740740745386574E-2</v>
      </c>
      <c r="N144" s="7">
        <f t="shared" si="44"/>
        <v>44.266666673356667</v>
      </c>
      <c r="O144" s="7"/>
      <c r="P144" s="7"/>
      <c r="Q144" s="27"/>
      <c r="R144" s="27"/>
      <c r="S144" s="45">
        <f t="shared" si="47"/>
        <v>1</v>
      </c>
      <c r="T144" s="69" t="str">
        <f t="shared" si="48"/>
        <v>Southbound</v>
      </c>
      <c r="U144" s="105">
        <f>COUNTIFS(Variables!$M$2:$M$19,IF(T144="NorthBound","&gt;=","&lt;=")&amp;Y144,Variables!$M$2:$M$19,IF(T144="NorthBound","&lt;=","&gt;=")&amp;Z144)</f>
        <v>12</v>
      </c>
      <c r="V14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21:47:24-0600',mode:absolute,to:'2016-07-15 00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4" t="str">
        <f t="shared" si="50"/>
        <v>N</v>
      </c>
      <c r="X144" s="100">
        <f t="shared" si="51"/>
        <v>1</v>
      </c>
      <c r="Y144" s="97">
        <f t="shared" si="52"/>
        <v>23.2971</v>
      </c>
      <c r="Z144" s="97">
        <f t="shared" si="53"/>
        <v>1.41E-2</v>
      </c>
      <c r="AA144" s="97">
        <f t="shared" si="54"/>
        <v>23.283000000000001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 t="shared" si="55"/>
        <v>0234-14</v>
      </c>
      <c r="AE144" s="75" t="str">
        <f t="shared" si="5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44" s="75" t="str">
        <f t="shared" si="57"/>
        <v>"C:\Program Files (x86)\AstroGrep\AstroGrep.exe" /spath="C:\Users\stu\Documents\Analysis\2016-02-23 RTDC Observations" /stypes="*4039*20160715*" /stext=" 05:.+((prompt.+disp)|(slice.+state.+chan)|(ment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x14ac:dyDescent="0.25">
      <c r="A145" s="49" t="s">
        <v>478</v>
      </c>
      <c r="B145" s="7">
        <v>4025</v>
      </c>
      <c r="C145" s="26" t="s">
        <v>59</v>
      </c>
      <c r="D145" s="26" t="s">
        <v>184</v>
      </c>
      <c r="E145" s="16">
        <v>42565.929178240738</v>
      </c>
      <c r="F145" s="16">
        <v>42565.930150462962</v>
      </c>
      <c r="G145" s="7">
        <v>1</v>
      </c>
      <c r="H145" s="16" t="s">
        <v>400</v>
      </c>
      <c r="I145" s="16">
        <v>42565.962835648148</v>
      </c>
      <c r="J145" s="7">
        <v>0</v>
      </c>
      <c r="K145" s="26" t="str">
        <f t="shared" si="45"/>
        <v>4025/4026</v>
      </c>
      <c r="L145" s="26" t="str">
        <f>VLOOKUP(A145,'Trips&amp;Operators'!$C$1:$E$10000,3,FALSE)</f>
        <v>STURGEON</v>
      </c>
      <c r="M145" s="6">
        <f t="shared" si="46"/>
        <v>3.2685185185982846E-2</v>
      </c>
      <c r="N145" s="7">
        <f t="shared" si="44"/>
        <v>47.066666667815298</v>
      </c>
      <c r="O145" s="7"/>
      <c r="P145" s="7"/>
      <c r="Q145" s="27"/>
      <c r="R145" s="27"/>
      <c r="S145" s="45">
        <f t="shared" si="47"/>
        <v>1</v>
      </c>
      <c r="T145" s="69" t="str">
        <f t="shared" si="48"/>
        <v>NorthBound</v>
      </c>
      <c r="U145" s="105">
        <f>COUNTIFS(Variables!$M$2:$M$19,IF(T145="NorthBound","&gt;=","&lt;=")&amp;Y145,Variables!$M$2:$M$19,IF(T145="NorthBound","&lt;=","&gt;=")&amp;Z145)</f>
        <v>12</v>
      </c>
      <c r="V14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4" t="str">
        <f t="shared" si="50"/>
        <v>N</v>
      </c>
      <c r="X145" s="100">
        <f t="shared" si="51"/>
        <v>1</v>
      </c>
      <c r="Y145" s="97">
        <f t="shared" si="52"/>
        <v>4.6899999999999997E-2</v>
      </c>
      <c r="Z145" s="97">
        <f t="shared" si="53"/>
        <v>23.327999999999999</v>
      </c>
      <c r="AA145" s="97">
        <f t="shared" si="54"/>
        <v>23.281099999999999</v>
      </c>
      <c r="AB145" s="94" t="e">
        <f>VLOOKUP(A145,Enforcements!$C$7:$J$23,8,0)</f>
        <v>#N/A</v>
      </c>
      <c r="AC145" s="90" t="e">
        <f>VLOOKUP(A145,Enforcements!$C$7:$E$23,3,0)</f>
        <v>#N/A</v>
      </c>
      <c r="AD145" s="91" t="str">
        <f t="shared" si="55"/>
        <v>0235-14</v>
      </c>
      <c r="AE145" s="75" t="str">
        <f t="shared" si="5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45" s="75" t="str">
        <f t="shared" si="57"/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x14ac:dyDescent="0.25">
      <c r="A146" s="49" t="s">
        <v>479</v>
      </c>
      <c r="B146" s="7">
        <v>4026</v>
      </c>
      <c r="C146" s="26" t="s">
        <v>59</v>
      </c>
      <c r="D146" s="26" t="s">
        <v>239</v>
      </c>
      <c r="E146" s="16">
        <v>42565.96733796296</v>
      </c>
      <c r="F146" s="16">
        <v>42565.971516203703</v>
      </c>
      <c r="G146" s="7">
        <v>6</v>
      </c>
      <c r="H146" s="16" t="s">
        <v>126</v>
      </c>
      <c r="I146" s="16">
        <v>42566.003912037035</v>
      </c>
      <c r="J146" s="7">
        <v>0</v>
      </c>
      <c r="K146" s="26" t="str">
        <f t="shared" si="45"/>
        <v>4025/4026</v>
      </c>
      <c r="L146" s="26" t="str">
        <f>VLOOKUP(A146,'Trips&amp;Operators'!$C$1:$E$10000,3,FALSE)</f>
        <v>STURGEON</v>
      </c>
      <c r="M146" s="6">
        <f t="shared" si="46"/>
        <v>3.2395833331975155E-2</v>
      </c>
      <c r="N146" s="7">
        <f t="shared" si="44"/>
        <v>46.649999998044223</v>
      </c>
      <c r="O146" s="7"/>
      <c r="P146" s="7"/>
      <c r="Q146" s="27"/>
      <c r="R146" s="27"/>
      <c r="S146" s="45">
        <f t="shared" si="47"/>
        <v>1</v>
      </c>
      <c r="T146" s="69" t="str">
        <f t="shared" si="48"/>
        <v>Southbound</v>
      </c>
      <c r="U146" s="105">
        <f>COUNTIFS(Variables!$M$2:$M$19,IF(T146="NorthBound","&gt;=","&lt;=")&amp;Y146,Variables!$M$2:$M$19,IF(T146="NorthBound","&lt;=","&gt;=")&amp;Z146)</f>
        <v>12</v>
      </c>
      <c r="V14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22:12:58-0600',mode:absolute,to:'2016-07-15 01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4" t="str">
        <f t="shared" si="50"/>
        <v>N</v>
      </c>
      <c r="X146" s="100">
        <f t="shared" si="51"/>
        <v>1</v>
      </c>
      <c r="Y146" s="97">
        <f t="shared" si="52"/>
        <v>23.296099999999999</v>
      </c>
      <c r="Z146" s="97">
        <f t="shared" si="53"/>
        <v>1.5599999999999999E-2</v>
      </c>
      <c r="AA146" s="97">
        <f t="shared" si="54"/>
        <v>23.2805</v>
      </c>
      <c r="AB146" s="94" t="e">
        <f>VLOOKUP(A146,Enforcements!$C$7:$J$23,8,0)</f>
        <v>#N/A</v>
      </c>
      <c r="AC146" s="90" t="e">
        <f>VLOOKUP(A146,Enforcements!$C$7:$E$23,3,0)</f>
        <v>#N/A</v>
      </c>
      <c r="AD146" s="91" t="str">
        <f t="shared" si="55"/>
        <v>0236-14</v>
      </c>
      <c r="AE146" s="75" t="str">
        <f t="shared" si="5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46" s="75" t="str">
        <f t="shared" si="57"/>
        <v>"C:\Program Files (x86)\AstroGrep\AstroGrep.exe" /spath="C:\Users\stu\Documents\Analysis\2016-02-23 RTDC Observations" /stypes="*4026*20160715*" /stext=" 06:.+((prompt.+disp)|(slice.+state.+chan)|(ment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x14ac:dyDescent="0.25">
      <c r="A147" s="49" t="s">
        <v>480</v>
      </c>
      <c r="B147" s="7">
        <v>4020</v>
      </c>
      <c r="C147" s="26" t="s">
        <v>59</v>
      </c>
      <c r="D147" s="26" t="s">
        <v>175</v>
      </c>
      <c r="E147" s="16">
        <v>42565.95239583333</v>
      </c>
      <c r="F147" s="16">
        <v>42565.953379629631</v>
      </c>
      <c r="G147" s="7">
        <v>1</v>
      </c>
      <c r="H147" s="16" t="s">
        <v>210</v>
      </c>
      <c r="I147" s="16">
        <v>42565.984305555554</v>
      </c>
      <c r="J147" s="7">
        <v>0</v>
      </c>
      <c r="K147" s="26" t="str">
        <f t="shared" si="45"/>
        <v>4019/4020</v>
      </c>
      <c r="L147" s="26" t="str">
        <f>VLOOKUP(A147,'Trips&amp;Operators'!$C$1:$E$10000,3,FALSE)</f>
        <v>MAELZER</v>
      </c>
      <c r="M147" s="6">
        <f t="shared" si="46"/>
        <v>3.0925925922929309E-2</v>
      </c>
      <c r="N147" s="7">
        <f t="shared" si="44"/>
        <v>44.533333329018205</v>
      </c>
      <c r="O147" s="7"/>
      <c r="P147" s="7"/>
      <c r="Q147" s="27"/>
      <c r="R147" s="27"/>
      <c r="S147" s="45">
        <f t="shared" si="47"/>
        <v>1</v>
      </c>
      <c r="T147" s="69" t="str">
        <f t="shared" si="48"/>
        <v>NorthBound</v>
      </c>
      <c r="U147" s="105">
        <f>COUNTIFS(Variables!$M$2:$M$19,IF(T147="NorthBound","&gt;=","&lt;=")&amp;Y147,Variables!$M$2:$M$19,IF(T147="NorthBound","&lt;=","&gt;=")&amp;Z147)</f>
        <v>12</v>
      </c>
      <c r="V14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21:51:27-0600',mode:absolute,to:'2016-07-15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4" t="str">
        <f t="shared" si="50"/>
        <v>N</v>
      </c>
      <c r="X147" s="100">
        <f t="shared" si="51"/>
        <v>1</v>
      </c>
      <c r="Y147" s="97">
        <f t="shared" si="52"/>
        <v>4.53E-2</v>
      </c>
      <c r="Z147" s="97">
        <f t="shared" si="53"/>
        <v>23.331199999999999</v>
      </c>
      <c r="AA147" s="97">
        <f t="shared" si="54"/>
        <v>23.285899999999998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 t="shared" si="55"/>
        <v>0237-14</v>
      </c>
      <c r="AE147" s="75" t="str">
        <f t="shared" si="5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47" s="75" t="str">
        <f t="shared" si="57"/>
        <v>"C:\Program Files (x86)\AstroGrep\AstroGrep.exe" /spath="C:\Users\stu\Documents\Analysis\2016-02-23 RTDC Observations" /stypes="*4020*20160715*" /stext=" 05:.+((prompt.+disp)|(slice.+state.+chan)|(ment ac)|(system.+state.+chan)|(\|lc)|(penalty)|(\[timeout))" /e /r /s</v>
      </c>
      <c r="AG147" s="1" t="str">
        <f t="shared" si="58"/>
        <v>EC</v>
      </c>
    </row>
    <row r="148" spans="1:33" s="25" customFormat="1" x14ac:dyDescent="0.25">
      <c r="A148" s="49" t="s">
        <v>481</v>
      </c>
      <c r="B148" s="7">
        <v>4019</v>
      </c>
      <c r="C148" s="26" t="s">
        <v>59</v>
      </c>
      <c r="D148" s="26" t="s">
        <v>387</v>
      </c>
      <c r="E148" s="16">
        <v>42565.992766203701</v>
      </c>
      <c r="F148" s="16">
        <v>42565.993680555555</v>
      </c>
      <c r="G148" s="7">
        <v>1</v>
      </c>
      <c r="H148" s="16" t="s">
        <v>126</v>
      </c>
      <c r="I148" s="16">
        <v>42566.023738425924</v>
      </c>
      <c r="J148" s="7">
        <v>1</v>
      </c>
      <c r="K148" s="26" t="str">
        <f t="shared" si="45"/>
        <v>4019/4020</v>
      </c>
      <c r="L148" s="26" t="str">
        <f>VLOOKUP(A148,'Trips&amp;Operators'!$C$1:$E$10000,3,FALSE)</f>
        <v>MAELZER</v>
      </c>
      <c r="M148" s="6">
        <f t="shared" si="46"/>
        <v>3.0057870368182193E-2</v>
      </c>
      <c r="N148" s="7">
        <f t="shared" si="44"/>
        <v>43.283333330182359</v>
      </c>
      <c r="O148" s="7"/>
      <c r="P148" s="7"/>
      <c r="Q148" s="27"/>
      <c r="R148" s="27"/>
      <c r="S148" s="45">
        <f t="shared" si="47"/>
        <v>1</v>
      </c>
      <c r="T148" s="69" t="str">
        <f t="shared" si="48"/>
        <v>Southbound</v>
      </c>
      <c r="U148" s="105">
        <f>COUNTIFS(Variables!$M$2:$M$19,IF(T148="NorthBound","&gt;=","&lt;=")&amp;Y148,Variables!$M$2:$M$19,IF(T148="NorthBound","&lt;=","&gt;=")&amp;Z148)</f>
        <v>12</v>
      </c>
      <c r="V14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74" t="str">
        <f t="shared" si="50"/>
        <v>N</v>
      </c>
      <c r="X148" s="100">
        <f t="shared" si="51"/>
        <v>1</v>
      </c>
      <c r="Y148" s="97">
        <f t="shared" si="52"/>
        <v>23.297799999999999</v>
      </c>
      <c r="Z148" s="97">
        <f t="shared" si="53"/>
        <v>1.5599999999999999E-2</v>
      </c>
      <c r="AA148" s="97">
        <f t="shared" si="54"/>
        <v>23.2822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 t="shared" si="55"/>
        <v>0238-14</v>
      </c>
      <c r="AE148" s="75" t="str">
        <f t="shared" si="5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8" s="75" t="str">
        <f t="shared" si="57"/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AG148" s="1" t="str">
        <f t="shared" si="58"/>
        <v>EC</v>
      </c>
    </row>
    <row r="149" spans="1:33" s="25" customFormat="1" x14ac:dyDescent="0.25">
      <c r="A149" s="49" t="s">
        <v>482</v>
      </c>
      <c r="B149" s="7">
        <v>4042</v>
      </c>
      <c r="C149" s="26" t="s">
        <v>59</v>
      </c>
      <c r="D149" s="26" t="s">
        <v>195</v>
      </c>
      <c r="E149" s="16">
        <v>42565.974548611113</v>
      </c>
      <c r="F149" s="16">
        <v>42565.975636574076</v>
      </c>
      <c r="G149" s="7">
        <v>1</v>
      </c>
      <c r="H149" s="16" t="s">
        <v>174</v>
      </c>
      <c r="I149" s="16">
        <v>42566.004386574074</v>
      </c>
      <c r="J149" s="7">
        <v>0</v>
      </c>
      <c r="K149" s="26" t="str">
        <f t="shared" si="45"/>
        <v>4041/4042</v>
      </c>
      <c r="L149" s="26" t="str">
        <f>VLOOKUP(A149,'Trips&amp;Operators'!$C$1:$E$10000,3,FALSE)</f>
        <v>MOSES</v>
      </c>
      <c r="M149" s="6">
        <f t="shared" si="46"/>
        <v>2.8749999997671694E-2</v>
      </c>
      <c r="N149" s="7">
        <f t="shared" si="44"/>
        <v>41.399999996647239</v>
      </c>
      <c r="O149" s="7"/>
      <c r="P149" s="7"/>
      <c r="Q149" s="27"/>
      <c r="R149" s="27"/>
      <c r="S149" s="45">
        <f t="shared" si="47"/>
        <v>1</v>
      </c>
      <c r="T149" s="69" t="str">
        <f t="shared" si="48"/>
        <v>NorthBound</v>
      </c>
      <c r="U149" s="105">
        <f>COUNTIFS(Variables!$M$2:$M$19,IF(T149="NorthBound","&gt;=","&lt;=")&amp;Y149,Variables!$M$2:$M$19,IF(T149="NorthBound","&lt;=","&gt;=")&amp;Z149)</f>
        <v>12</v>
      </c>
      <c r="V14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22:23:21-0600',mode:absolute,to:'2016-07-15 01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74" t="str">
        <f t="shared" si="50"/>
        <v>N</v>
      </c>
      <c r="X149" s="100">
        <f t="shared" si="51"/>
        <v>1</v>
      </c>
      <c r="Y149" s="97">
        <f t="shared" si="52"/>
        <v>4.6199999999999998E-2</v>
      </c>
      <c r="Z149" s="97">
        <f t="shared" si="53"/>
        <v>23.3291</v>
      </c>
      <c r="AA149" s="97">
        <f t="shared" si="54"/>
        <v>23.282900000000001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 t="shared" si="55"/>
        <v>0239-14</v>
      </c>
      <c r="AE149" s="75" t="str">
        <f t="shared" si="5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9" s="75" t="str">
        <f t="shared" si="57"/>
        <v>"C:\Program Files (x86)\AstroGrep\AstroGrep.exe" /spath="C:\Users\stu\Documents\Analysis\2016-02-23 RTDC Observations" /stypes="*4042*20160715*" /stext=" 06:.+((prompt.+disp)|(slice.+state.+chan)|(ment ac)|(system.+state.+chan)|(\|lc)|(penalty)|(\[timeout))" /e /r /s</v>
      </c>
      <c r="AG149" s="1" t="str">
        <f t="shared" si="58"/>
        <v>EC</v>
      </c>
    </row>
    <row r="150" spans="1:33" s="25" customFormat="1" x14ac:dyDescent="0.25">
      <c r="A150" s="49" t="s">
        <v>483</v>
      </c>
      <c r="B150" s="7">
        <v>4041</v>
      </c>
      <c r="C150" s="26" t="s">
        <v>59</v>
      </c>
      <c r="D150" s="26" t="s">
        <v>261</v>
      </c>
      <c r="E150" s="16">
        <v>42566.015162037038</v>
      </c>
      <c r="F150" s="16">
        <v>42566.016493055555</v>
      </c>
      <c r="G150" s="7">
        <v>1</v>
      </c>
      <c r="H150" s="16" t="s">
        <v>390</v>
      </c>
      <c r="I150" s="16">
        <v>42566.044918981483</v>
      </c>
      <c r="J150" s="7">
        <v>1</v>
      </c>
      <c r="K150" s="26" t="str">
        <f t="shared" si="45"/>
        <v>4041/4042</v>
      </c>
      <c r="L150" s="26" t="str">
        <f>VLOOKUP(A150,'Trips&amp;Operators'!$C$1:$E$10000,3,FALSE)</f>
        <v>MOSES</v>
      </c>
      <c r="M150" s="6">
        <f t="shared" si="46"/>
        <v>2.842592592787696E-2</v>
      </c>
      <c r="N150" s="7">
        <f t="shared" si="44"/>
        <v>40.933333336142823</v>
      </c>
      <c r="O150" s="7"/>
      <c r="P150" s="7"/>
      <c r="Q150" s="27"/>
      <c r="R150" s="27"/>
      <c r="S150" s="45">
        <f t="shared" si="47"/>
        <v>1</v>
      </c>
      <c r="T150" s="69" t="str">
        <f t="shared" si="48"/>
        <v>Southbound</v>
      </c>
      <c r="U150" s="105">
        <f>COUNTIFS(Variables!$M$2:$M$19,IF(T150="NorthBound","&gt;=","&lt;=")&amp;Y150,Variables!$M$2:$M$19,IF(T150="NorthBound","&lt;=","&gt;=")&amp;Z150)</f>
        <v>12</v>
      </c>
      <c r="V15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74" t="str">
        <f t="shared" si="50"/>
        <v>N</v>
      </c>
      <c r="X150" s="100">
        <f t="shared" si="51"/>
        <v>1</v>
      </c>
      <c r="Y150" s="97">
        <f t="shared" si="52"/>
        <v>23.296500000000002</v>
      </c>
      <c r="Z150" s="97">
        <f t="shared" si="53"/>
        <v>1.7999999999999999E-2</v>
      </c>
      <c r="AA150" s="97">
        <f t="shared" si="54"/>
        <v>23.278500000000001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 t="shared" si="55"/>
        <v>0240-14</v>
      </c>
      <c r="AE150" s="75" t="str">
        <f t="shared" si="56"/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AF150" s="75" t="str">
        <f t="shared" si="57"/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AG150" s="1" t="str">
        <f t="shared" si="58"/>
        <v>EC</v>
      </c>
    </row>
    <row r="151" spans="1:33" s="25" customFormat="1" x14ac:dyDescent="0.25">
      <c r="A151" s="49" t="s">
        <v>484</v>
      </c>
      <c r="B151" s="7">
        <v>4040</v>
      </c>
      <c r="C151" s="26" t="s">
        <v>59</v>
      </c>
      <c r="D151" s="26" t="s">
        <v>70</v>
      </c>
      <c r="E151" s="16">
        <v>42565.994791666664</v>
      </c>
      <c r="F151" s="16">
        <v>42565.995682870373</v>
      </c>
      <c r="G151" s="7">
        <v>1</v>
      </c>
      <c r="H151" s="16" t="s">
        <v>255</v>
      </c>
      <c r="I151" s="16">
        <v>42566.024733796294</v>
      </c>
      <c r="J151" s="7">
        <v>0</v>
      </c>
      <c r="K151" s="26" t="str">
        <f t="shared" si="45"/>
        <v>4039/4040</v>
      </c>
      <c r="L151" s="26" t="str">
        <f>VLOOKUP(A151,'Trips&amp;Operators'!$C$1:$E$10000,3,FALSE)</f>
        <v>LEVIN</v>
      </c>
      <c r="M151" s="6">
        <f t="shared" si="46"/>
        <v>2.9050925921183079E-2</v>
      </c>
      <c r="N151" s="7">
        <f t="shared" si="44"/>
        <v>41.833333326503634</v>
      </c>
      <c r="O151" s="7"/>
      <c r="P151" s="7"/>
      <c r="Q151" s="27"/>
      <c r="R151" s="27"/>
      <c r="S151" s="45">
        <f t="shared" si="47"/>
        <v>1</v>
      </c>
      <c r="T151" s="69" t="str">
        <f t="shared" si="48"/>
        <v>NorthBound</v>
      </c>
      <c r="U151" s="105">
        <f>COUNTIFS(Variables!$M$2:$M$19,IF(T151="NorthBound","&gt;=","&lt;=")&amp;Y151,Variables!$M$2:$M$19,IF(T151="NorthBound","&lt;=","&gt;=")&amp;Z151)</f>
        <v>12</v>
      </c>
      <c r="V15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22:52:30-0600',mode:absolute,to:'2016-07-15 01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4" t="str">
        <f t="shared" si="50"/>
        <v>N</v>
      </c>
      <c r="X151" s="100">
        <f t="shared" si="51"/>
        <v>1</v>
      </c>
      <c r="Y151" s="97">
        <f t="shared" si="52"/>
        <v>4.5699999999999998E-2</v>
      </c>
      <c r="Z151" s="97">
        <f t="shared" si="53"/>
        <v>23.328800000000001</v>
      </c>
      <c r="AA151" s="97">
        <f t="shared" si="54"/>
        <v>23.283100000000001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 t="shared" si="55"/>
        <v>0241-14</v>
      </c>
      <c r="AE151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51" s="75" t="str">
        <f t="shared" si="57"/>
        <v>"C:\Program Files (x86)\AstroGrep\AstroGrep.exe" /spath="C:\Users\stu\Documents\Analysis\2016-02-23 RTDC Observations" /stypes="*4040*20160715*" /stext=" 06:.+((prompt.+disp)|(slice.+state.+chan)|(ment ac)|(system.+state.+chan)|(\|lc)|(penalty)|(\[timeout))" /e /r /s</v>
      </c>
      <c r="AG151" s="1" t="str">
        <f t="shared" si="58"/>
        <v>EC</v>
      </c>
    </row>
    <row r="152" spans="1:33" x14ac:dyDescent="0.25">
      <c r="A152" s="49" t="s">
        <v>485</v>
      </c>
      <c r="B152" s="7">
        <v>4039</v>
      </c>
      <c r="C152" s="26" t="s">
        <v>59</v>
      </c>
      <c r="D152" s="26" t="s">
        <v>158</v>
      </c>
      <c r="E152" s="16">
        <v>42566.032766203702</v>
      </c>
      <c r="F152" s="16">
        <v>42566.033587962964</v>
      </c>
      <c r="G152" s="7">
        <v>1</v>
      </c>
      <c r="H152" s="16" t="s">
        <v>186</v>
      </c>
      <c r="I152" s="16">
        <v>42566.064560185187</v>
      </c>
      <c r="J152" s="7">
        <v>0</v>
      </c>
      <c r="K152" s="26" t="str">
        <f t="shared" si="45"/>
        <v>4039/4040</v>
      </c>
      <c r="L152" s="26" t="str">
        <f>VLOOKUP(A152,'Trips&amp;Operators'!$C$1:$E$10000,3,FALSE)</f>
        <v>LEVIN</v>
      </c>
      <c r="M152" s="6">
        <f t="shared" si="46"/>
        <v>3.0972222222771961E-2</v>
      </c>
      <c r="N152" s="7">
        <f t="shared" si="44"/>
        <v>44.600000000791624</v>
      </c>
      <c r="O152" s="7"/>
      <c r="P152" s="7"/>
      <c r="Q152" s="27"/>
      <c r="R152" s="27"/>
      <c r="S152" s="45">
        <f t="shared" si="47"/>
        <v>1</v>
      </c>
      <c r="T152" s="69" t="str">
        <f t="shared" si="48"/>
        <v>Southbound</v>
      </c>
      <c r="U152" s="105">
        <f>COUNTIFS(Variables!$M$2:$M$19,IF(T152="NorthBound","&gt;=","&lt;=")&amp;Y152,Variables!$M$2:$M$19,IF(T152="NorthBound","&lt;=","&gt;=")&amp;Z152)</f>
        <v>12</v>
      </c>
      <c r="V15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23:47:11-0600',mode:absolute,to:'2016-07-15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4" t="str">
        <f t="shared" si="50"/>
        <v>N</v>
      </c>
      <c r="X152" s="100">
        <f t="shared" si="51"/>
        <v>1</v>
      </c>
      <c r="Y152" s="97">
        <f t="shared" si="52"/>
        <v>23.299600000000002</v>
      </c>
      <c r="Z152" s="97">
        <f t="shared" si="53"/>
        <v>1.54E-2</v>
      </c>
      <c r="AA152" s="97">
        <f t="shared" si="54"/>
        <v>23.284200000000002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 t="shared" si="55"/>
        <v>0242-14</v>
      </c>
      <c r="AE152" s="75" t="str">
        <f t="shared" si="56"/>
        <v>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 &amp; 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</v>
      </c>
      <c r="AF152" s="75" t="str">
        <f t="shared" si="57"/>
        <v>"C:\Program Files (x86)\AstroGrep\AstroGrep.exe" /spath="C:\Users\stu\Documents\Analysis\2016-02-23 RTDC Observations" /stypes="*4039*20160715*" /stext=" 07:.+((prompt.+disp)|(slice.+state.+chan)|(ment ac)|(system.+state.+chan)|(\|lc)|(penalty)|(\[timeout))" /e /r /s</v>
      </c>
      <c r="AG152" s="1" t="str">
        <f t="shared" si="58"/>
        <v>EC</v>
      </c>
    </row>
    <row r="153" spans="1:33" x14ac:dyDescent="0.25">
      <c r="A153" s="49" t="s">
        <v>486</v>
      </c>
      <c r="B153" s="7">
        <v>4025</v>
      </c>
      <c r="C153" s="26" t="s">
        <v>59</v>
      </c>
      <c r="D153" s="26" t="s">
        <v>223</v>
      </c>
      <c r="E153" s="16">
        <v>42566.014143518521</v>
      </c>
      <c r="F153" s="16">
        <v>42566.0156712963</v>
      </c>
      <c r="G153" s="7">
        <v>2</v>
      </c>
      <c r="H153" s="16" t="s">
        <v>269</v>
      </c>
      <c r="I153" s="16">
        <v>42566.045810185184</v>
      </c>
      <c r="J153" s="7">
        <v>0</v>
      </c>
      <c r="K153" s="26" t="str">
        <f t="shared" si="45"/>
        <v>4025/4026</v>
      </c>
      <c r="L153" s="26" t="str">
        <f>VLOOKUP(A153,'Trips&amp;Operators'!$C$1:$E$10000,3,FALSE)</f>
        <v>STURGEON</v>
      </c>
      <c r="M153" s="6">
        <f t="shared" si="46"/>
        <v>3.0138888883811887E-2</v>
      </c>
      <c r="N153" s="7">
        <f t="shared" si="44"/>
        <v>43.399999992689118</v>
      </c>
      <c r="O153" s="7"/>
      <c r="P153" s="7"/>
      <c r="Q153" s="27"/>
      <c r="R153" s="27"/>
      <c r="S153" s="45">
        <f t="shared" si="47"/>
        <v>1</v>
      </c>
      <c r="T153" s="69" t="str">
        <f t="shared" si="48"/>
        <v>NorthBound</v>
      </c>
      <c r="U153" s="105">
        <f>COUNTIFS(Variables!$M$2:$M$19,IF(T153="NorthBound","&gt;=","&lt;=")&amp;Y153,Variables!$M$2:$M$19,IF(T153="NorthBound","&lt;=","&gt;=")&amp;Z153)</f>
        <v>12</v>
      </c>
      <c r="V15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23:20:22-0600',mode:absolute,to:'2016-07-15 02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4" t="str">
        <f t="shared" si="50"/>
        <v>N</v>
      </c>
      <c r="X153" s="100">
        <f t="shared" si="51"/>
        <v>1</v>
      </c>
      <c r="Y153" s="97">
        <f t="shared" si="52"/>
        <v>4.7699999999999999E-2</v>
      </c>
      <c r="Z153" s="97">
        <f t="shared" si="53"/>
        <v>23.327400000000001</v>
      </c>
      <c r="AA153" s="97">
        <f t="shared" si="54"/>
        <v>23.279700000000002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 t="shared" si="55"/>
        <v>0243-14</v>
      </c>
      <c r="AE153" s="75" t="str">
        <f t="shared" si="56"/>
        <v>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 &amp; 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</v>
      </c>
      <c r="AF153" s="75" t="str">
        <f t="shared" si="57"/>
        <v>"C:\Program Files (x86)\AstroGrep\AstroGrep.exe" /spath="C:\Users\stu\Documents\Analysis\2016-02-23 RTDC Observations" /stypes="*4025*20160715*" /stext=" 07:.+((prompt.+disp)|(slice.+state.+chan)|(ment ac)|(system.+state.+chan)|(\|lc)|(penalty)|(\[timeout))" /e /r /s</v>
      </c>
      <c r="AG153" s="1" t="str">
        <f t="shared" si="58"/>
        <v>EC</v>
      </c>
    </row>
    <row r="154" spans="1:33" x14ac:dyDescent="0.25">
      <c r="A154" s="49" t="s">
        <v>487</v>
      </c>
      <c r="B154" s="7">
        <v>4026</v>
      </c>
      <c r="C154" s="26" t="s">
        <v>59</v>
      </c>
      <c r="D154" s="26" t="s">
        <v>488</v>
      </c>
      <c r="E154" s="16">
        <v>42566.053773148145</v>
      </c>
      <c r="F154" s="16">
        <v>42566.054768518516</v>
      </c>
      <c r="G154" s="7">
        <v>1</v>
      </c>
      <c r="H154" s="16" t="s">
        <v>220</v>
      </c>
      <c r="I154" s="16">
        <v>42566.0858912037</v>
      </c>
      <c r="J154" s="7">
        <v>0</v>
      </c>
      <c r="K154" s="26" t="str">
        <f t="shared" si="45"/>
        <v>4025/4026</v>
      </c>
      <c r="L154" s="26" t="str">
        <f>VLOOKUP(A154,'Trips&amp;Operators'!$C$1:$E$10000,3,FALSE)</f>
        <v>STURGEON</v>
      </c>
      <c r="M154" s="6">
        <f t="shared" si="46"/>
        <v>3.1122685184527654E-2</v>
      </c>
      <c r="N154" s="7">
        <f t="shared" si="44"/>
        <v>44.816666665719822</v>
      </c>
      <c r="O154" s="7"/>
      <c r="P154" s="7"/>
      <c r="Q154" s="27"/>
      <c r="R154" s="27"/>
      <c r="S154" s="45">
        <f t="shared" si="47"/>
        <v>1</v>
      </c>
      <c r="T154" s="69" t="str">
        <f t="shared" si="48"/>
        <v>Southbound</v>
      </c>
      <c r="U154" s="105">
        <f>COUNTIFS(Variables!$M$2:$M$19,IF(T154="NorthBound","&gt;=","&lt;=")&amp;Y154,Variables!$M$2:$M$19,IF(T154="NorthBound","&lt;=","&gt;=")&amp;Z154)</f>
        <v>12</v>
      </c>
      <c r="V15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https://search-rtdc-monitor-bjffxe2xuh6vdkpspy63sjmuny.us-east-1.es.amazonaws.com/_plugin/kibana/#/discover/Steve-Slow-Train-Analysis-(2080s-and-2083s)?_g=(refreshInterval:(display:Off,section:0,value:0),time:(from:'2016-07-15 00:17:26-0600',mode:absolute,to:'2016-07-15 03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4" t="str">
        <f t="shared" si="50"/>
        <v>N</v>
      </c>
      <c r="X154" s="100">
        <f t="shared" si="51"/>
        <v>1</v>
      </c>
      <c r="Y154" s="97">
        <f t="shared" si="52"/>
        <v>23.295000000000002</v>
      </c>
      <c r="Z154" s="97">
        <f t="shared" si="53"/>
        <v>1.6299999999999999E-2</v>
      </c>
      <c r="AA154" s="97">
        <f t="shared" si="54"/>
        <v>23.278700000000001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 t="shared" si="55"/>
        <v>0244-14</v>
      </c>
      <c r="AE154" s="75" t="str">
        <f t="shared" si="56"/>
        <v>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 &amp; 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</v>
      </c>
      <c r="AF154" s="75" t="str">
        <f t="shared" si="57"/>
        <v>"C:\Program Files (x86)\AstroGrep\AstroGrep.exe" /spath="C:\Users\stu\Documents\Analysis\2016-02-23 RTDC Observations" /stypes="*4026*20160715*" /stext=" 08:.+((prompt.+disp)|(slice.+state.+chan)|(ment ac)|(system.+state.+chan)|(\|lc)|(penalty)|(\[timeout))" /e /r /s</v>
      </c>
      <c r="AG154" s="1" t="str">
        <f t="shared" si="58"/>
        <v>EC</v>
      </c>
    </row>
  </sheetData>
  <autoFilter ref="A12:AD154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6" operator="equal">
      <formula>"Y"</formula>
    </cfRule>
  </conditionalFormatting>
  <conditionalFormatting sqref="X13:X1048576">
    <cfRule type="cellIs" dxfId="10" priority="59" operator="greaterThan">
      <formula>1</formula>
    </cfRule>
  </conditionalFormatting>
  <conditionalFormatting sqref="X12:X1048576">
    <cfRule type="cellIs" dxfId="9" priority="56" operator="equal">
      <formula>0</formula>
    </cfRule>
  </conditionalFormatting>
  <conditionalFormatting sqref="A13:S154">
    <cfRule type="expression" dxfId="8" priority="52">
      <formula>$O13&gt;0</formula>
    </cfRule>
  </conditionalFormatting>
  <conditionalFormatting sqref="A13:S154">
    <cfRule type="expression" dxfId="7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7"/>
  <sheetViews>
    <sheetView tabSelected="1" zoomScale="85" zoomScaleNormal="85" workbookViewId="0">
      <selection activeCell="N14" sqref="N14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109</v>
      </c>
      <c r="L2" s="107"/>
      <c r="M2" s="110">
        <f>COUNTIF($M$7:$M$630,"=Y")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110</v>
      </c>
      <c r="L3" s="108"/>
      <c r="M3" s="111">
        <f>COUNTA($M$7:$M$630)-M2</f>
        <v>47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2" t="str">
        <f>"Eagle P3 Braking Events - "&amp;TEXT(Variables!$A$2,"YYYY-mm-dd")</f>
        <v>Eagle P3 Braking Events - 2016-07-13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9" t="s">
        <v>48</v>
      </c>
      <c r="M6" s="79" t="s">
        <v>27</v>
      </c>
      <c r="N6" s="79" t="s">
        <v>24</v>
      </c>
      <c r="P6" s="81" t="s">
        <v>166</v>
      </c>
      <c r="Q6" s="81" t="s">
        <v>69</v>
      </c>
      <c r="R6" s="82" t="s">
        <v>165</v>
      </c>
      <c r="S6" s="79" t="s">
        <v>159</v>
      </c>
      <c r="T6" s="83" t="s">
        <v>160</v>
      </c>
      <c r="U6" s="84" t="s">
        <v>180</v>
      </c>
      <c r="V6" s="69" t="s">
        <v>206</v>
      </c>
    </row>
    <row r="7" spans="1:22" s="1" customFormat="1" x14ac:dyDescent="0.25">
      <c r="A7" s="77">
        <v>42565.568923611114</v>
      </c>
      <c r="B7" s="65" t="s">
        <v>75</v>
      </c>
      <c r="C7" s="41" t="s">
        <v>393</v>
      </c>
      <c r="D7" s="41" t="s">
        <v>50</v>
      </c>
      <c r="E7" s="65" t="s">
        <v>176</v>
      </c>
      <c r="F7" s="66">
        <v>410</v>
      </c>
      <c r="G7" s="66">
        <v>594</v>
      </c>
      <c r="H7" s="66">
        <v>44197</v>
      </c>
      <c r="I7" s="65" t="s">
        <v>177</v>
      </c>
      <c r="J7" s="66">
        <v>42961</v>
      </c>
      <c r="K7" s="41" t="s">
        <v>54</v>
      </c>
      <c r="L7" s="101" t="str">
        <f>VLOOKUP(C7,'Trips&amp;Operators'!$C$1:$E$9999,3,0)</f>
        <v>ADANE</v>
      </c>
      <c r="M7" s="9" t="s">
        <v>108</v>
      </c>
      <c r="N7" s="10" t="s">
        <v>315</v>
      </c>
      <c r="O7" s="41"/>
      <c r="P7" s="72" t="str">
        <f>VLOOKUP(C7,'Train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7" s="70" t="str">
        <f>VLOOKUP(C7,'Train Runs'!$A$13:$AE$871,22,0)</f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" s="71" t="str">
        <f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S7" s="9" t="str">
        <f>MID(B7,13,4)</f>
        <v>4017</v>
      </c>
      <c r="T7" s="48">
        <f>A7+6/24</f>
        <v>42565.818923611114</v>
      </c>
      <c r="U7" s="69" t="str">
        <f>IF(VALUE(LEFT(C7,3))&lt;300,"EC","NWGL")</f>
        <v>EC</v>
      </c>
      <c r="V7" s="69" t="str">
        <f>IF(AND(E7="TRACK WARRANT AUTHORITY",G7&lt;10),"OMIT","KEEP")</f>
        <v>KEEP</v>
      </c>
    </row>
    <row r="8" spans="1:22" s="1" customFormat="1" x14ac:dyDescent="0.25">
      <c r="A8" s="77">
        <v>42565.612615740742</v>
      </c>
      <c r="B8" s="65" t="s">
        <v>131</v>
      </c>
      <c r="C8" s="41" t="s">
        <v>418</v>
      </c>
      <c r="D8" s="41" t="s">
        <v>50</v>
      </c>
      <c r="E8" s="65" t="s">
        <v>176</v>
      </c>
      <c r="F8" s="66">
        <v>0</v>
      </c>
      <c r="G8" s="66">
        <v>98</v>
      </c>
      <c r="H8" s="66">
        <v>47544</v>
      </c>
      <c r="I8" s="65" t="s">
        <v>177</v>
      </c>
      <c r="J8" s="66">
        <v>47865</v>
      </c>
      <c r="K8" s="41" t="s">
        <v>53</v>
      </c>
      <c r="L8" s="101" t="str">
        <f>VLOOKUP(C8,'Trips&amp;Operators'!$C$1:$E$9999,3,0)</f>
        <v>SHOOK</v>
      </c>
      <c r="M8" s="9" t="s">
        <v>108</v>
      </c>
      <c r="N8" s="10" t="s">
        <v>229</v>
      </c>
      <c r="O8" s="41"/>
      <c r="P8" s="72" t="str">
        <f>VLOOKUP(C8,'Train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8" s="70" t="str">
        <f>VLOOKUP(C8,'Train Runs'!$A$13:$AE$871,22,0)</f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8" s="71" t="str">
        <f>astrogrep_path&amp;" /spath="&amp;search_path&amp;" /stypes=""*"&amp;S8&amp;"*"&amp;TEXT(A8-utc_offset/24,"YYYYMMDD")&amp;"*"" /stext="" "&amp;TEXT(A8-utc_offset/24,"HH")&amp;search_regexp&amp;""" /e /r /s"</f>
        <v>"C:\Program Files (x86)\AstroGrep\AstroGrep.exe" /spath="C:\Users\stu\Documents\Analysis\2016-02-23 RTDC Observations" /stypes="*4044*20160714*" /stext=" 20:.+((prompt.+disp)|(slice.+state.+chan)|(ment ac)|(system.+state.+chan)|(\|lc)|(penalty)|(\[timeout))" /e /r /s</v>
      </c>
      <c r="S8" s="9" t="str">
        <f>MID(B8,13,4)</f>
        <v>4044</v>
      </c>
      <c r="T8" s="48">
        <f>A8+6/24</f>
        <v>42565.862615740742</v>
      </c>
      <c r="U8" s="69" t="str">
        <f>IF(VALUE(LEFT(C8,3))&lt;300,"EC","NWGL")</f>
        <v>EC</v>
      </c>
      <c r="V8" s="69" t="str">
        <f>IF(AND(E8="TRACK WARRANT AUTHORITY",G8&lt;10),"OMIT","KEEP")</f>
        <v>KEEP</v>
      </c>
    </row>
    <row r="9" spans="1:22" s="1" customFormat="1" x14ac:dyDescent="0.25">
      <c r="A9" s="77">
        <v>42565.662766203706</v>
      </c>
      <c r="B9" s="65" t="s">
        <v>134</v>
      </c>
      <c r="C9" s="41" t="s">
        <v>420</v>
      </c>
      <c r="D9" s="41" t="s">
        <v>50</v>
      </c>
      <c r="E9" s="65" t="s">
        <v>176</v>
      </c>
      <c r="F9" s="66">
        <v>0</v>
      </c>
      <c r="G9" s="66">
        <v>103</v>
      </c>
      <c r="H9" s="66">
        <v>48334</v>
      </c>
      <c r="I9" s="65" t="s">
        <v>177</v>
      </c>
      <c r="J9" s="66">
        <v>48048</v>
      </c>
      <c r="K9" s="41" t="s">
        <v>54</v>
      </c>
      <c r="L9" s="101" t="str">
        <f>VLOOKUP(C9,'Trips&amp;Operators'!$C$1:$E$9999,3,0)</f>
        <v>SHOOK</v>
      </c>
      <c r="M9" s="9" t="s">
        <v>108</v>
      </c>
      <c r="N9" s="10" t="s">
        <v>229</v>
      </c>
      <c r="O9" s="41"/>
      <c r="P9" s="72" t="str">
        <f>VLOOKUP(C9,'Train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9" s="70" t="str">
        <f>VLOOKUP(C9,'Train Runs'!$A$13:$AE$871,22,0)</f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9" s="71" t="str">
        <f>astrogrep_path&amp;" /spath="&amp;search_path&amp;" /stypes=""*"&amp;S9&amp;"*"&amp;TEXT(A9-utc_offset/24,"YYYYMMDD")&amp;"*"" /stext="" "&amp;TEXT(A9-utc_offset/24,"HH")&amp;search_regexp&amp;""" /e /r /s"</f>
        <v>"C:\Program Files (x86)\AstroGrep\AstroGrep.exe" /spath="C:\Users\stu\Documents\Analysis\2016-02-23 RTDC Observations" /stypes="*4043*20160714*" /stext=" 21:.+((prompt.+disp)|(slice.+state.+chan)|(ment ac)|(system.+state.+chan)|(\|lc)|(penalty)|(\[timeout))" /e /r /s</v>
      </c>
      <c r="S9" s="9" t="str">
        <f>MID(B9,13,4)</f>
        <v>4043</v>
      </c>
      <c r="T9" s="48">
        <f>A9+6/24</f>
        <v>42565.912766203706</v>
      </c>
      <c r="U9" s="69" t="str">
        <f>IF(VALUE(LEFT(C9,3))&lt;300,"EC","NWGL")</f>
        <v>EC</v>
      </c>
      <c r="V9" s="69" t="str">
        <f>IF(AND(E9="TRACK WARRANT AUTHORITY",G9&lt;10),"OMIT","KEEP")</f>
        <v>KEEP</v>
      </c>
    </row>
    <row r="10" spans="1:22" s="1" customFormat="1" x14ac:dyDescent="0.25">
      <c r="A10" s="77">
        <v>42565.639444444445</v>
      </c>
      <c r="B10" s="65" t="s">
        <v>75</v>
      </c>
      <c r="C10" s="41" t="s">
        <v>414</v>
      </c>
      <c r="D10" s="41" t="s">
        <v>50</v>
      </c>
      <c r="E10" s="65" t="s">
        <v>176</v>
      </c>
      <c r="F10" s="66">
        <v>390</v>
      </c>
      <c r="G10" s="66">
        <v>484</v>
      </c>
      <c r="H10" s="66">
        <v>78740</v>
      </c>
      <c r="I10" s="65" t="s">
        <v>177</v>
      </c>
      <c r="J10" s="66">
        <v>78469</v>
      </c>
      <c r="K10" s="41" t="s">
        <v>54</v>
      </c>
      <c r="L10" s="101" t="str">
        <f>VLOOKUP(C10,'Trips&amp;Operators'!$C$1:$E$9999,3,0)</f>
        <v>ADANE</v>
      </c>
      <c r="M10" s="9" t="s">
        <v>108</v>
      </c>
      <c r="N10" s="10" t="s">
        <v>315</v>
      </c>
      <c r="O10" s="41"/>
      <c r="P10" s="72" t="str">
        <f>VLOOKUP(C10,'Train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0" s="70" t="str">
        <f>VLOOKUP(C10,'Train Runs'!$A$13:$AE$871,22,0)</f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>astrogrep_path&amp;" /spath="&amp;search_path&amp;" /stypes=""*"&amp;S10&amp;"*"&amp;TEXT(A10-utc_offset/24,"YYYYMMDD")&amp;"*"" /stext="" "&amp;TEXT(A10-utc_offset/24,"HH")&amp;search_regexp&amp;""" /e /r /s"</f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S10" s="9" t="str">
        <f>MID(B10,13,4)</f>
        <v>4017</v>
      </c>
      <c r="T10" s="48">
        <f>A10+6/24</f>
        <v>42565.889444444445</v>
      </c>
      <c r="U10" s="69" t="str">
        <f>IF(VALUE(LEFT(C10,3))&lt;300,"EC","NWGL")</f>
        <v>EC</v>
      </c>
      <c r="V10" s="69" t="str">
        <f>IF(AND(E10="TRACK WARRANT AUTHORITY",G10&lt;10),"OMIT","KEEP")</f>
        <v>KEEP</v>
      </c>
    </row>
    <row r="11" spans="1:22" s="1" customFormat="1" x14ac:dyDescent="0.25">
      <c r="A11" s="77">
        <v>42565.721990740742</v>
      </c>
      <c r="B11" s="65" t="s">
        <v>75</v>
      </c>
      <c r="C11" s="41" t="s">
        <v>431</v>
      </c>
      <c r="D11" s="41" t="s">
        <v>50</v>
      </c>
      <c r="E11" s="65" t="s">
        <v>57</v>
      </c>
      <c r="F11" s="66">
        <v>600</v>
      </c>
      <c r="G11" s="66">
        <v>650</v>
      </c>
      <c r="H11" s="66">
        <v>12651</v>
      </c>
      <c r="I11" s="65" t="s">
        <v>58</v>
      </c>
      <c r="J11" s="66">
        <v>10694</v>
      </c>
      <c r="K11" s="41" t="s">
        <v>54</v>
      </c>
      <c r="L11" s="101" t="str">
        <f>VLOOKUP(C11,'Trips&amp;Operators'!$C$1:$E$9999,3,0)</f>
        <v>ADANE</v>
      </c>
      <c r="M11" s="9" t="s">
        <v>108</v>
      </c>
      <c r="N11" s="10"/>
      <c r="O11" s="69"/>
      <c r="P11" s="72" t="str">
        <f>VLOOKUP(C11,'Train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1" s="70" t="str">
        <f>VLOOKUP(C11,'Train Runs'!$A$13:$AE$871,22,0)</f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" s="71" t="str">
        <f>astrogrep_path&amp;" /spath="&amp;search_path&amp;" /stypes=""*"&amp;S11&amp;"*"&amp;TEXT(A11-utc_offset/24,"YYYYMMDD")&amp;"*"" /stext="" "&amp;TEXT(A11-utc_offset/24,"HH")&amp;search_regexp&amp;""" /e /r /s"</f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S11" s="9" t="str">
        <f>MID(B11,13,4)</f>
        <v>4017</v>
      </c>
      <c r="T11" s="48">
        <f>A11+6/24</f>
        <v>42565.971990740742</v>
      </c>
      <c r="U11" s="69" t="str">
        <f>IF(VALUE(LEFT(C11,3))&lt;300,"EC","NWGL")</f>
        <v>EC</v>
      </c>
      <c r="V11" s="69" t="str">
        <f>IF(AND(E11="TRACK WARRANT AUTHORITY",G11&lt;10),"OMIT","KEEP")</f>
        <v>KEEP</v>
      </c>
    </row>
    <row r="12" spans="1:22" s="1" customFormat="1" x14ac:dyDescent="0.25">
      <c r="A12" s="77">
        <v>42565.43644675926</v>
      </c>
      <c r="B12" s="65" t="s">
        <v>228</v>
      </c>
      <c r="C12" s="41" t="s">
        <v>355</v>
      </c>
      <c r="D12" s="41" t="s">
        <v>50</v>
      </c>
      <c r="E12" s="65" t="s">
        <v>57</v>
      </c>
      <c r="F12" s="66">
        <v>450</v>
      </c>
      <c r="G12" s="66">
        <v>440</v>
      </c>
      <c r="H12" s="66">
        <v>17530</v>
      </c>
      <c r="I12" s="65" t="s">
        <v>58</v>
      </c>
      <c r="J12" s="66">
        <v>15167</v>
      </c>
      <c r="K12" s="41" t="s">
        <v>54</v>
      </c>
      <c r="L12" s="101" t="str">
        <f>VLOOKUP(C12,'Trips&amp;Operators'!$C$1:$E$9999,3,0)</f>
        <v>BRANNON</v>
      </c>
      <c r="M12" s="9" t="s">
        <v>108</v>
      </c>
      <c r="N12" s="10"/>
      <c r="O12" s="69"/>
      <c r="P12" s="72" t="str">
        <f>VLOOKUP(C12,'Train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2" s="70" t="str">
        <f>VLOOKUP(C12,'Train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2" s="71" t="str">
        <f>astrogrep_path&amp;" /spath="&amp;search_path&amp;" /stypes=""*"&amp;S12&amp;"*"&amp;TEXT(A12-utc_offset/24,"YYYYMMDD")&amp;"*"" /stext="" "&amp;TEXT(A12-utc_offset/24,"HH")&amp;search_regexp&amp;""" /e /r /s"</f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12" s="9" t="str">
        <f>MID(B12,13,4)</f>
        <v>4041</v>
      </c>
      <c r="T12" s="48">
        <f>A12+6/24</f>
        <v>42565.68644675926</v>
      </c>
      <c r="U12" s="69" t="str">
        <f>IF(VALUE(LEFT(C12,3))&lt;300,"EC","NWGL")</f>
        <v>EC</v>
      </c>
      <c r="V12" s="69" t="str">
        <f>IF(AND(E12="TRACK WARRANT AUTHORITY",G12&lt;10),"OMIT","KEEP")</f>
        <v>KEEP</v>
      </c>
    </row>
    <row r="13" spans="1:22" s="1" customFormat="1" x14ac:dyDescent="0.25">
      <c r="A13" s="77">
        <v>42565.801458333335</v>
      </c>
      <c r="B13" s="65" t="s">
        <v>228</v>
      </c>
      <c r="C13" s="41" t="s">
        <v>449</v>
      </c>
      <c r="D13" s="41" t="s">
        <v>50</v>
      </c>
      <c r="E13" s="65" t="s">
        <v>57</v>
      </c>
      <c r="F13" s="66">
        <v>450</v>
      </c>
      <c r="G13" s="66">
        <v>468</v>
      </c>
      <c r="H13" s="66">
        <v>17427</v>
      </c>
      <c r="I13" s="65" t="s">
        <v>58</v>
      </c>
      <c r="J13" s="66">
        <v>15167</v>
      </c>
      <c r="K13" s="41" t="s">
        <v>54</v>
      </c>
      <c r="L13" s="101" t="str">
        <f>VLOOKUP(C13,'Trips&amp;Operators'!$C$1:$E$9999,3,0)</f>
        <v>MOSES</v>
      </c>
      <c r="M13" s="9" t="s">
        <v>108</v>
      </c>
      <c r="N13" s="10"/>
      <c r="O13" s="41"/>
      <c r="P13" s="72" t="str">
        <f>VLOOKUP(C13,'Train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3" s="70" t="str">
        <f>VLOOKUP(C13,'Train Runs'!$A$13:$AE$871,22,0)</f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3" s="71" t="str">
        <f>astrogrep_path&amp;" /spath="&amp;search_path&amp;" /stypes=""*"&amp;S13&amp;"*"&amp;TEXT(A13-utc_offset/24,"YYYYMMDD")&amp;"*"" /stext="" "&amp;TEXT(A13-utc_offset/24,"HH")&amp;search_regexp&amp;""" /e /r /s"</f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S13" s="9" t="str">
        <f>MID(B13,13,4)</f>
        <v>4041</v>
      </c>
      <c r="T13" s="48">
        <f>A13+6/24</f>
        <v>42566.051458333335</v>
      </c>
      <c r="U13" s="69" t="str">
        <f>IF(VALUE(LEFT(C13,3))&lt;300,"EC","NWGL")</f>
        <v>EC</v>
      </c>
      <c r="V13" s="69" t="str">
        <f>IF(AND(E13="TRACK WARRANT AUTHORITY",G13&lt;10),"OMIT","KEEP")</f>
        <v>KEEP</v>
      </c>
    </row>
    <row r="14" spans="1:22" s="1" customFormat="1" x14ac:dyDescent="0.25">
      <c r="A14" s="77">
        <v>42565.316134259258</v>
      </c>
      <c r="B14" s="65" t="s">
        <v>131</v>
      </c>
      <c r="C14" s="41" t="s">
        <v>303</v>
      </c>
      <c r="D14" s="41" t="s">
        <v>50</v>
      </c>
      <c r="E14" s="41" t="s">
        <v>57</v>
      </c>
      <c r="F14" s="66">
        <v>400</v>
      </c>
      <c r="G14" s="66">
        <v>500</v>
      </c>
      <c r="H14" s="66">
        <v>15302</v>
      </c>
      <c r="I14" s="41" t="s">
        <v>58</v>
      </c>
      <c r="J14" s="66">
        <v>17867</v>
      </c>
      <c r="K14" s="41" t="s">
        <v>53</v>
      </c>
      <c r="L14" s="101" t="str">
        <f>VLOOKUP(C14,'Trips&amp;Operators'!$C$1:$E$9999,3,0)</f>
        <v>SPECTOR</v>
      </c>
      <c r="M14" s="9" t="s">
        <v>108</v>
      </c>
      <c r="N14" s="10"/>
      <c r="O14" s="69"/>
      <c r="P14" s="72" t="str">
        <f>VLOOKUP(C14,'Train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14" s="70" t="str">
        <f>VLOOKUP(C14,'Train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4" s="71" t="str">
        <f>astrogrep_path&amp;" /spath="&amp;search_path&amp;" /stypes=""*"&amp;S14&amp;"*"&amp;TEXT(A14-utc_offset/24,"YYYYMMDD")&amp;"*"" /stext="" "&amp;TEXT(A14-utc_offset/24,"HH")&amp;search_regexp&amp;""" /e /r /s"</f>
        <v>"C:\Program Files (x86)\AstroGrep\AstroGrep.exe" /spath="C:\Users\stu\Documents\Analysis\2016-02-23 RTDC Observations" /stypes="*4044*20160714*" /stext=" 13:.+((prompt.+disp)|(slice.+state.+chan)|(ment ac)|(system.+state.+chan)|(\|lc)|(penalty)|(\[timeout))" /e /r /s</v>
      </c>
      <c r="S14" s="9" t="str">
        <f>MID(B14,13,4)</f>
        <v>4044</v>
      </c>
      <c r="T14" s="48">
        <f>A14+6/24</f>
        <v>42565.566134259258</v>
      </c>
      <c r="U14" s="69" t="str">
        <f>IF(VALUE(LEFT(C14,3))&lt;300,"EC","NWGL")</f>
        <v>EC</v>
      </c>
      <c r="V14" s="69" t="str">
        <f>IF(AND(E14="TRACK WARRANT AUTHORITY",G14&lt;10),"OMIT","KEEP")</f>
        <v>KEEP</v>
      </c>
    </row>
    <row r="15" spans="1:22" s="1" customFormat="1" x14ac:dyDescent="0.25">
      <c r="A15" s="77">
        <v>42565.257708333331</v>
      </c>
      <c r="B15" s="65" t="s">
        <v>144</v>
      </c>
      <c r="C15" s="41" t="s">
        <v>299</v>
      </c>
      <c r="D15" s="41" t="s">
        <v>50</v>
      </c>
      <c r="E15" s="65" t="s">
        <v>57</v>
      </c>
      <c r="F15" s="66">
        <v>300</v>
      </c>
      <c r="G15" s="66">
        <v>478</v>
      </c>
      <c r="H15" s="66">
        <v>24082</v>
      </c>
      <c r="I15" s="65" t="s">
        <v>58</v>
      </c>
      <c r="J15" s="66">
        <v>21848</v>
      </c>
      <c r="K15" s="41" t="s">
        <v>54</v>
      </c>
      <c r="L15" s="101" t="str">
        <f>VLOOKUP(C15,'Trips&amp;Operators'!$C$1:$E$9999,3,0)</f>
        <v>ROCHA</v>
      </c>
      <c r="M15" s="9" t="s">
        <v>108</v>
      </c>
      <c r="N15" s="10"/>
      <c r="O15" s="69"/>
      <c r="P15" s="72" t="str">
        <f>VLOOKUP(C15,'Train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15" s="70" t="str">
        <f>VLOOKUP(C15,'Train Runs'!$A$13:$AE$871,22,0)</f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1" t="str">
        <f>astrogrep_path&amp;" /spath="&amp;search_path&amp;" /stypes=""*"&amp;S15&amp;"*"&amp;TEXT(A15-utc_offset/24,"YYYYMMDD")&amp;"*"" /stext="" "&amp;TEXT(A15-utc_offset/24,"HH")&amp;search_regexp&amp;""" /e /r /s"</f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S15" s="9" t="str">
        <f>MID(B15,13,4)</f>
        <v>4039</v>
      </c>
      <c r="T15" s="48">
        <f>A15+6/24</f>
        <v>42565.507708333331</v>
      </c>
      <c r="U15" s="69" t="str">
        <f>IF(VALUE(LEFT(C15,3))&lt;300,"EC","NWGL")</f>
        <v>EC</v>
      </c>
      <c r="V15" s="69" t="str">
        <f>IF(AND(E15="TRACK WARRANT AUTHORITY",G15&lt;10),"OMIT","KEEP")</f>
        <v>KEEP</v>
      </c>
    </row>
    <row r="16" spans="1:22" s="1" customFormat="1" x14ac:dyDescent="0.25">
      <c r="A16" s="77">
        <v>42565.360729166663</v>
      </c>
      <c r="B16" s="65" t="s">
        <v>228</v>
      </c>
      <c r="C16" s="41" t="s">
        <v>337</v>
      </c>
      <c r="D16" s="41" t="s">
        <v>50</v>
      </c>
      <c r="E16" s="65" t="s">
        <v>57</v>
      </c>
      <c r="F16" s="66">
        <v>200</v>
      </c>
      <c r="G16" s="66">
        <v>440</v>
      </c>
      <c r="H16" s="66">
        <v>32946</v>
      </c>
      <c r="I16" s="65" t="s">
        <v>58</v>
      </c>
      <c r="J16" s="66">
        <v>30562</v>
      </c>
      <c r="K16" s="41" t="s">
        <v>54</v>
      </c>
      <c r="L16" s="101" t="str">
        <f>VLOOKUP(C16,'Trips&amp;Operators'!$C$1:$E$9999,3,0)</f>
        <v>BRANNON</v>
      </c>
      <c r="M16" s="9" t="s">
        <v>108</v>
      </c>
      <c r="N16" s="10"/>
      <c r="O16" s="41"/>
      <c r="P16" s="72" t="str">
        <f>VLOOKUP(C16,'Train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6" s="70" t="str">
        <f>VLOOKUP(C16,'Train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1" t="str">
        <f>astrogrep_path&amp;" /spath="&amp;search_path&amp;" /stypes=""*"&amp;S16&amp;"*"&amp;TEXT(A16-utc_offset/24,"YYYYMMDD")&amp;"*"" /stext="" "&amp;TEXT(A16-utc_offset/24,"HH")&amp;search_regexp&amp;""" /e /r /s"</f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16" s="9" t="str">
        <f>MID(B16,13,4)</f>
        <v>4041</v>
      </c>
      <c r="T16" s="48">
        <f>A16+6/24</f>
        <v>42565.610729166663</v>
      </c>
      <c r="U16" s="69" t="str">
        <f>IF(VALUE(LEFT(C16,3))&lt;300,"EC","NWGL")</f>
        <v>EC</v>
      </c>
      <c r="V16" s="69" t="str">
        <f>IF(AND(E16="TRACK WARRANT AUTHORITY",G16&lt;10),"OMIT","KEEP")</f>
        <v>KEEP</v>
      </c>
    </row>
    <row r="17" spans="1:22" s="1" customFormat="1" x14ac:dyDescent="0.25">
      <c r="A17" s="77">
        <v>42565.871354166666</v>
      </c>
      <c r="B17" s="65" t="s">
        <v>228</v>
      </c>
      <c r="C17" s="41" t="s">
        <v>464</v>
      </c>
      <c r="D17" s="41" t="s">
        <v>50</v>
      </c>
      <c r="E17" s="65" t="s">
        <v>57</v>
      </c>
      <c r="F17" s="66">
        <v>200</v>
      </c>
      <c r="G17" s="66">
        <v>384</v>
      </c>
      <c r="H17" s="66">
        <v>32303</v>
      </c>
      <c r="I17" s="65" t="s">
        <v>58</v>
      </c>
      <c r="J17" s="66">
        <v>30562</v>
      </c>
      <c r="K17" s="41" t="s">
        <v>54</v>
      </c>
      <c r="L17" s="101" t="str">
        <f>VLOOKUP(C17,'Trips&amp;Operators'!$C$1:$E$9999,3,0)</f>
        <v>KILLION</v>
      </c>
      <c r="M17" s="9" t="s">
        <v>108</v>
      </c>
      <c r="N17" s="10"/>
      <c r="O17" s="69"/>
      <c r="P17" s="72" t="str">
        <f>VLOOKUP(C17,'Train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7" s="70" t="str">
        <f>VLOOKUP(C17,'Train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>astrogrep_path&amp;" /spath="&amp;search_path&amp;" /stypes=""*"&amp;S17&amp;"*"&amp;TEXT(A17-utc_offset/24,"YYYYMMDD")&amp;"*"" /stext="" "&amp;TEXT(A17-utc_offset/24,"HH")&amp;search_regexp&amp;""" /e /r /s"</f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7" s="9" t="str">
        <f>MID(B17,13,4)</f>
        <v>4041</v>
      </c>
      <c r="T17" s="48">
        <f>A17+6/24</f>
        <v>42566.121354166666</v>
      </c>
      <c r="U17" s="69" t="str">
        <f>IF(VALUE(LEFT(C17,3))&lt;300,"EC","NWGL")</f>
        <v>EC</v>
      </c>
      <c r="V17" s="69" t="str">
        <f>IF(AND(E17="TRACK WARRANT AUTHORITY",G17&lt;10),"OMIT","KEEP")</f>
        <v>KEEP</v>
      </c>
    </row>
    <row r="18" spans="1:22" s="1" customFormat="1" x14ac:dyDescent="0.25">
      <c r="A18" s="77">
        <v>42565.872013888889</v>
      </c>
      <c r="B18" s="41" t="s">
        <v>228</v>
      </c>
      <c r="C18" s="41" t="s">
        <v>464</v>
      </c>
      <c r="D18" s="41" t="s">
        <v>50</v>
      </c>
      <c r="E18" s="41" t="s">
        <v>57</v>
      </c>
      <c r="F18" s="66">
        <v>200</v>
      </c>
      <c r="G18" s="66">
        <v>191</v>
      </c>
      <c r="H18" s="66">
        <v>30801</v>
      </c>
      <c r="I18" s="41" t="s">
        <v>58</v>
      </c>
      <c r="J18" s="66">
        <v>30562</v>
      </c>
      <c r="K18" s="41" t="s">
        <v>54</v>
      </c>
      <c r="L18" s="101" t="str">
        <f>VLOOKUP(C18,'Trips&amp;Operators'!$C$1:$E$9999,3,0)</f>
        <v>KILLION</v>
      </c>
      <c r="M18" s="9" t="s">
        <v>108</v>
      </c>
      <c r="N18" s="10"/>
      <c r="O18" s="41"/>
      <c r="P18" s="72" t="str">
        <f>VLOOKUP(C18,'Train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8" s="70" t="str">
        <f>VLOOKUP(C18,'Train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>astrogrep_path&amp;" /spath="&amp;search_path&amp;" /stypes=""*"&amp;S18&amp;"*"&amp;TEXT(A18-utc_offset/24,"YYYYMMDD")&amp;"*"" /stext="" "&amp;TEXT(A18-utc_offset/24,"HH")&amp;search_regexp&amp;""" /e /r /s"</f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8" s="9" t="str">
        <f>MID(B18,13,4)</f>
        <v>4041</v>
      </c>
      <c r="T18" s="48">
        <f>A18+6/24</f>
        <v>42566.122013888889</v>
      </c>
      <c r="U18" s="69" t="str">
        <f>IF(VALUE(LEFT(C18,3))&lt;300,"EC","NWGL")</f>
        <v>EC</v>
      </c>
      <c r="V18" s="69" t="str">
        <f>IF(AND(E18="TRACK WARRANT AUTHORITY",G18&lt;10),"OMIT","KEEP")</f>
        <v>KEEP</v>
      </c>
    </row>
    <row r="19" spans="1:22" s="1" customFormat="1" x14ac:dyDescent="0.25">
      <c r="A19" s="77">
        <v>42565.384756944448</v>
      </c>
      <c r="B19" s="65" t="s">
        <v>74</v>
      </c>
      <c r="C19" s="41" t="s">
        <v>351</v>
      </c>
      <c r="D19" s="41" t="s">
        <v>207</v>
      </c>
      <c r="E19" s="65" t="s">
        <v>57</v>
      </c>
      <c r="F19" s="66">
        <v>700</v>
      </c>
      <c r="G19" s="66">
        <v>755</v>
      </c>
      <c r="H19" s="66">
        <v>169759</v>
      </c>
      <c r="I19" s="65" t="s">
        <v>58</v>
      </c>
      <c r="J19" s="66">
        <v>161962</v>
      </c>
      <c r="K19" s="41" t="s">
        <v>53</v>
      </c>
      <c r="L19" s="101" t="str">
        <f>VLOOKUP(C19,'Trips&amp;Operators'!$C$1:$E$9999,3,0)</f>
        <v>BEAM</v>
      </c>
      <c r="M19" s="9" t="s">
        <v>108</v>
      </c>
      <c r="N19" s="10"/>
      <c r="O19" s="69"/>
      <c r="P19" s="72" t="str">
        <f>VLOOKUP(C19,'Train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19" s="70" t="str">
        <f>VLOOKUP(C19,'Train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9" s="71" t="str">
        <f>astrogrep_path&amp;" /spath="&amp;search_path&amp;" /stypes=""*"&amp;S19&amp;"*"&amp;TEXT(A19-utc_offset/24,"YYYYMMDD")&amp;"*"" /stext="" "&amp;TEXT(A19-utc_offset/24,"HH")&amp;search_regexp&amp;""" /e /r /s"</f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S19" s="9" t="str">
        <f>MID(B19,13,4)</f>
        <v>4018</v>
      </c>
      <c r="T19" s="48">
        <f>A19+6/24</f>
        <v>42565.634756944448</v>
      </c>
      <c r="U19" s="69" t="str">
        <f>IF(VALUE(LEFT(C19,3))&lt;300,"EC","NWGL")</f>
        <v>EC</v>
      </c>
      <c r="V19" s="69" t="str">
        <f>IF(AND(E19="TRACK WARRANT AUTHORITY",G19&lt;10),"OMIT","KEEP")</f>
        <v>KEEP</v>
      </c>
    </row>
    <row r="20" spans="1:22" s="1" customFormat="1" x14ac:dyDescent="0.25">
      <c r="A20" s="77">
        <v>42565.389652777776</v>
      </c>
      <c r="B20" s="65" t="s">
        <v>144</v>
      </c>
      <c r="C20" s="41" t="s">
        <v>346</v>
      </c>
      <c r="D20" s="41" t="s">
        <v>207</v>
      </c>
      <c r="E20" s="65" t="s">
        <v>57</v>
      </c>
      <c r="F20" s="66">
        <v>700</v>
      </c>
      <c r="G20" s="66">
        <v>752</v>
      </c>
      <c r="H20" s="66">
        <v>165748</v>
      </c>
      <c r="I20" s="65" t="s">
        <v>58</v>
      </c>
      <c r="J20" s="66">
        <v>183829</v>
      </c>
      <c r="K20" s="41" t="s">
        <v>54</v>
      </c>
      <c r="L20" s="101" t="str">
        <f>VLOOKUP(C20,'Trips&amp;Operators'!$C$1:$E$9999,3,0)</f>
        <v>ROCHA</v>
      </c>
      <c r="M20" s="9" t="s">
        <v>108</v>
      </c>
      <c r="N20" s="10"/>
      <c r="O20" s="41"/>
      <c r="P20" s="72" t="str">
        <f>VLOOKUP(C20,'Train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0" s="70" t="str">
        <f>VLOOKUP(C20,'Train Runs'!$A$13:$AE$871,22,0)</f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71" t="str">
        <f>astrogrep_path&amp;" /spath="&amp;search_path&amp;" /stypes=""*"&amp;S20&amp;"*"&amp;TEXT(A20-utc_offset/24,"YYYYMMDD")&amp;"*"" /stext="" "&amp;TEXT(A20-utc_offset/24,"HH")&amp;search_regexp&amp;""" /e /r /s"</f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S20" s="9" t="str">
        <f>MID(B20,13,4)</f>
        <v>4039</v>
      </c>
      <c r="T20" s="48">
        <f>A20+6/24</f>
        <v>42565.639652777776</v>
      </c>
      <c r="U20" s="69" t="str">
        <f>IF(VALUE(LEFT(C20,3))&lt;300,"EC","NWGL")</f>
        <v>EC</v>
      </c>
      <c r="V20" s="69" t="str">
        <f>IF(AND(E20="TRACK WARRANT AUTHORITY",G20&lt;10),"OMIT","KEEP")</f>
        <v>KEEP</v>
      </c>
    </row>
    <row r="21" spans="1:22" s="1" customFormat="1" x14ac:dyDescent="0.25">
      <c r="A21" s="77">
        <v>42565.572523148148</v>
      </c>
      <c r="B21" s="65" t="s">
        <v>134</v>
      </c>
      <c r="C21" s="41" t="s">
        <v>401</v>
      </c>
      <c r="D21" s="41" t="s">
        <v>207</v>
      </c>
      <c r="E21" s="65" t="s">
        <v>57</v>
      </c>
      <c r="F21" s="66">
        <v>350</v>
      </c>
      <c r="G21" s="66">
        <v>406</v>
      </c>
      <c r="H21" s="66">
        <v>224610</v>
      </c>
      <c r="I21" s="65" t="s">
        <v>58</v>
      </c>
      <c r="J21" s="66">
        <v>228668</v>
      </c>
      <c r="K21" s="41" t="s">
        <v>54</v>
      </c>
      <c r="L21" s="101" t="str">
        <f>VLOOKUP(C21,'Trips&amp;Operators'!$C$1:$E$9999,3,0)</f>
        <v>SHOOK</v>
      </c>
      <c r="M21" s="9" t="s">
        <v>108</v>
      </c>
      <c r="N21" s="10"/>
      <c r="O21" s="41"/>
      <c r="P21" s="72" t="str">
        <f>VLOOKUP(C21,'Train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1" s="70" t="str">
        <f>VLOOKUP(C21,'Train Runs'!$A$13:$AE$871,22,0)</f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1" s="71" t="str">
        <f>astrogrep_path&amp;" /spath="&amp;search_path&amp;" /stypes=""*"&amp;S21&amp;"*"&amp;TEXT(A21-utc_offset/24,"YYYYMMDD")&amp;"*"" /stext="" "&amp;TEXT(A21-utc_offset/24,"HH")&amp;search_regexp&amp;""" /e /r /s"</f>
        <v>"C:\Program Files (x86)\AstroGrep\AstroGrep.exe" /spath="C:\Users\stu\Documents\Analysis\2016-02-23 RTDC Observations" /stypes="*4043*20160714*" /stext=" 19:.+((prompt.+disp)|(slice.+state.+chan)|(ment ac)|(system.+state.+chan)|(\|lc)|(penalty)|(\[timeout))" /e /r /s</v>
      </c>
      <c r="S21" s="9" t="str">
        <f>MID(B21,13,4)</f>
        <v>4043</v>
      </c>
      <c r="T21" s="48">
        <f>A21+6/24</f>
        <v>42565.822523148148</v>
      </c>
      <c r="U21" s="69" t="str">
        <f>IF(VALUE(LEFT(C21,3))&lt;300,"EC","NWGL")</f>
        <v>EC</v>
      </c>
      <c r="V21" s="69" t="str">
        <f>IF(AND(E21="TRACK WARRANT AUTHORITY",G21&lt;10),"OMIT","KEEP")</f>
        <v>KEEP</v>
      </c>
    </row>
    <row r="22" spans="1:22" s="1" customFormat="1" x14ac:dyDescent="0.25">
      <c r="A22" s="77">
        <v>42565.60869212963</v>
      </c>
      <c r="B22" s="65" t="s">
        <v>74</v>
      </c>
      <c r="C22" s="41" t="s">
        <v>410</v>
      </c>
      <c r="D22" s="41" t="s">
        <v>50</v>
      </c>
      <c r="E22" s="65" t="s">
        <v>57</v>
      </c>
      <c r="F22" s="66">
        <v>150</v>
      </c>
      <c r="G22" s="66">
        <v>150</v>
      </c>
      <c r="H22" s="66">
        <v>229874</v>
      </c>
      <c r="I22" s="65" t="s">
        <v>58</v>
      </c>
      <c r="J22" s="66">
        <v>230436</v>
      </c>
      <c r="K22" s="41" t="s">
        <v>53</v>
      </c>
      <c r="L22" s="101" t="str">
        <f>VLOOKUP(C22,'Trips&amp;Operators'!$C$1:$E$9999,3,0)</f>
        <v>ADANE</v>
      </c>
      <c r="M22" s="9" t="s">
        <v>108</v>
      </c>
      <c r="N22" s="10"/>
      <c r="O22" s="41"/>
      <c r="P22" s="72" t="str">
        <f>VLOOKUP(C22,'Train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22" s="70" t="str">
        <f>VLOOKUP(C22,'Train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2" s="71" t="str">
        <f>astrogrep_path&amp;" /spath="&amp;search_path&amp;" /stypes=""*"&amp;S22&amp;"*"&amp;TEXT(A22-utc_offset/24,"YYYYMMDD")&amp;"*"" /stext="" "&amp;TEXT(A22-utc_offset/24,"HH")&amp;search_regexp&amp;""" /e /r /s"</f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S22" s="9" t="str">
        <f>MID(B22,13,4)</f>
        <v>4018</v>
      </c>
      <c r="T22" s="48">
        <f>A22+6/24</f>
        <v>42565.85869212963</v>
      </c>
      <c r="U22" s="69" t="str">
        <f>IF(VALUE(LEFT(C22,3))&lt;300,"EC","NWGL")</f>
        <v>EC</v>
      </c>
      <c r="V22" s="69" t="str">
        <f>IF(AND(E22="TRACK WARRANT AUTHORITY",G22&lt;10),"OMIT","KEEP")</f>
        <v>KEEP</v>
      </c>
    </row>
    <row r="23" spans="1:22" s="1" customFormat="1" x14ac:dyDescent="0.25">
      <c r="A23" s="77">
        <v>42565.920671296299</v>
      </c>
      <c r="B23" s="65" t="s">
        <v>83</v>
      </c>
      <c r="C23" s="41" t="s">
        <v>473</v>
      </c>
      <c r="D23" s="41" t="s">
        <v>50</v>
      </c>
      <c r="E23" s="65" t="s">
        <v>57</v>
      </c>
      <c r="F23" s="66">
        <v>150</v>
      </c>
      <c r="G23" s="66">
        <v>195</v>
      </c>
      <c r="H23" s="66">
        <v>231481</v>
      </c>
      <c r="I23" s="65" t="s">
        <v>58</v>
      </c>
      <c r="J23" s="66">
        <v>232080</v>
      </c>
      <c r="K23" s="41" t="s">
        <v>53</v>
      </c>
      <c r="L23" s="101" t="str">
        <f>VLOOKUP(C23,'Trips&amp;Operators'!$C$1:$E$9999,3,0)</f>
        <v>MOSES</v>
      </c>
      <c r="M23" s="9" t="s">
        <v>108</v>
      </c>
      <c r="N23" s="10"/>
      <c r="O23" s="41"/>
      <c r="P23" s="72" t="str">
        <f>VLOOKUP(C23,'Train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23" s="70" t="str">
        <f>VLOOKUP(C23,'Train Runs'!$A$13:$AE$871,22,0)</f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3" s="71" t="str">
        <f>astrogrep_path&amp;" /spath="&amp;search_path&amp;" /stypes=""*"&amp;S23&amp;"*"&amp;TEXT(A23-utc_offset/24,"YYYYMMDD")&amp;"*"" /stext="" "&amp;TEXT(A23-utc_offset/24,"HH")&amp;search_regexp&amp;""" /e /r /s"</f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S23" s="9" t="str">
        <f>MID(B23,13,4)</f>
        <v>4042</v>
      </c>
      <c r="T23" s="48">
        <f>A23+6/24</f>
        <v>42566.170671296299</v>
      </c>
      <c r="U23" s="69" t="str">
        <f>IF(VALUE(LEFT(C23,3))&lt;300,"EC","NWGL")</f>
        <v>EC</v>
      </c>
      <c r="V23" s="69" t="str">
        <f>IF(AND(E23="TRACK WARRANT AUTHORITY",G23&lt;10),"OMIT","KEEP")</f>
        <v>KEEP</v>
      </c>
    </row>
    <row r="24" spans="1:22" x14ac:dyDescent="0.25">
      <c r="A24" s="77">
        <v>42565.275138888886</v>
      </c>
      <c r="B24" s="65" t="s">
        <v>112</v>
      </c>
      <c r="C24" s="41" t="s">
        <v>292</v>
      </c>
      <c r="D24" s="41" t="s">
        <v>50</v>
      </c>
      <c r="E24" s="65" t="s">
        <v>57</v>
      </c>
      <c r="F24" s="66">
        <v>150</v>
      </c>
      <c r="G24" s="66">
        <v>128</v>
      </c>
      <c r="H24" s="66">
        <v>231671</v>
      </c>
      <c r="I24" s="65" t="s">
        <v>58</v>
      </c>
      <c r="J24" s="66">
        <v>232107</v>
      </c>
      <c r="K24" s="41" t="s">
        <v>53</v>
      </c>
      <c r="L24" s="101" t="str">
        <f>VLOOKUP(C24,'Trips&amp;Operators'!$C$1:$E$9999,3,0)</f>
        <v>MALAVE</v>
      </c>
      <c r="M24" s="9" t="s">
        <v>108</v>
      </c>
      <c r="N24" s="10"/>
      <c r="O24" s="41"/>
      <c r="P24" s="72" t="str">
        <f>VLOOKUP(C24,'Train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24" s="70" t="str">
        <f>VLOOKUP(C24,'Train Runs'!$A$13:$AE$871,22,0)</f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71" t="str">
        <f>astrogrep_path&amp;" /spath="&amp;search_path&amp;" /stypes=""*"&amp;S24&amp;"*"&amp;TEXT(A24-utc_offset/24,"YYYYMMDD")&amp;"*"" /stext="" "&amp;TEXT(A24-utc_offset/24,"HH")&amp;search_regexp&amp;""" /e /r /s"</f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S24" s="9" t="str">
        <f>MID(B24,13,4)</f>
        <v>4038</v>
      </c>
      <c r="T24" s="48">
        <f>A24+6/24</f>
        <v>42565.525138888886</v>
      </c>
      <c r="U24" s="69" t="str">
        <f>IF(VALUE(LEFT(C24,3))&lt;300,"EC","NWGL")</f>
        <v>EC</v>
      </c>
      <c r="V24" s="69" t="str">
        <f>IF(AND(E24="TRACK WARRANT AUTHORITY",G24&lt;10),"OMIT","KEEP")</f>
        <v>KEEP</v>
      </c>
    </row>
    <row r="25" spans="1:22" x14ac:dyDescent="0.25">
      <c r="A25" s="77">
        <v>42565.717824074076</v>
      </c>
      <c r="B25" s="65" t="s">
        <v>134</v>
      </c>
      <c r="C25" s="41" t="s">
        <v>436</v>
      </c>
      <c r="D25" s="41" t="s">
        <v>207</v>
      </c>
      <c r="E25" s="65" t="s">
        <v>57</v>
      </c>
      <c r="F25" s="66">
        <v>350</v>
      </c>
      <c r="G25" s="66">
        <v>401</v>
      </c>
      <c r="H25" s="66">
        <v>224678</v>
      </c>
      <c r="I25" s="65" t="s">
        <v>58</v>
      </c>
      <c r="J25" s="66">
        <v>232107</v>
      </c>
      <c r="K25" s="41" t="s">
        <v>54</v>
      </c>
      <c r="L25" s="101" t="str">
        <f>VLOOKUP(C25,'Trips&amp;Operators'!$C$1:$E$9999,3,0)</f>
        <v>SHOOK</v>
      </c>
      <c r="M25" s="9" t="s">
        <v>108</v>
      </c>
      <c r="N25" s="10"/>
      <c r="O25" s="41"/>
      <c r="P25" s="72" t="str">
        <f>VLOOKUP(C25,'Train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5" s="70" t="str">
        <f>VLOOKUP(C25,'Train Runs'!$A$13:$AE$871,22,0)</f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5" s="71" t="str">
        <f>astrogrep_path&amp;" /spath="&amp;search_path&amp;" /stypes=""*"&amp;S25&amp;"*"&amp;TEXT(A25-utc_offset/24,"YYYYMMDD")&amp;"*"" /stext="" "&amp;TEXT(A25-utc_offset/24,"HH")&amp;search_regexp&amp;""" /e /r /s"</f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S25" s="9" t="str">
        <f>MID(B25,13,4)</f>
        <v>4043</v>
      </c>
      <c r="T25" s="48">
        <f>A25+6/24</f>
        <v>42565.967824074076</v>
      </c>
      <c r="U25" s="69" t="str">
        <f>IF(VALUE(LEFT(C25,3))&lt;300,"EC","NWGL")</f>
        <v>EC</v>
      </c>
      <c r="V25" s="69" t="str">
        <f>IF(AND(E25="TRACK WARRANT AUTHORITY",G25&lt;10),"OMIT","KEEP")</f>
        <v>KEEP</v>
      </c>
    </row>
    <row r="26" spans="1:22" x14ac:dyDescent="0.25">
      <c r="A26" s="77">
        <v>42565.591574074075</v>
      </c>
      <c r="B26" s="65" t="s">
        <v>117</v>
      </c>
      <c r="C26" s="41" t="s">
        <v>406</v>
      </c>
      <c r="D26" s="41" t="s">
        <v>50</v>
      </c>
      <c r="E26" s="65" t="s">
        <v>55</v>
      </c>
      <c r="F26" s="66">
        <v>0</v>
      </c>
      <c r="G26" s="66">
        <v>149</v>
      </c>
      <c r="H26" s="66">
        <v>232140</v>
      </c>
      <c r="I26" s="65" t="s">
        <v>56</v>
      </c>
      <c r="J26" s="66">
        <v>231147</v>
      </c>
      <c r="K26" s="41" t="s">
        <v>54</v>
      </c>
      <c r="L26" s="101" t="str">
        <f>VLOOKUP(C26,'Trips&amp;Operators'!$C$1:$E$9999,3,0)</f>
        <v>NELSON</v>
      </c>
      <c r="M26" s="9" t="s">
        <v>107</v>
      </c>
      <c r="N26" s="10" t="s">
        <v>314</v>
      </c>
      <c r="O26" s="41"/>
      <c r="P26" s="72" t="str">
        <f>VLOOKUP(C26,'Train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26" s="70" t="str">
        <f>VLOOKUP(C26,'Train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6" s="71" t="str">
        <f>astrogrep_path&amp;" /spath="&amp;search_path&amp;" /stypes=""*"&amp;S26&amp;"*"&amp;TEXT(A26-utc_offset/24,"YYYYMMDD")&amp;"*"" /stext="" "&amp;TEXT(A26-utc_offset/24,"HH")&amp;search_regexp&amp;""" /e /r /s"</f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S26" s="9" t="str">
        <f>MID(B26,13,4)</f>
        <v>4026</v>
      </c>
      <c r="T26" s="48">
        <f>A26+6/24</f>
        <v>42565.841574074075</v>
      </c>
      <c r="U26" s="69" t="str">
        <f>IF(VALUE(LEFT(C26,3))&lt;300,"EC","NWGL")</f>
        <v>EC</v>
      </c>
      <c r="V26" s="69" t="str">
        <f>IF(AND(E26="TRACK WARRANT AUTHORITY",G26&lt;10),"OMIT","KEEP")</f>
        <v>KEEP</v>
      </c>
    </row>
    <row r="27" spans="1:22" x14ac:dyDescent="0.25">
      <c r="A27" s="77">
        <v>42565.758275462962</v>
      </c>
      <c r="B27" s="65" t="s">
        <v>72</v>
      </c>
      <c r="C27" s="41" t="s">
        <v>444</v>
      </c>
      <c r="D27" s="41" t="s">
        <v>50</v>
      </c>
      <c r="E27" s="65" t="s">
        <v>55</v>
      </c>
      <c r="F27" s="66">
        <v>0</v>
      </c>
      <c r="G27" s="66">
        <v>122</v>
      </c>
      <c r="H27" s="66">
        <v>232318</v>
      </c>
      <c r="I27" s="65" t="s">
        <v>56</v>
      </c>
      <c r="J27" s="66">
        <v>231650</v>
      </c>
      <c r="K27" s="41" t="s">
        <v>54</v>
      </c>
      <c r="L27" s="101" t="str">
        <f>VLOOKUP(C27,'Trips&amp;Operators'!$C$1:$E$9999,3,0)</f>
        <v>MAELZER</v>
      </c>
      <c r="M27" s="9" t="s">
        <v>107</v>
      </c>
      <c r="N27" s="10" t="s">
        <v>314</v>
      </c>
      <c r="O27" s="69"/>
      <c r="P27" s="72" t="str">
        <f>VLOOKUP(C27,'Train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7" s="70" t="str">
        <f>VLOOKUP(C27,'Train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7" s="71" t="str">
        <f>astrogrep_path&amp;" /spath="&amp;search_path&amp;" /stypes=""*"&amp;S27&amp;"*"&amp;TEXT(A27-utc_offset/24,"YYYYMMDD")&amp;"*"" /stext="" "&amp;TEXT(A27-utc_offset/24,"HH")&amp;search_regexp&amp;""" /e /r /s"</f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7" s="9" t="str">
        <f>MID(B27,13,4)</f>
        <v>4019</v>
      </c>
      <c r="T27" s="48">
        <f>A27+6/24</f>
        <v>42566.008275462962</v>
      </c>
      <c r="U27" s="69" t="str">
        <f>IF(VALUE(LEFT(C27,3))&lt;300,"EC","NWGL")</f>
        <v>EC</v>
      </c>
      <c r="V27" s="69" t="str">
        <f>IF(AND(E27="TRACK WARRANT AUTHORITY",G27&lt;10),"OMIT","KEEP")</f>
        <v>KEEP</v>
      </c>
    </row>
    <row r="28" spans="1:22" x14ac:dyDescent="0.25">
      <c r="A28" s="77">
        <v>42565.758958333332</v>
      </c>
      <c r="B28" s="65" t="s">
        <v>72</v>
      </c>
      <c r="C28" s="41" t="s">
        <v>444</v>
      </c>
      <c r="D28" s="41" t="s">
        <v>50</v>
      </c>
      <c r="E28" s="65" t="s">
        <v>55</v>
      </c>
      <c r="F28" s="66">
        <v>0</v>
      </c>
      <c r="G28" s="66">
        <v>122</v>
      </c>
      <c r="H28" s="66">
        <v>232318</v>
      </c>
      <c r="I28" s="65" t="s">
        <v>56</v>
      </c>
      <c r="J28" s="66">
        <v>231650</v>
      </c>
      <c r="K28" s="41" t="s">
        <v>54</v>
      </c>
      <c r="L28" s="101" t="str">
        <f>VLOOKUP(C28,'Trips&amp;Operators'!$C$1:$E$9999,3,0)</f>
        <v>MAELZER</v>
      </c>
      <c r="M28" s="9" t="s">
        <v>107</v>
      </c>
      <c r="N28" s="10" t="s">
        <v>314</v>
      </c>
      <c r="O28" s="41"/>
      <c r="P28" s="72" t="str">
        <f>VLOOKUP(C28,'Train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8" s="70" t="str">
        <f>VLOOKUP(C28,'Train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8" s="71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8" s="9" t="str">
        <f>MID(B28,13,4)</f>
        <v>4019</v>
      </c>
      <c r="T28" s="48">
        <f>A28+6/24</f>
        <v>42566.008958333332</v>
      </c>
      <c r="U28" s="69" t="str">
        <f>IF(VALUE(LEFT(C28,3))&lt;300,"EC","NWGL")</f>
        <v>EC</v>
      </c>
      <c r="V28" s="69" t="str">
        <f>IF(AND(E28="TRACK WARRANT AUTHORITY",G28&lt;10),"OMIT","KEEP")</f>
        <v>KEEP</v>
      </c>
    </row>
    <row r="29" spans="1:22" x14ac:dyDescent="0.25">
      <c r="A29" s="78">
        <v>42565.800034722219</v>
      </c>
      <c r="B29" s="65" t="s">
        <v>144</v>
      </c>
      <c r="C29" s="41" t="s">
        <v>453</v>
      </c>
      <c r="D29" s="41" t="s">
        <v>50</v>
      </c>
      <c r="E29" s="41" t="s">
        <v>105</v>
      </c>
      <c r="F29" s="66">
        <v>0</v>
      </c>
      <c r="G29" s="66">
        <v>140</v>
      </c>
      <c r="H29" s="66">
        <v>232368</v>
      </c>
      <c r="I29" s="41" t="s">
        <v>106</v>
      </c>
      <c r="J29" s="66">
        <v>231650</v>
      </c>
      <c r="K29" s="41" t="s">
        <v>54</v>
      </c>
      <c r="L29" s="101" t="str">
        <f>VLOOKUP(C29,'Trips&amp;Operators'!$C$1:$E$9999,3,0)</f>
        <v>LEVIN</v>
      </c>
      <c r="M29" s="9" t="s">
        <v>107</v>
      </c>
      <c r="N29" s="10" t="s">
        <v>314</v>
      </c>
      <c r="O29" s="41"/>
      <c r="P29" s="72" t="str">
        <f>VLOOKUP(C29,'Train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9" s="70" t="str">
        <f>VLOOKUP(C29,'Train Runs'!$A$13:$AE$871,22,0)</f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9" s="71" t="str">
        <f>astrogrep_path&amp;" /spath="&amp;search_path&amp;" /stypes=""*"&amp;S29&amp;"*"&amp;TEXT(A29-utc_offset/24,"YYYYMMDD")&amp;"*"" /stext="" "&amp;TEXT(A29-utc_offset/24,"HH")&amp;search_regexp&amp;""" /e /r /s"</f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S29" s="9" t="str">
        <f>MID(B29,13,4)</f>
        <v>4039</v>
      </c>
      <c r="T29" s="48">
        <f>A29+6/24</f>
        <v>42566.050034722219</v>
      </c>
      <c r="U29" s="69" t="str">
        <f>IF(VALUE(LEFT(C29,3))&lt;300,"EC","NWGL")</f>
        <v>EC</v>
      </c>
      <c r="V29" s="69" t="str">
        <f>IF(AND(E29="TRACK WARRANT AUTHORITY",G29&lt;10),"OMIT","KEEP")</f>
        <v>KEEP</v>
      </c>
    </row>
    <row r="30" spans="1:22" hidden="1" x14ac:dyDescent="0.25">
      <c r="A30" s="77">
        <v>42565.199930555558</v>
      </c>
      <c r="B30" s="65" t="s">
        <v>75</v>
      </c>
      <c r="C30" s="41" t="s">
        <v>307</v>
      </c>
      <c r="D30" s="41" t="s">
        <v>50</v>
      </c>
      <c r="E30" s="65" t="s">
        <v>51</v>
      </c>
      <c r="F30" s="66">
        <v>0</v>
      </c>
      <c r="G30" s="66">
        <v>8</v>
      </c>
      <c r="H30" s="66">
        <v>103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BEAM</v>
      </c>
      <c r="M30" s="9" t="s">
        <v>108</v>
      </c>
      <c r="N30" s="10"/>
      <c r="O30" s="41"/>
      <c r="P30" s="72" t="str">
        <f>VLOOKUP(C30,'Train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0" s="70" t="str">
        <f>VLOOKUP(C30,'Train Runs'!$A$13:$AE$871,22,0)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1" t="str">
        <f>astrogrep_path&amp;" /spath="&amp;search_path&amp;" /stypes=""*"&amp;S30&amp;"*"&amp;TEXT(A30-utc_offset/24,"YYYYMMDD")&amp;"*"" /stext="" "&amp;TEXT(A30-utc_offset/24,"HH")&amp;search_regexp&amp;""" /e /r /s"</f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S30" s="9" t="str">
        <f>MID(B30,13,4)</f>
        <v>4017</v>
      </c>
      <c r="T30" s="48">
        <f>A30+6/24</f>
        <v>42565.449930555558</v>
      </c>
      <c r="U30" s="69" t="str">
        <f>IF(VALUE(LEFT(C30,3))&lt;300,"EC","NWGL")</f>
        <v>EC</v>
      </c>
      <c r="V30" s="69" t="str">
        <f>IF(AND(E30="TRACK WARRANT AUTHORITY",G30&lt;10),"OMIT","KEEP")</f>
        <v>OMIT</v>
      </c>
    </row>
    <row r="31" spans="1:22" x14ac:dyDescent="0.25">
      <c r="A31" s="77">
        <v>42565.293124999997</v>
      </c>
      <c r="B31" s="65" t="s">
        <v>228</v>
      </c>
      <c r="C31" s="41" t="s">
        <v>288</v>
      </c>
      <c r="D31" s="41" t="s">
        <v>50</v>
      </c>
      <c r="E31" s="65" t="s">
        <v>51</v>
      </c>
      <c r="F31" s="66">
        <v>0</v>
      </c>
      <c r="G31" s="66">
        <v>66</v>
      </c>
      <c r="H31" s="66">
        <v>207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BRANNON</v>
      </c>
      <c r="M31" s="9" t="s">
        <v>108</v>
      </c>
      <c r="N31" s="10"/>
      <c r="O31" s="41"/>
      <c r="P31" s="72" t="str">
        <f>VLOOKUP(C31,'Train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1" s="70" t="str">
        <f>VLOOKUP(C31,'Train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1" s="71" t="str">
        <f>astrogrep_path&amp;" /spath="&amp;search_path&amp;" /stypes=""*"&amp;S31&amp;"*"&amp;TEXT(A31-utc_offset/24,"YYYYMMDD")&amp;"*"" /stext="" "&amp;TEXT(A31-utc_offset/24,"HH")&amp;search_regexp&amp;""" /e /r /s"</f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S31" s="9" t="str">
        <f>MID(B31,13,4)</f>
        <v>4041</v>
      </c>
      <c r="T31" s="48">
        <f>A31+6/24</f>
        <v>42565.543124999997</v>
      </c>
      <c r="U31" s="69" t="str">
        <f>IF(VALUE(LEFT(C31,3))&lt;300,"EC","NWGL")</f>
        <v>EC</v>
      </c>
      <c r="V31" s="69" t="str">
        <f>IF(AND(E31="TRACK WARRANT AUTHORITY",G31&lt;10),"OMIT","KEEP")</f>
        <v>KEEP</v>
      </c>
    </row>
    <row r="32" spans="1:22" hidden="1" x14ac:dyDescent="0.25">
      <c r="A32" s="77">
        <v>42565.314791666664</v>
      </c>
      <c r="B32" s="65" t="s">
        <v>122</v>
      </c>
      <c r="C32" s="41" t="s">
        <v>290</v>
      </c>
      <c r="D32" s="41" t="s">
        <v>50</v>
      </c>
      <c r="E32" s="65" t="s">
        <v>51</v>
      </c>
      <c r="F32" s="66">
        <v>0</v>
      </c>
      <c r="G32" s="66">
        <v>8</v>
      </c>
      <c r="H32" s="66">
        <v>112</v>
      </c>
      <c r="I32" s="65" t="s">
        <v>52</v>
      </c>
      <c r="J32" s="66">
        <v>1</v>
      </c>
      <c r="K32" s="41" t="s">
        <v>54</v>
      </c>
      <c r="L32" s="101" t="str">
        <f>VLOOKUP(C32,'Trips&amp;Operators'!$C$1:$E$9999,3,0)</f>
        <v>MALAVE</v>
      </c>
      <c r="M32" s="9" t="s">
        <v>108</v>
      </c>
      <c r="N32" s="10"/>
      <c r="O32" s="69"/>
      <c r="P32" s="72" t="str">
        <f>VLOOKUP(C32,'Train Runs'!$A$13:$AE$871,31,0)</f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Q32" s="70" t="str">
        <f>VLOOKUP(C32,'Train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2" s="71" t="str">
        <f>astrogrep_path&amp;" /spath="&amp;search_path&amp;" /stypes=""*"&amp;S32&amp;"*"&amp;TEXT(A32-utc_offset/24,"YYYYMMDD")&amp;"*"" /stext="" "&amp;TEXT(A32-utc_offset/24,"HH")&amp;search_regexp&amp;""" /e /r /s"</f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S32" s="9" t="str">
        <f>MID(B32,13,4)</f>
        <v>4037</v>
      </c>
      <c r="T32" s="48">
        <f>A32+6/24</f>
        <v>42565.564791666664</v>
      </c>
      <c r="U32" s="69" t="str">
        <f>IF(VALUE(LEFT(C32,3))&lt;300,"EC","NWGL")</f>
        <v>EC</v>
      </c>
      <c r="V32" s="69" t="str">
        <f>IF(AND(E32="TRACK WARRANT AUTHORITY",G32&lt;10),"OMIT","KEEP")</f>
        <v>OMIT</v>
      </c>
    </row>
    <row r="33" spans="1:22" hidden="1" x14ac:dyDescent="0.25">
      <c r="A33" s="77">
        <v>42565.356030092589</v>
      </c>
      <c r="B33" s="65" t="s">
        <v>75</v>
      </c>
      <c r="C33" s="41" t="s">
        <v>334</v>
      </c>
      <c r="D33" s="41" t="s">
        <v>50</v>
      </c>
      <c r="E33" s="65" t="s">
        <v>51</v>
      </c>
      <c r="F33" s="66">
        <v>0</v>
      </c>
      <c r="G33" s="66">
        <v>6</v>
      </c>
      <c r="H33" s="66">
        <v>123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BEAM</v>
      </c>
      <c r="M33" s="9" t="s">
        <v>108</v>
      </c>
      <c r="N33" s="10"/>
      <c r="O33" s="69"/>
      <c r="P33" s="72" t="str">
        <f>VLOOKUP(C33,'Train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3" s="70" t="str">
        <f>VLOOKUP(C33,'Train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3" s="71" t="str">
        <f>astrogrep_path&amp;" /spath="&amp;search_path&amp;" /stypes=""*"&amp;S33&amp;"*"&amp;TEXT(A33-utc_offset/24,"YYYYMMDD")&amp;"*"" /stext="" "&amp;TEXT(A33-utc_offset/24,"HH")&amp;search_regexp&amp;""" /e /r /s"</f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S33" s="9" t="str">
        <f>MID(B33,13,4)</f>
        <v>4017</v>
      </c>
      <c r="T33" s="48">
        <f>A33+6/24</f>
        <v>42565.606030092589</v>
      </c>
      <c r="U33" s="69" t="str">
        <f>IF(VALUE(LEFT(C33,3))&lt;300,"EC","NWGL")</f>
        <v>EC</v>
      </c>
      <c r="V33" s="69" t="str">
        <f>IF(AND(E33="TRACK WARRANT AUTHORITY",G33&lt;10),"OMIT","KEEP")</f>
        <v>OMIT</v>
      </c>
    </row>
    <row r="34" spans="1:22" x14ac:dyDescent="0.25">
      <c r="A34" s="77">
        <v>42565.366851851853</v>
      </c>
      <c r="B34" s="65" t="s">
        <v>228</v>
      </c>
      <c r="C34" s="41" t="s">
        <v>337</v>
      </c>
      <c r="D34" s="41" t="s">
        <v>50</v>
      </c>
      <c r="E34" s="65" t="s">
        <v>51</v>
      </c>
      <c r="F34" s="66">
        <v>0</v>
      </c>
      <c r="G34" s="66">
        <v>60</v>
      </c>
      <c r="H34" s="66">
        <v>214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BRANNON</v>
      </c>
      <c r="M34" s="9" t="s">
        <v>108</v>
      </c>
      <c r="N34" s="10"/>
      <c r="O34" s="41"/>
      <c r="P34" s="72" t="str">
        <f>VLOOKUP(C34,'Train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4" s="70" t="str">
        <f>VLOOKUP(C34,'Train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4" s="71" t="str">
        <f>astrogrep_path&amp;" /spath="&amp;search_path&amp;" /stypes=""*"&amp;S34&amp;"*"&amp;TEXT(A34-utc_offset/24,"YYYYMMDD")&amp;"*"" /stext="" "&amp;TEXT(A34-utc_offset/24,"HH")&amp;search_regexp&amp;""" /e /r /s"</f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34" s="9" t="str">
        <f>MID(B34,13,4)</f>
        <v>4041</v>
      </c>
      <c r="T34" s="48">
        <f>A34+6/24</f>
        <v>42565.616851851853</v>
      </c>
      <c r="U34" s="69" t="str">
        <f>IF(VALUE(LEFT(C34,3))&lt;300,"EC","NWGL")</f>
        <v>EC</v>
      </c>
      <c r="V34" s="69" t="str">
        <f>IF(AND(E34="TRACK WARRANT AUTHORITY",G34&lt;10),"OMIT","KEEP")</f>
        <v>KEEP</v>
      </c>
    </row>
    <row r="35" spans="1:22" hidden="1" x14ac:dyDescent="0.25">
      <c r="A35" s="77">
        <v>42565.439872685187</v>
      </c>
      <c r="B35" s="65" t="s">
        <v>228</v>
      </c>
      <c r="C35" s="41" t="s">
        <v>355</v>
      </c>
      <c r="D35" s="41" t="s">
        <v>50</v>
      </c>
      <c r="E35" s="65" t="s">
        <v>51</v>
      </c>
      <c r="F35" s="66">
        <v>0</v>
      </c>
      <c r="G35" s="66">
        <v>9</v>
      </c>
      <c r="H35" s="66">
        <v>116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BRANNON</v>
      </c>
      <c r="M35" s="9" t="s">
        <v>108</v>
      </c>
      <c r="N35" s="10"/>
      <c r="O35" s="41"/>
      <c r="P35" s="72" t="str">
        <f>VLOOKUP(C35,'Train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5" s="70" t="str">
        <f>VLOOKUP(C35,'Train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5" s="71" t="str">
        <f>astrogrep_path&amp;" /spath="&amp;search_path&amp;" /stypes=""*"&amp;S35&amp;"*"&amp;TEXT(A35-utc_offset/24,"YYYYMMDD")&amp;"*"" /stext="" "&amp;TEXT(A35-utc_offset/24,"HH")&amp;search_regexp&amp;""" /e /r /s"</f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35" s="9" t="str">
        <f>MID(B35,13,4)</f>
        <v>4041</v>
      </c>
      <c r="T35" s="48">
        <f>A35+6/24</f>
        <v>42565.689872685187</v>
      </c>
      <c r="U35" s="69" t="str">
        <f>IF(VALUE(LEFT(C35,3))&lt;300,"EC","NWGL")</f>
        <v>EC</v>
      </c>
      <c r="V35" s="69" t="str">
        <f>IF(AND(E35="TRACK WARRANT AUTHORITY",G35&lt;10),"OMIT","KEEP")</f>
        <v>OMIT</v>
      </c>
    </row>
    <row r="36" spans="1:22" ht="15" hidden="1" customHeight="1" x14ac:dyDescent="0.25">
      <c r="A36" s="77">
        <v>42565.45045138889</v>
      </c>
      <c r="B36" s="65" t="s">
        <v>134</v>
      </c>
      <c r="C36" s="41" t="s">
        <v>358</v>
      </c>
      <c r="D36" s="41" t="s">
        <v>50</v>
      </c>
      <c r="E36" s="65" t="s">
        <v>51</v>
      </c>
      <c r="F36" s="66">
        <v>0</v>
      </c>
      <c r="G36" s="66">
        <v>2</v>
      </c>
      <c r="H36" s="66">
        <v>130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SPECTOR</v>
      </c>
      <c r="M36" s="9" t="s">
        <v>108</v>
      </c>
      <c r="N36" s="10"/>
      <c r="O36" s="113"/>
      <c r="P36" s="102" t="str">
        <f>VLOOKUP(C36,'Train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36" s="70" t="str">
        <f>VLOOKUP(C36,'Train Runs'!$A$13:$AE$871,22,0)</f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6" s="71" t="str">
        <f>astrogrep_path&amp;" /spath="&amp;search_path&amp;" /stypes=""*"&amp;S36&amp;"*"&amp;TEXT(A36-utc_offset/24,"YYYYMMDD")&amp;"*"" /stext="" "&amp;TEXT(A36-utc_offset/24,"HH")&amp;search_regexp&amp;""" /e /r /s"</f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S36" s="9" t="str">
        <f>MID(B36,13,4)</f>
        <v>4043</v>
      </c>
      <c r="T36" s="48">
        <f>A36+6/24</f>
        <v>42565.70045138889</v>
      </c>
      <c r="U36" s="69" t="str">
        <f>IF(VALUE(LEFT(C36,3))&lt;300,"EC","NWGL")</f>
        <v>EC</v>
      </c>
      <c r="V36" s="69" t="str">
        <f>IF(AND(E36="TRACK WARRANT AUTHORITY",G36&lt;10),"OMIT","KEEP")</f>
        <v>OMIT</v>
      </c>
    </row>
    <row r="37" spans="1:22" ht="15" customHeight="1" x14ac:dyDescent="0.25">
      <c r="A37" s="77">
        <v>42565.491898148146</v>
      </c>
      <c r="B37" s="65" t="s">
        <v>72</v>
      </c>
      <c r="C37" s="41" t="s">
        <v>370</v>
      </c>
      <c r="D37" s="41" t="s">
        <v>50</v>
      </c>
      <c r="E37" s="65" t="s">
        <v>51</v>
      </c>
      <c r="F37" s="66">
        <v>0</v>
      </c>
      <c r="G37" s="66">
        <v>73</v>
      </c>
      <c r="H37" s="66">
        <v>271</v>
      </c>
      <c r="I37" s="65" t="s">
        <v>52</v>
      </c>
      <c r="J37" s="66">
        <v>1</v>
      </c>
      <c r="K37" s="41" t="s">
        <v>54</v>
      </c>
      <c r="L37" s="101" t="str">
        <f>VLOOKUP(C37,'Trips&amp;Operators'!$C$1:$E$9999,3,0)</f>
        <v>STARKS</v>
      </c>
      <c r="M37" s="9" t="s">
        <v>108</v>
      </c>
      <c r="N37" s="10"/>
      <c r="O37" s="41"/>
      <c r="P37" s="72" t="str">
        <f>VLOOKUP(C37,'Train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7" s="70" t="str">
        <f>VLOOKUP(C37,'Train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1" t="str">
        <f>astrogrep_path&amp;" /spath="&amp;search_path&amp;" /stypes=""*"&amp;S37&amp;"*"&amp;TEXT(A37-utc_offset/24,"YYYYMMDD")&amp;"*"" /stext="" "&amp;TEXT(A37-utc_offset/24,"HH")&amp;search_regexp&amp;""" /e /r /s"</f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7" s="9" t="str">
        <f>MID(B37,13,4)</f>
        <v>4019</v>
      </c>
      <c r="T37" s="48">
        <f>A37+6/24</f>
        <v>42565.741898148146</v>
      </c>
      <c r="U37" s="69" t="str">
        <f>IF(VALUE(LEFT(C37,3))&lt;300,"EC","NWGL")</f>
        <v>EC</v>
      </c>
      <c r="V37" s="69" t="str">
        <f>IF(AND(E37="TRACK WARRANT AUTHORITY",G37&lt;10),"OMIT","KEEP")</f>
        <v>KEEP</v>
      </c>
    </row>
    <row r="38" spans="1:22" hidden="1" x14ac:dyDescent="0.25">
      <c r="A38" s="77">
        <v>42565.492407407408</v>
      </c>
      <c r="B38" s="65" t="s">
        <v>72</v>
      </c>
      <c r="C38" s="41" t="s">
        <v>370</v>
      </c>
      <c r="D38" s="41" t="s">
        <v>50</v>
      </c>
      <c r="E38" s="65" t="s">
        <v>51</v>
      </c>
      <c r="F38" s="66">
        <v>0</v>
      </c>
      <c r="G38" s="66">
        <v>5</v>
      </c>
      <c r="H38" s="66">
        <v>118</v>
      </c>
      <c r="I38" s="65" t="s">
        <v>52</v>
      </c>
      <c r="J38" s="66">
        <v>1</v>
      </c>
      <c r="K38" s="41" t="s">
        <v>54</v>
      </c>
      <c r="L38" s="101" t="str">
        <f>VLOOKUP(C38,'Trips&amp;Operators'!$C$1:$E$9999,3,0)</f>
        <v>STARKS</v>
      </c>
      <c r="M38" s="9" t="s">
        <v>108</v>
      </c>
      <c r="N38" s="10"/>
      <c r="O38" s="69"/>
      <c r="P38" s="72" t="str">
        <f>VLOOKUP(C38,'Train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8" s="70" t="str">
        <f>VLOOKUP(C38,'Train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>astrogrep_path&amp;" /spath="&amp;search_path&amp;" /stypes=""*"&amp;S38&amp;"*"&amp;TEXT(A38-utc_offset/24,"YYYYMMDD")&amp;"*"" /stext="" "&amp;TEXT(A38-utc_offset/24,"HH")&amp;search_regexp&amp;""" /e /r /s"</f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8" s="9" t="str">
        <f>MID(B38,13,4)</f>
        <v>4019</v>
      </c>
      <c r="T38" s="48">
        <f>A38+6/24</f>
        <v>42565.742407407408</v>
      </c>
      <c r="U38" s="69" t="str">
        <f>IF(VALUE(LEFT(C38,3))&lt;300,"EC","NWGL")</f>
        <v>EC</v>
      </c>
      <c r="V38" s="69" t="str">
        <f>IF(AND(E38="TRACK WARRANT AUTHORITY",G38&lt;10),"OMIT","KEEP")</f>
        <v>OMIT</v>
      </c>
    </row>
    <row r="39" spans="1:22" ht="15" hidden="1" customHeight="1" x14ac:dyDescent="0.25">
      <c r="A39" s="77">
        <v>42565.554143518515</v>
      </c>
      <c r="B39" s="65" t="s">
        <v>67</v>
      </c>
      <c r="C39" s="41" t="s">
        <v>386</v>
      </c>
      <c r="D39" s="41" t="s">
        <v>50</v>
      </c>
      <c r="E39" s="65" t="s">
        <v>51</v>
      </c>
      <c r="F39" s="66">
        <v>0</v>
      </c>
      <c r="G39" s="66">
        <v>8</v>
      </c>
      <c r="H39" s="66">
        <v>132</v>
      </c>
      <c r="I39" s="65" t="s">
        <v>52</v>
      </c>
      <c r="J39" s="66">
        <v>1</v>
      </c>
      <c r="K39" s="41" t="s">
        <v>54</v>
      </c>
      <c r="L39" s="101" t="str">
        <f>VLOOKUP(C39,'Trips&amp;Operators'!$C$1:$E$9999,3,0)</f>
        <v>NEWELL</v>
      </c>
      <c r="M39" s="9" t="s">
        <v>108</v>
      </c>
      <c r="N39" s="10"/>
      <c r="O39" s="41"/>
      <c r="P39" s="72" t="str">
        <f>VLOOKUP(C39,'Train Runs'!$A$13:$AE$871,31,0)</f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Q39" s="70" t="str">
        <f>VLOOKUP(C39,'Train Runs'!$A$13:$AE$871,22,0)</f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9" s="71" t="str">
        <f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S39" s="9" t="str">
        <f>MID(B39,13,4)</f>
        <v>4032</v>
      </c>
      <c r="T39" s="48">
        <f>A39+6/24</f>
        <v>42565.804143518515</v>
      </c>
      <c r="U39" s="69" t="str">
        <f>IF(VALUE(LEFT(C39,3))&lt;300,"EC","NWGL")</f>
        <v>EC</v>
      </c>
      <c r="V39" s="69" t="str">
        <f>IF(AND(E39="TRACK WARRANT AUTHORITY",G39&lt;10),"OMIT","KEEP")</f>
        <v>OMIT</v>
      </c>
    </row>
    <row r="40" spans="1:22" ht="15" customHeight="1" x14ac:dyDescent="0.25">
      <c r="A40" s="77">
        <v>42565.762326388889</v>
      </c>
      <c r="B40" s="65" t="s">
        <v>117</v>
      </c>
      <c r="C40" s="41" t="s">
        <v>442</v>
      </c>
      <c r="D40" s="41" t="s">
        <v>50</v>
      </c>
      <c r="E40" s="41" t="s">
        <v>51</v>
      </c>
      <c r="F40" s="66">
        <v>0</v>
      </c>
      <c r="G40" s="66">
        <v>49</v>
      </c>
      <c r="H40" s="66">
        <v>165</v>
      </c>
      <c r="I40" s="41" t="s">
        <v>52</v>
      </c>
      <c r="J40" s="66">
        <v>1</v>
      </c>
      <c r="K40" s="41" t="s">
        <v>54</v>
      </c>
      <c r="L40" s="101" t="str">
        <f>VLOOKUP(C40,'Trips&amp;Operators'!$C$1:$E$9999,3,0)</f>
        <v>NELSON</v>
      </c>
      <c r="M40" s="9" t="s">
        <v>108</v>
      </c>
      <c r="N40" s="10"/>
      <c r="O40" s="41"/>
      <c r="P40" s="72" t="str">
        <f>VLOOKUP(C40,'Train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40" s="70" t="str">
        <f>VLOOKUP(C40,'Train Runs'!$A$13:$AE$871,22,0)</f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0" s="71" t="str">
        <f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S40" s="9" t="str">
        <f>MID(B40,13,4)</f>
        <v>4026</v>
      </c>
      <c r="T40" s="48">
        <f>A40+6/24</f>
        <v>42566.012326388889</v>
      </c>
      <c r="U40" s="69" t="str">
        <f>IF(VALUE(LEFT(C40,3))&lt;300,"EC","NWGL")</f>
        <v>EC</v>
      </c>
      <c r="V40" s="69" t="str">
        <f>IF(AND(E40="TRACK WARRANT AUTHORITY",G40&lt;10),"OMIT","KEEP")</f>
        <v>KEEP</v>
      </c>
    </row>
    <row r="41" spans="1:22" hidden="1" x14ac:dyDescent="0.25">
      <c r="A41" s="77">
        <v>42566.023298611108</v>
      </c>
      <c r="B41" s="65" t="s">
        <v>72</v>
      </c>
      <c r="C41" s="41" t="s">
        <v>481</v>
      </c>
      <c r="D41" s="41" t="s">
        <v>50</v>
      </c>
      <c r="E41" s="65" t="s">
        <v>51</v>
      </c>
      <c r="F41" s="66">
        <v>0</v>
      </c>
      <c r="G41" s="66">
        <v>3</v>
      </c>
      <c r="H41" s="66">
        <v>136</v>
      </c>
      <c r="I41" s="65" t="s">
        <v>52</v>
      </c>
      <c r="J41" s="66">
        <v>1</v>
      </c>
      <c r="K41" s="41" t="s">
        <v>54</v>
      </c>
      <c r="L41" s="101" t="str">
        <f>VLOOKUP(C41,'Trips&amp;Operators'!$C$1:$E$9999,3,0)</f>
        <v>MAELZER</v>
      </c>
      <c r="M41" s="9" t="s">
        <v>108</v>
      </c>
      <c r="N41" s="10"/>
      <c r="O41" s="41"/>
      <c r="P41" s="72" t="str">
        <f>VLOOKUP(C41,'Train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41" s="70" t="str">
        <f>VLOOKUP(C41,'Train Runs'!$A$13:$AE$871,22,0)</f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>astrogrep_path&amp;" /spath="&amp;search_path&amp;" /stypes=""*"&amp;S41&amp;"*"&amp;TEXT(A41-utc_offset/24,"YYYYMMDD")&amp;"*"" /stext="" "&amp;TEXT(A41-utc_offset/24,"HH")&amp;search_regexp&amp;""" /e /r /s"</f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S41" s="9" t="str">
        <f>MID(B41,13,4)</f>
        <v>4019</v>
      </c>
      <c r="T41" s="48">
        <f>A41+6/24</f>
        <v>42566.273298611108</v>
      </c>
      <c r="U41" s="69" t="str">
        <f>IF(VALUE(LEFT(C41,3))&lt;300,"EC","NWGL")</f>
        <v>EC</v>
      </c>
      <c r="V41" s="69" t="str">
        <f>IF(AND(E41="TRACK WARRANT AUTHORITY",G41&lt;10),"OMIT","KEEP")</f>
        <v>OMIT</v>
      </c>
    </row>
    <row r="42" spans="1:22" ht="15" customHeight="1" x14ac:dyDescent="0.25">
      <c r="A42" s="77">
        <v>42566.044548611113</v>
      </c>
      <c r="B42" s="65" t="s">
        <v>228</v>
      </c>
      <c r="C42" s="41" t="s">
        <v>483</v>
      </c>
      <c r="D42" s="41" t="s">
        <v>50</v>
      </c>
      <c r="E42" s="65" t="s">
        <v>51</v>
      </c>
      <c r="F42" s="66">
        <v>0</v>
      </c>
      <c r="G42" s="66">
        <v>55</v>
      </c>
      <c r="H42" s="66">
        <v>183</v>
      </c>
      <c r="I42" s="65" t="s">
        <v>52</v>
      </c>
      <c r="J42" s="66">
        <v>1</v>
      </c>
      <c r="K42" s="41" t="s">
        <v>54</v>
      </c>
      <c r="L42" s="101" t="str">
        <f>VLOOKUP(C42,'Trips&amp;Operators'!$C$1:$E$9999,3,0)</f>
        <v>MOSES</v>
      </c>
      <c r="M42" s="9" t="s">
        <v>108</v>
      </c>
      <c r="N42" s="10"/>
      <c r="O42" s="41"/>
      <c r="P42" s="72" t="str">
        <f>VLOOKUP(C42,'Train Runs'!$A$13:$AE$871,31,0)</f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Q42" s="70" t="str">
        <f>VLOOKUP(C42,'Train Runs'!$A$13:$AE$871,22,0)</f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>astrogrep_path&amp;" /spath="&amp;search_path&amp;" /stypes=""*"&amp;S42&amp;"*"&amp;TEXT(A42-utc_offset/24,"YYYYMMDD")&amp;"*"" /stext="" "&amp;TEXT(A42-utc_offset/24,"HH")&amp;search_regexp&amp;""" /e /r /s"</f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S42" s="9" t="str">
        <f>MID(B42,13,4)</f>
        <v>4041</v>
      </c>
      <c r="T42" s="48">
        <f>A42+6/24</f>
        <v>42566.294548611113</v>
      </c>
      <c r="U42" s="69" t="str">
        <f>IF(VALUE(LEFT(C42,3))&lt;300,"EC","NWGL")</f>
        <v>EC</v>
      </c>
      <c r="V42" s="69" t="str">
        <f>IF(AND(E42="TRACK WARRANT AUTHORITY",G42&lt;10),"OMIT","KEEP")</f>
        <v>KEEP</v>
      </c>
    </row>
    <row r="43" spans="1:22" hidden="1" x14ac:dyDescent="0.25">
      <c r="A43" s="78">
        <v>42565.203472222223</v>
      </c>
      <c r="B43" s="65" t="s">
        <v>112</v>
      </c>
      <c r="C43" s="41" t="s">
        <v>295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233324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MALAVE</v>
      </c>
      <c r="M43" s="9" t="s">
        <v>108</v>
      </c>
      <c r="N43" s="10"/>
      <c r="O43" s="41"/>
      <c r="P43" s="72" t="str">
        <f>VLOOKUP(C43,'Train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43" s="70" t="str">
        <f>VLOOKUP(C43,'Train Runs'!$A$13:$AE$871,22,0)</f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>astrogrep_path&amp;" /spath="&amp;search_path&amp;" /stypes=""*"&amp;S43&amp;"*"&amp;TEXT(A43-utc_offset/24,"YYYYMMDD")&amp;"*"" /stext="" "&amp;TEXT(A43-utc_offset/24,"HH")&amp;search_regexp&amp;""" /e /r /s"</f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S43" s="9" t="str">
        <f>MID(B43,13,4)</f>
        <v>4038</v>
      </c>
      <c r="T43" s="48">
        <f>A43+6/24</f>
        <v>42565.453472222223</v>
      </c>
      <c r="U43" s="69" t="str">
        <f>IF(VALUE(LEFT(C43,3))&lt;300,"EC","NWGL")</f>
        <v>EC</v>
      </c>
      <c r="V43" s="69" t="str">
        <f>IF(AND(E43="TRACK WARRANT AUTHORITY",G43&lt;10),"OMIT","KEEP")</f>
        <v>OMIT</v>
      </c>
    </row>
    <row r="44" spans="1:22" ht="15" hidden="1" customHeight="1" x14ac:dyDescent="0.25">
      <c r="A44" s="77">
        <v>42565.22351851852</v>
      </c>
      <c r="B44" s="65" t="s">
        <v>138</v>
      </c>
      <c r="C44" s="41" t="s">
        <v>296</v>
      </c>
      <c r="D44" s="41" t="s">
        <v>50</v>
      </c>
      <c r="E44" s="65" t="s">
        <v>51</v>
      </c>
      <c r="F44" s="66">
        <v>0</v>
      </c>
      <c r="G44" s="66">
        <v>7</v>
      </c>
      <c r="H44" s="66">
        <v>233334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ROCHA</v>
      </c>
      <c r="M44" s="9" t="s">
        <v>108</v>
      </c>
      <c r="N44" s="10"/>
      <c r="O44" s="41"/>
      <c r="P44" s="72" t="str">
        <f>VLOOKUP(C44,'Train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4" s="70" t="str">
        <f>VLOOKUP(C44,'Train Runs'!$A$13:$AE$871,22,0)</f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4" s="71" t="str">
        <f>astrogrep_path&amp;" /spath="&amp;search_path&amp;" /stypes=""*"&amp;S44&amp;"*"&amp;TEXT(A44-utc_offset/24,"YYYYMMDD")&amp;"*"" /stext="" "&amp;TEXT(A44-utc_offset/24,"HH")&amp;search_regexp&amp;""" /e /r /s"</f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S44" s="9" t="str">
        <f>MID(B44,13,4)</f>
        <v>4040</v>
      </c>
      <c r="T44" s="48">
        <f>A44+6/24</f>
        <v>42565.47351851852</v>
      </c>
      <c r="U44" s="69" t="str">
        <f>IF(VALUE(LEFT(C44,3))&lt;300,"EC","NWGL")</f>
        <v>EC</v>
      </c>
      <c r="V44" s="69" t="str">
        <f>IF(AND(E44="TRACK WARRANT AUTHORITY",G44&lt;10),"OMIT","KEEP")</f>
        <v>OMIT</v>
      </c>
    </row>
    <row r="45" spans="1:22" x14ac:dyDescent="0.25">
      <c r="A45" s="77">
        <v>42565.285069444442</v>
      </c>
      <c r="B45" s="65" t="s">
        <v>120</v>
      </c>
      <c r="C45" s="41" t="s">
        <v>310</v>
      </c>
      <c r="D45" s="41" t="s">
        <v>50</v>
      </c>
      <c r="E45" s="65" t="s">
        <v>51</v>
      </c>
      <c r="F45" s="66">
        <v>0</v>
      </c>
      <c r="G45" s="66">
        <v>66</v>
      </c>
      <c r="H45" s="66">
        <v>233249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SANTIZO</v>
      </c>
      <c r="M45" s="9" t="s">
        <v>108</v>
      </c>
      <c r="N45" s="10"/>
      <c r="O45" s="41"/>
      <c r="P45" s="72" t="str">
        <f>VLOOKUP(C45,'Train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5" s="70" t="str">
        <f>VLOOKUP(C45,'Train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5" s="71" t="str">
        <f>astrogrep_path&amp;" /spath="&amp;search_path&amp;" /stypes=""*"&amp;S45&amp;"*"&amp;TEXT(A45-utc_offset/24,"YYYYMMDD")&amp;"*"" /stext="" "&amp;TEXT(A45-utc_offset/24,"HH")&amp;search_regexp&amp;""" /e /r /s"</f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S45" s="9" t="str">
        <f>MID(B45,13,4)</f>
        <v>4025</v>
      </c>
      <c r="T45" s="48">
        <f>A45+6/24</f>
        <v>42565.535069444442</v>
      </c>
      <c r="U45" s="69" t="str">
        <f>IF(VALUE(LEFT(C45,3))&lt;300,"EC","NWGL")</f>
        <v>EC</v>
      </c>
      <c r="V45" s="69" t="str">
        <f>IF(AND(E45="TRACK WARRANT AUTHORITY",G45&lt;10),"OMIT","KEEP")</f>
        <v>KEEP</v>
      </c>
    </row>
    <row r="46" spans="1:22" hidden="1" x14ac:dyDescent="0.25">
      <c r="A46" s="77">
        <v>42565.316203703704</v>
      </c>
      <c r="B46" s="65" t="s">
        <v>74</v>
      </c>
      <c r="C46" s="41" t="s">
        <v>291</v>
      </c>
      <c r="D46" s="41" t="s">
        <v>50</v>
      </c>
      <c r="E46" s="65" t="s">
        <v>51</v>
      </c>
      <c r="F46" s="66">
        <v>0</v>
      </c>
      <c r="G46" s="66">
        <v>7</v>
      </c>
      <c r="H46" s="66">
        <v>233329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BEAM</v>
      </c>
      <c r="M46" s="9" t="s">
        <v>108</v>
      </c>
      <c r="N46" s="10"/>
      <c r="O46" s="41"/>
      <c r="P46" s="72" t="str">
        <f>VLOOKUP(C46,'Train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46" s="70" t="str">
        <f>VLOOKUP(C46,'Train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6" s="71" t="str">
        <f>astrogrep_path&amp;" /spath="&amp;search_path&amp;" /stypes=""*"&amp;S46&amp;"*"&amp;TEXT(A46-utc_offset/24,"YYYYMMDD")&amp;"*"" /stext="" "&amp;TEXT(A46-utc_offset/24,"HH")&amp;search_regexp&amp;""" /e /r /s"</f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S46" s="9" t="str">
        <f>MID(B46,13,4)</f>
        <v>4018</v>
      </c>
      <c r="T46" s="48">
        <f>A46+6/24</f>
        <v>42565.566203703704</v>
      </c>
      <c r="U46" s="69" t="str">
        <f>IF(VALUE(LEFT(C46,3))&lt;300,"EC","NWGL")</f>
        <v>EC</v>
      </c>
      <c r="V46" s="69" t="str">
        <f>IF(AND(E46="TRACK WARRANT AUTHORITY",G46&lt;10),"OMIT","KEEP")</f>
        <v>OMIT</v>
      </c>
    </row>
    <row r="47" spans="1:22" ht="15" hidden="1" customHeight="1" x14ac:dyDescent="0.25">
      <c r="A47" s="77">
        <v>42565.338240740741</v>
      </c>
      <c r="B47" s="65" t="s">
        <v>131</v>
      </c>
      <c r="C47" s="41" t="s">
        <v>303</v>
      </c>
      <c r="D47" s="41" t="s">
        <v>50</v>
      </c>
      <c r="E47" s="65" t="s">
        <v>51</v>
      </c>
      <c r="F47" s="66">
        <v>0</v>
      </c>
      <c r="G47" s="66">
        <v>9</v>
      </c>
      <c r="H47" s="66">
        <v>233332</v>
      </c>
      <c r="I47" s="65" t="s">
        <v>52</v>
      </c>
      <c r="J47" s="66">
        <v>233491</v>
      </c>
      <c r="K47" s="41" t="s">
        <v>53</v>
      </c>
      <c r="L47" s="101" t="str">
        <f>VLOOKUP(C47,'Trips&amp;Operators'!$C$1:$E$9999,3,0)</f>
        <v>SPECTOR</v>
      </c>
      <c r="M47" s="9" t="s">
        <v>108</v>
      </c>
      <c r="N47" s="10"/>
      <c r="O47" s="41"/>
      <c r="P47" s="72" t="str">
        <f>VLOOKUP(C47,'Train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47" s="70" t="str">
        <f>VLOOKUP(C47,'Train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>astrogrep_path&amp;" /spath="&amp;search_path&amp;" /stypes=""*"&amp;S47&amp;"*"&amp;TEXT(A47-utc_offset/24,"YYYYMMDD")&amp;"*"" /stext="" "&amp;TEXT(A47-utc_offset/24,"HH")&amp;search_regexp&amp;""" /e /r /s"</f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S47" s="9" t="str">
        <f>MID(B47,13,4)</f>
        <v>4044</v>
      </c>
      <c r="T47" s="48">
        <f>A47+6/24</f>
        <v>42565.588240740741</v>
      </c>
      <c r="U47" s="69" t="str">
        <f>IF(VALUE(LEFT(C47,3))&lt;300,"EC","NWGL")</f>
        <v>EC</v>
      </c>
      <c r="V47" s="69" t="str">
        <f>IF(AND(E47="TRACK WARRANT AUTHORITY",G47&lt;10),"OMIT","KEEP")</f>
        <v>OMIT</v>
      </c>
    </row>
    <row r="48" spans="1:22" ht="15" customHeight="1" x14ac:dyDescent="0.25">
      <c r="A48" s="77">
        <v>42565.358124999999</v>
      </c>
      <c r="B48" s="65" t="s">
        <v>120</v>
      </c>
      <c r="C48" s="41" t="s">
        <v>341</v>
      </c>
      <c r="D48" s="41" t="s">
        <v>50</v>
      </c>
      <c r="E48" s="65" t="s">
        <v>51</v>
      </c>
      <c r="F48" s="66">
        <v>0</v>
      </c>
      <c r="G48" s="66">
        <v>74</v>
      </c>
      <c r="H48" s="66">
        <v>233221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SANTIZO</v>
      </c>
      <c r="M48" s="9" t="s">
        <v>108</v>
      </c>
      <c r="N48" s="10"/>
      <c r="O48" s="41"/>
      <c r="P48" s="72" t="str">
        <f>VLOOKUP(C48,'Train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8" s="70" t="str">
        <f>VLOOKUP(C48,'Train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8" s="71" t="str">
        <f>astrogrep_path&amp;" /spath="&amp;search_path&amp;" /stypes=""*"&amp;S48&amp;"*"&amp;TEXT(A48-utc_offset/24,"YYYYMMDD")&amp;"*"" /stext="" "&amp;TEXT(A48-utc_offset/24,"HH")&amp;search_regexp&amp;""" /e /r /s"</f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S48" s="9" t="str">
        <f>MID(B48,13,4)</f>
        <v>4025</v>
      </c>
      <c r="T48" s="48">
        <f>A48+6/24</f>
        <v>42565.608124999999</v>
      </c>
      <c r="U48" s="69" t="str">
        <f>IF(VALUE(LEFT(C48,3))&lt;300,"EC","NWGL")</f>
        <v>EC</v>
      </c>
      <c r="V48" s="69" t="str">
        <f>IF(AND(E48="TRACK WARRANT AUTHORITY",G48&lt;10),"OMIT","KEEP")</f>
        <v>KEEP</v>
      </c>
    </row>
    <row r="49" spans="1:22" ht="15" hidden="1" customHeight="1" x14ac:dyDescent="0.25">
      <c r="A49" s="77">
        <v>42565.368032407408</v>
      </c>
      <c r="B49" s="65" t="s">
        <v>138</v>
      </c>
      <c r="C49" s="41" t="s">
        <v>344</v>
      </c>
      <c r="D49" s="41" t="s">
        <v>50</v>
      </c>
      <c r="E49" s="65" t="s">
        <v>51</v>
      </c>
      <c r="F49" s="66">
        <v>0</v>
      </c>
      <c r="G49" s="66">
        <v>4</v>
      </c>
      <c r="H49" s="66">
        <v>233339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ROCHA</v>
      </c>
      <c r="M49" s="9" t="s">
        <v>108</v>
      </c>
      <c r="N49" s="10"/>
      <c r="O49" s="41"/>
      <c r="P49" s="72" t="str">
        <f>VLOOKUP(C49,'Train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9" s="70" t="str">
        <f>VLOOKUP(C49,'Train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9" s="71" t="str">
        <f>astrogrep_path&amp;" /spath="&amp;search_path&amp;" /stypes=""*"&amp;S49&amp;"*"&amp;TEXT(A49-utc_offset/24,"YYYYMMDD")&amp;"*"" /stext="" "&amp;TEXT(A49-utc_offset/24,"HH")&amp;search_regexp&amp;""" /e /r /s"</f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S49" s="9" t="str">
        <f>MID(B49,13,4)</f>
        <v>4040</v>
      </c>
      <c r="T49" s="48">
        <f>A49+6/24</f>
        <v>42565.618032407408</v>
      </c>
      <c r="U49" s="69" t="str">
        <f>IF(VALUE(LEFT(C49,3))&lt;300,"EC","NWGL")</f>
        <v>EC</v>
      </c>
      <c r="V49" s="69" t="str">
        <f>IF(AND(E49="TRACK WARRANT AUTHORITY",G49&lt;10),"OMIT","KEEP")</f>
        <v>OMIT</v>
      </c>
    </row>
    <row r="50" spans="1:22" ht="15" hidden="1" customHeight="1" x14ac:dyDescent="0.25">
      <c r="A50" s="77">
        <v>42565.399756944447</v>
      </c>
      <c r="B50" s="65" t="s">
        <v>83</v>
      </c>
      <c r="C50" s="41" t="s">
        <v>353</v>
      </c>
      <c r="D50" s="41" t="s">
        <v>50</v>
      </c>
      <c r="E50" s="65" t="s">
        <v>51</v>
      </c>
      <c r="F50" s="66">
        <v>0</v>
      </c>
      <c r="G50" s="66">
        <v>6</v>
      </c>
      <c r="H50" s="66">
        <v>233249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BRANNON</v>
      </c>
      <c r="M50" s="9" t="s">
        <v>108</v>
      </c>
      <c r="N50" s="10"/>
      <c r="O50" s="41"/>
      <c r="P50" s="72" t="str">
        <f>VLOOKUP(C50,'Train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50" s="70" t="str">
        <f>VLOOKUP(C50,'Train Runs'!$A$13:$AE$871,22,0)</f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0" s="71" t="str">
        <f>astrogrep_path&amp;" /spath="&amp;search_path&amp;" /stypes=""*"&amp;S50&amp;"*"&amp;TEXT(A50-utc_offset/24,"YYYYMMDD")&amp;"*"" /stext="" "&amp;TEXT(A50-utc_offset/24,"HH")&amp;search_regexp&amp;""" /e /r /s"</f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S50" s="9" t="str">
        <f>MID(B50,13,4)</f>
        <v>4042</v>
      </c>
      <c r="T50" s="48">
        <f>A50+6/24</f>
        <v>42565.649756944447</v>
      </c>
      <c r="U50" s="69" t="str">
        <f>IF(VALUE(LEFT(C50,3))&lt;300,"EC","NWGL")</f>
        <v>EC</v>
      </c>
      <c r="V50" s="69" t="str">
        <f>IF(AND(E50="TRACK WARRANT AUTHORITY",G50&lt;10),"OMIT","KEEP")</f>
        <v>OMIT</v>
      </c>
    </row>
    <row r="51" spans="1:22" ht="15" hidden="1" customHeight="1" x14ac:dyDescent="0.25">
      <c r="A51" s="77">
        <v>42565.420810185184</v>
      </c>
      <c r="B51" s="65" t="s">
        <v>112</v>
      </c>
      <c r="C51" s="41" t="s">
        <v>359</v>
      </c>
      <c r="D51" s="41" t="s">
        <v>50</v>
      </c>
      <c r="E51" s="65" t="s">
        <v>51</v>
      </c>
      <c r="F51" s="66">
        <v>0</v>
      </c>
      <c r="G51" s="66">
        <v>8</v>
      </c>
      <c r="H51" s="66">
        <v>233323</v>
      </c>
      <c r="I51" s="65" t="s">
        <v>52</v>
      </c>
      <c r="J51" s="66">
        <v>233491</v>
      </c>
      <c r="K51" s="41" t="s">
        <v>53</v>
      </c>
      <c r="L51" s="101" t="str">
        <f>VLOOKUP(C51,'Trips&amp;Operators'!$C$1:$E$9999,3,0)</f>
        <v>MALAVE</v>
      </c>
      <c r="M51" s="9" t="s">
        <v>108</v>
      </c>
      <c r="N51" s="10"/>
      <c r="O51" s="41"/>
      <c r="P51" s="72" t="str">
        <f>VLOOKUP(C51,'Train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1" s="70" t="str">
        <f>VLOOKUP(C51,'Train Runs'!$A$13:$AE$871,22,0)</f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1" s="71" t="str">
        <f>astrogrep_path&amp;" /spath="&amp;search_path&amp;" /stypes=""*"&amp;S51&amp;"*"&amp;TEXT(A51-utc_offset/24,"YYYYMMDD")&amp;"*"" /stext="" "&amp;TEXT(A51-utc_offset/24,"HH")&amp;search_regexp&amp;""" /e /r /s"</f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S51" s="9" t="str">
        <f>MID(B51,13,4)</f>
        <v>4038</v>
      </c>
      <c r="T51" s="48">
        <f>A51+6/24</f>
        <v>42565.670810185184</v>
      </c>
      <c r="U51" s="69" t="str">
        <f>IF(VALUE(LEFT(C51,3))&lt;300,"EC","NWGL")</f>
        <v>EC</v>
      </c>
      <c r="V51" s="69" t="str">
        <f>IF(AND(E51="TRACK WARRANT AUTHORITY",G51&lt;10),"OMIT","KEEP")</f>
        <v>OMIT</v>
      </c>
    </row>
    <row r="52" spans="1:22" ht="15" customHeight="1" x14ac:dyDescent="0.25">
      <c r="A52" s="77">
        <v>42565.431018518517</v>
      </c>
      <c r="B52" s="65" t="s">
        <v>120</v>
      </c>
      <c r="C52" s="41" t="s">
        <v>363</v>
      </c>
      <c r="D52" s="41" t="s">
        <v>50</v>
      </c>
      <c r="E52" s="65" t="s">
        <v>51</v>
      </c>
      <c r="F52" s="66">
        <v>0</v>
      </c>
      <c r="G52" s="66">
        <v>77</v>
      </c>
      <c r="H52" s="66">
        <v>233216</v>
      </c>
      <c r="I52" s="65" t="s">
        <v>52</v>
      </c>
      <c r="J52" s="66">
        <v>233491</v>
      </c>
      <c r="K52" s="41" t="s">
        <v>53</v>
      </c>
      <c r="L52" s="101" t="str">
        <f>VLOOKUP(C52,'Trips&amp;Operators'!$C$1:$E$9999,3,0)</f>
        <v>SANTIZO</v>
      </c>
      <c r="M52" s="9" t="s">
        <v>108</v>
      </c>
      <c r="N52" s="10"/>
      <c r="O52" s="41"/>
      <c r="P52" s="72" t="str">
        <f>VLOOKUP(C52,'Train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2" s="70" t="str">
        <f>VLOOKUP(C52,'Train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1" t="str">
        <f>astrogrep_path&amp;" /spath="&amp;search_path&amp;" /stypes=""*"&amp;S52&amp;"*"&amp;TEXT(A52-utc_offset/24,"YYYYMMDD")&amp;"*"" /stext="" "&amp;TEXT(A52-utc_offset/24,"HH")&amp;search_regexp&amp;""" /e /r /s"</f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S52" s="9" t="str">
        <f>MID(B52,13,4)</f>
        <v>4025</v>
      </c>
      <c r="T52" s="48">
        <f>A52+6/24</f>
        <v>42565.681018518517</v>
      </c>
      <c r="U52" s="69" t="str">
        <f>IF(VALUE(LEFT(C52,3))&lt;300,"EC","NWGL")</f>
        <v>EC</v>
      </c>
      <c r="V52" s="69" t="str">
        <f>IF(AND(E52="TRACK WARRANT AUTHORITY",G52&lt;10),"OMIT","KEEP")</f>
        <v>KEEP</v>
      </c>
    </row>
    <row r="53" spans="1:22" ht="15" hidden="1" customHeight="1" x14ac:dyDescent="0.25">
      <c r="A53" s="77">
        <v>42565.441469907404</v>
      </c>
      <c r="B53" s="65" t="s">
        <v>138</v>
      </c>
      <c r="C53" s="41" t="s">
        <v>366</v>
      </c>
      <c r="D53" s="41" t="s">
        <v>50</v>
      </c>
      <c r="E53" s="65" t="s">
        <v>51</v>
      </c>
      <c r="F53" s="66">
        <v>0</v>
      </c>
      <c r="G53" s="66">
        <v>9</v>
      </c>
      <c r="H53" s="66">
        <v>233334</v>
      </c>
      <c r="I53" s="65" t="s">
        <v>52</v>
      </c>
      <c r="J53" s="66">
        <v>233491</v>
      </c>
      <c r="K53" s="41" t="s">
        <v>53</v>
      </c>
      <c r="L53" s="101" t="str">
        <f>VLOOKUP(C53,'Trips&amp;Operators'!$C$1:$E$9999,3,0)</f>
        <v>ROCHA</v>
      </c>
      <c r="M53" s="9" t="s">
        <v>108</v>
      </c>
      <c r="N53" s="10"/>
      <c r="O53" s="41"/>
      <c r="P53" s="72" t="str">
        <f>VLOOKUP(C53,'Train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53" s="70" t="str">
        <f>VLOOKUP(C53,'Train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1" t="str">
        <f>astrogrep_path&amp;" /spath="&amp;search_path&amp;" /stypes=""*"&amp;S53&amp;"*"&amp;TEXT(A53-utc_offset/24,"YYYYMMDD")&amp;"*"" /stext="" "&amp;TEXT(A53-utc_offset/24,"HH")&amp;search_regexp&amp;""" /e /r /s"</f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S53" s="9" t="str">
        <f>MID(B53,13,4)</f>
        <v>4040</v>
      </c>
      <c r="T53" s="48">
        <f>A53+6/24</f>
        <v>42565.691469907404</v>
      </c>
      <c r="U53" s="69" t="str">
        <f>IF(VALUE(LEFT(C53,3))&lt;300,"EC","NWGL")</f>
        <v>EC</v>
      </c>
      <c r="V53" s="69" t="str">
        <f>IF(AND(E53="TRACK WARRANT AUTHORITY",G53&lt;10),"OMIT","KEEP")</f>
        <v>OMIT</v>
      </c>
    </row>
    <row r="54" spans="1:22" ht="15" hidden="1" customHeight="1" x14ac:dyDescent="0.25">
      <c r="A54" s="77">
        <v>42565.51421296296</v>
      </c>
      <c r="B54" s="65" t="s">
        <v>76</v>
      </c>
      <c r="C54" s="41" t="s">
        <v>385</v>
      </c>
      <c r="D54" s="41" t="s">
        <v>50</v>
      </c>
      <c r="E54" s="65" t="s">
        <v>51</v>
      </c>
      <c r="F54" s="66">
        <v>0</v>
      </c>
      <c r="G54" s="66">
        <v>6</v>
      </c>
      <c r="H54" s="66">
        <v>233339</v>
      </c>
      <c r="I54" s="65" t="s">
        <v>52</v>
      </c>
      <c r="J54" s="66">
        <v>233491</v>
      </c>
      <c r="K54" s="41" t="s">
        <v>53</v>
      </c>
      <c r="L54" s="101" t="str">
        <f>VLOOKUP(C54,'Trips&amp;Operators'!$C$1:$E$9999,3,0)</f>
        <v>NEWELL</v>
      </c>
      <c r="M54" s="9" t="s">
        <v>108</v>
      </c>
      <c r="N54" s="10"/>
      <c r="O54" s="69"/>
      <c r="P54" s="72" t="str">
        <f>VLOOKUP(C54,'Train Runs'!$A$13:$AE$871,31,0)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Q54" s="70" t="str">
        <f>VLOOKUP(C54,'Train Runs'!$A$13:$AE$871,22,0)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4" s="71" t="str">
        <f>astrogrep_path&amp;" /spath="&amp;search_path&amp;" /stypes=""*"&amp;S54&amp;"*"&amp;TEXT(A54-utc_offset/24,"YYYYMMDD")&amp;"*"" /stext="" "&amp;TEXT(A54-utc_offset/24,"HH")&amp;search_regexp&amp;""" /e /r /s"</f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S54" s="9" t="str">
        <f>MID(B54,13,4)</f>
        <v>4031</v>
      </c>
      <c r="T54" s="48">
        <f>A54+6/24</f>
        <v>42565.76421296296</v>
      </c>
      <c r="U54" s="69" t="str">
        <f>IF(VALUE(LEFT(C54,3))&lt;300,"EC","NWGL")</f>
        <v>EC</v>
      </c>
      <c r="V54" s="69" t="str">
        <f>IF(AND(E54="TRACK WARRANT AUTHORITY",G54&lt;10),"OMIT","KEEP")</f>
        <v>OMIT</v>
      </c>
    </row>
    <row r="55" spans="1:22" hidden="1" x14ac:dyDescent="0.25">
      <c r="A55" s="77">
        <v>42565.56653935185</v>
      </c>
      <c r="B55" s="65" t="s">
        <v>112</v>
      </c>
      <c r="C55" s="41" t="s">
        <v>402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233336</v>
      </c>
      <c r="I55" s="65" t="s">
        <v>52</v>
      </c>
      <c r="J55" s="66">
        <v>233491</v>
      </c>
      <c r="K55" s="41" t="s">
        <v>53</v>
      </c>
      <c r="L55" s="101" t="str">
        <f>VLOOKUP(C55,'Trips&amp;Operators'!$C$1:$E$9999,3,0)</f>
        <v>REBOLETTI</v>
      </c>
      <c r="M55" s="9" t="s">
        <v>108</v>
      </c>
      <c r="N55" s="10"/>
      <c r="O55" s="41"/>
      <c r="P55" s="72" t="str">
        <f>VLOOKUP(C55,'Train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5" s="70" t="str">
        <f>VLOOKUP(C55,'Train Runs'!$A$13:$AE$871,22,0)</f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>astrogrep_path&amp;" /spath="&amp;search_path&amp;" /stypes=""*"&amp;S55&amp;"*"&amp;TEXT(A55-utc_offset/24,"YYYYMMDD")&amp;"*"" /stext="" "&amp;TEXT(A55-utc_offset/24,"HH")&amp;search_regexp&amp;""" /e /r /s"</f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S55" s="9" t="str">
        <f>MID(B55,13,4)</f>
        <v>4038</v>
      </c>
      <c r="T55" s="48">
        <f>A55+6/24</f>
        <v>42565.81653935185</v>
      </c>
      <c r="U55" s="69" t="str">
        <f>IF(VALUE(LEFT(C55,3))&lt;300,"EC","NWGL")</f>
        <v>EC</v>
      </c>
      <c r="V55" s="69" t="str">
        <f>IF(AND(E55="TRACK WARRANT AUTHORITY",G55&lt;10),"OMIT","KEEP")</f>
        <v>OMIT</v>
      </c>
    </row>
    <row r="56" spans="1:22" ht="15" hidden="1" customHeight="1" x14ac:dyDescent="0.25">
      <c r="A56" s="77">
        <v>42565.795937499999</v>
      </c>
      <c r="B56" s="65" t="s">
        <v>120</v>
      </c>
      <c r="C56" s="41" t="s">
        <v>455</v>
      </c>
      <c r="D56" s="41" t="s">
        <v>50</v>
      </c>
      <c r="E56" s="65" t="s">
        <v>51</v>
      </c>
      <c r="F56" s="66">
        <v>0</v>
      </c>
      <c r="G56" s="66">
        <v>9</v>
      </c>
      <c r="H56" s="66">
        <v>233314</v>
      </c>
      <c r="I56" s="65" t="s">
        <v>52</v>
      </c>
      <c r="J56" s="66">
        <v>233491</v>
      </c>
      <c r="K56" s="41" t="s">
        <v>53</v>
      </c>
      <c r="L56" s="101" t="str">
        <f>VLOOKUP(C56,'Trips&amp;Operators'!$C$1:$E$9999,3,0)</f>
        <v>STURGEON</v>
      </c>
      <c r="M56" s="9" t="s">
        <v>108</v>
      </c>
      <c r="N56" s="10"/>
      <c r="O56" s="41"/>
      <c r="P56" s="72" t="str">
        <f>VLOOKUP(C56,'Train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6" s="70" t="str">
        <f>VLOOKUP(C56,'Train Runs'!$A$13:$AE$871,22,0)</f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1" t="str">
        <f>astrogrep_path&amp;" /spath="&amp;search_path&amp;" /stypes=""*"&amp;S56&amp;"*"&amp;TEXT(A56-utc_offset/24,"YYYYMMDD")&amp;"*"" /stext="" "&amp;TEXT(A56-utc_offset/24,"HH")&amp;search_regexp&amp;""" /e /r /s"</f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S56" s="9" t="str">
        <f>MID(B56,13,4)</f>
        <v>4025</v>
      </c>
      <c r="T56" s="48">
        <f>A56+6/24</f>
        <v>42566.045937499999</v>
      </c>
      <c r="U56" s="69" t="str">
        <f>IF(VALUE(LEFT(C56,3))&lt;300,"EC","NWGL")</f>
        <v>EC</v>
      </c>
      <c r="V56" s="69" t="str">
        <f>IF(AND(E56="TRACK WARRANT AUTHORITY",G56&lt;10),"OMIT","KEEP")</f>
        <v>OMIT</v>
      </c>
    </row>
    <row r="57" spans="1:22" ht="15" hidden="1" customHeight="1" x14ac:dyDescent="0.25">
      <c r="A57" s="77">
        <v>42565.962777777779</v>
      </c>
      <c r="B57" s="41" t="s">
        <v>120</v>
      </c>
      <c r="C57" s="41" t="s">
        <v>478</v>
      </c>
      <c r="D57" s="41" t="s">
        <v>50</v>
      </c>
      <c r="E57" s="41" t="s">
        <v>51</v>
      </c>
      <c r="F57" s="66">
        <v>0</v>
      </c>
      <c r="G57" s="66">
        <v>9</v>
      </c>
      <c r="H57" s="66">
        <v>233311</v>
      </c>
      <c r="I57" s="41" t="s">
        <v>52</v>
      </c>
      <c r="J57" s="66">
        <v>233491</v>
      </c>
      <c r="K57" s="41" t="s">
        <v>53</v>
      </c>
      <c r="L57" s="101" t="str">
        <f>VLOOKUP(C57,'Trips&amp;Operators'!$C$1:$E$9999,3,0)</f>
        <v>STURGEON</v>
      </c>
      <c r="M57" s="9" t="s">
        <v>108</v>
      </c>
      <c r="N57" s="10"/>
      <c r="O57" s="69"/>
      <c r="P57" s="72" t="str">
        <f>VLOOKUP(C57,'Train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7" s="70" t="str">
        <f>VLOOKUP(C57,'Train Runs'!$A$13:$AE$871,22,0)</f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7" s="71" t="str">
        <f>astrogrep_path&amp;" /spath="&amp;search_path&amp;" /stypes=""*"&amp;S57&amp;"*"&amp;TEXT(A57-utc_offset/24,"YYYYMMDD")&amp;"*"" /stext="" "&amp;TEXT(A57-utc_offset/24,"HH")&amp;search_regexp&amp;""" /e /r /s"</f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S57" s="9" t="str">
        <f>MID(B57,13,4)</f>
        <v>4025</v>
      </c>
      <c r="T57" s="48">
        <f>A57+6/24</f>
        <v>42566.212777777779</v>
      </c>
      <c r="U57" s="69" t="str">
        <f>IF(VALUE(LEFT(C57,3))&lt;300,"EC","NWGL")</f>
        <v>EC</v>
      </c>
      <c r="V57" s="69" t="str">
        <f>IF(AND(E57="TRACK WARRANT AUTHORITY",G57&lt;10),"OMIT","KEEP")</f>
        <v>OMIT</v>
      </c>
    </row>
  </sheetData>
  <autoFilter ref="A6:V57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5" priority="14" operator="equal">
      <formula>"Y"</formula>
    </cfRule>
  </conditionalFormatting>
  <conditionalFormatting sqref="A7:N57">
    <cfRule type="expression" dxfId="4" priority="7">
      <formula>$M7="Y"</formula>
    </cfRule>
  </conditionalFormatting>
  <conditionalFormatting sqref="M2:M3">
    <cfRule type="cellIs" dxfId="3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3" t="str">
        <f>"Trips that did not appear in PTC Data "&amp;TEXT(Variables!$A$2,"YYYY-mm-dd")</f>
        <v>Trips that did not appear in PTC Data 2016-07-13</v>
      </c>
      <c r="B1" s="123"/>
      <c r="C1" s="123"/>
      <c r="D1" s="123"/>
      <c r="E1" s="123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241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242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231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233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 t="s">
        <v>232</v>
      </c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92" workbookViewId="0">
      <selection sqref="A1:E315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489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490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491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492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493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494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495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496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497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498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499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500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501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502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503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504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505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506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507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508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509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510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511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512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513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514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515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516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517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518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519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520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521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522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523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524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525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526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527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528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529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530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531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532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533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534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535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536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235 hits</v>
      </c>
    </row>
    <row r="59" spans="1:7" x14ac:dyDescent="0.25">
      <c r="A59" s="8" t="s">
        <v>537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2016-07-13 20:02:18.155 - 2016-07-15 08:02:18.155</v>
      </c>
    </row>
    <row r="60" spans="1:7" x14ac:dyDescent="0.25">
      <c r="A60" s="8" t="s">
        <v>538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0.875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0.875</v>
      </c>
    </row>
    <row r="67" spans="1:7" x14ac:dyDescent="0.25">
      <c r="A67" s="8">
        <v>0</v>
      </c>
      <c r="B67" s="25"/>
      <c r="C67" s="25"/>
      <c r="D67" s="25"/>
      <c r="E67" s="25"/>
      <c r="F67" s="25">
        <f t="shared" si="2"/>
        <v>0</v>
      </c>
      <c r="G67" s="8">
        <f t="shared" si="3"/>
        <v>0</v>
      </c>
    </row>
    <row r="68" spans="1:7" x14ac:dyDescent="0.25">
      <c r="A68" s="8">
        <v>0.125</v>
      </c>
      <c r="B68" s="25"/>
      <c r="C68" s="25"/>
      <c r="D68" s="25"/>
      <c r="E68" s="25"/>
      <c r="F68" s="25">
        <f t="shared" si="2"/>
        <v>0</v>
      </c>
      <c r="G68" s="8">
        <f t="shared" si="3"/>
        <v>0.125</v>
      </c>
    </row>
    <row r="69" spans="1:7" x14ac:dyDescent="0.25">
      <c r="A69" s="8">
        <v>0.25</v>
      </c>
      <c r="B69" s="25"/>
      <c r="C69" s="25"/>
      <c r="D69" s="25"/>
      <c r="E69" s="25"/>
      <c r="F69" s="25">
        <f t="shared" si="2"/>
        <v>0</v>
      </c>
      <c r="G69" s="8">
        <f t="shared" si="3"/>
        <v>0.25</v>
      </c>
    </row>
    <row r="70" spans="1:7" x14ac:dyDescent="0.25">
      <c r="A70" s="8">
        <v>0.375</v>
      </c>
      <c r="B70" s="25"/>
      <c r="C70" s="25"/>
      <c r="D70" s="25"/>
      <c r="E70" s="25"/>
      <c r="F70" s="25">
        <f t="shared" si="2"/>
        <v>0</v>
      </c>
      <c r="G70" s="8">
        <f t="shared" si="3"/>
        <v>0.375</v>
      </c>
    </row>
    <row r="71" spans="1:7" x14ac:dyDescent="0.25">
      <c r="A71" s="8">
        <v>0.5</v>
      </c>
      <c r="B71" s="25"/>
      <c r="C71" s="25"/>
      <c r="D71" s="25"/>
      <c r="E71" s="25"/>
      <c r="F71" s="25">
        <f t="shared" si="2"/>
        <v>0</v>
      </c>
      <c r="G71" s="8">
        <f t="shared" si="3"/>
        <v>0.5</v>
      </c>
    </row>
    <row r="72" spans="1:7" x14ac:dyDescent="0.25">
      <c r="A72" s="8">
        <v>0.625</v>
      </c>
      <c r="B72" s="25"/>
      <c r="C72" s="25"/>
      <c r="D72" s="25"/>
      <c r="E72" s="25"/>
      <c r="F72" s="25">
        <f t="shared" si="2"/>
        <v>0</v>
      </c>
      <c r="G72" s="8">
        <f t="shared" si="3"/>
        <v>0.625</v>
      </c>
    </row>
    <row r="73" spans="1:7" x14ac:dyDescent="0.25">
      <c r="A73" s="8">
        <v>0.75</v>
      </c>
      <c r="B73" s="25"/>
      <c r="C73" s="25"/>
      <c r="D73" s="25"/>
      <c r="E73" s="25"/>
      <c r="F73" s="25">
        <f t="shared" si="2"/>
        <v>0</v>
      </c>
      <c r="G73" s="8">
        <f t="shared" si="3"/>
        <v>0.75</v>
      </c>
    </row>
    <row r="74" spans="1:7" x14ac:dyDescent="0.25">
      <c r="A74" s="8">
        <v>0.875</v>
      </c>
      <c r="B74" s="25"/>
      <c r="C74" s="25"/>
      <c r="D74" s="25"/>
      <c r="E74" s="25"/>
      <c r="F74" s="25">
        <f t="shared" si="2"/>
        <v>0</v>
      </c>
      <c r="G74" s="8">
        <f t="shared" si="3"/>
        <v>0.875</v>
      </c>
    </row>
    <row r="75" spans="1:7" x14ac:dyDescent="0.25">
      <c r="A75" s="8">
        <v>0</v>
      </c>
      <c r="B75" s="25"/>
      <c r="C75" s="25"/>
      <c r="D75" s="25"/>
      <c r="E75" s="25"/>
      <c r="F75" s="25">
        <f t="shared" si="2"/>
        <v>0</v>
      </c>
      <c r="G75" s="8">
        <f t="shared" si="3"/>
        <v>0</v>
      </c>
    </row>
    <row r="76" spans="1:7" x14ac:dyDescent="0.25">
      <c r="A76" s="8">
        <v>0.125</v>
      </c>
      <c r="B76" s="25"/>
      <c r="C76" s="25"/>
      <c r="D76" s="25"/>
      <c r="E76" s="25"/>
      <c r="F76" s="25">
        <f t="shared" si="2"/>
        <v>0</v>
      </c>
      <c r="G76" s="8">
        <f t="shared" si="3"/>
        <v>0.125</v>
      </c>
    </row>
    <row r="77" spans="1:7" x14ac:dyDescent="0.25">
      <c r="A77" s="8">
        <v>0.25</v>
      </c>
      <c r="B77" s="25"/>
      <c r="C77" s="25"/>
      <c r="D77" s="25"/>
      <c r="E77" s="25"/>
      <c r="F77" s="25">
        <f t="shared" si="2"/>
        <v>0</v>
      </c>
      <c r="G77" s="8">
        <f t="shared" si="3"/>
        <v>0.25</v>
      </c>
    </row>
    <row r="78" spans="1:7" x14ac:dyDescent="0.25">
      <c r="A78" s="8" t="s">
        <v>539</v>
      </c>
      <c r="B78" s="25"/>
      <c r="C78" s="25"/>
      <c r="D78" s="25"/>
      <c r="E78" s="25"/>
      <c r="F78" s="25">
        <f t="shared" si="2"/>
        <v>0</v>
      </c>
      <c r="G78" s="8" t="str">
        <f t="shared" si="3"/>
        <v>Time per 30 minutes</v>
      </c>
    </row>
    <row r="79" spans="1:7" x14ac:dyDescent="0.25">
      <c r="A79" s="8" t="s">
        <v>38</v>
      </c>
      <c r="B79" s="25" t="s">
        <v>540</v>
      </c>
      <c r="C79" s="25" t="s">
        <v>541</v>
      </c>
      <c r="D79" s="25" t="s">
        <v>542</v>
      </c>
      <c r="E79" s="25" t="s">
        <v>543</v>
      </c>
      <c r="F79" s="25" t="str">
        <f t="shared" si="2"/>
        <v xml:space="preserve">Source  </v>
      </c>
      <c r="G79" s="8" t="str">
        <f t="shared" si="3"/>
        <v xml:space="preserve">Time </v>
      </c>
    </row>
    <row r="80" spans="1:7" x14ac:dyDescent="0.25">
      <c r="A80" s="8">
        <v>42564.845335648148</v>
      </c>
      <c r="B80" s="25" t="s">
        <v>124</v>
      </c>
      <c r="C80" s="25" t="s">
        <v>263</v>
      </c>
      <c r="D80" s="25">
        <v>2030000</v>
      </c>
      <c r="E80" s="25" t="s">
        <v>152</v>
      </c>
      <c r="F80" s="25" t="str">
        <f t="shared" si="2"/>
        <v>rtdc.l.rtdc.4030:itc</v>
      </c>
      <c r="G80" s="8">
        <f t="shared" si="3"/>
        <v>42564.845335648148</v>
      </c>
    </row>
    <row r="81" spans="1:7" x14ac:dyDescent="0.25">
      <c r="A81" s="8">
        <v>42565.764756944445</v>
      </c>
      <c r="B81" s="25" t="s">
        <v>75</v>
      </c>
      <c r="C81" s="25" t="s">
        <v>446</v>
      </c>
      <c r="D81" s="25">
        <v>1540000</v>
      </c>
      <c r="E81" s="25" t="s">
        <v>132</v>
      </c>
      <c r="F81" s="25" t="str">
        <f t="shared" si="2"/>
        <v>rtdc.l.rtdc.4017:itc</v>
      </c>
      <c r="G81" s="8">
        <f t="shared" si="3"/>
        <v>42565.764756944445</v>
      </c>
    </row>
    <row r="82" spans="1:7" x14ac:dyDescent="0.25">
      <c r="A82" s="8">
        <v>42565.774571759262</v>
      </c>
      <c r="B82" s="25" t="s">
        <v>228</v>
      </c>
      <c r="C82" s="25" t="s">
        <v>449</v>
      </c>
      <c r="D82" s="25">
        <v>2040000</v>
      </c>
      <c r="E82" s="25" t="s">
        <v>155</v>
      </c>
      <c r="F82" s="25" t="str">
        <f t="shared" si="2"/>
        <v>rtdc.l.rtdc.4041:itc</v>
      </c>
      <c r="G82" s="8">
        <f t="shared" si="3"/>
        <v>42565.774571759262</v>
      </c>
    </row>
    <row r="83" spans="1:7" x14ac:dyDescent="0.25">
      <c r="A83" s="8">
        <v>42565.785104166665</v>
      </c>
      <c r="B83" s="25" t="s">
        <v>134</v>
      </c>
      <c r="C83" s="25" t="s">
        <v>451</v>
      </c>
      <c r="D83" s="25">
        <v>2000000</v>
      </c>
      <c r="E83" s="25" t="s">
        <v>153</v>
      </c>
      <c r="F83" s="25" t="str">
        <f t="shared" si="2"/>
        <v>rtdc.l.rtdc.4043:itc</v>
      </c>
      <c r="G83" s="8">
        <f t="shared" si="3"/>
        <v>42565.785104166665</v>
      </c>
    </row>
    <row r="84" spans="1:7" x14ac:dyDescent="0.25">
      <c r="A84" s="8">
        <v>42565.754421296297</v>
      </c>
      <c r="B84" s="25" t="s">
        <v>72</v>
      </c>
      <c r="C84" s="25" t="s">
        <v>444</v>
      </c>
      <c r="D84" s="25">
        <v>2010000</v>
      </c>
      <c r="E84" s="25" t="s">
        <v>156</v>
      </c>
      <c r="F84" s="25" t="str">
        <f t="shared" si="2"/>
        <v>rtdc.l.rtdc.4019:itc</v>
      </c>
      <c r="G84" s="8">
        <f t="shared" si="3"/>
        <v>42565.754421296297</v>
      </c>
    </row>
    <row r="85" spans="1:7" x14ac:dyDescent="0.25">
      <c r="A85" s="8">
        <v>42565.827013888891</v>
      </c>
      <c r="B85" s="25" t="s">
        <v>117</v>
      </c>
      <c r="C85" s="25" t="s">
        <v>456</v>
      </c>
      <c r="D85" s="25">
        <v>1480000</v>
      </c>
      <c r="E85" s="25" t="s">
        <v>116</v>
      </c>
      <c r="F85" s="25" t="str">
        <f t="shared" si="2"/>
        <v>rtdc.l.rtdc.4026:itc</v>
      </c>
      <c r="G85" s="8">
        <f t="shared" si="3"/>
        <v>42565.827013888891</v>
      </c>
    </row>
    <row r="86" spans="1:7" x14ac:dyDescent="0.25">
      <c r="A86" s="8">
        <v>42565.829143518517</v>
      </c>
      <c r="B86" s="25" t="s">
        <v>138</v>
      </c>
      <c r="C86" s="25" t="s">
        <v>465</v>
      </c>
      <c r="D86" s="25">
        <v>1300000</v>
      </c>
      <c r="E86" s="25" t="s">
        <v>285</v>
      </c>
      <c r="F86" s="25" t="str">
        <f t="shared" si="2"/>
        <v>rtdc.l.rtdc.4040:itc</v>
      </c>
      <c r="G86" s="8">
        <f t="shared" si="3"/>
        <v>42565.829143518517</v>
      </c>
    </row>
    <row r="87" spans="1:7" x14ac:dyDescent="0.25">
      <c r="A87" s="8">
        <v>42565.910243055558</v>
      </c>
      <c r="B87" s="25" t="s">
        <v>138</v>
      </c>
      <c r="C87" s="25" t="s">
        <v>476</v>
      </c>
      <c r="D87" s="25">
        <v>1300000</v>
      </c>
      <c r="E87" s="25" t="s">
        <v>285</v>
      </c>
      <c r="F87" s="25" t="str">
        <f t="shared" si="2"/>
        <v>rtdc.l.rtdc.4040:itc</v>
      </c>
      <c r="G87" s="8">
        <f t="shared" si="3"/>
        <v>42565.910243055558</v>
      </c>
    </row>
    <row r="88" spans="1:7" x14ac:dyDescent="0.25">
      <c r="A88" s="8">
        <v>42565.932997685188</v>
      </c>
      <c r="B88" s="25" t="s">
        <v>228</v>
      </c>
      <c r="C88" s="25" t="s">
        <v>475</v>
      </c>
      <c r="D88" s="25">
        <v>2040000</v>
      </c>
      <c r="E88" s="25" t="s">
        <v>155</v>
      </c>
      <c r="F88" s="25" t="str">
        <f t="shared" si="2"/>
        <v>rtdc.l.rtdc.4041:itc</v>
      </c>
      <c r="G88" s="8">
        <f t="shared" si="3"/>
        <v>42565.932997685188</v>
      </c>
    </row>
    <row r="89" spans="1:7" x14ac:dyDescent="0.25">
      <c r="A89" s="8">
        <v>42565.992615740739</v>
      </c>
      <c r="B89" s="25" t="s">
        <v>138</v>
      </c>
      <c r="C89" s="25" t="s">
        <v>484</v>
      </c>
      <c r="D89" s="25">
        <v>1300000</v>
      </c>
      <c r="E89" s="25" t="s">
        <v>285</v>
      </c>
      <c r="F89" s="25" t="str">
        <f t="shared" si="2"/>
        <v>rtdc.l.rtdc.4040:itc</v>
      </c>
      <c r="G89" s="8">
        <f t="shared" si="3"/>
        <v>42565.992615740739</v>
      </c>
    </row>
    <row r="90" spans="1:7" x14ac:dyDescent="0.25">
      <c r="A90" s="8">
        <v>42565.735925925925</v>
      </c>
      <c r="B90" s="25" t="s">
        <v>83</v>
      </c>
      <c r="C90" s="25" t="s">
        <v>447</v>
      </c>
      <c r="D90" s="25">
        <v>2040000</v>
      </c>
      <c r="E90" s="25" t="s">
        <v>155</v>
      </c>
      <c r="F90" s="25" t="str">
        <f t="shared" si="2"/>
        <v>rtdc.l.rtdc.4042:itc</v>
      </c>
      <c r="G90" s="8">
        <f t="shared" si="3"/>
        <v>42565.735925925925</v>
      </c>
    </row>
    <row r="91" spans="1:7" x14ac:dyDescent="0.25">
      <c r="A91" s="8">
        <v>42566.054328703707</v>
      </c>
      <c r="B91" s="25" t="s">
        <v>117</v>
      </c>
      <c r="C91" s="25" t="s">
        <v>487</v>
      </c>
      <c r="D91" s="25">
        <v>1480000</v>
      </c>
      <c r="E91" s="25" t="s">
        <v>116</v>
      </c>
      <c r="F91" s="25" t="str">
        <f t="shared" si="2"/>
        <v>rtdc.l.rtdc.4026:itc</v>
      </c>
      <c r="G91" s="8">
        <f t="shared" si="3"/>
        <v>42566.054328703707</v>
      </c>
    </row>
    <row r="92" spans="1:7" x14ac:dyDescent="0.25">
      <c r="A92" s="8">
        <v>42565.609479166669</v>
      </c>
      <c r="B92" s="25" t="s">
        <v>67</v>
      </c>
      <c r="C92" s="25" t="s">
        <v>544</v>
      </c>
      <c r="D92" s="25">
        <v>1810000</v>
      </c>
      <c r="E92" s="25" t="s">
        <v>145</v>
      </c>
      <c r="F92" s="25" t="str">
        <f t="shared" si="2"/>
        <v>rtdc.l.rtdc.4032:itc</v>
      </c>
      <c r="G92" s="8">
        <f t="shared" si="3"/>
        <v>42565.609479166669</v>
      </c>
    </row>
    <row r="93" spans="1:7" x14ac:dyDescent="0.25">
      <c r="A93" s="8">
        <v>42566.153796296298</v>
      </c>
      <c r="B93" s="25" t="s">
        <v>131</v>
      </c>
      <c r="C93" s="25" t="s">
        <v>545</v>
      </c>
      <c r="D93" s="25">
        <v>1340000</v>
      </c>
      <c r="E93" s="25" t="s">
        <v>130</v>
      </c>
      <c r="F93" s="25" t="str">
        <f t="shared" si="2"/>
        <v>rtdc.l.rtdc.4044:itc</v>
      </c>
      <c r="G93" s="8">
        <f t="shared" si="3"/>
        <v>42566.153796296298</v>
      </c>
    </row>
    <row r="94" spans="1:7" x14ac:dyDescent="0.25">
      <c r="A94" s="8">
        <v>42565.596898148149</v>
      </c>
      <c r="B94" s="25" t="s">
        <v>67</v>
      </c>
      <c r="C94" s="25" t="s">
        <v>544</v>
      </c>
      <c r="D94" s="25">
        <v>1810000</v>
      </c>
      <c r="E94" s="25" t="s">
        <v>145</v>
      </c>
      <c r="F94" s="25" t="str">
        <f t="shared" si="2"/>
        <v>rtdc.l.rtdc.4032:itc</v>
      </c>
      <c r="G94" s="8">
        <f t="shared" si="3"/>
        <v>42565.596898148149</v>
      </c>
    </row>
    <row r="95" spans="1:7" x14ac:dyDescent="0.25">
      <c r="A95" s="8">
        <v>42566.17465277778</v>
      </c>
      <c r="B95" s="25" t="s">
        <v>125</v>
      </c>
      <c r="C95" s="25" t="s">
        <v>546</v>
      </c>
      <c r="D95" s="25">
        <v>1310000</v>
      </c>
      <c r="E95" s="25" t="s">
        <v>114</v>
      </c>
      <c r="F95" s="25" t="str">
        <f t="shared" si="2"/>
        <v>rtdc.l.rtdc.4027:itc</v>
      </c>
      <c r="G95" s="8">
        <f t="shared" si="3"/>
        <v>42566.17465277778</v>
      </c>
    </row>
    <row r="96" spans="1:7" x14ac:dyDescent="0.25">
      <c r="A96" s="8">
        <v>42565.595567129632</v>
      </c>
      <c r="B96" s="25" t="s">
        <v>67</v>
      </c>
      <c r="C96" s="25" t="s">
        <v>544</v>
      </c>
      <c r="D96" s="25">
        <v>1810000</v>
      </c>
      <c r="E96" s="25" t="s">
        <v>145</v>
      </c>
      <c r="F96" s="25" t="str">
        <f t="shared" si="2"/>
        <v>rtdc.l.rtdc.4032:itc</v>
      </c>
      <c r="G96" s="8">
        <f t="shared" si="3"/>
        <v>42565.595567129632</v>
      </c>
    </row>
    <row r="97" spans="1:7" x14ac:dyDescent="0.25">
      <c r="A97" s="8">
        <v>42566.177245370367</v>
      </c>
      <c r="B97" s="25" t="s">
        <v>179</v>
      </c>
      <c r="C97" s="25" t="s">
        <v>547</v>
      </c>
      <c r="D97" s="25">
        <v>1190000</v>
      </c>
      <c r="E97" s="25" t="s">
        <v>224</v>
      </c>
      <c r="F97" s="25" t="str">
        <f t="shared" si="2"/>
        <v>rtdc.l.rtdc.4016:itc</v>
      </c>
      <c r="G97" s="8">
        <f t="shared" si="3"/>
        <v>42566.177245370367</v>
      </c>
    </row>
    <row r="98" spans="1:7" x14ac:dyDescent="0.25">
      <c r="A98" s="8">
        <v>42565.545972222222</v>
      </c>
      <c r="B98" s="25" t="s">
        <v>120</v>
      </c>
      <c r="C98" s="25" t="s">
        <v>405</v>
      </c>
      <c r="D98" s="25">
        <v>1460000</v>
      </c>
      <c r="E98" s="25" t="s">
        <v>113</v>
      </c>
      <c r="F98" s="25" t="str">
        <f t="shared" si="2"/>
        <v>rtdc.l.rtdc.4025:itc</v>
      </c>
      <c r="G98" s="8">
        <f t="shared" si="3"/>
        <v>42565.545972222222</v>
      </c>
    </row>
    <row r="99" spans="1:7" x14ac:dyDescent="0.25">
      <c r="A99" s="8">
        <v>42566.254131944443</v>
      </c>
      <c r="B99" s="25" t="s">
        <v>179</v>
      </c>
      <c r="C99" s="25" t="s">
        <v>548</v>
      </c>
      <c r="D99" s="25">
        <v>1190000</v>
      </c>
      <c r="E99" s="25" t="s">
        <v>224</v>
      </c>
      <c r="F99" s="25" t="str">
        <f t="shared" si="2"/>
        <v>rtdc.l.rtdc.4016:itc</v>
      </c>
      <c r="G99" s="8">
        <f t="shared" si="3"/>
        <v>42566.254131944443</v>
      </c>
    </row>
    <row r="100" spans="1:7" x14ac:dyDescent="0.25">
      <c r="A100" s="8">
        <v>42565.536956018521</v>
      </c>
      <c r="B100" s="25" t="s">
        <v>131</v>
      </c>
      <c r="C100" s="25" t="s">
        <v>398</v>
      </c>
      <c r="D100" s="25">
        <v>2020000</v>
      </c>
      <c r="E100" s="25" t="s">
        <v>225</v>
      </c>
      <c r="F100" s="25" t="str">
        <f t="shared" si="2"/>
        <v>rtdc.l.rtdc.4044:itc</v>
      </c>
      <c r="G100" s="8">
        <f t="shared" si="3"/>
        <v>42565.536956018521</v>
      </c>
    </row>
    <row r="101" spans="1:7" x14ac:dyDescent="0.25">
      <c r="A101" s="8">
        <v>42566.266608796293</v>
      </c>
      <c r="B101" s="25" t="s">
        <v>133</v>
      </c>
      <c r="C101" s="25" t="s">
        <v>549</v>
      </c>
      <c r="D101" s="25">
        <v>1340000</v>
      </c>
      <c r="E101" s="25" t="s">
        <v>130</v>
      </c>
      <c r="F101" s="25" t="str">
        <f t="shared" si="2"/>
        <v>rtdc.l.rtdc.4008:itc</v>
      </c>
      <c r="G101" s="8">
        <f t="shared" si="3"/>
        <v>42566.266608796293</v>
      </c>
    </row>
    <row r="102" spans="1:7" x14ac:dyDescent="0.25">
      <c r="A102" s="8">
        <v>42565.535451388889</v>
      </c>
      <c r="B102" s="25" t="s">
        <v>112</v>
      </c>
      <c r="C102" s="25" t="s">
        <v>402</v>
      </c>
      <c r="D102" s="25">
        <v>1750000</v>
      </c>
      <c r="E102" s="25" t="s">
        <v>550</v>
      </c>
      <c r="F102" s="25" t="str">
        <f t="shared" si="2"/>
        <v>rtdc.l.rtdc.4038:itc</v>
      </c>
      <c r="G102" s="8">
        <f t="shared" si="3"/>
        <v>42565.535451388889</v>
      </c>
    </row>
    <row r="103" spans="1:7" x14ac:dyDescent="0.25">
      <c r="A103" s="8">
        <v>42566.267500000002</v>
      </c>
      <c r="B103" s="25" t="s">
        <v>133</v>
      </c>
      <c r="C103" s="25" t="s">
        <v>549</v>
      </c>
      <c r="D103" s="25">
        <v>1340000</v>
      </c>
      <c r="E103" s="25" t="s">
        <v>130</v>
      </c>
      <c r="F103" s="25" t="str">
        <f t="shared" si="2"/>
        <v>rtdc.l.rtdc.4008:itc</v>
      </c>
      <c r="G103" s="8">
        <f t="shared" si="3"/>
        <v>42566.267500000002</v>
      </c>
    </row>
    <row r="104" spans="1:7" x14ac:dyDescent="0.25">
      <c r="A104" s="8">
        <v>42565.530451388891</v>
      </c>
      <c r="B104" s="25" t="s">
        <v>72</v>
      </c>
      <c r="C104" s="25" t="s">
        <v>389</v>
      </c>
      <c r="D104" s="25">
        <v>330000</v>
      </c>
      <c r="E104" s="25" t="s">
        <v>551</v>
      </c>
      <c r="F104" s="25" t="str">
        <f t="shared" si="2"/>
        <v>rtdc.l.rtdc.4019:itc</v>
      </c>
      <c r="G104" s="8">
        <f t="shared" si="3"/>
        <v>42565.530451388891</v>
      </c>
    </row>
    <row r="105" spans="1:7" x14ac:dyDescent="0.25">
      <c r="A105" s="8">
        <v>42566.301203703704</v>
      </c>
      <c r="B105" s="25" t="s">
        <v>136</v>
      </c>
      <c r="C105" s="25" t="s">
        <v>552</v>
      </c>
      <c r="D105" s="25">
        <v>1340000</v>
      </c>
      <c r="E105" s="25" t="s">
        <v>130</v>
      </c>
      <c r="F105" s="25" t="str">
        <f t="shared" si="2"/>
        <v>rtdc.l.rtdc.4007:itc</v>
      </c>
      <c r="G105" s="8">
        <f t="shared" si="3"/>
        <v>42566.301203703704</v>
      </c>
    </row>
    <row r="106" spans="1:7" x14ac:dyDescent="0.25">
      <c r="A106" s="8">
        <v>42565.52548611111</v>
      </c>
      <c r="B106" s="25" t="s">
        <v>131</v>
      </c>
      <c r="C106" s="25" t="s">
        <v>398</v>
      </c>
      <c r="D106" s="25">
        <v>2020000</v>
      </c>
      <c r="E106" s="25" t="s">
        <v>225</v>
      </c>
      <c r="F106" s="25" t="str">
        <f t="shared" si="2"/>
        <v>rtdc.l.rtdc.4044:itc</v>
      </c>
      <c r="G106" s="8">
        <f t="shared" si="3"/>
        <v>42565.52548611111</v>
      </c>
    </row>
    <row r="107" spans="1:7" x14ac:dyDescent="0.25">
      <c r="A107" s="8">
        <v>42566.306944444441</v>
      </c>
      <c r="B107" s="25" t="s">
        <v>131</v>
      </c>
      <c r="C107" s="25" t="s">
        <v>553</v>
      </c>
      <c r="D107" s="25">
        <v>900000</v>
      </c>
      <c r="E107" s="25" t="s">
        <v>127</v>
      </c>
      <c r="F107" s="25" t="str">
        <f t="shared" si="2"/>
        <v>rtdc.l.rtdc.4044:itc</v>
      </c>
      <c r="G107" s="8">
        <f t="shared" si="3"/>
        <v>42566.306944444441</v>
      </c>
    </row>
    <row r="108" spans="1:7" x14ac:dyDescent="0.25">
      <c r="A108" s="8">
        <v>42565.513831018521</v>
      </c>
      <c r="B108" s="25" t="s">
        <v>117</v>
      </c>
      <c r="C108" s="25" t="s">
        <v>383</v>
      </c>
      <c r="D108" s="25">
        <v>1460000</v>
      </c>
      <c r="E108" s="25" t="s">
        <v>113</v>
      </c>
      <c r="F108" s="25" t="str">
        <f t="shared" si="2"/>
        <v>rtdc.l.rtdc.4026:itc</v>
      </c>
      <c r="G108" s="8">
        <f t="shared" si="3"/>
        <v>42565.513831018521</v>
      </c>
    </row>
    <row r="109" spans="1:7" x14ac:dyDescent="0.25">
      <c r="A109" s="8">
        <v>42566.32675925926</v>
      </c>
      <c r="B109" s="25" t="s">
        <v>179</v>
      </c>
      <c r="C109" s="25" t="s">
        <v>554</v>
      </c>
      <c r="D109" s="25">
        <v>1190000</v>
      </c>
      <c r="E109" s="25" t="s">
        <v>224</v>
      </c>
      <c r="F109" s="25" t="str">
        <f t="shared" si="2"/>
        <v>rtdc.l.rtdc.4016:itc</v>
      </c>
      <c r="G109" s="8">
        <f t="shared" si="3"/>
        <v>42566.32675925926</v>
      </c>
    </row>
    <row r="110" spans="1:7" x14ac:dyDescent="0.25">
      <c r="A110" s="8">
        <v>42565.502233796295</v>
      </c>
      <c r="B110" s="25" t="s">
        <v>122</v>
      </c>
      <c r="C110" s="25" t="s">
        <v>381</v>
      </c>
      <c r="D110" s="25">
        <v>1750000</v>
      </c>
      <c r="E110" s="25" t="s">
        <v>550</v>
      </c>
      <c r="F110" s="25" t="str">
        <f t="shared" si="2"/>
        <v>rtdc.l.rtdc.4037:itc</v>
      </c>
      <c r="G110" s="8">
        <f t="shared" si="3"/>
        <v>42565.502233796295</v>
      </c>
    </row>
    <row r="111" spans="1:7" x14ac:dyDescent="0.25">
      <c r="A111" s="8">
        <v>42564.907673611109</v>
      </c>
      <c r="B111" s="25" t="s">
        <v>178</v>
      </c>
      <c r="C111" s="25" t="s">
        <v>270</v>
      </c>
      <c r="D111" s="25">
        <v>1480000</v>
      </c>
      <c r="E111" s="25" t="s">
        <v>116</v>
      </c>
      <c r="F111" s="25" t="str">
        <f t="shared" si="2"/>
        <v>rtdc.l.rtdc.4015:itc</v>
      </c>
      <c r="G111" s="8">
        <f t="shared" si="3"/>
        <v>42564.907673611109</v>
      </c>
    </row>
    <row r="112" spans="1:7" x14ac:dyDescent="0.25">
      <c r="A112" s="8">
        <v>42565.463819444441</v>
      </c>
      <c r="B112" s="25" t="s">
        <v>75</v>
      </c>
      <c r="C112" s="25" t="s">
        <v>372</v>
      </c>
      <c r="D112" s="25">
        <v>1830000</v>
      </c>
      <c r="E112" s="25" t="s">
        <v>129</v>
      </c>
      <c r="F112" s="25" t="str">
        <f t="shared" si="2"/>
        <v>rtdc.l.rtdc.4017:itc</v>
      </c>
      <c r="G112" s="8">
        <f t="shared" si="3"/>
        <v>42565.463819444441</v>
      </c>
    </row>
    <row r="113" spans="1:7" x14ac:dyDescent="0.25">
      <c r="A113" s="8">
        <v>42564.991898148146</v>
      </c>
      <c r="B113" s="25" t="s">
        <v>178</v>
      </c>
      <c r="C113" s="25" t="s">
        <v>278</v>
      </c>
      <c r="D113" s="25">
        <v>1480000</v>
      </c>
      <c r="E113" s="25" t="s">
        <v>116</v>
      </c>
      <c r="F113" s="25" t="str">
        <f t="shared" si="2"/>
        <v>rtdc.l.rtdc.4015:itc</v>
      </c>
      <c r="G113" s="8">
        <f t="shared" si="3"/>
        <v>42564.991898148146</v>
      </c>
    </row>
    <row r="114" spans="1:7" x14ac:dyDescent="0.25">
      <c r="A114" s="8">
        <v>42565.455497685187</v>
      </c>
      <c r="B114" s="25" t="s">
        <v>144</v>
      </c>
      <c r="C114" s="25" t="s">
        <v>367</v>
      </c>
      <c r="D114" s="25">
        <v>900000</v>
      </c>
      <c r="E114" s="25" t="s">
        <v>127</v>
      </c>
      <c r="F114" s="25" t="str">
        <f t="shared" si="2"/>
        <v>rtdc.l.rtdc.4039:itc</v>
      </c>
      <c r="G114" s="8">
        <f t="shared" si="3"/>
        <v>42565.455497685187</v>
      </c>
    </row>
    <row r="115" spans="1:7" x14ac:dyDescent="0.25">
      <c r="A115" s="8">
        <v>42565.132824074077</v>
      </c>
      <c r="B115" s="25" t="s">
        <v>76</v>
      </c>
      <c r="C115" s="25" t="s">
        <v>293</v>
      </c>
      <c r="D115" s="25">
        <v>1340000</v>
      </c>
      <c r="E115" s="25" t="s">
        <v>130</v>
      </c>
      <c r="F115" s="25" t="str">
        <f t="shared" si="2"/>
        <v>rtdc.l.rtdc.4031:itc</v>
      </c>
      <c r="G115" s="8">
        <f t="shared" si="3"/>
        <v>42565.132824074077</v>
      </c>
    </row>
    <row r="116" spans="1:7" x14ac:dyDescent="0.25">
      <c r="A116" s="8">
        <v>42565.403599537036</v>
      </c>
      <c r="B116" s="25" t="s">
        <v>120</v>
      </c>
      <c r="C116" s="25" t="s">
        <v>363</v>
      </c>
      <c r="D116" s="25">
        <v>1360000</v>
      </c>
      <c r="E116" s="25" t="s">
        <v>202</v>
      </c>
      <c r="F116" s="25" t="str">
        <f t="shared" si="2"/>
        <v>rtdc.l.rtdc.4025:itc</v>
      </c>
      <c r="G116" s="8">
        <f t="shared" si="3"/>
        <v>42565.403599537036</v>
      </c>
    </row>
    <row r="117" spans="1:7" x14ac:dyDescent="0.25">
      <c r="A117" s="8">
        <v>42565.153819444444</v>
      </c>
      <c r="B117" s="25" t="s">
        <v>83</v>
      </c>
      <c r="C117" s="25" t="s">
        <v>294</v>
      </c>
      <c r="D117" s="25">
        <v>1090000</v>
      </c>
      <c r="E117" s="25" t="s">
        <v>128</v>
      </c>
      <c r="F117" s="25" t="str">
        <f t="shared" si="2"/>
        <v>rtdc.l.rtdc.4042:itc</v>
      </c>
      <c r="G117" s="8">
        <f t="shared" si="3"/>
        <v>42565.153819444444</v>
      </c>
    </row>
    <row r="118" spans="1:7" x14ac:dyDescent="0.25">
      <c r="A118" s="8">
        <v>42565.381122685183</v>
      </c>
      <c r="B118" s="25" t="s">
        <v>144</v>
      </c>
      <c r="C118" s="25" t="s">
        <v>346</v>
      </c>
      <c r="D118" s="25">
        <v>900000</v>
      </c>
      <c r="E118" s="25" t="s">
        <v>127</v>
      </c>
      <c r="F118" s="25" t="str">
        <f t="shared" si="2"/>
        <v>rtdc.l.rtdc.4039:itc</v>
      </c>
      <c r="G118" s="8">
        <f t="shared" si="3"/>
        <v>42565.381122685183</v>
      </c>
    </row>
    <row r="119" spans="1:7" x14ac:dyDescent="0.25">
      <c r="A119" s="8">
        <v>42565.176689814813</v>
      </c>
      <c r="B119" s="25" t="s">
        <v>112</v>
      </c>
      <c r="C119" s="25" t="s">
        <v>295</v>
      </c>
      <c r="D119" s="25">
        <v>1310000</v>
      </c>
      <c r="E119" s="25" t="s">
        <v>114</v>
      </c>
      <c r="F119" s="25" t="str">
        <f t="shared" si="2"/>
        <v>rtdc.l.rtdc.4038:itc</v>
      </c>
      <c r="G119" s="8">
        <f t="shared" si="3"/>
        <v>42565.176689814813</v>
      </c>
    </row>
    <row r="120" spans="1:7" x14ac:dyDescent="0.25">
      <c r="A120" s="8">
        <v>42565.368483796294</v>
      </c>
      <c r="B120" s="25" t="s">
        <v>83</v>
      </c>
      <c r="C120" s="25" t="s">
        <v>353</v>
      </c>
      <c r="D120" s="25">
        <v>1190000</v>
      </c>
      <c r="E120" s="25" t="s">
        <v>224</v>
      </c>
      <c r="F120" s="25" t="str">
        <f t="shared" si="2"/>
        <v>rtdc.l.rtdc.4042:itc</v>
      </c>
      <c r="G120" s="8">
        <f t="shared" si="3"/>
        <v>42565.368483796294</v>
      </c>
    </row>
    <row r="121" spans="1:7" x14ac:dyDescent="0.25">
      <c r="A121" s="8">
        <v>42565.202303240738</v>
      </c>
      <c r="B121" s="25" t="s">
        <v>138</v>
      </c>
      <c r="C121" s="25" t="s">
        <v>296</v>
      </c>
      <c r="D121" s="25">
        <v>900000</v>
      </c>
      <c r="E121" s="25" t="s">
        <v>127</v>
      </c>
      <c r="F121" s="25" t="str">
        <f t="shared" si="2"/>
        <v>rtdc.l.rtdc.4040:itc</v>
      </c>
      <c r="G121" s="8">
        <f t="shared" si="3"/>
        <v>42565.202303240738</v>
      </c>
    </row>
    <row r="122" spans="1:7" x14ac:dyDescent="0.25">
      <c r="A122" s="8">
        <v>42565.361261574071</v>
      </c>
      <c r="B122" s="33" t="s">
        <v>122</v>
      </c>
      <c r="C122" s="25" t="s">
        <v>340</v>
      </c>
      <c r="D122" s="25">
        <v>1310000</v>
      </c>
      <c r="E122" s="25" t="s">
        <v>114</v>
      </c>
      <c r="F122" s="25" t="str">
        <f t="shared" si="2"/>
        <v>rtdc.l.rtdc.4037:itc</v>
      </c>
      <c r="G122" s="8">
        <f t="shared" si="3"/>
        <v>42565.361261574071</v>
      </c>
    </row>
    <row r="123" spans="1:7" x14ac:dyDescent="0.25">
      <c r="A123" s="8">
        <v>42565.214062500003</v>
      </c>
      <c r="B123" s="25" t="s">
        <v>74</v>
      </c>
      <c r="C123" s="25" t="s">
        <v>297</v>
      </c>
      <c r="D123" s="25">
        <v>1340000</v>
      </c>
      <c r="E123" s="25" t="s">
        <v>130</v>
      </c>
      <c r="F123" s="25" t="str">
        <f t="shared" si="2"/>
        <v>rtdc.l.rtdc.4018:itc</v>
      </c>
      <c r="G123" s="8">
        <f t="shared" si="3"/>
        <v>42565.214062500003</v>
      </c>
    </row>
    <row r="124" spans="1:7" x14ac:dyDescent="0.25">
      <c r="A124" s="8">
        <v>42565.287118055552</v>
      </c>
      <c r="B124" s="25" t="s">
        <v>117</v>
      </c>
      <c r="C124" s="25" t="s">
        <v>289</v>
      </c>
      <c r="D124" s="25">
        <v>1360000</v>
      </c>
      <c r="E124" s="25" t="s">
        <v>202</v>
      </c>
      <c r="F124" s="25" t="str">
        <f t="shared" si="2"/>
        <v>rtdc.l.rtdc.4026:itc</v>
      </c>
      <c r="G124" s="8">
        <f t="shared" si="3"/>
        <v>42565.287118055552</v>
      </c>
    </row>
    <row r="125" spans="1:7" x14ac:dyDescent="0.25">
      <c r="A125" s="8">
        <v>42565.21634259259</v>
      </c>
      <c r="B125" s="25" t="s">
        <v>117</v>
      </c>
      <c r="C125" s="25" t="s">
        <v>298</v>
      </c>
      <c r="D125" s="25">
        <v>1360000</v>
      </c>
      <c r="E125" s="25" t="s">
        <v>202</v>
      </c>
      <c r="F125" s="25" t="str">
        <f t="shared" si="2"/>
        <v>rtdc.l.rtdc.4026:itc</v>
      </c>
      <c r="G125" s="8">
        <f t="shared" si="3"/>
        <v>42565.21634259259</v>
      </c>
    </row>
    <row r="126" spans="1:7" x14ac:dyDescent="0.25">
      <c r="A126" s="8">
        <v>42565.255567129629</v>
      </c>
      <c r="B126" s="25" t="s">
        <v>228</v>
      </c>
      <c r="C126" s="25" t="s">
        <v>288</v>
      </c>
      <c r="D126" s="25">
        <v>1190000</v>
      </c>
      <c r="E126" s="25" t="s">
        <v>224</v>
      </c>
      <c r="F126" s="25" t="str">
        <f t="shared" si="2"/>
        <v>rtdc.l.rtdc.4041:itc</v>
      </c>
      <c r="G126" s="8">
        <f t="shared" si="3"/>
        <v>42565.255567129629</v>
      </c>
    </row>
    <row r="127" spans="1:7" x14ac:dyDescent="0.25">
      <c r="A127" s="8">
        <v>42565.236192129632</v>
      </c>
      <c r="B127" s="25" t="s">
        <v>144</v>
      </c>
      <c r="C127" s="25" t="s">
        <v>299</v>
      </c>
      <c r="D127" s="25">
        <v>900000</v>
      </c>
      <c r="E127" s="25" t="s">
        <v>127</v>
      </c>
      <c r="F127" s="25" t="str">
        <f t="shared" si="2"/>
        <v>rtdc.l.rtdc.4039:itc</v>
      </c>
      <c r="G127" s="8">
        <f t="shared" si="3"/>
        <v>42565.236192129632</v>
      </c>
    </row>
    <row r="128" spans="1:7" x14ac:dyDescent="0.25">
      <c r="A128" s="8">
        <v>42565.226111111115</v>
      </c>
      <c r="B128" s="25" t="s">
        <v>83</v>
      </c>
      <c r="C128" s="25" t="s">
        <v>287</v>
      </c>
      <c r="D128" s="25">
        <v>1190000</v>
      </c>
      <c r="E128" s="25" t="s">
        <v>224</v>
      </c>
      <c r="F128" s="25" t="str">
        <f t="shared" si="2"/>
        <v>rtdc.l.rtdc.4042:itc</v>
      </c>
      <c r="G128" s="8">
        <f t="shared" si="3"/>
        <v>42565.226111111115</v>
      </c>
    </row>
    <row r="129" spans="1:7" x14ac:dyDescent="0.25">
      <c r="A129" s="8">
        <v>42565.252083333333</v>
      </c>
      <c r="B129" s="25" t="s">
        <v>75</v>
      </c>
      <c r="C129" s="25" t="s">
        <v>300</v>
      </c>
      <c r="D129" s="25">
        <v>1340000</v>
      </c>
      <c r="E129" s="25" t="s">
        <v>130</v>
      </c>
      <c r="F129" s="25" t="str">
        <f t="shared" si="2"/>
        <v>rtdc.l.rtdc.4017:itc</v>
      </c>
      <c r="G129" s="8">
        <f t="shared" si="3"/>
        <v>42565.252083333333</v>
      </c>
    </row>
    <row r="130" spans="1:7" x14ac:dyDescent="0.25">
      <c r="A130" s="8">
        <v>42565.180497685185</v>
      </c>
      <c r="B130" s="25" t="s">
        <v>120</v>
      </c>
      <c r="C130" s="25" t="s">
        <v>286</v>
      </c>
      <c r="D130" s="25">
        <v>1360000</v>
      </c>
      <c r="E130" s="25" t="s">
        <v>202</v>
      </c>
      <c r="F130" s="25" t="str">
        <f t="shared" ref="F130:F193" si="4">B130</f>
        <v>rtdc.l.rtdc.4025:itc</v>
      </c>
      <c r="G130" s="8">
        <f t="shared" ref="G130:G193" si="5">A130</f>
        <v>42565.180497685185</v>
      </c>
    </row>
    <row r="131" spans="1:7" x14ac:dyDescent="0.25">
      <c r="A131" s="8">
        <v>42565.269861111112</v>
      </c>
      <c r="B131" s="25" t="s">
        <v>138</v>
      </c>
      <c r="C131" s="25" t="s">
        <v>301</v>
      </c>
      <c r="D131" s="25">
        <v>900000</v>
      </c>
      <c r="E131" s="25" t="s">
        <v>127</v>
      </c>
      <c r="F131" s="25" t="str">
        <f t="shared" si="4"/>
        <v>rtdc.l.rtdc.4040:itc</v>
      </c>
      <c r="G131" s="8">
        <f t="shared" si="5"/>
        <v>42565.269861111112</v>
      </c>
    </row>
    <row r="132" spans="1:7" x14ac:dyDescent="0.25">
      <c r="A132" s="8">
        <v>42564.998194444444</v>
      </c>
      <c r="B132" s="25" t="s">
        <v>178</v>
      </c>
      <c r="C132" s="25" t="s">
        <v>278</v>
      </c>
      <c r="D132" s="25">
        <v>1480000</v>
      </c>
      <c r="E132" s="25" t="s">
        <v>116</v>
      </c>
      <c r="F132" s="25" t="str">
        <f t="shared" si="4"/>
        <v>rtdc.l.rtdc.4015:itc</v>
      </c>
      <c r="G132" s="8">
        <f t="shared" si="5"/>
        <v>42564.998194444444</v>
      </c>
    </row>
    <row r="133" spans="1:7" x14ac:dyDescent="0.25">
      <c r="A133" s="8">
        <v>42565.294999999998</v>
      </c>
      <c r="B133" s="25" t="s">
        <v>83</v>
      </c>
      <c r="C133" s="25" t="s">
        <v>302</v>
      </c>
      <c r="D133" s="25">
        <v>1190000</v>
      </c>
      <c r="E133" s="25" t="s">
        <v>224</v>
      </c>
      <c r="F133" s="25" t="str">
        <f t="shared" si="4"/>
        <v>rtdc.l.rtdc.4042:itc</v>
      </c>
      <c r="G133" s="8">
        <f t="shared" si="5"/>
        <v>42565.294999999998</v>
      </c>
    </row>
    <row r="134" spans="1:7" x14ac:dyDescent="0.25">
      <c r="A134" s="8">
        <v>42564.95349537037</v>
      </c>
      <c r="B134" s="25" t="s">
        <v>179</v>
      </c>
      <c r="C134" s="25" t="s">
        <v>277</v>
      </c>
      <c r="D134" s="25">
        <v>1480000</v>
      </c>
      <c r="E134" s="25" t="s">
        <v>116</v>
      </c>
      <c r="F134" s="25" t="str">
        <f t="shared" si="4"/>
        <v>rtdc.l.rtdc.4016:itc</v>
      </c>
      <c r="G134" s="8">
        <f t="shared" si="5"/>
        <v>42564.95349537037</v>
      </c>
    </row>
    <row r="135" spans="1:7" x14ac:dyDescent="0.25">
      <c r="A135" s="8">
        <v>42565.310995370368</v>
      </c>
      <c r="B135" s="25" t="s">
        <v>131</v>
      </c>
      <c r="C135" s="25" t="s">
        <v>303</v>
      </c>
      <c r="D135" s="25">
        <v>1090000</v>
      </c>
      <c r="E135" s="25" t="s">
        <v>128</v>
      </c>
      <c r="F135" s="25" t="str">
        <f t="shared" si="4"/>
        <v>rtdc.l.rtdc.4044:itc</v>
      </c>
      <c r="G135" s="8">
        <f t="shared" si="5"/>
        <v>42565.310995370368</v>
      </c>
    </row>
    <row r="136" spans="1:7" x14ac:dyDescent="0.25">
      <c r="A136" s="8">
        <v>42564.895486111112</v>
      </c>
      <c r="B136" s="25" t="s">
        <v>123</v>
      </c>
      <c r="C136" s="25" t="s">
        <v>271</v>
      </c>
      <c r="D136" s="25">
        <v>2030000</v>
      </c>
      <c r="E136" s="25" t="s">
        <v>152</v>
      </c>
      <c r="F136" s="25" t="str">
        <f t="shared" si="4"/>
        <v>rtdc.l.rtdc.4029:itc</v>
      </c>
      <c r="G136" s="8">
        <f t="shared" si="5"/>
        <v>42564.895486111112</v>
      </c>
    </row>
    <row r="137" spans="1:7" x14ac:dyDescent="0.25">
      <c r="A137" s="8">
        <v>42565.320717592593</v>
      </c>
      <c r="B137" s="25" t="s">
        <v>112</v>
      </c>
      <c r="C137" s="25" t="s">
        <v>304</v>
      </c>
      <c r="D137" s="25">
        <v>1310000</v>
      </c>
      <c r="E137" s="25" t="s">
        <v>114</v>
      </c>
      <c r="F137" s="25" t="str">
        <f t="shared" si="4"/>
        <v>rtdc.l.rtdc.4038:itc</v>
      </c>
      <c r="G137" s="8">
        <f t="shared" si="5"/>
        <v>42565.320717592593</v>
      </c>
    </row>
    <row r="138" spans="1:7" x14ac:dyDescent="0.25">
      <c r="A138" s="8">
        <v>42566.327708333331</v>
      </c>
      <c r="B138" s="25" t="s">
        <v>122</v>
      </c>
      <c r="C138" s="25" t="s">
        <v>555</v>
      </c>
      <c r="D138" s="25">
        <v>1240000</v>
      </c>
      <c r="E138" s="25" t="s">
        <v>135</v>
      </c>
      <c r="F138" s="25" t="str">
        <f t="shared" si="4"/>
        <v>rtdc.l.rtdc.4037:itc</v>
      </c>
      <c r="G138" s="8">
        <f t="shared" si="5"/>
        <v>42566.327708333331</v>
      </c>
    </row>
    <row r="139" spans="1:7" x14ac:dyDescent="0.25">
      <c r="A139" s="8">
        <v>42565.34888888889</v>
      </c>
      <c r="B139" s="25" t="s">
        <v>134</v>
      </c>
      <c r="C139" s="25" t="s">
        <v>338</v>
      </c>
      <c r="D139" s="25">
        <v>1090000</v>
      </c>
      <c r="E139" s="25" t="s">
        <v>128</v>
      </c>
      <c r="F139" s="25" t="str">
        <f t="shared" si="4"/>
        <v>rtdc.l.rtdc.4043:itc</v>
      </c>
      <c r="G139" s="8">
        <f t="shared" si="5"/>
        <v>42565.34888888889</v>
      </c>
    </row>
    <row r="140" spans="1:7" x14ac:dyDescent="0.25">
      <c r="A140" s="8">
        <v>42566.304039351853</v>
      </c>
      <c r="B140" s="25" t="s">
        <v>75</v>
      </c>
      <c r="C140" s="25" t="s">
        <v>556</v>
      </c>
      <c r="D140" s="25">
        <v>1990000</v>
      </c>
      <c r="E140" s="25" t="s">
        <v>157</v>
      </c>
      <c r="F140" s="25" t="str">
        <f t="shared" si="4"/>
        <v>rtdc.l.rtdc.4017:itc</v>
      </c>
      <c r="G140" s="8">
        <f t="shared" si="5"/>
        <v>42566.304039351853</v>
      </c>
    </row>
    <row r="141" spans="1:7" x14ac:dyDescent="0.25">
      <c r="A141" s="8">
        <v>42565.353136574071</v>
      </c>
      <c r="B141" s="25" t="s">
        <v>76</v>
      </c>
      <c r="C141" s="25" t="s">
        <v>347</v>
      </c>
      <c r="D141" s="25">
        <v>1110000</v>
      </c>
      <c r="E141" s="25" t="s">
        <v>154</v>
      </c>
      <c r="F141" s="25" t="str">
        <f t="shared" si="4"/>
        <v>rtdc.l.rtdc.4031:itc</v>
      </c>
      <c r="G141" s="8">
        <f t="shared" si="5"/>
        <v>42565.353136574071</v>
      </c>
    </row>
    <row r="142" spans="1:7" x14ac:dyDescent="0.25">
      <c r="A142" s="8">
        <v>42566.287812499999</v>
      </c>
      <c r="B142" s="25" t="s">
        <v>121</v>
      </c>
      <c r="C142" s="25" t="s">
        <v>557</v>
      </c>
      <c r="D142" s="25">
        <v>1310000</v>
      </c>
      <c r="E142" s="25" t="s">
        <v>114</v>
      </c>
      <c r="F142" s="25" t="str">
        <f t="shared" si="4"/>
        <v>rtdc.l.rtdc.4028:itc</v>
      </c>
      <c r="G142" s="8">
        <f t="shared" si="5"/>
        <v>42566.287812499999</v>
      </c>
    </row>
    <row r="143" spans="1:7" x14ac:dyDescent="0.25">
      <c r="A143" s="8">
        <v>42565.393472222226</v>
      </c>
      <c r="B143" s="25" t="s">
        <v>112</v>
      </c>
      <c r="C143" s="25" t="s">
        <v>359</v>
      </c>
      <c r="D143" s="25">
        <v>1310000</v>
      </c>
      <c r="E143" s="25" t="s">
        <v>114</v>
      </c>
      <c r="F143" s="25" t="str">
        <f t="shared" si="4"/>
        <v>rtdc.l.rtdc.4038:itc</v>
      </c>
      <c r="G143" s="8">
        <f t="shared" si="5"/>
        <v>42565.393472222226</v>
      </c>
    </row>
    <row r="144" spans="1:7" x14ac:dyDescent="0.25">
      <c r="A144" s="8">
        <v>42566.240451388891</v>
      </c>
      <c r="B144" s="25" t="s">
        <v>131</v>
      </c>
      <c r="C144" s="25" t="s">
        <v>558</v>
      </c>
      <c r="D144" s="25">
        <v>900000</v>
      </c>
      <c r="E144" s="25" t="s">
        <v>127</v>
      </c>
      <c r="F144" s="25" t="str">
        <f t="shared" si="4"/>
        <v>rtdc.l.rtdc.4044:itc</v>
      </c>
      <c r="G144" s="8">
        <f t="shared" si="5"/>
        <v>42566.240451388891</v>
      </c>
    </row>
    <row r="145" spans="1:7" x14ac:dyDescent="0.25">
      <c r="A145" s="8">
        <v>42565.412615740737</v>
      </c>
      <c r="B145" s="25" t="s">
        <v>228</v>
      </c>
      <c r="C145" s="25" t="s">
        <v>355</v>
      </c>
      <c r="D145" s="25">
        <v>1190000</v>
      </c>
      <c r="E145" s="25" t="s">
        <v>224</v>
      </c>
      <c r="F145" s="25" t="str">
        <f t="shared" si="4"/>
        <v>rtdc.l.rtdc.4041:itc</v>
      </c>
      <c r="G145" s="8">
        <f t="shared" si="5"/>
        <v>42565.412615740737</v>
      </c>
    </row>
    <row r="146" spans="1:7" x14ac:dyDescent="0.25">
      <c r="A146" s="8">
        <v>42566.239085648151</v>
      </c>
      <c r="B146" s="25" t="s">
        <v>136</v>
      </c>
      <c r="C146" s="25" t="s">
        <v>559</v>
      </c>
      <c r="D146" s="25">
        <v>1340000</v>
      </c>
      <c r="E146" s="25" t="s">
        <v>130</v>
      </c>
      <c r="F146" s="25" t="str">
        <f t="shared" si="4"/>
        <v>rtdc.l.rtdc.4007:itc</v>
      </c>
      <c r="G146" s="8">
        <f t="shared" si="5"/>
        <v>42566.239085648151</v>
      </c>
    </row>
    <row r="147" spans="1:7" x14ac:dyDescent="0.25">
      <c r="A147" s="8">
        <v>42565.428240740737</v>
      </c>
      <c r="B147" s="25" t="s">
        <v>73</v>
      </c>
      <c r="C147" s="25" t="s">
        <v>369</v>
      </c>
      <c r="D147" s="25">
        <v>1110000</v>
      </c>
      <c r="E147" s="25" t="s">
        <v>154</v>
      </c>
      <c r="F147" s="25" t="str">
        <f t="shared" si="4"/>
        <v>rtdc.l.rtdc.4020:itc</v>
      </c>
      <c r="G147" s="8">
        <f t="shared" si="5"/>
        <v>42565.428240740737</v>
      </c>
    </row>
    <row r="148" spans="1:7" x14ac:dyDescent="0.25">
      <c r="A148" s="8">
        <v>42566.213900462964</v>
      </c>
      <c r="B148" s="25" t="s">
        <v>178</v>
      </c>
      <c r="C148" s="25" t="s">
        <v>560</v>
      </c>
      <c r="D148" s="25">
        <v>1190000</v>
      </c>
      <c r="E148" s="25" t="s">
        <v>224</v>
      </c>
      <c r="F148" s="25" t="str">
        <f t="shared" si="4"/>
        <v>rtdc.l.rtdc.4015:itc</v>
      </c>
      <c r="G148" s="8">
        <f t="shared" si="5"/>
        <v>42566.213900462964</v>
      </c>
    </row>
    <row r="149" spans="1:7" x14ac:dyDescent="0.25">
      <c r="A149" s="8">
        <v>42565.464525462965</v>
      </c>
      <c r="B149" s="25" t="s">
        <v>72</v>
      </c>
      <c r="C149" s="25" t="s">
        <v>370</v>
      </c>
      <c r="D149" s="25">
        <v>1110000</v>
      </c>
      <c r="E149" s="25" t="s">
        <v>154</v>
      </c>
      <c r="F149" s="25" t="str">
        <f t="shared" si="4"/>
        <v>rtdc.l.rtdc.4019:itc</v>
      </c>
      <c r="G149" s="8">
        <f t="shared" si="5"/>
        <v>42565.464525462965</v>
      </c>
    </row>
    <row r="150" spans="1:7" x14ac:dyDescent="0.25">
      <c r="A150" s="8">
        <v>42565.991631944446</v>
      </c>
      <c r="B150" s="25" t="s">
        <v>72</v>
      </c>
      <c r="C150" s="25" t="s">
        <v>481</v>
      </c>
      <c r="D150" s="25">
        <v>2010000</v>
      </c>
      <c r="E150" s="25" t="s">
        <v>156</v>
      </c>
      <c r="F150" s="25" t="str">
        <f t="shared" si="4"/>
        <v>rtdc.l.rtdc.4019:itc</v>
      </c>
      <c r="G150" s="8">
        <f t="shared" si="5"/>
        <v>42565.991631944446</v>
      </c>
    </row>
    <row r="151" spans="1:7" x14ac:dyDescent="0.25">
      <c r="A151" s="8">
        <v>42565.556076388886</v>
      </c>
      <c r="B151" s="25" t="s">
        <v>228</v>
      </c>
      <c r="C151" s="25" t="s">
        <v>396</v>
      </c>
      <c r="D151" s="25">
        <v>2000000</v>
      </c>
      <c r="E151" s="25" t="s">
        <v>153</v>
      </c>
      <c r="F151" s="25" t="str">
        <f t="shared" si="4"/>
        <v>rtdc.l.rtdc.4041:itc</v>
      </c>
      <c r="G151" s="8">
        <f t="shared" si="5"/>
        <v>42565.556076388886</v>
      </c>
    </row>
    <row r="152" spans="1:7" x14ac:dyDescent="0.25">
      <c r="A152" s="8">
        <v>42565.952800925923</v>
      </c>
      <c r="B152" s="25" t="s">
        <v>73</v>
      </c>
      <c r="C152" s="25" t="s">
        <v>480</v>
      </c>
      <c r="D152" s="25">
        <v>2010000</v>
      </c>
      <c r="E152" s="25" t="s">
        <v>156</v>
      </c>
      <c r="F152" s="25" t="str">
        <f t="shared" si="4"/>
        <v>rtdc.l.rtdc.4020:itc</v>
      </c>
      <c r="G152" s="8">
        <f t="shared" si="5"/>
        <v>42565.952800925923</v>
      </c>
    </row>
    <row r="153" spans="1:7" x14ac:dyDescent="0.25">
      <c r="A153" s="8">
        <v>42565.572118055556</v>
      </c>
      <c r="B153" s="25" t="s">
        <v>73</v>
      </c>
      <c r="C153" s="25" t="s">
        <v>409</v>
      </c>
      <c r="D153" s="25">
        <v>1190000</v>
      </c>
      <c r="E153" s="25" t="s">
        <v>224</v>
      </c>
      <c r="F153" s="25" t="str">
        <f t="shared" si="4"/>
        <v>rtdc.l.rtdc.4020:itc</v>
      </c>
      <c r="G153" s="8">
        <f t="shared" si="5"/>
        <v>42565.572118055556</v>
      </c>
    </row>
    <row r="154" spans="1:7" x14ac:dyDescent="0.25">
      <c r="A154" s="8">
        <v>42565.929548611108</v>
      </c>
      <c r="B154" s="25" t="s">
        <v>120</v>
      </c>
      <c r="C154" s="25" t="s">
        <v>478</v>
      </c>
      <c r="D154" s="25">
        <v>1480000</v>
      </c>
      <c r="E154" s="25" t="s">
        <v>116</v>
      </c>
      <c r="F154" s="25" t="str">
        <f t="shared" si="4"/>
        <v>rtdc.l.rtdc.4025:itc</v>
      </c>
      <c r="G154" s="8">
        <f t="shared" si="5"/>
        <v>42565.929548611108</v>
      </c>
    </row>
    <row r="155" spans="1:7" x14ac:dyDescent="0.25">
      <c r="A155" s="8">
        <v>42565.587685185186</v>
      </c>
      <c r="B155" s="25" t="s">
        <v>74</v>
      </c>
      <c r="C155" s="25" t="s">
        <v>410</v>
      </c>
      <c r="D155" s="25">
        <v>1820000</v>
      </c>
      <c r="E155" s="25" t="s">
        <v>104</v>
      </c>
      <c r="F155" s="25" t="str">
        <f t="shared" si="4"/>
        <v>rtdc.l.rtdc.4018:itc</v>
      </c>
      <c r="G155" s="8">
        <f t="shared" si="5"/>
        <v>42565.587685185186</v>
      </c>
    </row>
    <row r="156" spans="1:7" x14ac:dyDescent="0.25">
      <c r="A156" s="8">
        <v>42565.886435185188</v>
      </c>
      <c r="B156" s="25" t="s">
        <v>117</v>
      </c>
      <c r="C156" s="25" t="s">
        <v>470</v>
      </c>
      <c r="D156" s="25">
        <v>1480000</v>
      </c>
      <c r="E156" s="25" t="s">
        <v>116</v>
      </c>
      <c r="F156" s="25" t="str">
        <f t="shared" si="4"/>
        <v>rtdc.l.rtdc.4026:itc</v>
      </c>
      <c r="G156" s="8">
        <f t="shared" si="5"/>
        <v>42565.886435185188</v>
      </c>
    </row>
    <row r="157" spans="1:7" x14ac:dyDescent="0.25">
      <c r="A157" s="8">
        <v>42565.593807870369</v>
      </c>
      <c r="B157" s="25" t="s">
        <v>67</v>
      </c>
      <c r="C157" s="25" t="s">
        <v>544</v>
      </c>
      <c r="D157" s="25">
        <v>1810000</v>
      </c>
      <c r="E157" s="25" t="s">
        <v>145</v>
      </c>
      <c r="F157" s="25" t="str">
        <f t="shared" si="4"/>
        <v>rtdc.l.rtdc.4032:itc</v>
      </c>
      <c r="G157" s="8">
        <f t="shared" si="5"/>
        <v>42565.593807870369</v>
      </c>
    </row>
    <row r="158" spans="1:7" x14ac:dyDescent="0.25">
      <c r="A158" s="8">
        <v>42565.848124999997</v>
      </c>
      <c r="B158" s="25" t="s">
        <v>120</v>
      </c>
      <c r="C158" s="25" t="s">
        <v>469</v>
      </c>
      <c r="D158" s="25">
        <v>1480000</v>
      </c>
      <c r="E158" s="25" t="s">
        <v>116</v>
      </c>
      <c r="F158" s="25" t="str">
        <f t="shared" si="4"/>
        <v>rtdc.l.rtdc.4025:itc</v>
      </c>
      <c r="G158" s="8">
        <f t="shared" si="5"/>
        <v>42565.848124999997</v>
      </c>
    </row>
    <row r="159" spans="1:7" x14ac:dyDescent="0.25">
      <c r="A159" s="8">
        <v>42565.605879629627</v>
      </c>
      <c r="B159" s="25" t="s">
        <v>72</v>
      </c>
      <c r="C159" s="25" t="s">
        <v>561</v>
      </c>
      <c r="D159" s="25">
        <v>1190000</v>
      </c>
      <c r="E159" s="25" t="s">
        <v>224</v>
      </c>
      <c r="F159" s="25" t="str">
        <f t="shared" si="4"/>
        <v>rtdc.l.rtdc.4019:itc</v>
      </c>
      <c r="G159" s="8">
        <f t="shared" si="5"/>
        <v>42565.605879629627</v>
      </c>
    </row>
    <row r="160" spans="1:7" x14ac:dyDescent="0.25">
      <c r="A160" s="8">
        <v>42565.831979166665</v>
      </c>
      <c r="B160" s="25" t="s">
        <v>138</v>
      </c>
      <c r="C160" s="25" t="s">
        <v>465</v>
      </c>
      <c r="D160" s="25">
        <v>1300000</v>
      </c>
      <c r="E160" s="25" t="s">
        <v>285</v>
      </c>
      <c r="F160" s="25" t="str">
        <f t="shared" si="4"/>
        <v>rtdc.l.rtdc.4040:itc</v>
      </c>
      <c r="G160" s="8">
        <f t="shared" si="5"/>
        <v>42565.831979166665</v>
      </c>
    </row>
    <row r="161" spans="1:7" x14ac:dyDescent="0.25">
      <c r="A161" s="8">
        <v>42565.610578703701</v>
      </c>
      <c r="B161" s="25" t="s">
        <v>112</v>
      </c>
      <c r="C161" s="25" t="s">
        <v>422</v>
      </c>
      <c r="D161" s="25">
        <v>1750000</v>
      </c>
      <c r="E161" s="25" t="s">
        <v>550</v>
      </c>
      <c r="F161" s="25" t="str">
        <f t="shared" si="4"/>
        <v>rtdc.l.rtdc.4038:itc</v>
      </c>
      <c r="G161" s="8">
        <f t="shared" si="5"/>
        <v>42565.610578703701</v>
      </c>
    </row>
    <row r="162" spans="1:7" x14ac:dyDescent="0.25">
      <c r="A162" s="8">
        <v>42565.799108796295</v>
      </c>
      <c r="B162" s="25" t="s">
        <v>144</v>
      </c>
      <c r="C162" s="25" t="s">
        <v>453</v>
      </c>
      <c r="D162" s="25">
        <v>1300000</v>
      </c>
      <c r="E162" s="25" t="s">
        <v>285</v>
      </c>
      <c r="F162" s="25" t="str">
        <f t="shared" si="4"/>
        <v>rtdc.l.rtdc.4039:itc</v>
      </c>
      <c r="G162" s="8">
        <f t="shared" si="5"/>
        <v>42565.799108796295</v>
      </c>
    </row>
    <row r="163" spans="1:7" x14ac:dyDescent="0.25">
      <c r="A163" s="8">
        <v>42565.61991898148</v>
      </c>
      <c r="B163" s="25" t="s">
        <v>67</v>
      </c>
      <c r="C163" s="25" t="s">
        <v>544</v>
      </c>
      <c r="D163" s="25">
        <v>1810000</v>
      </c>
      <c r="E163" s="25" t="s">
        <v>145</v>
      </c>
      <c r="F163" s="25" t="str">
        <f t="shared" si="4"/>
        <v>rtdc.l.rtdc.4032:itc</v>
      </c>
      <c r="G163" s="8">
        <f t="shared" si="5"/>
        <v>42565.61991898148</v>
      </c>
    </row>
    <row r="164" spans="1:7" x14ac:dyDescent="0.25">
      <c r="A164" s="8">
        <v>42565.797152777777</v>
      </c>
      <c r="B164" s="25" t="s">
        <v>144</v>
      </c>
      <c r="C164" s="25" t="s">
        <v>453</v>
      </c>
      <c r="D164" s="25">
        <v>1300000</v>
      </c>
      <c r="E164" s="25" t="s">
        <v>285</v>
      </c>
      <c r="F164" s="25" t="str">
        <f t="shared" si="4"/>
        <v>rtdc.l.rtdc.4039:itc</v>
      </c>
      <c r="G164" s="8">
        <f t="shared" si="5"/>
        <v>42565.797152777777</v>
      </c>
    </row>
    <row r="165" spans="1:7" x14ac:dyDescent="0.25">
      <c r="A165" s="8">
        <v>42565.620798611111</v>
      </c>
      <c r="B165" s="25" t="s">
        <v>72</v>
      </c>
      <c r="C165" s="25" t="s">
        <v>561</v>
      </c>
      <c r="D165" s="25">
        <v>1190000</v>
      </c>
      <c r="E165" s="25" t="s">
        <v>224</v>
      </c>
      <c r="F165" s="25" t="str">
        <f t="shared" si="4"/>
        <v>rtdc.l.rtdc.4019:itc</v>
      </c>
      <c r="G165" s="8">
        <f t="shared" si="5"/>
        <v>42565.620798611111</v>
      </c>
    </row>
    <row r="166" spans="1:7" x14ac:dyDescent="0.25">
      <c r="A166" s="8">
        <v>42565.786516203705</v>
      </c>
      <c r="B166" s="25" t="s">
        <v>73</v>
      </c>
      <c r="C166" s="25" t="s">
        <v>460</v>
      </c>
      <c r="D166" s="25">
        <v>2010000</v>
      </c>
      <c r="E166" s="25" t="s">
        <v>156</v>
      </c>
      <c r="F166" s="25" t="str">
        <f t="shared" si="4"/>
        <v>rtdc.l.rtdc.4020:itc</v>
      </c>
      <c r="G166" s="8">
        <f t="shared" si="5"/>
        <v>42565.786516203705</v>
      </c>
    </row>
    <row r="167" spans="1:7" x14ac:dyDescent="0.25">
      <c r="A167" s="8">
        <v>42565.631574074076</v>
      </c>
      <c r="B167" s="25" t="s">
        <v>228</v>
      </c>
      <c r="C167" s="25" t="s">
        <v>417</v>
      </c>
      <c r="D167" s="25">
        <v>2000000</v>
      </c>
      <c r="E167" s="25" t="s">
        <v>153</v>
      </c>
      <c r="F167" s="25" t="str">
        <f t="shared" si="4"/>
        <v>rtdc.l.rtdc.4041:itc</v>
      </c>
      <c r="G167" s="8">
        <f t="shared" si="5"/>
        <v>42565.631574074076</v>
      </c>
    </row>
    <row r="168" spans="1:7" x14ac:dyDescent="0.25">
      <c r="A168" s="8">
        <v>42565.767881944441</v>
      </c>
      <c r="B168" s="25" t="s">
        <v>120</v>
      </c>
      <c r="C168" s="25" t="s">
        <v>455</v>
      </c>
      <c r="D168" s="25">
        <v>1480000</v>
      </c>
      <c r="E168" s="25" t="s">
        <v>116</v>
      </c>
      <c r="F168" s="25" t="str">
        <f t="shared" si="4"/>
        <v>rtdc.l.rtdc.4025:itc</v>
      </c>
      <c r="G168" s="8">
        <f t="shared" si="5"/>
        <v>42565.767881944441</v>
      </c>
    </row>
    <row r="169" spans="1:7" x14ac:dyDescent="0.25">
      <c r="A169" s="8">
        <v>42565.633611111109</v>
      </c>
      <c r="B169" s="25" t="s">
        <v>76</v>
      </c>
      <c r="C169" s="25" t="s">
        <v>562</v>
      </c>
      <c r="D169" s="25">
        <v>1810000</v>
      </c>
      <c r="E169" s="25" t="s">
        <v>145</v>
      </c>
      <c r="F169" s="25" t="str">
        <f t="shared" si="4"/>
        <v>rtdc.l.rtdc.4031:itc</v>
      </c>
      <c r="G169" s="8">
        <f t="shared" si="5"/>
        <v>42565.633611111109</v>
      </c>
    </row>
    <row r="170" spans="1:7" x14ac:dyDescent="0.25">
      <c r="A170" s="8">
        <v>42565.740671296298</v>
      </c>
      <c r="B170" s="25" t="s">
        <v>67</v>
      </c>
      <c r="C170" s="25" t="s">
        <v>563</v>
      </c>
      <c r="D170" s="25">
        <v>1810000</v>
      </c>
      <c r="E170" s="25" t="s">
        <v>145</v>
      </c>
      <c r="F170" s="25" t="str">
        <f t="shared" si="4"/>
        <v>rtdc.l.rtdc.4032:itc</v>
      </c>
      <c r="G170" s="8">
        <f t="shared" si="5"/>
        <v>42565.740671296298</v>
      </c>
    </row>
    <row r="171" spans="1:7" x14ac:dyDescent="0.25">
      <c r="A171" s="8">
        <v>42565.638541666667</v>
      </c>
      <c r="B171" s="25" t="s">
        <v>134</v>
      </c>
      <c r="C171" s="25" t="s">
        <v>420</v>
      </c>
      <c r="D171" s="25">
        <v>2020000</v>
      </c>
      <c r="E171" s="25" t="s">
        <v>225</v>
      </c>
      <c r="F171" s="25" t="str">
        <f t="shared" si="4"/>
        <v>rtdc.l.rtdc.4043:itc</v>
      </c>
      <c r="G171" s="8">
        <f t="shared" si="5"/>
        <v>42565.638541666667</v>
      </c>
    </row>
    <row r="172" spans="1:7" x14ac:dyDescent="0.25">
      <c r="A172" s="8">
        <v>42565.728113425925</v>
      </c>
      <c r="B172" s="25" t="s">
        <v>74</v>
      </c>
      <c r="C172" s="25" t="s">
        <v>445</v>
      </c>
      <c r="D172" s="25">
        <v>1540000</v>
      </c>
      <c r="E172" s="25" t="s">
        <v>132</v>
      </c>
      <c r="F172" s="25" t="str">
        <f t="shared" si="4"/>
        <v>rtdc.l.rtdc.4018:itc</v>
      </c>
      <c r="G172" s="8">
        <f t="shared" si="5"/>
        <v>42565.728113425925</v>
      </c>
    </row>
    <row r="173" spans="1:7" x14ac:dyDescent="0.25">
      <c r="A173" s="8">
        <v>42565.663807870369</v>
      </c>
      <c r="B173" s="25" t="s">
        <v>83</v>
      </c>
      <c r="C173" s="25" t="s">
        <v>432</v>
      </c>
      <c r="D173" s="25">
        <v>2000000</v>
      </c>
      <c r="E173" s="25" t="s">
        <v>153</v>
      </c>
      <c r="F173" s="25" t="str">
        <f t="shared" si="4"/>
        <v>rtdc.l.rtdc.4042:itc</v>
      </c>
      <c r="G173" s="8">
        <f t="shared" si="5"/>
        <v>42565.663807870369</v>
      </c>
    </row>
    <row r="174" spans="1:7" x14ac:dyDescent="0.25">
      <c r="A174" s="8">
        <v>42565.691805555558</v>
      </c>
      <c r="B174" s="25" t="s">
        <v>75</v>
      </c>
      <c r="C174" s="25" t="s">
        <v>431</v>
      </c>
      <c r="D174" s="25">
        <v>1820000</v>
      </c>
      <c r="E174" s="25" t="s">
        <v>104</v>
      </c>
      <c r="F174" s="25" t="str">
        <f t="shared" si="4"/>
        <v>rtdc.l.rtdc.4017:itc</v>
      </c>
      <c r="G174" s="8">
        <f t="shared" si="5"/>
        <v>42565.691805555558</v>
      </c>
    </row>
    <row r="175" spans="1:7" x14ac:dyDescent="0.25">
      <c r="A175" s="8">
        <v>42565.671655092592</v>
      </c>
      <c r="B175" s="25" t="s">
        <v>67</v>
      </c>
      <c r="C175" s="25" t="s">
        <v>564</v>
      </c>
      <c r="D175" s="25">
        <v>1810000</v>
      </c>
      <c r="E175" s="25" t="s">
        <v>145</v>
      </c>
      <c r="F175" s="25" t="str">
        <f t="shared" si="4"/>
        <v>rtdc.l.rtdc.4032:itc</v>
      </c>
      <c r="G175" s="8">
        <f t="shared" si="5"/>
        <v>42565.671655092592</v>
      </c>
    </row>
    <row r="176" spans="1:7" x14ac:dyDescent="0.25">
      <c r="A176" s="8">
        <v>42565.683055555557</v>
      </c>
      <c r="B176" s="25" t="s">
        <v>72</v>
      </c>
      <c r="C176" s="25" t="s">
        <v>427</v>
      </c>
      <c r="D176" s="25">
        <v>1540000</v>
      </c>
      <c r="E176" s="25" t="s">
        <v>132</v>
      </c>
      <c r="F176" s="25" t="str">
        <f t="shared" si="4"/>
        <v>rtdc.l.rtdc.4019:itc</v>
      </c>
      <c r="G176" s="8">
        <f t="shared" si="5"/>
        <v>42565.683055555557</v>
      </c>
    </row>
    <row r="177" spans="1:7" x14ac:dyDescent="0.25">
      <c r="A177" s="8">
        <v>42565.689965277779</v>
      </c>
      <c r="B177" s="25" t="s">
        <v>138</v>
      </c>
      <c r="C177" s="25" t="s">
        <v>438</v>
      </c>
      <c r="D177" s="25">
        <v>1750000</v>
      </c>
      <c r="E177" s="25" t="s">
        <v>550</v>
      </c>
      <c r="F177" s="25" t="str">
        <f t="shared" si="4"/>
        <v>rtdc.l.rtdc.4040:itc</v>
      </c>
      <c r="G177" s="8">
        <f t="shared" si="5"/>
        <v>42565.689965277779</v>
      </c>
    </row>
    <row r="178" spans="1:7" x14ac:dyDescent="0.25">
      <c r="A178" s="8">
        <v>42565.64534722222</v>
      </c>
      <c r="B178" s="25" t="s">
        <v>73</v>
      </c>
      <c r="C178" s="25" t="s">
        <v>565</v>
      </c>
      <c r="D178" s="25">
        <v>1540000</v>
      </c>
      <c r="E178" s="25" t="s">
        <v>132</v>
      </c>
      <c r="F178" s="25" t="str">
        <f t="shared" si="4"/>
        <v>rtdc.l.rtdc.4020:itc</v>
      </c>
      <c r="G178" s="8">
        <f t="shared" si="5"/>
        <v>42565.64534722222</v>
      </c>
    </row>
    <row r="179" spans="1:7" x14ac:dyDescent="0.25">
      <c r="A179" s="8">
        <v>42565.705150462964</v>
      </c>
      <c r="B179" s="25" t="s">
        <v>228</v>
      </c>
      <c r="C179" s="25" t="s">
        <v>433</v>
      </c>
      <c r="D179" s="25">
        <v>2000000</v>
      </c>
      <c r="E179" s="25" t="s">
        <v>153</v>
      </c>
      <c r="F179" s="25" t="str">
        <f t="shared" si="4"/>
        <v>rtdc.l.rtdc.4041:itc</v>
      </c>
      <c r="G179" s="8">
        <f t="shared" si="5"/>
        <v>42565.705150462964</v>
      </c>
    </row>
    <row r="180" spans="1:7" x14ac:dyDescent="0.25">
      <c r="A180" s="8">
        <v>42565.620740740742</v>
      </c>
      <c r="B180" s="25" t="s">
        <v>75</v>
      </c>
      <c r="C180" s="25" t="s">
        <v>414</v>
      </c>
      <c r="D180" s="25">
        <v>1820000</v>
      </c>
      <c r="E180" s="25" t="s">
        <v>104</v>
      </c>
      <c r="F180" s="25" t="str">
        <f t="shared" si="4"/>
        <v>rtdc.l.rtdc.4017:itc</v>
      </c>
      <c r="G180" s="8">
        <f t="shared" si="5"/>
        <v>42565.620740740742</v>
      </c>
    </row>
    <row r="181" spans="1:7" x14ac:dyDescent="0.25">
      <c r="A181" s="8">
        <v>42565.830613425926</v>
      </c>
      <c r="B181" s="25" t="s">
        <v>138</v>
      </c>
      <c r="C181" s="25" t="s">
        <v>465</v>
      </c>
      <c r="D181" s="25">
        <v>1300000</v>
      </c>
      <c r="E181" s="25" t="s">
        <v>285</v>
      </c>
      <c r="F181" s="25" t="str">
        <f t="shared" si="4"/>
        <v>rtdc.l.rtdc.4040:itc</v>
      </c>
      <c r="G181" s="8">
        <f t="shared" si="5"/>
        <v>42565.830613425926</v>
      </c>
    </row>
    <row r="182" spans="1:7" x14ac:dyDescent="0.25">
      <c r="A182" s="8">
        <v>42565.591736111113</v>
      </c>
      <c r="B182" s="25" t="s">
        <v>83</v>
      </c>
      <c r="C182" s="25" t="s">
        <v>416</v>
      </c>
      <c r="D182" s="25">
        <v>2000000</v>
      </c>
      <c r="E182" s="25" t="s">
        <v>153</v>
      </c>
      <c r="F182" s="25" t="str">
        <f t="shared" si="4"/>
        <v>rtdc.l.rtdc.4042:itc</v>
      </c>
      <c r="G182" s="8">
        <f t="shared" si="5"/>
        <v>42565.591736111113</v>
      </c>
    </row>
    <row r="183" spans="1:7" x14ac:dyDescent="0.25">
      <c r="A183" s="8">
        <v>42565.864363425928</v>
      </c>
      <c r="B183" s="25" t="s">
        <v>73</v>
      </c>
      <c r="C183" s="25" t="s">
        <v>471</v>
      </c>
      <c r="D183" s="25">
        <v>2010000</v>
      </c>
      <c r="E183" s="25" t="s">
        <v>156</v>
      </c>
      <c r="F183" s="25" t="str">
        <f t="shared" si="4"/>
        <v>rtdc.l.rtdc.4020:itc</v>
      </c>
      <c r="G183" s="8">
        <f t="shared" si="5"/>
        <v>42565.864363425928</v>
      </c>
    </row>
    <row r="184" spans="1:7" x14ac:dyDescent="0.25">
      <c r="A184" s="8">
        <v>42565.584953703707</v>
      </c>
      <c r="B184" s="25" t="s">
        <v>117</v>
      </c>
      <c r="C184" s="25" t="s">
        <v>406</v>
      </c>
      <c r="D184" s="25">
        <v>1460000</v>
      </c>
      <c r="E184" s="25" t="s">
        <v>113</v>
      </c>
      <c r="F184" s="25" t="str">
        <f t="shared" si="4"/>
        <v>rtdc.l.rtdc.4026:itc</v>
      </c>
      <c r="G184" s="8">
        <f t="shared" si="5"/>
        <v>42565.584953703707</v>
      </c>
    </row>
    <row r="185" spans="1:7" x14ac:dyDescent="0.25">
      <c r="A185" s="8">
        <v>42565.90934027778</v>
      </c>
      <c r="B185" s="25" t="s">
        <v>72</v>
      </c>
      <c r="C185" s="25" t="s">
        <v>472</v>
      </c>
      <c r="D185" s="25">
        <v>2010000</v>
      </c>
      <c r="E185" s="25" t="s">
        <v>156</v>
      </c>
      <c r="F185" s="25" t="str">
        <f t="shared" si="4"/>
        <v>rtdc.l.rtdc.4019:itc</v>
      </c>
      <c r="G185" s="8">
        <f t="shared" si="5"/>
        <v>42565.90934027778</v>
      </c>
    </row>
    <row r="186" spans="1:7" x14ac:dyDescent="0.25">
      <c r="A186" s="8">
        <v>42565.565567129626</v>
      </c>
      <c r="B186" s="25" t="s">
        <v>134</v>
      </c>
      <c r="C186" s="25" t="s">
        <v>401</v>
      </c>
      <c r="D186" s="25">
        <v>2020000</v>
      </c>
      <c r="E186" s="25" t="s">
        <v>225</v>
      </c>
      <c r="F186" s="25" t="str">
        <f t="shared" si="4"/>
        <v>rtdc.l.rtdc.4043:itc</v>
      </c>
      <c r="G186" s="8">
        <f t="shared" si="5"/>
        <v>42565.565567129626</v>
      </c>
    </row>
    <row r="187" spans="1:7" x14ac:dyDescent="0.25">
      <c r="A187" s="8">
        <v>42565.950243055559</v>
      </c>
      <c r="B187" s="25" t="s">
        <v>144</v>
      </c>
      <c r="C187" s="25" t="s">
        <v>477</v>
      </c>
      <c r="D187" s="25">
        <v>1300000</v>
      </c>
      <c r="E187" s="25" t="s">
        <v>285</v>
      </c>
      <c r="F187" s="25" t="str">
        <f t="shared" si="4"/>
        <v>rtdc.l.rtdc.4039:itc</v>
      </c>
      <c r="G187" s="8">
        <f t="shared" si="5"/>
        <v>42565.950243055559</v>
      </c>
    </row>
    <row r="188" spans="1:7" x14ac:dyDescent="0.25">
      <c r="A188" s="8">
        <v>42565.557905092595</v>
      </c>
      <c r="B188" s="25" t="s">
        <v>76</v>
      </c>
      <c r="C188" s="25" t="s">
        <v>408</v>
      </c>
      <c r="D188" s="25">
        <v>1810000</v>
      </c>
      <c r="E188" s="25" t="s">
        <v>145</v>
      </c>
      <c r="F188" s="25" t="str">
        <f t="shared" si="4"/>
        <v>rtdc.l.rtdc.4031:itc</v>
      </c>
      <c r="G188" s="8">
        <f t="shared" si="5"/>
        <v>42565.557905092595</v>
      </c>
    </row>
    <row r="189" spans="1:7" x14ac:dyDescent="0.25">
      <c r="A189" s="8">
        <v>42565.99318287037</v>
      </c>
      <c r="B189" s="25" t="s">
        <v>72</v>
      </c>
      <c r="C189" s="25" t="s">
        <v>481</v>
      </c>
      <c r="D189" s="25">
        <v>2010000</v>
      </c>
      <c r="E189" s="25" t="s">
        <v>156</v>
      </c>
      <c r="F189" s="25" t="str">
        <f t="shared" si="4"/>
        <v>rtdc.l.rtdc.4019:itc</v>
      </c>
      <c r="G189" s="8">
        <f t="shared" si="5"/>
        <v>42565.99318287037</v>
      </c>
    </row>
    <row r="190" spans="1:7" x14ac:dyDescent="0.25">
      <c r="A190" s="8">
        <v>42565.52857638889</v>
      </c>
      <c r="B190" s="25" t="s">
        <v>72</v>
      </c>
      <c r="C190" s="25" t="s">
        <v>389</v>
      </c>
      <c r="D190" s="25">
        <v>330000</v>
      </c>
      <c r="E190" s="25" t="s">
        <v>551</v>
      </c>
      <c r="F190" s="25" t="str">
        <f t="shared" si="4"/>
        <v>rtdc.l.rtdc.4019:itc</v>
      </c>
      <c r="G190" s="8">
        <f t="shared" si="5"/>
        <v>42565.52857638889</v>
      </c>
    </row>
    <row r="191" spans="1:7" x14ac:dyDescent="0.25">
      <c r="A191" s="8">
        <v>42566.204699074071</v>
      </c>
      <c r="B191" s="25" t="s">
        <v>216</v>
      </c>
      <c r="C191" s="25" t="s">
        <v>566</v>
      </c>
      <c r="D191" s="25">
        <v>1090000</v>
      </c>
      <c r="E191" s="25" t="s">
        <v>128</v>
      </c>
      <c r="F191" s="25" t="str">
        <f t="shared" si="4"/>
        <v>rtdc.l.rtdc.4009:itc</v>
      </c>
      <c r="G191" s="8">
        <f t="shared" si="5"/>
        <v>42566.204699074071</v>
      </c>
    </row>
    <row r="192" spans="1:7" x14ac:dyDescent="0.25">
      <c r="A192" s="8">
        <v>42565.520509259259</v>
      </c>
      <c r="B192" s="25" t="s">
        <v>67</v>
      </c>
      <c r="C192" s="25" t="s">
        <v>386</v>
      </c>
      <c r="D192" s="25">
        <v>1810000</v>
      </c>
      <c r="E192" s="25" t="s">
        <v>145</v>
      </c>
      <c r="F192" s="25" t="str">
        <f t="shared" si="4"/>
        <v>rtdc.l.rtdc.4032:itc</v>
      </c>
      <c r="G192" s="8">
        <f t="shared" si="5"/>
        <v>42565.520509259259</v>
      </c>
    </row>
    <row r="193" spans="1:7" x14ac:dyDescent="0.25">
      <c r="A193" s="8">
        <v>42566.206342592595</v>
      </c>
      <c r="B193" s="25" t="s">
        <v>124</v>
      </c>
      <c r="C193" s="25" t="s">
        <v>567</v>
      </c>
      <c r="D193" s="25">
        <v>1340000</v>
      </c>
      <c r="E193" s="25" t="s">
        <v>130</v>
      </c>
      <c r="F193" s="25" t="str">
        <f t="shared" si="4"/>
        <v>rtdc.l.rtdc.4030:itc</v>
      </c>
      <c r="G193" s="8">
        <f t="shared" si="5"/>
        <v>42566.206342592595</v>
      </c>
    </row>
    <row r="194" spans="1:7" x14ac:dyDescent="0.25">
      <c r="A194" s="8">
        <v>42565.497824074075</v>
      </c>
      <c r="B194" s="25" t="s">
        <v>73</v>
      </c>
      <c r="C194" s="25" t="s">
        <v>388</v>
      </c>
      <c r="D194" s="25">
        <v>330000</v>
      </c>
      <c r="E194" s="25" t="s">
        <v>551</v>
      </c>
      <c r="F194" s="25" t="str">
        <f t="shared" ref="F194:F235" si="6">B194</f>
        <v>rtdc.l.rtdc.4020:itc</v>
      </c>
      <c r="G194" s="8">
        <f t="shared" ref="G194:G235" si="7">A194</f>
        <v>42565.497824074075</v>
      </c>
    </row>
    <row r="195" spans="1:7" x14ac:dyDescent="0.25">
      <c r="A195" s="8">
        <v>42566.215844907405</v>
      </c>
      <c r="B195" s="25" t="s">
        <v>112</v>
      </c>
      <c r="C195" s="25" t="s">
        <v>568</v>
      </c>
      <c r="D195" s="25">
        <v>1240000</v>
      </c>
      <c r="E195" s="25" t="s">
        <v>135</v>
      </c>
      <c r="F195" s="25" t="str">
        <f t="shared" si="6"/>
        <v>rtdc.l.rtdc.4038:itc</v>
      </c>
      <c r="G195" s="8">
        <f t="shared" si="7"/>
        <v>42566.215844907405</v>
      </c>
    </row>
    <row r="196" spans="1:7" x14ac:dyDescent="0.25">
      <c r="A196" s="8">
        <v>42565.482766203706</v>
      </c>
      <c r="B196" s="25" t="s">
        <v>76</v>
      </c>
      <c r="C196" s="25" t="s">
        <v>385</v>
      </c>
      <c r="D196" s="25">
        <v>1810000</v>
      </c>
      <c r="E196" s="25" t="s">
        <v>145</v>
      </c>
      <c r="F196" s="25" t="str">
        <f t="shared" si="6"/>
        <v>rtdc.l.rtdc.4031:itc</v>
      </c>
      <c r="G196" s="8">
        <f t="shared" si="7"/>
        <v>42565.482766203706</v>
      </c>
    </row>
    <row r="197" spans="1:7" x14ac:dyDescent="0.25">
      <c r="A197" s="8">
        <v>42566.255115740743</v>
      </c>
      <c r="B197" s="25" t="s">
        <v>122</v>
      </c>
      <c r="C197" s="25" t="s">
        <v>569</v>
      </c>
      <c r="D197" s="25">
        <v>1240000</v>
      </c>
      <c r="E197" s="25" t="s">
        <v>135</v>
      </c>
      <c r="F197" s="25" t="str">
        <f t="shared" si="6"/>
        <v>rtdc.l.rtdc.4037:itc</v>
      </c>
      <c r="G197" s="8">
        <f t="shared" si="7"/>
        <v>42566.255115740743</v>
      </c>
    </row>
    <row r="198" spans="1:7" x14ac:dyDescent="0.25">
      <c r="A198" s="8">
        <v>42565.482546296298</v>
      </c>
      <c r="B198" s="25" t="s">
        <v>228</v>
      </c>
      <c r="C198" s="25" t="s">
        <v>375</v>
      </c>
      <c r="D198" s="25">
        <v>1190000</v>
      </c>
      <c r="E198" s="25" t="s">
        <v>224</v>
      </c>
      <c r="F198" s="25" t="str">
        <f t="shared" si="6"/>
        <v>rtdc.l.rtdc.4041:itc</v>
      </c>
      <c r="G198" s="8">
        <f t="shared" si="7"/>
        <v>42565.482546296298</v>
      </c>
    </row>
    <row r="199" spans="1:7" x14ac:dyDescent="0.25">
      <c r="A199" s="8">
        <v>42566.265173611115</v>
      </c>
      <c r="B199" s="25" t="s">
        <v>74</v>
      </c>
      <c r="C199" s="25" t="s">
        <v>570</v>
      </c>
      <c r="D199" s="25">
        <v>1990000</v>
      </c>
      <c r="E199" s="25" t="s">
        <v>157</v>
      </c>
      <c r="F199" s="25" t="str">
        <f t="shared" si="6"/>
        <v>rtdc.l.rtdc.4018:itc</v>
      </c>
      <c r="G199" s="8">
        <f t="shared" si="7"/>
        <v>42566.265173611115</v>
      </c>
    </row>
    <row r="200" spans="1:7" x14ac:dyDescent="0.25">
      <c r="A200" s="8">
        <v>42565.47351851852</v>
      </c>
      <c r="B200" s="25" t="s">
        <v>120</v>
      </c>
      <c r="C200" s="25" t="s">
        <v>382</v>
      </c>
      <c r="D200" s="25">
        <v>1460000</v>
      </c>
      <c r="E200" s="25" t="s">
        <v>113</v>
      </c>
      <c r="F200" s="25" t="str">
        <f t="shared" si="6"/>
        <v>rtdc.l.rtdc.4025:itc</v>
      </c>
      <c r="G200" s="8">
        <f t="shared" si="7"/>
        <v>42565.47351851852</v>
      </c>
    </row>
    <row r="201" spans="1:7" x14ac:dyDescent="0.25">
      <c r="A201" s="8">
        <v>42566.289317129631</v>
      </c>
      <c r="B201" s="25" t="s">
        <v>112</v>
      </c>
      <c r="C201" s="25" t="s">
        <v>571</v>
      </c>
      <c r="D201" s="25">
        <v>1240000</v>
      </c>
      <c r="E201" s="25" t="s">
        <v>135</v>
      </c>
      <c r="F201" s="25" t="str">
        <f t="shared" si="6"/>
        <v>rtdc.l.rtdc.4038:itc</v>
      </c>
      <c r="G201" s="8">
        <f t="shared" si="7"/>
        <v>42566.289317129631</v>
      </c>
    </row>
    <row r="202" spans="1:7" x14ac:dyDescent="0.25">
      <c r="A202" s="34">
        <v>42565.465752314813</v>
      </c>
      <c r="B202" s="25" t="s">
        <v>72</v>
      </c>
      <c r="C202" s="25" t="s">
        <v>370</v>
      </c>
      <c r="D202" s="25">
        <v>1110000</v>
      </c>
      <c r="E202" s="25" t="s">
        <v>154</v>
      </c>
      <c r="F202" s="25" t="str">
        <f t="shared" si="6"/>
        <v>rtdc.l.rtdc.4019:itc</v>
      </c>
      <c r="G202" s="8">
        <f t="shared" si="7"/>
        <v>42565.465752314813</v>
      </c>
    </row>
    <row r="203" spans="1:7" x14ac:dyDescent="0.25">
      <c r="A203" s="8">
        <v>42566.300416666665</v>
      </c>
      <c r="B203" s="25" t="s">
        <v>136</v>
      </c>
      <c r="C203" s="25" t="s">
        <v>553</v>
      </c>
      <c r="D203" s="25">
        <v>1340000</v>
      </c>
      <c r="E203" s="25" t="s">
        <v>130</v>
      </c>
      <c r="F203" s="25" t="str">
        <f t="shared" si="6"/>
        <v>rtdc.l.rtdc.4007:itc</v>
      </c>
      <c r="G203" s="8">
        <f t="shared" si="7"/>
        <v>42566.300416666665</v>
      </c>
    </row>
    <row r="204" spans="1:7" x14ac:dyDescent="0.25">
      <c r="A204" s="8">
        <v>42565.465289351851</v>
      </c>
      <c r="B204" s="25" t="s">
        <v>112</v>
      </c>
      <c r="C204" s="25" t="s">
        <v>380</v>
      </c>
      <c r="D204" s="25">
        <v>1750000</v>
      </c>
      <c r="E204" s="25" t="s">
        <v>550</v>
      </c>
      <c r="F204" s="25" t="str">
        <f t="shared" si="6"/>
        <v>rtdc.l.rtdc.4038:itc</v>
      </c>
      <c r="G204" s="8">
        <f t="shared" si="7"/>
        <v>42565.465289351851</v>
      </c>
    </row>
    <row r="205" spans="1:7" x14ac:dyDescent="0.25">
      <c r="A205" s="8">
        <v>42564.851354166669</v>
      </c>
      <c r="B205" s="25" t="s">
        <v>118</v>
      </c>
      <c r="C205" s="25" t="s">
        <v>266</v>
      </c>
      <c r="D205" s="25">
        <v>2040000</v>
      </c>
      <c r="E205" s="25" t="s">
        <v>155</v>
      </c>
      <c r="F205" s="25" t="str">
        <f t="shared" si="6"/>
        <v>rtdc.l.rtdc.4014:itc</v>
      </c>
      <c r="G205" s="8">
        <f t="shared" si="7"/>
        <v>42564.851354166669</v>
      </c>
    </row>
    <row r="206" spans="1:7" x14ac:dyDescent="0.25">
      <c r="A206" s="8">
        <v>42565.432222222225</v>
      </c>
      <c r="B206" s="25" t="s">
        <v>74</v>
      </c>
      <c r="C206" s="25" t="s">
        <v>371</v>
      </c>
      <c r="D206" s="25">
        <v>1830000</v>
      </c>
      <c r="E206" s="25" t="s">
        <v>129</v>
      </c>
      <c r="F206" s="25" t="str">
        <f t="shared" si="6"/>
        <v>rtdc.l.rtdc.4018:itc</v>
      </c>
      <c r="G206" s="8">
        <f t="shared" si="7"/>
        <v>42565.432222222225</v>
      </c>
    </row>
    <row r="207" spans="1:7" x14ac:dyDescent="0.25">
      <c r="A207" s="8">
        <v>42564.89130787037</v>
      </c>
      <c r="B207" s="25" t="s">
        <v>119</v>
      </c>
      <c r="C207" s="25" t="s">
        <v>267</v>
      </c>
      <c r="D207" s="25">
        <v>2040000</v>
      </c>
      <c r="E207" s="25" t="s">
        <v>155</v>
      </c>
      <c r="F207" s="25" t="str">
        <f t="shared" si="6"/>
        <v>rtdc.l.rtdc.4013:itc</v>
      </c>
      <c r="G207" s="8">
        <f t="shared" si="7"/>
        <v>42564.89130787037</v>
      </c>
    </row>
    <row r="208" spans="1:7" x14ac:dyDescent="0.25">
      <c r="A208" s="8">
        <v>42565.401944444442</v>
      </c>
      <c r="B208" s="25" t="s">
        <v>75</v>
      </c>
      <c r="C208" s="25" t="s">
        <v>352</v>
      </c>
      <c r="D208" s="25">
        <v>1340000</v>
      </c>
      <c r="E208" s="25" t="s">
        <v>130</v>
      </c>
      <c r="F208" s="25" t="str">
        <f t="shared" si="6"/>
        <v>rtdc.l.rtdc.4017:itc</v>
      </c>
      <c r="G208" s="8">
        <f t="shared" si="7"/>
        <v>42565.401944444442</v>
      </c>
    </row>
    <row r="209" spans="1:7" x14ac:dyDescent="0.25">
      <c r="A209" s="8">
        <v>42564.929976851854</v>
      </c>
      <c r="B209" s="25" t="s">
        <v>124</v>
      </c>
      <c r="C209" s="25" t="s">
        <v>272</v>
      </c>
      <c r="D209" s="25">
        <v>2030000</v>
      </c>
      <c r="E209" s="25" t="s">
        <v>152</v>
      </c>
      <c r="F209" s="25" t="str">
        <f t="shared" si="6"/>
        <v>rtdc.l.rtdc.4030:itc</v>
      </c>
      <c r="G209" s="8">
        <f t="shared" si="7"/>
        <v>42564.929976851854</v>
      </c>
    </row>
    <row r="210" spans="1:7" x14ac:dyDescent="0.25">
      <c r="A210" s="8">
        <v>42565.393009259256</v>
      </c>
      <c r="B210" s="25" t="s">
        <v>67</v>
      </c>
      <c r="C210" s="25" t="s">
        <v>349</v>
      </c>
      <c r="D210" s="25">
        <v>1110000</v>
      </c>
      <c r="E210" s="25" t="s">
        <v>154</v>
      </c>
      <c r="F210" s="25" t="str">
        <f t="shared" si="6"/>
        <v>rtdc.l.rtdc.4032:itc</v>
      </c>
      <c r="G210" s="8">
        <f t="shared" si="7"/>
        <v>42565.393009259256</v>
      </c>
    </row>
    <row r="211" spans="1:7" x14ac:dyDescent="0.25">
      <c r="A211" s="8">
        <v>42564.952731481484</v>
      </c>
      <c r="B211" s="25" t="s">
        <v>133</v>
      </c>
      <c r="C211" s="25" t="s">
        <v>274</v>
      </c>
      <c r="D211" s="25">
        <v>1300000</v>
      </c>
      <c r="E211" s="25" t="s">
        <v>285</v>
      </c>
      <c r="F211" s="25" t="str">
        <f t="shared" si="6"/>
        <v>rtdc.l.rtdc.4008:itc</v>
      </c>
      <c r="G211" s="8">
        <f t="shared" si="7"/>
        <v>42564.952731481484</v>
      </c>
    </row>
    <row r="212" spans="1:7" x14ac:dyDescent="0.25">
      <c r="A212" s="8">
        <v>42565.36074074074</v>
      </c>
      <c r="B212" s="25" t="s">
        <v>74</v>
      </c>
      <c r="C212" s="25" t="s">
        <v>351</v>
      </c>
      <c r="D212" s="25">
        <v>1340000</v>
      </c>
      <c r="E212" s="25" t="s">
        <v>130</v>
      </c>
      <c r="F212" s="25" t="str">
        <f t="shared" si="6"/>
        <v>rtdc.l.rtdc.4018:itc</v>
      </c>
      <c r="G212" s="8">
        <f t="shared" si="7"/>
        <v>42565.36074074074</v>
      </c>
    </row>
    <row r="213" spans="1:7" x14ac:dyDescent="0.25">
      <c r="A213" s="8">
        <v>42564.972303240742</v>
      </c>
      <c r="B213" s="25" t="s">
        <v>123</v>
      </c>
      <c r="C213" s="25" t="s">
        <v>279</v>
      </c>
      <c r="D213" s="25">
        <v>2030000</v>
      </c>
      <c r="E213" s="25" t="s">
        <v>152</v>
      </c>
      <c r="F213" s="25" t="str">
        <f t="shared" si="6"/>
        <v>rtdc.l.rtdc.4029:itc</v>
      </c>
      <c r="G213" s="8">
        <f t="shared" si="7"/>
        <v>42564.972303240742</v>
      </c>
    </row>
    <row r="214" spans="1:7" x14ac:dyDescent="0.25">
      <c r="A214" s="8">
        <v>42565.337222222224</v>
      </c>
      <c r="B214" s="25" t="s">
        <v>228</v>
      </c>
      <c r="C214" s="25" t="s">
        <v>337</v>
      </c>
      <c r="D214" s="25">
        <v>1190000</v>
      </c>
      <c r="E214" s="25" t="s">
        <v>224</v>
      </c>
      <c r="F214" s="25" t="str">
        <f t="shared" si="6"/>
        <v>rtdc.l.rtdc.4041:itc</v>
      </c>
      <c r="G214" s="8">
        <f t="shared" si="7"/>
        <v>42565.337222222224</v>
      </c>
    </row>
    <row r="215" spans="1:7" x14ac:dyDescent="0.25">
      <c r="A215" s="8">
        <v>42565.016134259262</v>
      </c>
      <c r="B215" s="25" t="s">
        <v>124</v>
      </c>
      <c r="C215" s="25" t="s">
        <v>280</v>
      </c>
      <c r="D215" s="25">
        <v>2030000</v>
      </c>
      <c r="E215" s="25" t="s">
        <v>152</v>
      </c>
      <c r="F215" s="25" t="str">
        <f t="shared" si="6"/>
        <v>rtdc.l.rtdc.4030:itc</v>
      </c>
      <c r="G215" s="8">
        <f t="shared" si="7"/>
        <v>42565.016134259262</v>
      </c>
    </row>
    <row r="216" spans="1:7" x14ac:dyDescent="0.25">
      <c r="A216" s="8">
        <v>42565.331030092595</v>
      </c>
      <c r="B216" s="25" t="s">
        <v>120</v>
      </c>
      <c r="C216" s="25" t="s">
        <v>341</v>
      </c>
      <c r="D216" s="25">
        <v>1360000</v>
      </c>
      <c r="E216" s="25" t="s">
        <v>202</v>
      </c>
      <c r="F216" s="25" t="str">
        <f t="shared" si="6"/>
        <v>rtdc.l.rtdc.4025:itc</v>
      </c>
      <c r="G216" s="8">
        <f t="shared" si="7"/>
        <v>42565.331030092595</v>
      </c>
    </row>
    <row r="217" spans="1:7" x14ac:dyDescent="0.25">
      <c r="A217" s="8">
        <v>42565.031770833331</v>
      </c>
      <c r="B217" s="25" t="s">
        <v>133</v>
      </c>
      <c r="C217" s="25" t="s">
        <v>282</v>
      </c>
      <c r="D217" s="25">
        <v>1300000</v>
      </c>
      <c r="E217" s="25" t="s">
        <v>285</v>
      </c>
      <c r="F217" s="25" t="str">
        <f t="shared" si="6"/>
        <v>rtdc.l.rtdc.4008:itc</v>
      </c>
      <c r="G217" s="8">
        <f t="shared" si="7"/>
        <v>42565.031770833331</v>
      </c>
    </row>
    <row r="218" spans="1:7" x14ac:dyDescent="0.25">
      <c r="A218" s="8">
        <v>42565.328506944446</v>
      </c>
      <c r="B218" s="25" t="s">
        <v>75</v>
      </c>
      <c r="C218" s="25" t="s">
        <v>334</v>
      </c>
      <c r="D218" s="25">
        <v>1340000</v>
      </c>
      <c r="E218" s="25" t="s">
        <v>130</v>
      </c>
      <c r="F218" s="25" t="str">
        <f t="shared" si="6"/>
        <v>rtdc.l.rtdc.4017:itc</v>
      </c>
      <c r="G218" s="8">
        <f t="shared" si="7"/>
        <v>42565.328506944446</v>
      </c>
    </row>
    <row r="219" spans="1:7" x14ac:dyDescent="0.25">
      <c r="A219" s="8">
        <v>42565.168530092589</v>
      </c>
      <c r="B219" s="25" t="s">
        <v>75</v>
      </c>
      <c r="C219" s="25" t="s">
        <v>307</v>
      </c>
      <c r="D219" s="25">
        <v>1340000</v>
      </c>
      <c r="E219" s="25" t="s">
        <v>130</v>
      </c>
      <c r="F219" s="25" t="str">
        <f t="shared" si="6"/>
        <v>rtdc.l.rtdc.4017:itc</v>
      </c>
      <c r="G219" s="8">
        <f t="shared" si="7"/>
        <v>42565.168530092589</v>
      </c>
    </row>
    <row r="220" spans="1:7" x14ac:dyDescent="0.25">
      <c r="A220" s="8">
        <v>42565.287881944445</v>
      </c>
      <c r="B220" s="25" t="s">
        <v>122</v>
      </c>
      <c r="C220" s="25" t="s">
        <v>290</v>
      </c>
      <c r="D220" s="25">
        <v>1310000</v>
      </c>
      <c r="E220" s="25" t="s">
        <v>114</v>
      </c>
      <c r="F220" s="25" t="str">
        <f t="shared" si="6"/>
        <v>rtdc.l.rtdc.4037:itc</v>
      </c>
      <c r="G220" s="8">
        <f t="shared" si="7"/>
        <v>42565.287881944445</v>
      </c>
    </row>
    <row r="221" spans="1:7" x14ac:dyDescent="0.25">
      <c r="A221" s="8">
        <v>42565.189583333333</v>
      </c>
      <c r="B221" s="25" t="s">
        <v>134</v>
      </c>
      <c r="C221" s="25" t="s">
        <v>308</v>
      </c>
      <c r="D221" s="25">
        <v>1090000</v>
      </c>
      <c r="E221" s="25" t="s">
        <v>128</v>
      </c>
      <c r="F221" s="25" t="str">
        <f t="shared" si="6"/>
        <v>rtdc.l.rtdc.4043:itc</v>
      </c>
      <c r="G221" s="8">
        <f t="shared" si="7"/>
        <v>42565.189583333333</v>
      </c>
    </row>
    <row r="222" spans="1:7" x14ac:dyDescent="0.25">
      <c r="A222" s="8">
        <v>42565.287754629629</v>
      </c>
      <c r="B222" s="25" t="s">
        <v>74</v>
      </c>
      <c r="C222" s="25" t="s">
        <v>291</v>
      </c>
      <c r="D222" s="25">
        <v>1340000</v>
      </c>
      <c r="E222" s="25" t="s">
        <v>130</v>
      </c>
      <c r="F222" s="25" t="str">
        <f t="shared" si="6"/>
        <v>rtdc.l.rtdc.4018:itc</v>
      </c>
      <c r="G222" s="8">
        <f t="shared" si="7"/>
        <v>42565.287754629629</v>
      </c>
    </row>
    <row r="223" spans="1:7" x14ac:dyDescent="0.25">
      <c r="A223" s="8">
        <v>42565.193055555559</v>
      </c>
      <c r="B223" s="25" t="s">
        <v>138</v>
      </c>
      <c r="C223" s="25" t="s">
        <v>296</v>
      </c>
      <c r="D223" s="25">
        <v>900000</v>
      </c>
      <c r="E223" s="25" t="s">
        <v>127</v>
      </c>
      <c r="F223" s="25" t="str">
        <f t="shared" si="6"/>
        <v>rtdc.l.rtdc.4040:itc</v>
      </c>
      <c r="G223" s="8">
        <f t="shared" si="7"/>
        <v>42565.193055555559</v>
      </c>
    </row>
    <row r="224" spans="1:7" x14ac:dyDescent="0.25">
      <c r="A224" s="8">
        <v>42565.248229166667</v>
      </c>
      <c r="B224" t="s">
        <v>112</v>
      </c>
      <c r="C224" t="s">
        <v>292</v>
      </c>
      <c r="D224">
        <v>1310000</v>
      </c>
      <c r="E224" t="s">
        <v>114</v>
      </c>
      <c r="F224" s="25" t="str">
        <f t="shared" si="6"/>
        <v>rtdc.l.rtdc.4038:itc</v>
      </c>
      <c r="G224" s="8">
        <f t="shared" si="7"/>
        <v>42565.248229166667</v>
      </c>
    </row>
    <row r="225" spans="1:7" x14ac:dyDescent="0.25">
      <c r="A225" s="8">
        <v>42565.232777777775</v>
      </c>
      <c r="B225" t="s">
        <v>131</v>
      </c>
      <c r="C225" t="s">
        <v>309</v>
      </c>
      <c r="D225">
        <v>1090000</v>
      </c>
      <c r="E225" t="s">
        <v>128</v>
      </c>
      <c r="F225" s="25" t="str">
        <f t="shared" si="6"/>
        <v>rtdc.l.rtdc.4044:itc</v>
      </c>
      <c r="G225" s="8">
        <f t="shared" si="7"/>
        <v>42565.232777777775</v>
      </c>
    </row>
    <row r="226" spans="1:7" x14ac:dyDescent="0.25">
      <c r="A226" s="8">
        <v>42565.017881944441</v>
      </c>
      <c r="B226" t="s">
        <v>118</v>
      </c>
      <c r="C226" t="s">
        <v>283</v>
      </c>
      <c r="D226">
        <v>2040000</v>
      </c>
      <c r="E226" t="s">
        <v>155</v>
      </c>
      <c r="F226" s="25" t="str">
        <f t="shared" si="6"/>
        <v>rtdc.l.rtdc.4014:itc</v>
      </c>
      <c r="G226" s="8">
        <f t="shared" si="7"/>
        <v>42565.017881944441</v>
      </c>
    </row>
    <row r="227" spans="1:7" x14ac:dyDescent="0.25">
      <c r="A227" s="8">
        <v>42565.257233796299</v>
      </c>
      <c r="B227" t="s">
        <v>120</v>
      </c>
      <c r="C227" t="s">
        <v>310</v>
      </c>
      <c r="D227">
        <v>1360000</v>
      </c>
      <c r="E227" t="s">
        <v>202</v>
      </c>
      <c r="F227" s="25" t="str">
        <f t="shared" si="6"/>
        <v>rtdc.l.rtdc.4025:itc</v>
      </c>
      <c r="G227" s="8">
        <f t="shared" si="7"/>
        <v>42565.257233796299</v>
      </c>
    </row>
    <row r="228" spans="1:7" x14ac:dyDescent="0.25">
      <c r="A228" s="8">
        <v>42564.993541666663</v>
      </c>
      <c r="B228" t="s">
        <v>136</v>
      </c>
      <c r="C228" t="s">
        <v>281</v>
      </c>
      <c r="D228">
        <v>1300000</v>
      </c>
      <c r="E228" t="s">
        <v>285</v>
      </c>
      <c r="F228" s="25" t="str">
        <f t="shared" si="6"/>
        <v>rtdc.l.rtdc.4007:itc</v>
      </c>
      <c r="G228" s="8">
        <f t="shared" si="7"/>
        <v>42564.993541666663</v>
      </c>
    </row>
    <row r="229" spans="1:7" x14ac:dyDescent="0.25">
      <c r="A229" s="8">
        <v>42565.275069444448</v>
      </c>
      <c r="B229" t="s">
        <v>134</v>
      </c>
      <c r="C229" t="s">
        <v>311</v>
      </c>
      <c r="D229">
        <v>1090000</v>
      </c>
      <c r="E229" t="s">
        <v>128</v>
      </c>
      <c r="F229" s="25" t="str">
        <f t="shared" si="6"/>
        <v>rtdc.l.rtdc.4043:itc</v>
      </c>
      <c r="G229" s="8">
        <f t="shared" si="7"/>
        <v>42565.275069444448</v>
      </c>
    </row>
    <row r="230" spans="1:7" x14ac:dyDescent="0.25">
      <c r="A230" s="8">
        <v>42564.973935185182</v>
      </c>
      <c r="B230" t="s">
        <v>123</v>
      </c>
      <c r="C230" t="s">
        <v>279</v>
      </c>
      <c r="D230">
        <v>2030000</v>
      </c>
      <c r="E230" t="s">
        <v>152</v>
      </c>
      <c r="F230" s="25" t="str">
        <f t="shared" si="6"/>
        <v>rtdc.l.rtdc.4029:itc</v>
      </c>
      <c r="G230" s="8">
        <f t="shared" si="7"/>
        <v>42564.973935185182</v>
      </c>
    </row>
    <row r="231" spans="1:7" x14ac:dyDescent="0.25">
      <c r="A231" s="8">
        <v>42565.278506944444</v>
      </c>
      <c r="B231" t="s">
        <v>76</v>
      </c>
      <c r="C231" t="s">
        <v>312</v>
      </c>
      <c r="D231">
        <v>1110000</v>
      </c>
      <c r="E231" t="s">
        <v>154</v>
      </c>
      <c r="F231" s="25" t="str">
        <f t="shared" si="6"/>
        <v>rtdc.l.rtdc.4031:itc</v>
      </c>
      <c r="G231" s="8">
        <f t="shared" si="7"/>
        <v>42565.278506944444</v>
      </c>
    </row>
    <row r="232" spans="1:7" x14ac:dyDescent="0.25">
      <c r="A232" s="8">
        <v>42564.931446759256</v>
      </c>
      <c r="B232" t="s">
        <v>118</v>
      </c>
      <c r="C232" t="s">
        <v>275</v>
      </c>
      <c r="D232">
        <v>2040000</v>
      </c>
      <c r="E232" t="s">
        <v>155</v>
      </c>
      <c r="F232" s="25" t="str">
        <f t="shared" si="6"/>
        <v>rtdc.l.rtdc.4014:itc</v>
      </c>
      <c r="G232" s="8">
        <f t="shared" si="7"/>
        <v>42564.931446759256</v>
      </c>
    </row>
    <row r="233" spans="1:7" x14ac:dyDescent="0.25">
      <c r="A233" s="8">
        <v>42565.308912037035</v>
      </c>
      <c r="B233" t="s">
        <v>144</v>
      </c>
      <c r="C233" t="s">
        <v>313</v>
      </c>
      <c r="D233">
        <v>900000</v>
      </c>
      <c r="E233" t="s">
        <v>127</v>
      </c>
      <c r="F233" s="25" t="str">
        <f t="shared" si="6"/>
        <v>rtdc.l.rtdc.4039:itc</v>
      </c>
      <c r="G233" s="8">
        <f t="shared" si="7"/>
        <v>42565.308912037035</v>
      </c>
    </row>
    <row r="234" spans="1:7" x14ac:dyDescent="0.25">
      <c r="A234" s="8">
        <v>42566.314398148148</v>
      </c>
      <c r="B234" t="s">
        <v>217</v>
      </c>
      <c r="C234" t="s">
        <v>572</v>
      </c>
      <c r="D234">
        <v>1090000</v>
      </c>
      <c r="E234" t="s">
        <v>128</v>
      </c>
      <c r="F234" s="25" t="str">
        <f t="shared" si="6"/>
        <v>rtdc.l.rtdc.4010:itc</v>
      </c>
      <c r="G234" s="8">
        <f t="shared" si="7"/>
        <v>42566.314398148148</v>
      </c>
    </row>
    <row r="235" spans="1:7" x14ac:dyDescent="0.25">
      <c r="A235" s="8">
        <v>42565.342847222222</v>
      </c>
      <c r="B235" t="s">
        <v>138</v>
      </c>
      <c r="C235" t="s">
        <v>344</v>
      </c>
      <c r="D235">
        <v>900000</v>
      </c>
      <c r="E235" t="s">
        <v>127</v>
      </c>
      <c r="F235" s="25" t="str">
        <f t="shared" si="6"/>
        <v>rtdc.l.rtdc.4040:itc</v>
      </c>
      <c r="G235" s="8">
        <f t="shared" si="7"/>
        <v>42565.342847222222</v>
      </c>
    </row>
    <row r="236" spans="1:7" x14ac:dyDescent="0.25">
      <c r="A236" s="8">
        <v>42566.277337962965</v>
      </c>
      <c r="B236" t="s">
        <v>134</v>
      </c>
      <c r="C236" t="s">
        <v>573</v>
      </c>
      <c r="D236">
        <v>900000</v>
      </c>
      <c r="E236" t="s">
        <v>127</v>
      </c>
      <c r="F236" s="25" t="str">
        <f t="shared" ref="F236:F265" si="8">B236</f>
        <v>rtdc.l.rtdc.4043:itc</v>
      </c>
      <c r="G236" s="8">
        <f t="shared" ref="G236:G265" si="9">A236</f>
        <v>42566.277337962965</v>
      </c>
    </row>
    <row r="237" spans="1:7" x14ac:dyDescent="0.25">
      <c r="A237" s="8">
        <v>42565.360925925925</v>
      </c>
      <c r="B237" t="s">
        <v>117</v>
      </c>
      <c r="C237" t="s">
        <v>343</v>
      </c>
      <c r="D237">
        <v>1360000</v>
      </c>
      <c r="E237" t="s">
        <v>202</v>
      </c>
      <c r="F237" s="25" t="str">
        <f t="shared" si="8"/>
        <v>rtdc.l.rtdc.4026:itc</v>
      </c>
      <c r="G237" s="8">
        <f t="shared" si="9"/>
        <v>42565.360925925925</v>
      </c>
    </row>
    <row r="238" spans="1:7" x14ac:dyDescent="0.25">
      <c r="A238" s="8">
        <v>42566.276076388887</v>
      </c>
      <c r="B238" t="s">
        <v>216</v>
      </c>
      <c r="C238" t="s">
        <v>574</v>
      </c>
      <c r="D238">
        <v>1090000</v>
      </c>
      <c r="E238" t="s">
        <v>128</v>
      </c>
      <c r="F238" s="25" t="str">
        <f t="shared" si="8"/>
        <v>rtdc.l.rtdc.4009:itc</v>
      </c>
      <c r="G238" s="8">
        <f t="shared" si="9"/>
        <v>42566.276076388887</v>
      </c>
    </row>
    <row r="239" spans="1:7" x14ac:dyDescent="0.25">
      <c r="A239" s="8">
        <v>42565.416018518517</v>
      </c>
      <c r="B239" t="s">
        <v>138</v>
      </c>
      <c r="C239" t="s">
        <v>366</v>
      </c>
      <c r="D239">
        <v>900000</v>
      </c>
      <c r="E239" t="s">
        <v>127</v>
      </c>
      <c r="F239" s="25" t="str">
        <f t="shared" si="8"/>
        <v>rtdc.l.rtdc.4040:itc</v>
      </c>
      <c r="G239" s="8">
        <f t="shared" si="9"/>
        <v>42565.416018518517</v>
      </c>
    </row>
    <row r="240" spans="1:7" x14ac:dyDescent="0.25">
      <c r="A240" s="8">
        <v>42566.24359953704</v>
      </c>
      <c r="B240" t="s">
        <v>217</v>
      </c>
      <c r="C240" t="s">
        <v>575</v>
      </c>
      <c r="D240">
        <v>1090000</v>
      </c>
      <c r="E240" t="s">
        <v>128</v>
      </c>
      <c r="F240" s="25" t="str">
        <f t="shared" si="8"/>
        <v>rtdc.l.rtdc.4010:itc</v>
      </c>
      <c r="G240" s="8">
        <f t="shared" si="9"/>
        <v>42566.24359953704</v>
      </c>
    </row>
    <row r="241" spans="1:7" x14ac:dyDescent="0.25">
      <c r="A241" s="8">
        <v>42565.418252314812</v>
      </c>
      <c r="B241" t="s">
        <v>134</v>
      </c>
      <c r="C241" t="s">
        <v>358</v>
      </c>
      <c r="D241">
        <v>1090000</v>
      </c>
      <c r="E241" t="s">
        <v>128</v>
      </c>
      <c r="F241" s="25" t="str">
        <f t="shared" si="8"/>
        <v>rtdc.l.rtdc.4043:itc</v>
      </c>
      <c r="G241" s="8">
        <f t="shared" si="9"/>
        <v>42565.418252314812</v>
      </c>
    </row>
    <row r="242" spans="1:7" x14ac:dyDescent="0.25">
      <c r="A242" s="8">
        <v>42566.100219907406</v>
      </c>
      <c r="B242" t="s">
        <v>230</v>
      </c>
      <c r="C242" t="s">
        <v>226</v>
      </c>
      <c r="D242">
        <v>0</v>
      </c>
      <c r="E242" t="s">
        <v>227</v>
      </c>
      <c r="F242" s="25" t="str">
        <f t="shared" si="8"/>
        <v>rtdc.l.rtdc.4006:itc</v>
      </c>
      <c r="G242" s="8">
        <f t="shared" si="9"/>
        <v>42566.100219907406</v>
      </c>
    </row>
    <row r="243" spans="1:7" x14ac:dyDescent="0.25">
      <c r="A243" s="8">
        <v>42565.432962962965</v>
      </c>
      <c r="B243" t="s">
        <v>117</v>
      </c>
      <c r="C243" t="s">
        <v>365</v>
      </c>
      <c r="D243">
        <v>1360000</v>
      </c>
      <c r="E243" t="s">
        <v>202</v>
      </c>
      <c r="F243" s="25" t="str">
        <f t="shared" si="8"/>
        <v>rtdc.l.rtdc.4026:itc</v>
      </c>
      <c r="G243" s="8">
        <f t="shared" si="9"/>
        <v>42565.432962962965</v>
      </c>
    </row>
    <row r="244" spans="1:7" x14ac:dyDescent="0.25">
      <c r="A244" s="8">
        <v>42566.097754629627</v>
      </c>
      <c r="B244" t="s">
        <v>230</v>
      </c>
      <c r="C244" t="s">
        <v>226</v>
      </c>
      <c r="D244">
        <v>0</v>
      </c>
      <c r="E244" t="s">
        <v>227</v>
      </c>
      <c r="F244" s="25" t="str">
        <f t="shared" si="8"/>
        <v>rtdc.l.rtdc.4006:itc</v>
      </c>
      <c r="G244" s="8">
        <f t="shared" si="9"/>
        <v>42566.097754629627</v>
      </c>
    </row>
    <row r="245" spans="1:7" x14ac:dyDescent="0.25">
      <c r="A245" s="8">
        <v>42565.433993055558</v>
      </c>
      <c r="B245" t="s">
        <v>122</v>
      </c>
      <c r="C245" t="s">
        <v>361</v>
      </c>
      <c r="D245">
        <v>1310000</v>
      </c>
      <c r="E245" t="s">
        <v>114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230</v>
      </c>
      <c r="C246" t="s">
        <v>226</v>
      </c>
      <c r="D246">
        <v>0</v>
      </c>
      <c r="E246" t="s">
        <v>227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373</v>
      </c>
      <c r="D247">
        <v>1190000</v>
      </c>
      <c r="E247" t="s">
        <v>224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228</v>
      </c>
      <c r="C248" t="s">
        <v>483</v>
      </c>
      <c r="D248">
        <v>2040000</v>
      </c>
      <c r="E248" t="s">
        <v>155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131</v>
      </c>
      <c r="C249" t="s">
        <v>376</v>
      </c>
      <c r="D249">
        <v>2020000</v>
      </c>
      <c r="E249" t="s">
        <v>225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120</v>
      </c>
      <c r="C250" t="s">
        <v>486</v>
      </c>
      <c r="D250">
        <v>1480000</v>
      </c>
      <c r="E250" t="s">
        <v>116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372</v>
      </c>
      <c r="D251">
        <v>1830000</v>
      </c>
      <c r="E251" t="s">
        <v>129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138</v>
      </c>
      <c r="C252" t="s">
        <v>484</v>
      </c>
      <c r="D252">
        <v>1300000</v>
      </c>
      <c r="E252" t="s">
        <v>285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393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482</v>
      </c>
      <c r="D254">
        <v>2040000</v>
      </c>
      <c r="E254" t="s">
        <v>155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122</v>
      </c>
      <c r="C255" t="s">
        <v>404</v>
      </c>
      <c r="D255">
        <v>1750000</v>
      </c>
      <c r="E255" t="s">
        <v>550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117</v>
      </c>
      <c r="C256" t="s">
        <v>479</v>
      </c>
      <c r="D256">
        <v>1480000</v>
      </c>
      <c r="E256" t="s">
        <v>116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410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138</v>
      </c>
      <c r="C258" t="s">
        <v>476</v>
      </c>
      <c r="D258">
        <v>1300000</v>
      </c>
      <c r="E258" t="s">
        <v>285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544</v>
      </c>
      <c r="D259">
        <v>1810000</v>
      </c>
      <c r="E259" t="s">
        <v>145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472</v>
      </c>
      <c r="D260">
        <v>2010000</v>
      </c>
      <c r="E260" t="s">
        <v>156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131</v>
      </c>
      <c r="C261" t="s">
        <v>418</v>
      </c>
      <c r="D261">
        <v>2020000</v>
      </c>
      <c r="E261" t="s">
        <v>225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473</v>
      </c>
      <c r="D262">
        <v>2040000</v>
      </c>
      <c r="E262" t="s">
        <v>155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561</v>
      </c>
      <c r="D263">
        <v>1190000</v>
      </c>
      <c r="E263" t="s">
        <v>224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144</v>
      </c>
      <c r="C264" t="s">
        <v>467</v>
      </c>
      <c r="D264">
        <v>1300000</v>
      </c>
      <c r="E264" t="s">
        <v>285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120</v>
      </c>
      <c r="C265" t="s">
        <v>425</v>
      </c>
      <c r="D265">
        <v>1460000</v>
      </c>
      <c r="E265" t="s">
        <v>113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228</v>
      </c>
      <c r="C266" t="s">
        <v>464</v>
      </c>
      <c r="D266">
        <v>2030000</v>
      </c>
      <c r="E266" t="s">
        <v>152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429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463</v>
      </c>
      <c r="D268">
        <v>2030000</v>
      </c>
      <c r="E268" t="s">
        <v>152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564</v>
      </c>
      <c r="D269">
        <v>1810000</v>
      </c>
      <c r="E269" t="s">
        <v>145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117</v>
      </c>
      <c r="C270" t="s">
        <v>456</v>
      </c>
      <c r="D270">
        <v>1480000</v>
      </c>
      <c r="E270" t="s">
        <v>116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131</v>
      </c>
      <c r="C271" t="s">
        <v>434</v>
      </c>
      <c r="D271">
        <v>2020000</v>
      </c>
      <c r="E271" t="s">
        <v>225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138</v>
      </c>
      <c r="C272" t="s">
        <v>452</v>
      </c>
      <c r="D272">
        <v>1300000</v>
      </c>
      <c r="E272" t="s">
        <v>285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120</v>
      </c>
      <c r="C273" t="s">
        <v>441</v>
      </c>
      <c r="D273">
        <v>1460000</v>
      </c>
      <c r="E273" t="s">
        <v>113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444</v>
      </c>
      <c r="D274">
        <v>2010000</v>
      </c>
      <c r="E274" t="s">
        <v>156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562</v>
      </c>
      <c r="D275">
        <v>1810000</v>
      </c>
      <c r="E275" t="s">
        <v>145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117</v>
      </c>
      <c r="C276" t="s">
        <v>442</v>
      </c>
      <c r="D276">
        <v>1460000</v>
      </c>
      <c r="E276" t="s">
        <v>113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576</v>
      </c>
      <c r="D277">
        <v>1810000</v>
      </c>
      <c r="E277" t="s">
        <v>145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144</v>
      </c>
      <c r="C278" t="s">
        <v>440</v>
      </c>
      <c r="D278">
        <v>1750000</v>
      </c>
      <c r="E278" t="s">
        <v>550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134</v>
      </c>
      <c r="C279" t="s">
        <v>436</v>
      </c>
      <c r="D279">
        <v>2020000</v>
      </c>
      <c r="E279" t="s">
        <v>225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427</v>
      </c>
      <c r="D280">
        <v>1540000</v>
      </c>
      <c r="E280" t="s">
        <v>132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443</v>
      </c>
      <c r="D281">
        <v>2010000</v>
      </c>
      <c r="E281" t="s">
        <v>156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117</v>
      </c>
      <c r="C282" t="s">
        <v>426</v>
      </c>
      <c r="D282">
        <v>1460000</v>
      </c>
      <c r="E282" t="s">
        <v>113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131</v>
      </c>
      <c r="C283" t="s">
        <v>450</v>
      </c>
      <c r="D283">
        <v>2000000</v>
      </c>
      <c r="E283" t="s">
        <v>153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122</v>
      </c>
      <c r="C284" t="s">
        <v>423</v>
      </c>
      <c r="D284">
        <v>1750000</v>
      </c>
      <c r="E284" t="s">
        <v>550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144</v>
      </c>
      <c r="C285" t="s">
        <v>453</v>
      </c>
      <c r="D285">
        <v>1300000</v>
      </c>
      <c r="E285" t="s">
        <v>285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561</v>
      </c>
      <c r="D286">
        <v>1190000</v>
      </c>
      <c r="E286" t="s">
        <v>224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462</v>
      </c>
      <c r="D287">
        <v>2010000</v>
      </c>
      <c r="E287" t="s">
        <v>156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386</v>
      </c>
      <c r="D288">
        <v>1810000</v>
      </c>
      <c r="E288" t="s">
        <v>145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138</v>
      </c>
      <c r="C289" t="s">
        <v>465</v>
      </c>
      <c r="D289">
        <v>1300000</v>
      </c>
      <c r="E289" t="s">
        <v>285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395</v>
      </c>
      <c r="D290">
        <v>2000000</v>
      </c>
      <c r="E290" t="s">
        <v>153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138</v>
      </c>
      <c r="C291" t="s">
        <v>465</v>
      </c>
      <c r="D291">
        <v>1300000</v>
      </c>
      <c r="E291" t="s">
        <v>285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391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138</v>
      </c>
      <c r="C293" t="s">
        <v>484</v>
      </c>
      <c r="D293">
        <v>1300000</v>
      </c>
      <c r="E293" t="s">
        <v>285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134</v>
      </c>
      <c r="C294" t="s">
        <v>378</v>
      </c>
      <c r="D294">
        <v>2020000</v>
      </c>
      <c r="E294" t="s">
        <v>225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144</v>
      </c>
      <c r="C295" t="s">
        <v>485</v>
      </c>
      <c r="D295">
        <v>1300000</v>
      </c>
      <c r="E295" t="s">
        <v>285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131</v>
      </c>
      <c r="C296" t="s">
        <v>357</v>
      </c>
      <c r="D296">
        <v>1090000</v>
      </c>
      <c r="E296" t="s">
        <v>128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122</v>
      </c>
      <c r="C297" t="s">
        <v>577</v>
      </c>
      <c r="D297">
        <v>1240000</v>
      </c>
      <c r="E297" t="s">
        <v>135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305</v>
      </c>
      <c r="D298">
        <v>1310000</v>
      </c>
      <c r="E298" t="s">
        <v>114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124</v>
      </c>
      <c r="C299" t="s">
        <v>567</v>
      </c>
      <c r="D299">
        <v>1340000</v>
      </c>
      <c r="E299" t="s">
        <v>130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306</v>
      </c>
      <c r="D300">
        <v>1110000</v>
      </c>
      <c r="E300" t="s">
        <v>154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578</v>
      </c>
      <c r="D301">
        <v>1990000</v>
      </c>
      <c r="E301" t="s">
        <v>157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119</v>
      </c>
      <c r="C302" t="s">
        <v>284</v>
      </c>
      <c r="D302">
        <v>2040000</v>
      </c>
      <c r="E302" t="s">
        <v>155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579</v>
      </c>
      <c r="D303">
        <v>1310000</v>
      </c>
      <c r="E303" t="s">
        <v>114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119</v>
      </c>
      <c r="C304" t="s">
        <v>276</v>
      </c>
      <c r="D304">
        <v>2040000</v>
      </c>
      <c r="E304" t="s">
        <v>155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580</v>
      </c>
      <c r="D305">
        <v>1990000</v>
      </c>
      <c r="E305" t="s">
        <v>157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136</v>
      </c>
      <c r="C306" t="s">
        <v>273</v>
      </c>
      <c r="D306">
        <v>1300000</v>
      </c>
      <c r="E306" t="s">
        <v>285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125</v>
      </c>
      <c r="C307" t="s">
        <v>581</v>
      </c>
      <c r="D307">
        <v>1310000</v>
      </c>
      <c r="E307" t="s">
        <v>114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123</v>
      </c>
      <c r="C308" t="s">
        <v>271</v>
      </c>
      <c r="D308">
        <v>2030000</v>
      </c>
      <c r="E308" t="s">
        <v>152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133</v>
      </c>
      <c r="C309" t="s">
        <v>549</v>
      </c>
      <c r="D309">
        <v>1340000</v>
      </c>
      <c r="E309" t="s">
        <v>130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133</v>
      </c>
      <c r="C310" t="s">
        <v>265</v>
      </c>
      <c r="D310">
        <v>1300000</v>
      </c>
      <c r="E310" t="s">
        <v>285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178</v>
      </c>
      <c r="C311" t="s">
        <v>582</v>
      </c>
      <c r="D311">
        <v>1190000</v>
      </c>
      <c r="E311" t="s">
        <v>224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179</v>
      </c>
      <c r="C312" t="s">
        <v>268</v>
      </c>
      <c r="D312">
        <v>1480000</v>
      </c>
      <c r="E312" t="s">
        <v>116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125</v>
      </c>
      <c r="C313" t="s">
        <v>583</v>
      </c>
      <c r="D313">
        <v>1310000</v>
      </c>
      <c r="E313" t="s">
        <v>114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462</v>
      </c>
      <c r="D314">
        <v>2010000</v>
      </c>
      <c r="E314" t="s">
        <v>156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147</v>
      </c>
      <c r="D316">
        <v>1540000</v>
      </c>
      <c r="E316" t="s">
        <v>132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121</v>
      </c>
      <c r="C317" t="s">
        <v>142</v>
      </c>
      <c r="D317">
        <v>1780000</v>
      </c>
      <c r="E317" t="s">
        <v>137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144</v>
      </c>
      <c r="C318" t="s">
        <v>149</v>
      </c>
      <c r="D318">
        <v>1810000</v>
      </c>
      <c r="E318" t="s">
        <v>145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119</v>
      </c>
      <c r="C319" t="s">
        <v>143</v>
      </c>
      <c r="D319">
        <v>1240000</v>
      </c>
      <c r="E319" t="s">
        <v>135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125</v>
      </c>
      <c r="C320" t="s">
        <v>148</v>
      </c>
      <c r="D320">
        <v>1460000</v>
      </c>
      <c r="E320" t="s">
        <v>113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150</v>
      </c>
      <c r="D321">
        <v>890000</v>
      </c>
      <c r="E321" t="s">
        <v>146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42564</v>
      </c>
      <c r="B2" s="4"/>
      <c r="C2" s="11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161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162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163</v>
      </c>
      <c r="M20" s="103" t="s">
        <v>164</v>
      </c>
    </row>
    <row r="21" spans="10:13" x14ac:dyDescent="0.25">
      <c r="J21" s="25" t="s">
        <v>167</v>
      </c>
      <c r="K21" s="25" t="s">
        <v>168</v>
      </c>
      <c r="M21" s="103" t="s">
        <v>168</v>
      </c>
    </row>
    <row r="22" spans="10:13" x14ac:dyDescent="0.25">
      <c r="J22" s="25" t="s">
        <v>169</v>
      </c>
      <c r="K22" s="25" t="s">
        <v>170</v>
      </c>
      <c r="M22" s="103" t="s">
        <v>170</v>
      </c>
    </row>
    <row r="23" spans="10:13" x14ac:dyDescent="0.25">
      <c r="J23" s="39" t="s">
        <v>172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2016-07-15T15:23:02Z</dcterms:modified>
</cp:coreProperties>
</file>