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\Documents\GitHub\eaglep3-reporting\EC\"/>
    </mc:Choice>
  </mc:AlternateContent>
  <bookViews>
    <workbookView xWindow="0" yWindow="0" windowWidth="28800" windowHeight="14820" activeTab="1"/>
  </bookViews>
  <sheets>
    <sheet name="Train Runs" sheetId="1" r:id="rId1"/>
    <sheet name="Enforcements" sheetId="7" r:id="rId2"/>
    <sheet name="Missing Trips" sheetId="6" r:id="rId3"/>
    <sheet name="Trips&amp;Operators" sheetId="4" r:id="rId4"/>
    <sheet name="Variables" sheetId="5" r:id="rId5"/>
  </sheets>
  <externalReferences>
    <externalReference r:id="rId6"/>
  </externalReferences>
  <definedNames>
    <definedName name="_xlnm._FilterDatabase" localSheetId="1" hidden="1">Enforcements!$A$6:$N$70</definedName>
    <definedName name="_xlnm._FilterDatabase" localSheetId="2" hidden="1">'Missing Trips'!$A$2:$G$2</definedName>
    <definedName name="_xlnm._FilterDatabase" localSheetId="0" hidden="1">'Train Runs'!$A$12:$AC$155</definedName>
    <definedName name="_xlnm._FilterDatabase" localSheetId="3" hidden="1">'Trips&amp;Operators'!$A$1:$E$211</definedName>
    <definedName name="Denver_Train_Runs_04122016" localSheetId="0">'Train Runs'!$A$12:$J$106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29" i="1" l="1"/>
  <c r="P8" i="7"/>
  <c r="Q8" i="7"/>
  <c r="P9" i="7"/>
  <c r="Q9" i="7"/>
  <c r="P10" i="7"/>
  <c r="Q10" i="7"/>
  <c r="P11" i="7"/>
  <c r="Q11" i="7"/>
  <c r="P12" i="7"/>
  <c r="Q12" i="7"/>
  <c r="P13" i="7"/>
  <c r="Q13" i="7"/>
  <c r="P14" i="7"/>
  <c r="Q14" i="7"/>
  <c r="P15" i="7"/>
  <c r="Q15" i="7"/>
  <c r="P16" i="7"/>
  <c r="Q16" i="7"/>
  <c r="P17" i="7"/>
  <c r="Q17" i="7"/>
  <c r="P18" i="7"/>
  <c r="Q18" i="7"/>
  <c r="P19" i="7"/>
  <c r="Q19" i="7"/>
  <c r="P20" i="7"/>
  <c r="Q20" i="7"/>
  <c r="P21" i="7"/>
  <c r="Q21" i="7"/>
  <c r="P22" i="7"/>
  <c r="Q22" i="7"/>
  <c r="P23" i="7"/>
  <c r="Q23" i="7"/>
  <c r="P24" i="7"/>
  <c r="Q24" i="7"/>
  <c r="P25" i="7"/>
  <c r="Q25" i="7"/>
  <c r="P26" i="7"/>
  <c r="Q26" i="7"/>
  <c r="P27" i="7"/>
  <c r="Q27" i="7"/>
  <c r="P28" i="7"/>
  <c r="Q28" i="7"/>
  <c r="P29" i="7"/>
  <c r="Q29" i="7"/>
  <c r="P30" i="7"/>
  <c r="Q30" i="7"/>
  <c r="P31" i="7"/>
  <c r="Q31" i="7"/>
  <c r="P32" i="7"/>
  <c r="Q32" i="7"/>
  <c r="P33" i="7"/>
  <c r="Q33" i="7"/>
  <c r="P34" i="7"/>
  <c r="Q34" i="7"/>
  <c r="P35" i="7"/>
  <c r="Q35" i="7"/>
  <c r="P36" i="7"/>
  <c r="Q36" i="7"/>
  <c r="P37" i="7"/>
  <c r="Q37" i="7"/>
  <c r="P38" i="7"/>
  <c r="Q38" i="7"/>
  <c r="P39" i="7"/>
  <c r="Q39" i="7"/>
  <c r="P40" i="7"/>
  <c r="Q40" i="7"/>
  <c r="P41" i="7"/>
  <c r="Q41" i="7"/>
  <c r="P42" i="7"/>
  <c r="Q42" i="7"/>
  <c r="P43" i="7"/>
  <c r="Q43" i="7"/>
  <c r="P44" i="7"/>
  <c r="Q44" i="7"/>
  <c r="P45" i="7"/>
  <c r="Q45" i="7"/>
  <c r="P46" i="7"/>
  <c r="Q46" i="7"/>
  <c r="P47" i="7"/>
  <c r="Q47" i="7"/>
  <c r="P48" i="7"/>
  <c r="Q48" i="7"/>
  <c r="P49" i="7"/>
  <c r="Q49" i="7"/>
  <c r="P50" i="7"/>
  <c r="Q50" i="7"/>
  <c r="P51" i="7"/>
  <c r="Q51" i="7"/>
  <c r="P52" i="7"/>
  <c r="Q52" i="7"/>
  <c r="P53" i="7"/>
  <c r="Q53" i="7"/>
  <c r="P54" i="7"/>
  <c r="Q54" i="7"/>
  <c r="P55" i="7"/>
  <c r="Q55" i="7"/>
  <c r="P56" i="7"/>
  <c r="Q56" i="7"/>
  <c r="P57" i="7"/>
  <c r="Q57" i="7"/>
  <c r="P58" i="7"/>
  <c r="Q58" i="7"/>
  <c r="P59" i="7"/>
  <c r="Q59" i="7"/>
  <c r="P60" i="7"/>
  <c r="Q60" i="7"/>
  <c r="P61" i="7"/>
  <c r="Q61" i="7"/>
  <c r="P62" i="7"/>
  <c r="Q62" i="7"/>
  <c r="P63" i="7"/>
  <c r="Q63" i="7"/>
  <c r="P64" i="7"/>
  <c r="Q64" i="7"/>
  <c r="P65" i="7"/>
  <c r="Q65" i="7"/>
  <c r="P66" i="7"/>
  <c r="Q66" i="7"/>
  <c r="P67" i="7"/>
  <c r="Q67" i="7"/>
  <c r="P68" i="7"/>
  <c r="Q68" i="7"/>
  <c r="P69" i="7"/>
  <c r="Q69" i="7"/>
  <c r="P70" i="7"/>
  <c r="Q70" i="7"/>
  <c r="Q7" i="7"/>
  <c r="P7" i="7"/>
  <c r="L53" i="7"/>
  <c r="L54" i="7"/>
  <c r="L55" i="7"/>
  <c r="L56" i="7"/>
  <c r="L57" i="7"/>
  <c r="L15" i="7"/>
  <c r="L8" i="7"/>
  <c r="L12" i="7"/>
  <c r="L9" i="7"/>
  <c r="L16" i="7"/>
  <c r="L17" i="7"/>
  <c r="L10" i="7"/>
  <c r="L13" i="7"/>
  <c r="L14" i="7"/>
  <c r="L11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L58" i="7"/>
  <c r="L59" i="7"/>
  <c r="L60" i="7"/>
  <c r="L61" i="7"/>
  <c r="L62" i="7"/>
  <c r="L63" i="7"/>
  <c r="L64" i="7"/>
  <c r="L65" i="7"/>
  <c r="L66" i="7"/>
  <c r="L67" i="7"/>
  <c r="L68" i="7"/>
  <c r="L69" i="7"/>
  <c r="L70" i="7"/>
  <c r="L7" i="7"/>
  <c r="A5" i="7"/>
  <c r="M2" i="7"/>
  <c r="M3" i="7" s="1"/>
  <c r="X129" i="1"/>
  <c r="X130" i="1"/>
  <c r="N129" i="1"/>
  <c r="X121" i="1"/>
  <c r="X122" i="1"/>
  <c r="T70" i="1" l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L151" i="1"/>
  <c r="L152" i="1"/>
  <c r="L153" i="1"/>
  <c r="L154" i="1"/>
  <c r="L155" i="1"/>
  <c r="X34" i="1"/>
  <c r="X35" i="1"/>
  <c r="X36" i="1"/>
  <c r="X37" i="1"/>
  <c r="X148" i="1"/>
  <c r="X149" i="1"/>
  <c r="X147" i="1"/>
  <c r="K13" i="1" l="1"/>
  <c r="K126" i="1"/>
  <c r="L126" i="1"/>
  <c r="M126" i="1"/>
  <c r="N126" i="1" s="1"/>
  <c r="T126" i="1"/>
  <c r="V126" i="1"/>
  <c r="X126" i="1"/>
  <c r="Y126" i="1"/>
  <c r="AA126" i="1" s="1"/>
  <c r="W126" i="1" s="1"/>
  <c r="AB126" i="1"/>
  <c r="AC126" i="1"/>
  <c r="K127" i="1"/>
  <c r="L127" i="1"/>
  <c r="M127" i="1"/>
  <c r="N127" i="1" s="1"/>
  <c r="T127" i="1"/>
  <c r="V127" i="1"/>
  <c r="X127" i="1"/>
  <c r="Y127" i="1"/>
  <c r="AA127" i="1" s="1"/>
  <c r="W127" i="1" s="1"/>
  <c r="AB127" i="1"/>
  <c r="AC127" i="1"/>
  <c r="K128" i="1"/>
  <c r="L128" i="1"/>
  <c r="M128" i="1"/>
  <c r="N128" i="1" s="1"/>
  <c r="T128" i="1"/>
  <c r="V128" i="1"/>
  <c r="X128" i="1"/>
  <c r="Y128" i="1"/>
  <c r="AA128" i="1" s="1"/>
  <c r="W128" i="1" s="1"/>
  <c r="AB128" i="1"/>
  <c r="AC128" i="1"/>
  <c r="K129" i="1"/>
  <c r="L129" i="1"/>
  <c r="M129" i="1"/>
  <c r="T129" i="1"/>
  <c r="V129" i="1"/>
  <c r="Y129" i="1"/>
  <c r="AB129" i="1"/>
  <c r="AC129" i="1"/>
  <c r="K130" i="1"/>
  <c r="L130" i="1"/>
  <c r="M130" i="1"/>
  <c r="N130" i="1" s="1"/>
  <c r="T130" i="1"/>
  <c r="V130" i="1"/>
  <c r="Y130" i="1"/>
  <c r="AB130" i="1"/>
  <c r="AC130" i="1"/>
  <c r="K131" i="1"/>
  <c r="L131" i="1"/>
  <c r="M131" i="1"/>
  <c r="N131" i="1" s="1"/>
  <c r="T131" i="1"/>
  <c r="V131" i="1"/>
  <c r="X131" i="1"/>
  <c r="Y131" i="1"/>
  <c r="AA131" i="1" s="1"/>
  <c r="W131" i="1" s="1"/>
  <c r="AB131" i="1"/>
  <c r="AC131" i="1"/>
  <c r="K132" i="1"/>
  <c r="L132" i="1"/>
  <c r="M132" i="1"/>
  <c r="N132" i="1" s="1"/>
  <c r="T132" i="1"/>
  <c r="V132" i="1"/>
  <c r="X132" i="1"/>
  <c r="Y132" i="1"/>
  <c r="AA132" i="1" s="1"/>
  <c r="W132" i="1" s="1"/>
  <c r="AB132" i="1"/>
  <c r="AC132" i="1"/>
  <c r="K133" i="1"/>
  <c r="L133" i="1"/>
  <c r="M133" i="1"/>
  <c r="N133" i="1" s="1"/>
  <c r="T133" i="1"/>
  <c r="V133" i="1"/>
  <c r="X133" i="1"/>
  <c r="Y133" i="1"/>
  <c r="AB133" i="1"/>
  <c r="AC133" i="1"/>
  <c r="K134" i="1"/>
  <c r="L134" i="1"/>
  <c r="M134" i="1"/>
  <c r="N134" i="1" s="1"/>
  <c r="T134" i="1"/>
  <c r="V134" i="1"/>
  <c r="X134" i="1"/>
  <c r="Y134" i="1"/>
  <c r="AB134" i="1"/>
  <c r="AC134" i="1"/>
  <c r="K135" i="1"/>
  <c r="L135" i="1"/>
  <c r="M135" i="1"/>
  <c r="N135" i="1" s="1"/>
  <c r="T135" i="1"/>
  <c r="V135" i="1"/>
  <c r="X135" i="1"/>
  <c r="Y135" i="1"/>
  <c r="AA135" i="1" s="1"/>
  <c r="W135" i="1" s="1"/>
  <c r="AB135" i="1"/>
  <c r="AC135" i="1"/>
  <c r="K136" i="1"/>
  <c r="L136" i="1"/>
  <c r="M136" i="1"/>
  <c r="N136" i="1" s="1"/>
  <c r="T136" i="1"/>
  <c r="V136" i="1"/>
  <c r="X136" i="1"/>
  <c r="Y136" i="1"/>
  <c r="AB136" i="1"/>
  <c r="AC136" i="1"/>
  <c r="K137" i="1"/>
  <c r="L137" i="1"/>
  <c r="M137" i="1"/>
  <c r="N137" i="1" s="1"/>
  <c r="T137" i="1"/>
  <c r="V137" i="1"/>
  <c r="X137" i="1"/>
  <c r="Y137" i="1"/>
  <c r="AB137" i="1"/>
  <c r="AC137" i="1"/>
  <c r="K138" i="1"/>
  <c r="L138" i="1"/>
  <c r="M138" i="1"/>
  <c r="N138" i="1" s="1"/>
  <c r="T138" i="1"/>
  <c r="V138" i="1"/>
  <c r="X138" i="1"/>
  <c r="Y138" i="1"/>
  <c r="AB138" i="1"/>
  <c r="AC138" i="1"/>
  <c r="K139" i="1"/>
  <c r="L139" i="1"/>
  <c r="M139" i="1"/>
  <c r="N139" i="1" s="1"/>
  <c r="T139" i="1"/>
  <c r="V139" i="1"/>
  <c r="X139" i="1"/>
  <c r="Y139" i="1"/>
  <c r="AA139" i="1"/>
  <c r="W139" i="1" s="1"/>
  <c r="AB139" i="1"/>
  <c r="AC139" i="1"/>
  <c r="K140" i="1"/>
  <c r="L140" i="1"/>
  <c r="M140" i="1"/>
  <c r="N140" i="1" s="1"/>
  <c r="T140" i="1"/>
  <c r="V140" i="1"/>
  <c r="X140" i="1"/>
  <c r="Y140" i="1"/>
  <c r="AB140" i="1"/>
  <c r="AC140" i="1"/>
  <c r="K141" i="1"/>
  <c r="L141" i="1"/>
  <c r="M141" i="1"/>
  <c r="N141" i="1" s="1"/>
  <c r="T141" i="1"/>
  <c r="V141" i="1"/>
  <c r="X141" i="1"/>
  <c r="Y141" i="1"/>
  <c r="AA141" i="1"/>
  <c r="W141" i="1" s="1"/>
  <c r="AB141" i="1"/>
  <c r="AC141" i="1"/>
  <c r="K142" i="1"/>
  <c r="L142" i="1"/>
  <c r="M142" i="1"/>
  <c r="N142" i="1" s="1"/>
  <c r="T142" i="1"/>
  <c r="V142" i="1"/>
  <c r="X142" i="1"/>
  <c r="Y142" i="1"/>
  <c r="AB142" i="1"/>
  <c r="AC142" i="1"/>
  <c r="K143" i="1"/>
  <c r="L143" i="1"/>
  <c r="M143" i="1"/>
  <c r="N143" i="1" s="1"/>
  <c r="T143" i="1"/>
  <c r="V143" i="1"/>
  <c r="X143" i="1"/>
  <c r="Y143" i="1"/>
  <c r="AB143" i="1"/>
  <c r="AC143" i="1"/>
  <c r="K144" i="1"/>
  <c r="L144" i="1"/>
  <c r="M144" i="1"/>
  <c r="N144" i="1" s="1"/>
  <c r="T144" i="1"/>
  <c r="V144" i="1"/>
  <c r="X144" i="1"/>
  <c r="Y144" i="1"/>
  <c r="AB144" i="1"/>
  <c r="AC144" i="1"/>
  <c r="K145" i="1"/>
  <c r="L145" i="1"/>
  <c r="M145" i="1"/>
  <c r="N145" i="1" s="1"/>
  <c r="T145" i="1"/>
  <c r="V145" i="1"/>
  <c r="X145" i="1"/>
  <c r="Y145" i="1"/>
  <c r="AA145" i="1" s="1"/>
  <c r="W145" i="1" s="1"/>
  <c r="AB145" i="1"/>
  <c r="AC145" i="1"/>
  <c r="K146" i="1"/>
  <c r="L146" i="1"/>
  <c r="M146" i="1"/>
  <c r="N146" i="1" s="1"/>
  <c r="T146" i="1"/>
  <c r="V146" i="1"/>
  <c r="X146" i="1"/>
  <c r="Y146" i="1"/>
  <c r="AB146" i="1"/>
  <c r="AC146" i="1"/>
  <c r="K147" i="1"/>
  <c r="L147" i="1"/>
  <c r="M147" i="1"/>
  <c r="N147" i="1" s="1"/>
  <c r="T147" i="1"/>
  <c r="V147" i="1"/>
  <c r="Y147" i="1"/>
  <c r="AA147" i="1" s="1"/>
  <c r="W147" i="1" s="1"/>
  <c r="AB147" i="1"/>
  <c r="AC147" i="1"/>
  <c r="K148" i="1"/>
  <c r="L148" i="1"/>
  <c r="M148" i="1"/>
  <c r="N148" i="1" s="1"/>
  <c r="T148" i="1"/>
  <c r="V148" i="1"/>
  <c r="Y148" i="1"/>
  <c r="AB148" i="1"/>
  <c r="AC148" i="1"/>
  <c r="K149" i="1"/>
  <c r="L149" i="1"/>
  <c r="M149" i="1"/>
  <c r="N149" i="1" s="1"/>
  <c r="T149" i="1"/>
  <c r="V149" i="1"/>
  <c r="Y149" i="1"/>
  <c r="AB149" i="1"/>
  <c r="AC149" i="1"/>
  <c r="K150" i="1"/>
  <c r="L150" i="1"/>
  <c r="M150" i="1"/>
  <c r="N150" i="1" s="1"/>
  <c r="T150" i="1"/>
  <c r="V150" i="1"/>
  <c r="X150" i="1"/>
  <c r="Y150" i="1"/>
  <c r="AB150" i="1"/>
  <c r="AC150" i="1"/>
  <c r="K151" i="1"/>
  <c r="M151" i="1"/>
  <c r="N151" i="1" s="1"/>
  <c r="T151" i="1"/>
  <c r="V151" i="1"/>
  <c r="X151" i="1"/>
  <c r="Y151" i="1"/>
  <c r="AA151" i="1" s="1"/>
  <c r="W151" i="1" s="1"/>
  <c r="AB151" i="1"/>
  <c r="AC151" i="1"/>
  <c r="K152" i="1"/>
  <c r="M152" i="1"/>
  <c r="N152" i="1" s="1"/>
  <c r="T152" i="1"/>
  <c r="V152" i="1"/>
  <c r="X152" i="1"/>
  <c r="Y152" i="1"/>
  <c r="AB152" i="1"/>
  <c r="AC152" i="1"/>
  <c r="K153" i="1"/>
  <c r="M153" i="1"/>
  <c r="N153" i="1" s="1"/>
  <c r="T153" i="1"/>
  <c r="V153" i="1"/>
  <c r="X153" i="1"/>
  <c r="Y153" i="1"/>
  <c r="AA153" i="1" s="1"/>
  <c r="W153" i="1" s="1"/>
  <c r="AB153" i="1"/>
  <c r="AC153" i="1"/>
  <c r="K154" i="1"/>
  <c r="M154" i="1"/>
  <c r="N154" i="1" s="1"/>
  <c r="T154" i="1"/>
  <c r="V154" i="1"/>
  <c r="X154" i="1"/>
  <c r="Y154" i="1"/>
  <c r="AA154" i="1" s="1"/>
  <c r="W154" i="1" s="1"/>
  <c r="AB154" i="1"/>
  <c r="AC154" i="1"/>
  <c r="K155" i="1"/>
  <c r="M155" i="1"/>
  <c r="N155" i="1" s="1"/>
  <c r="T155" i="1"/>
  <c r="V155" i="1"/>
  <c r="X155" i="1"/>
  <c r="Y155" i="1"/>
  <c r="AB155" i="1"/>
  <c r="AC155" i="1"/>
  <c r="AA140" i="1" l="1"/>
  <c r="W140" i="1" s="1"/>
  <c r="AA155" i="1"/>
  <c r="W155" i="1" s="1"/>
  <c r="AA150" i="1"/>
  <c r="W150" i="1" s="1"/>
  <c r="AA149" i="1"/>
  <c r="W149" i="1" s="1"/>
  <c r="AA143" i="1"/>
  <c r="W143" i="1" s="1"/>
  <c r="AA148" i="1"/>
  <c r="W148" i="1" s="1"/>
  <c r="AA133" i="1"/>
  <c r="W133" i="1" s="1"/>
  <c r="U127" i="1"/>
  <c r="S127" i="1" s="1"/>
  <c r="U147" i="1"/>
  <c r="S147" i="1" s="1"/>
  <c r="AA142" i="1"/>
  <c r="W142" i="1" s="1"/>
  <c r="U129" i="1"/>
  <c r="U132" i="1"/>
  <c r="U134" i="1"/>
  <c r="S134" i="1" s="1"/>
  <c r="U136" i="1"/>
  <c r="S136" i="1" s="1"/>
  <c r="U151" i="1"/>
  <c r="U153" i="1"/>
  <c r="S153" i="1" s="1"/>
  <c r="AA137" i="1"/>
  <c r="W137" i="1" s="1"/>
  <c r="U131" i="1"/>
  <c r="S131" i="1" s="1"/>
  <c r="S151" i="1"/>
  <c r="U135" i="1"/>
  <c r="S135" i="1" s="1"/>
  <c r="U133" i="1"/>
  <c r="S133" i="1" s="1"/>
  <c r="U146" i="1"/>
  <c r="S146" i="1" s="1"/>
  <c r="U128" i="1"/>
  <c r="S128" i="1" s="1"/>
  <c r="U148" i="1"/>
  <c r="S148" i="1" s="1"/>
  <c r="U137" i="1"/>
  <c r="S137" i="1" s="1"/>
  <c r="U150" i="1"/>
  <c r="S150" i="1" s="1"/>
  <c r="U144" i="1"/>
  <c r="S144" i="1" s="1"/>
  <c r="U155" i="1"/>
  <c r="S155" i="1" s="1"/>
  <c r="U143" i="1"/>
  <c r="S143" i="1" s="1"/>
  <c r="U141" i="1"/>
  <c r="S141" i="1" s="1"/>
  <c r="AA134" i="1"/>
  <c r="W134" i="1" s="1"/>
  <c r="U138" i="1"/>
  <c r="S138" i="1" s="1"/>
  <c r="U142" i="1"/>
  <c r="S142" i="1" s="1"/>
  <c r="U139" i="1"/>
  <c r="S139" i="1" s="1"/>
  <c r="U154" i="1"/>
  <c r="S154" i="1" s="1"/>
  <c r="U149" i="1"/>
  <c r="S149" i="1" s="1"/>
  <c r="U126" i="1"/>
  <c r="S126" i="1" s="1"/>
  <c r="U140" i="1"/>
  <c r="S140" i="1" s="1"/>
  <c r="U152" i="1"/>
  <c r="S152" i="1" s="1"/>
  <c r="S132" i="1"/>
  <c r="U145" i="1"/>
  <c r="S145" i="1" s="1"/>
  <c r="U130" i="1"/>
  <c r="S130" i="1" s="1"/>
  <c r="AA152" i="1"/>
  <c r="W152" i="1" s="1"/>
  <c r="AA146" i="1"/>
  <c r="W146" i="1" s="1"/>
  <c r="AA138" i="1"/>
  <c r="W138" i="1" s="1"/>
  <c r="AA130" i="1"/>
  <c r="W130" i="1" s="1"/>
  <c r="AA144" i="1"/>
  <c r="W144" i="1" s="1"/>
  <c r="AA136" i="1"/>
  <c r="W136" i="1" s="1"/>
  <c r="AA129" i="1"/>
  <c r="W129" i="1" s="1"/>
  <c r="K96" i="1" l="1"/>
  <c r="L96" i="1"/>
  <c r="M96" i="1"/>
  <c r="N96" i="1" s="1"/>
  <c r="T96" i="1"/>
  <c r="V96" i="1"/>
  <c r="X96" i="1"/>
  <c r="Y96" i="1"/>
  <c r="AB96" i="1"/>
  <c r="AC96" i="1"/>
  <c r="K97" i="1"/>
  <c r="L97" i="1"/>
  <c r="M97" i="1"/>
  <c r="N97" i="1" s="1"/>
  <c r="T97" i="1"/>
  <c r="V97" i="1"/>
  <c r="X97" i="1"/>
  <c r="Y97" i="1"/>
  <c r="AB97" i="1"/>
  <c r="AC97" i="1"/>
  <c r="K98" i="1"/>
  <c r="L98" i="1"/>
  <c r="M98" i="1"/>
  <c r="N98" i="1" s="1"/>
  <c r="T98" i="1"/>
  <c r="V98" i="1"/>
  <c r="X98" i="1"/>
  <c r="Y98" i="1"/>
  <c r="AB98" i="1"/>
  <c r="AC98" i="1"/>
  <c r="K99" i="1"/>
  <c r="L99" i="1"/>
  <c r="M99" i="1"/>
  <c r="P99" i="1" s="1"/>
  <c r="T99" i="1"/>
  <c r="V99" i="1"/>
  <c r="X99" i="1"/>
  <c r="Y99" i="1"/>
  <c r="AB99" i="1"/>
  <c r="AC99" i="1"/>
  <c r="K100" i="1"/>
  <c r="L100" i="1"/>
  <c r="M100" i="1"/>
  <c r="N100" i="1" s="1"/>
  <c r="T100" i="1"/>
  <c r="V100" i="1"/>
  <c r="X100" i="1"/>
  <c r="Y100" i="1"/>
  <c r="AB100" i="1"/>
  <c r="AC100" i="1"/>
  <c r="K101" i="1"/>
  <c r="L101" i="1"/>
  <c r="M101" i="1"/>
  <c r="N101" i="1" s="1"/>
  <c r="T101" i="1"/>
  <c r="V101" i="1"/>
  <c r="X101" i="1"/>
  <c r="Y101" i="1"/>
  <c r="AB101" i="1"/>
  <c r="AC101" i="1"/>
  <c r="K102" i="1"/>
  <c r="L102" i="1"/>
  <c r="M102" i="1"/>
  <c r="N102" i="1" s="1"/>
  <c r="T102" i="1"/>
  <c r="V102" i="1"/>
  <c r="X102" i="1"/>
  <c r="Y102" i="1"/>
  <c r="AB102" i="1"/>
  <c r="AC102" i="1"/>
  <c r="K103" i="1"/>
  <c r="L103" i="1"/>
  <c r="M103" i="1"/>
  <c r="N103" i="1" s="1"/>
  <c r="T103" i="1"/>
  <c r="V103" i="1"/>
  <c r="X103" i="1"/>
  <c r="Y103" i="1"/>
  <c r="AB103" i="1"/>
  <c r="AC103" i="1"/>
  <c r="K104" i="1"/>
  <c r="L104" i="1"/>
  <c r="M104" i="1"/>
  <c r="N104" i="1" s="1"/>
  <c r="T104" i="1"/>
  <c r="V104" i="1"/>
  <c r="X104" i="1"/>
  <c r="Y104" i="1"/>
  <c r="AB104" i="1"/>
  <c r="AC104" i="1"/>
  <c r="K105" i="1"/>
  <c r="L105" i="1"/>
  <c r="M105" i="1"/>
  <c r="N105" i="1" s="1"/>
  <c r="T105" i="1"/>
  <c r="U105" i="1" s="1"/>
  <c r="S105" i="1" s="1"/>
  <c r="V105" i="1"/>
  <c r="X105" i="1"/>
  <c r="Y105" i="1"/>
  <c r="AB105" i="1"/>
  <c r="AC105" i="1"/>
  <c r="K106" i="1"/>
  <c r="L106" i="1"/>
  <c r="M106" i="1"/>
  <c r="N106" i="1" s="1"/>
  <c r="T106" i="1"/>
  <c r="V106" i="1"/>
  <c r="X106" i="1"/>
  <c r="Y106" i="1"/>
  <c r="AB106" i="1"/>
  <c r="AC106" i="1"/>
  <c r="K107" i="1"/>
  <c r="L107" i="1"/>
  <c r="M107" i="1"/>
  <c r="N107" i="1" s="1"/>
  <c r="T107" i="1"/>
  <c r="V107" i="1"/>
  <c r="X107" i="1"/>
  <c r="Y107" i="1"/>
  <c r="AB107" i="1"/>
  <c r="AC107" i="1"/>
  <c r="K108" i="1"/>
  <c r="L108" i="1"/>
  <c r="M108" i="1"/>
  <c r="N108" i="1" s="1"/>
  <c r="T108" i="1"/>
  <c r="V108" i="1"/>
  <c r="X108" i="1"/>
  <c r="Y108" i="1"/>
  <c r="AB108" i="1"/>
  <c r="AC108" i="1"/>
  <c r="K109" i="1"/>
  <c r="L109" i="1"/>
  <c r="M109" i="1"/>
  <c r="N109" i="1" s="1"/>
  <c r="T109" i="1"/>
  <c r="V109" i="1"/>
  <c r="X109" i="1"/>
  <c r="Y109" i="1"/>
  <c r="AB109" i="1"/>
  <c r="AC109" i="1"/>
  <c r="K110" i="1"/>
  <c r="L110" i="1"/>
  <c r="M110" i="1"/>
  <c r="N110" i="1" s="1"/>
  <c r="T110" i="1"/>
  <c r="V110" i="1"/>
  <c r="X110" i="1"/>
  <c r="Y110" i="1"/>
  <c r="AB110" i="1"/>
  <c r="AC110" i="1"/>
  <c r="K113" i="1"/>
  <c r="L113" i="1"/>
  <c r="M113" i="1"/>
  <c r="N113" i="1" s="1"/>
  <c r="T113" i="1"/>
  <c r="V113" i="1"/>
  <c r="X113" i="1"/>
  <c r="Y113" i="1"/>
  <c r="AB113" i="1"/>
  <c r="AC113" i="1"/>
  <c r="K111" i="1"/>
  <c r="L111" i="1"/>
  <c r="M111" i="1"/>
  <c r="N111" i="1" s="1"/>
  <c r="T111" i="1"/>
  <c r="V111" i="1"/>
  <c r="X111" i="1"/>
  <c r="Y111" i="1"/>
  <c r="AB111" i="1"/>
  <c r="AC111" i="1"/>
  <c r="K112" i="1"/>
  <c r="L112" i="1"/>
  <c r="M112" i="1"/>
  <c r="N112" i="1" s="1"/>
  <c r="T112" i="1"/>
  <c r="V112" i="1"/>
  <c r="X112" i="1"/>
  <c r="Y112" i="1"/>
  <c r="AB112" i="1"/>
  <c r="AC112" i="1"/>
  <c r="K114" i="1"/>
  <c r="L114" i="1"/>
  <c r="M114" i="1"/>
  <c r="N114" i="1" s="1"/>
  <c r="T114" i="1"/>
  <c r="V114" i="1"/>
  <c r="X114" i="1"/>
  <c r="Y114" i="1"/>
  <c r="AB114" i="1"/>
  <c r="AC114" i="1"/>
  <c r="K115" i="1"/>
  <c r="L115" i="1"/>
  <c r="M115" i="1"/>
  <c r="N115" i="1" s="1"/>
  <c r="T115" i="1"/>
  <c r="V115" i="1"/>
  <c r="X115" i="1"/>
  <c r="Y115" i="1"/>
  <c r="AB115" i="1"/>
  <c r="AC115" i="1"/>
  <c r="K116" i="1"/>
  <c r="L116" i="1"/>
  <c r="M116" i="1"/>
  <c r="N116" i="1" s="1"/>
  <c r="T116" i="1"/>
  <c r="V116" i="1"/>
  <c r="X116" i="1"/>
  <c r="Y116" i="1"/>
  <c r="AA116" i="1" s="1"/>
  <c r="W116" i="1" s="1"/>
  <c r="AB116" i="1"/>
  <c r="AC116" i="1"/>
  <c r="K117" i="1"/>
  <c r="L117" i="1"/>
  <c r="M117" i="1"/>
  <c r="N117" i="1" s="1"/>
  <c r="T117" i="1"/>
  <c r="V117" i="1"/>
  <c r="X117" i="1"/>
  <c r="Y117" i="1"/>
  <c r="AB117" i="1"/>
  <c r="AC117" i="1"/>
  <c r="K118" i="1"/>
  <c r="L118" i="1"/>
  <c r="M118" i="1"/>
  <c r="N118" i="1" s="1"/>
  <c r="T118" i="1"/>
  <c r="V118" i="1"/>
  <c r="X118" i="1"/>
  <c r="Y118" i="1"/>
  <c r="AB118" i="1"/>
  <c r="AC118" i="1"/>
  <c r="K119" i="1"/>
  <c r="L119" i="1"/>
  <c r="M119" i="1"/>
  <c r="N119" i="1" s="1"/>
  <c r="T119" i="1"/>
  <c r="V119" i="1"/>
  <c r="X119" i="1"/>
  <c r="Y119" i="1"/>
  <c r="AB119" i="1"/>
  <c r="AC119" i="1"/>
  <c r="K120" i="1"/>
  <c r="L120" i="1"/>
  <c r="M120" i="1"/>
  <c r="N120" i="1" s="1"/>
  <c r="T120" i="1"/>
  <c r="V120" i="1"/>
  <c r="X120" i="1"/>
  <c r="Y120" i="1"/>
  <c r="AB120" i="1"/>
  <c r="AC120" i="1"/>
  <c r="K121" i="1"/>
  <c r="L121" i="1"/>
  <c r="M121" i="1"/>
  <c r="N121" i="1" s="1"/>
  <c r="T121" i="1"/>
  <c r="V121" i="1"/>
  <c r="Y121" i="1"/>
  <c r="AB121" i="1"/>
  <c r="AC121" i="1"/>
  <c r="K122" i="1"/>
  <c r="L122" i="1"/>
  <c r="M122" i="1"/>
  <c r="N122" i="1" s="1"/>
  <c r="T122" i="1"/>
  <c r="V122" i="1"/>
  <c r="Y122" i="1"/>
  <c r="AB122" i="1"/>
  <c r="AC122" i="1"/>
  <c r="K124" i="1"/>
  <c r="L124" i="1"/>
  <c r="M124" i="1"/>
  <c r="T124" i="1"/>
  <c r="V124" i="1"/>
  <c r="X124" i="1"/>
  <c r="Y124" i="1"/>
  <c r="AB124" i="1"/>
  <c r="AC124" i="1"/>
  <c r="K123" i="1"/>
  <c r="L123" i="1"/>
  <c r="M123" i="1"/>
  <c r="T123" i="1"/>
  <c r="V123" i="1"/>
  <c r="X123" i="1"/>
  <c r="Y123" i="1"/>
  <c r="AB123" i="1"/>
  <c r="AC123" i="1"/>
  <c r="K125" i="1"/>
  <c r="L125" i="1"/>
  <c r="M125" i="1"/>
  <c r="N125" i="1" s="1"/>
  <c r="T125" i="1"/>
  <c r="V125" i="1"/>
  <c r="X125" i="1"/>
  <c r="Y125" i="1"/>
  <c r="AB125" i="1"/>
  <c r="AC125" i="1"/>
  <c r="U117" i="1" l="1"/>
  <c r="S117" i="1" s="1"/>
  <c r="P123" i="1"/>
  <c r="U124" i="1"/>
  <c r="U109" i="1"/>
  <c r="S109" i="1" s="1"/>
  <c r="U97" i="1"/>
  <c r="S97" i="1" s="1"/>
  <c r="U107" i="1"/>
  <c r="S107" i="1" s="1"/>
  <c r="U104" i="1"/>
  <c r="S104" i="1" s="1"/>
  <c r="U122" i="1"/>
  <c r="S122" i="1" s="1"/>
  <c r="U113" i="1"/>
  <c r="S113" i="1" s="1"/>
  <c r="U118" i="1"/>
  <c r="S118" i="1" s="1"/>
  <c r="U106" i="1"/>
  <c r="S106" i="1" s="1"/>
  <c r="U119" i="1"/>
  <c r="S119" i="1" s="1"/>
  <c r="U102" i="1"/>
  <c r="S102" i="1" s="1"/>
  <c r="U114" i="1"/>
  <c r="S114" i="1" s="1"/>
  <c r="U116" i="1"/>
  <c r="S116" i="1" s="1"/>
  <c r="U99" i="1"/>
  <c r="S99" i="1" s="1"/>
  <c r="U112" i="1"/>
  <c r="S112" i="1" s="1"/>
  <c r="U101" i="1"/>
  <c r="S101" i="1" s="1"/>
  <c r="U120" i="1"/>
  <c r="S120" i="1" s="1"/>
  <c r="U108" i="1"/>
  <c r="S108" i="1" s="1"/>
  <c r="U96" i="1"/>
  <c r="S96" i="1" s="1"/>
  <c r="U111" i="1"/>
  <c r="S111" i="1" s="1"/>
  <c r="U125" i="1"/>
  <c r="S125" i="1" s="1"/>
  <c r="U115" i="1"/>
  <c r="S115" i="1" s="1"/>
  <c r="U103" i="1"/>
  <c r="S103" i="1" s="1"/>
  <c r="U100" i="1"/>
  <c r="S100" i="1" s="1"/>
  <c r="U123" i="1"/>
  <c r="U121" i="1"/>
  <c r="S121" i="1" s="1"/>
  <c r="U110" i="1"/>
  <c r="S110" i="1" s="1"/>
  <c r="U98" i="1"/>
  <c r="S98" i="1" s="1"/>
  <c r="AA119" i="1"/>
  <c r="W119" i="1" s="1"/>
  <c r="AA109" i="1"/>
  <c r="W109" i="1" s="1"/>
  <c r="AA96" i="1"/>
  <c r="W96" i="1" s="1"/>
  <c r="AA122" i="1"/>
  <c r="W122" i="1" s="1"/>
  <c r="AA118" i="1"/>
  <c r="W118" i="1" s="1"/>
  <c r="AA120" i="1"/>
  <c r="W120" i="1" s="1"/>
  <c r="AA125" i="1"/>
  <c r="W125" i="1" s="1"/>
  <c r="AA107" i="1"/>
  <c r="W107" i="1" s="1"/>
  <c r="AA104" i="1"/>
  <c r="W104" i="1" s="1"/>
  <c r="AA113" i="1"/>
  <c r="W113" i="1" s="1"/>
  <c r="AA103" i="1"/>
  <c r="W103" i="1" s="1"/>
  <c r="AA115" i="1"/>
  <c r="W115" i="1" s="1"/>
  <c r="AA108" i="1"/>
  <c r="W108" i="1" s="1"/>
  <c r="AA124" i="1"/>
  <c r="W124" i="1" s="1"/>
  <c r="AA110" i="1"/>
  <c r="W110" i="1" s="1"/>
  <c r="AA105" i="1"/>
  <c r="W105" i="1" s="1"/>
  <c r="AA101" i="1"/>
  <c r="W101" i="1" s="1"/>
  <c r="AA102" i="1"/>
  <c r="W102" i="1" s="1"/>
  <c r="AA97" i="1"/>
  <c r="W97" i="1" s="1"/>
  <c r="AA112" i="1"/>
  <c r="W112" i="1" s="1"/>
  <c r="AA117" i="1"/>
  <c r="W117" i="1" s="1"/>
  <c r="AA111" i="1"/>
  <c r="W111" i="1" s="1"/>
  <c r="AA98" i="1"/>
  <c r="W98" i="1" s="1"/>
  <c r="AA123" i="1"/>
  <c r="W123" i="1" s="1"/>
  <c r="AA99" i="1"/>
  <c r="W99" i="1" s="1"/>
  <c r="AA121" i="1"/>
  <c r="W121" i="1" s="1"/>
  <c r="AA114" i="1"/>
  <c r="W114" i="1" s="1"/>
  <c r="AA106" i="1"/>
  <c r="W106" i="1" s="1"/>
  <c r="AA100" i="1"/>
  <c r="W100" i="1" s="1"/>
  <c r="S123" i="1" l="1"/>
  <c r="K78" i="1" l="1"/>
  <c r="L78" i="1"/>
  <c r="M78" i="1"/>
  <c r="N78" i="1" s="1"/>
  <c r="T78" i="1"/>
  <c r="U78" i="1" s="1"/>
  <c r="S78" i="1" s="1"/>
  <c r="V78" i="1"/>
  <c r="X78" i="1"/>
  <c r="AA78" i="1"/>
  <c r="W78" i="1" s="1"/>
  <c r="AB78" i="1"/>
  <c r="AC78" i="1"/>
  <c r="X60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T94" i="1"/>
  <c r="V94" i="1"/>
  <c r="X94" i="1"/>
  <c r="Y94" i="1"/>
  <c r="AB94" i="1"/>
  <c r="AC94" i="1"/>
  <c r="T64" i="1"/>
  <c r="V64" i="1"/>
  <c r="Y64" i="1"/>
  <c r="AB64" i="1"/>
  <c r="AC64" i="1"/>
  <c r="K94" i="1"/>
  <c r="L94" i="1"/>
  <c r="M94" i="1"/>
  <c r="N94" i="1" s="1"/>
  <c r="K64" i="1"/>
  <c r="L64" i="1"/>
  <c r="M64" i="1"/>
  <c r="N64" i="1" s="1"/>
  <c r="E6" i="6"/>
  <c r="F6" i="6"/>
  <c r="G6" i="6"/>
  <c r="E4" i="6"/>
  <c r="F4" i="6"/>
  <c r="G4" i="6"/>
  <c r="E3" i="6"/>
  <c r="F3" i="6"/>
  <c r="G3" i="6"/>
  <c r="E5" i="6"/>
  <c r="F5" i="6"/>
  <c r="G5" i="6"/>
  <c r="X38" i="1"/>
  <c r="X39" i="1"/>
  <c r="X41" i="1"/>
  <c r="X40" i="1"/>
  <c r="X42" i="1"/>
  <c r="X26" i="1"/>
  <c r="X27" i="1"/>
  <c r="X28" i="1"/>
  <c r="X29" i="1"/>
  <c r="X30" i="1"/>
  <c r="X31" i="1"/>
  <c r="X32" i="1"/>
  <c r="X33" i="1"/>
  <c r="U64" i="1" l="1"/>
  <c r="S64" i="1" s="1"/>
  <c r="U94" i="1"/>
  <c r="S94" i="1" s="1"/>
  <c r="AA64" i="1"/>
  <c r="W64" i="1" s="1"/>
  <c r="AA94" i="1"/>
  <c r="W94" i="1" s="1"/>
  <c r="X95" i="1"/>
  <c r="O6" i="1" l="1"/>
  <c r="N6" i="1"/>
  <c r="M6" i="1"/>
  <c r="J6" i="1"/>
  <c r="I2" i="1" l="1"/>
  <c r="AB14" i="1" l="1"/>
  <c r="AC14" i="1"/>
  <c r="AB15" i="1"/>
  <c r="AC15" i="1"/>
  <c r="AB16" i="1"/>
  <c r="AC16" i="1"/>
  <c r="AB17" i="1"/>
  <c r="AC17" i="1"/>
  <c r="AB18" i="1"/>
  <c r="AC18" i="1"/>
  <c r="AB19" i="1"/>
  <c r="AC19" i="1"/>
  <c r="AB20" i="1"/>
  <c r="AC20" i="1"/>
  <c r="AB21" i="1"/>
  <c r="AC21" i="1"/>
  <c r="AB22" i="1"/>
  <c r="AC22" i="1"/>
  <c r="AB23" i="1"/>
  <c r="AC23" i="1"/>
  <c r="AB24" i="1"/>
  <c r="AC24" i="1"/>
  <c r="AB25" i="1"/>
  <c r="AC25" i="1"/>
  <c r="AB26" i="1"/>
  <c r="AC26" i="1"/>
  <c r="AB27" i="1"/>
  <c r="AC27" i="1"/>
  <c r="AB28" i="1"/>
  <c r="AC28" i="1"/>
  <c r="AB29" i="1"/>
  <c r="AC29" i="1"/>
  <c r="AB30" i="1"/>
  <c r="AC30" i="1"/>
  <c r="AB31" i="1"/>
  <c r="AC31" i="1"/>
  <c r="AB32" i="1"/>
  <c r="AC32" i="1"/>
  <c r="AB33" i="1"/>
  <c r="AC33" i="1"/>
  <c r="AB34" i="1"/>
  <c r="AC34" i="1"/>
  <c r="AB35" i="1"/>
  <c r="AC35" i="1"/>
  <c r="AB36" i="1"/>
  <c r="AC36" i="1"/>
  <c r="AB38" i="1"/>
  <c r="AC38" i="1"/>
  <c r="AB37" i="1"/>
  <c r="AC37" i="1"/>
  <c r="AB39" i="1"/>
  <c r="AC39" i="1"/>
  <c r="AB41" i="1"/>
  <c r="AC41" i="1"/>
  <c r="AB40" i="1"/>
  <c r="AC40" i="1"/>
  <c r="AB42" i="1"/>
  <c r="AC42" i="1"/>
  <c r="AB43" i="1"/>
  <c r="AC43" i="1"/>
  <c r="AB44" i="1"/>
  <c r="AC44" i="1"/>
  <c r="AB45" i="1"/>
  <c r="AC45" i="1"/>
  <c r="AB46" i="1"/>
  <c r="AC46" i="1"/>
  <c r="AB47" i="1"/>
  <c r="AC47" i="1"/>
  <c r="AB48" i="1"/>
  <c r="AC48" i="1"/>
  <c r="AB49" i="1"/>
  <c r="AC49" i="1"/>
  <c r="AB50" i="1"/>
  <c r="AC50" i="1"/>
  <c r="AB51" i="1"/>
  <c r="AC51" i="1"/>
  <c r="AB53" i="1"/>
  <c r="AC53" i="1"/>
  <c r="AB52" i="1"/>
  <c r="AC52" i="1"/>
  <c r="AB54" i="1"/>
  <c r="AC54" i="1"/>
  <c r="AB55" i="1"/>
  <c r="AC55" i="1"/>
  <c r="AB56" i="1"/>
  <c r="AC56" i="1"/>
  <c r="AB57" i="1"/>
  <c r="AC57" i="1"/>
  <c r="AB58" i="1"/>
  <c r="AC58" i="1"/>
  <c r="AB59" i="1"/>
  <c r="AC59" i="1"/>
  <c r="AB61" i="1"/>
  <c r="AC61" i="1"/>
  <c r="AB60" i="1"/>
  <c r="AC60" i="1"/>
  <c r="AB62" i="1"/>
  <c r="AC62" i="1"/>
  <c r="AB63" i="1"/>
  <c r="AC63" i="1"/>
  <c r="AB65" i="1"/>
  <c r="AC65" i="1"/>
  <c r="AB66" i="1"/>
  <c r="AC66" i="1"/>
  <c r="AB67" i="1"/>
  <c r="AC67" i="1"/>
  <c r="AB68" i="1"/>
  <c r="AC68" i="1"/>
  <c r="AB69" i="1"/>
  <c r="AC69" i="1"/>
  <c r="AB70" i="1"/>
  <c r="AC70" i="1"/>
  <c r="AB71" i="1"/>
  <c r="AC71" i="1"/>
  <c r="AB72" i="1"/>
  <c r="AC72" i="1"/>
  <c r="AB73" i="1"/>
  <c r="AC73" i="1"/>
  <c r="AB74" i="1"/>
  <c r="AC74" i="1"/>
  <c r="AB75" i="1"/>
  <c r="AC75" i="1"/>
  <c r="AB76" i="1"/>
  <c r="AC76" i="1"/>
  <c r="AB77" i="1"/>
  <c r="AC77" i="1"/>
  <c r="AB79" i="1"/>
  <c r="AC79" i="1"/>
  <c r="AB80" i="1"/>
  <c r="AC80" i="1"/>
  <c r="AB81" i="1"/>
  <c r="AC81" i="1"/>
  <c r="AB82" i="1"/>
  <c r="AC82" i="1"/>
  <c r="AB83" i="1"/>
  <c r="AC83" i="1"/>
  <c r="AB84" i="1"/>
  <c r="AC84" i="1"/>
  <c r="AB85" i="1"/>
  <c r="AC85" i="1"/>
  <c r="AB86" i="1"/>
  <c r="AC86" i="1"/>
  <c r="AB87" i="1"/>
  <c r="AC87" i="1"/>
  <c r="AB88" i="1"/>
  <c r="AC88" i="1"/>
  <c r="AB89" i="1"/>
  <c r="AC89" i="1"/>
  <c r="AB90" i="1"/>
  <c r="AC90" i="1"/>
  <c r="AB91" i="1"/>
  <c r="AC91" i="1"/>
  <c r="AB92" i="1"/>
  <c r="AC92" i="1"/>
  <c r="AB93" i="1"/>
  <c r="AC93" i="1"/>
  <c r="AB95" i="1"/>
  <c r="AC95" i="1"/>
  <c r="AC13" i="1"/>
  <c r="AB13" i="1"/>
  <c r="M14" i="5" l="1"/>
  <c r="M13" i="5"/>
  <c r="M12" i="5"/>
  <c r="M11" i="5"/>
  <c r="M10" i="5"/>
  <c r="M9" i="5"/>
  <c r="M8" i="5"/>
  <c r="M7" i="5"/>
  <c r="M6" i="5"/>
  <c r="M5" i="5"/>
  <c r="M4" i="5"/>
  <c r="M3" i="5"/>
  <c r="V56" i="1" l="1"/>
  <c r="X56" i="1"/>
  <c r="Y56" i="1"/>
  <c r="V57" i="1"/>
  <c r="X57" i="1"/>
  <c r="AA57" i="1"/>
  <c r="W57" i="1" s="1"/>
  <c r="K57" i="1"/>
  <c r="L57" i="1"/>
  <c r="M57" i="1"/>
  <c r="N57" i="1" s="1"/>
  <c r="T57" i="1"/>
  <c r="U57" i="1" s="1"/>
  <c r="S57" i="1" s="1"/>
  <c r="X80" i="1"/>
  <c r="X81" i="1"/>
  <c r="Y95" i="1"/>
  <c r="V95" i="1"/>
  <c r="T95" i="1"/>
  <c r="U95" i="1" s="1"/>
  <c r="S95" i="1" s="1"/>
  <c r="M95" i="1"/>
  <c r="N95" i="1" s="1"/>
  <c r="L95" i="1"/>
  <c r="K95" i="1"/>
  <c r="T15" i="1"/>
  <c r="AA56" i="1" l="1"/>
  <c r="W56" i="1" s="1"/>
  <c r="AA95" i="1"/>
  <c r="W95" i="1" s="1"/>
  <c r="T14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4" i="1"/>
  <c r="T33" i="1"/>
  <c r="T35" i="1"/>
  <c r="T36" i="1"/>
  <c r="T38" i="1"/>
  <c r="T37" i="1"/>
  <c r="T39" i="1"/>
  <c r="T41" i="1"/>
  <c r="T40" i="1"/>
  <c r="T42" i="1"/>
  <c r="T43" i="1"/>
  <c r="T44" i="1"/>
  <c r="T45" i="1"/>
  <c r="T46" i="1"/>
  <c r="T47" i="1"/>
  <c r="T48" i="1"/>
  <c r="T49" i="1"/>
  <c r="T50" i="1"/>
  <c r="T51" i="1"/>
  <c r="T53" i="1"/>
  <c r="T52" i="1"/>
  <c r="T54" i="1"/>
  <c r="T55" i="1"/>
  <c r="T56" i="1"/>
  <c r="U56" i="1" s="1"/>
  <c r="S56" i="1" s="1"/>
  <c r="T58" i="1"/>
  <c r="T59" i="1"/>
  <c r="T61" i="1"/>
  <c r="T60" i="1"/>
  <c r="T62" i="1"/>
  <c r="T63" i="1"/>
  <c r="T65" i="1"/>
  <c r="T66" i="1"/>
  <c r="T67" i="1"/>
  <c r="T68" i="1"/>
  <c r="T69" i="1"/>
  <c r="T71" i="1"/>
  <c r="T72" i="1"/>
  <c r="T73" i="1"/>
  <c r="T74" i="1"/>
  <c r="T75" i="1"/>
  <c r="T76" i="1"/>
  <c r="T77" i="1"/>
  <c r="T79" i="1"/>
  <c r="T80" i="1"/>
  <c r="T81" i="1"/>
  <c r="T82" i="1"/>
  <c r="T84" i="1"/>
  <c r="T83" i="1"/>
  <c r="T85" i="1"/>
  <c r="T86" i="1"/>
  <c r="T87" i="1"/>
  <c r="T89" i="1"/>
  <c r="T88" i="1"/>
  <c r="T90" i="1"/>
  <c r="T91" i="1"/>
  <c r="T92" i="1"/>
  <c r="T93" i="1"/>
  <c r="T13" i="1"/>
  <c r="M39" i="1" l="1"/>
  <c r="N39" i="1" s="1"/>
  <c r="M66" i="1"/>
  <c r="N66" i="1" s="1"/>
  <c r="L39" i="1"/>
  <c r="L66" i="1"/>
  <c r="K66" i="1"/>
  <c r="K39" i="1"/>
  <c r="X59" i="1" l="1"/>
  <c r="X61" i="1"/>
  <c r="V15" i="1"/>
  <c r="X15" i="1"/>
  <c r="Y15" i="1"/>
  <c r="U15" i="1" s="1"/>
  <c r="S15" i="1" s="1"/>
  <c r="V14" i="1"/>
  <c r="X14" i="1"/>
  <c r="Y14" i="1"/>
  <c r="V16" i="1"/>
  <c r="X16" i="1"/>
  <c r="Y16" i="1"/>
  <c r="V17" i="1"/>
  <c r="X17" i="1"/>
  <c r="Y17" i="1"/>
  <c r="V18" i="1"/>
  <c r="X18" i="1"/>
  <c r="Y18" i="1"/>
  <c r="V19" i="1"/>
  <c r="X19" i="1"/>
  <c r="Y19" i="1"/>
  <c r="V20" i="1"/>
  <c r="X20" i="1"/>
  <c r="Y20" i="1"/>
  <c r="U20" i="1" s="1"/>
  <c r="S20" i="1" s="1"/>
  <c r="V21" i="1"/>
  <c r="X21" i="1"/>
  <c r="Y21" i="1"/>
  <c r="V22" i="1"/>
  <c r="X22" i="1"/>
  <c r="Y22" i="1"/>
  <c r="V23" i="1"/>
  <c r="X23" i="1"/>
  <c r="Y23" i="1"/>
  <c r="V24" i="1"/>
  <c r="X24" i="1"/>
  <c r="Y24" i="1"/>
  <c r="V25" i="1"/>
  <c r="X25" i="1"/>
  <c r="Y25" i="1"/>
  <c r="U25" i="1" s="1"/>
  <c r="S25" i="1" s="1"/>
  <c r="V26" i="1"/>
  <c r="Y26" i="1"/>
  <c r="V27" i="1"/>
  <c r="Y27" i="1"/>
  <c r="U27" i="1" s="1"/>
  <c r="S27" i="1" s="1"/>
  <c r="V28" i="1"/>
  <c r="Y28" i="1"/>
  <c r="V29" i="1"/>
  <c r="Y29" i="1"/>
  <c r="V30" i="1"/>
  <c r="Y30" i="1"/>
  <c r="V31" i="1"/>
  <c r="Y31" i="1"/>
  <c r="V32" i="1"/>
  <c r="Y32" i="1"/>
  <c r="V34" i="1"/>
  <c r="Y34" i="1"/>
  <c r="V33" i="1"/>
  <c r="Y33" i="1"/>
  <c r="V35" i="1"/>
  <c r="V36" i="1"/>
  <c r="Y36" i="1"/>
  <c r="V38" i="1"/>
  <c r="Y38" i="1"/>
  <c r="V37" i="1"/>
  <c r="Y37" i="1"/>
  <c r="V39" i="1"/>
  <c r="Y39" i="1"/>
  <c r="V41" i="1"/>
  <c r="Y41" i="1"/>
  <c r="V40" i="1"/>
  <c r="Y40" i="1"/>
  <c r="V42" i="1"/>
  <c r="Y42" i="1"/>
  <c r="V43" i="1"/>
  <c r="X43" i="1"/>
  <c r="Y43" i="1"/>
  <c r="U43" i="1" s="1"/>
  <c r="S43" i="1" s="1"/>
  <c r="V44" i="1"/>
  <c r="X44" i="1"/>
  <c r="Y44" i="1"/>
  <c r="U44" i="1" s="1"/>
  <c r="S44" i="1" s="1"/>
  <c r="V45" i="1"/>
  <c r="X45" i="1"/>
  <c r="Y45" i="1"/>
  <c r="V46" i="1"/>
  <c r="X46" i="1"/>
  <c r="Y46" i="1"/>
  <c r="V47" i="1"/>
  <c r="X47" i="1"/>
  <c r="Y47" i="1"/>
  <c r="V48" i="1"/>
  <c r="X48" i="1"/>
  <c r="Y48" i="1"/>
  <c r="V49" i="1"/>
  <c r="X49" i="1"/>
  <c r="Y49" i="1"/>
  <c r="V50" i="1"/>
  <c r="X50" i="1"/>
  <c r="Y50" i="1"/>
  <c r="V51" i="1"/>
  <c r="X51" i="1"/>
  <c r="Y51" i="1"/>
  <c r="V53" i="1"/>
  <c r="X53" i="1"/>
  <c r="Y53" i="1"/>
  <c r="V52" i="1"/>
  <c r="X52" i="1"/>
  <c r="Y52" i="1"/>
  <c r="V54" i="1"/>
  <c r="X54" i="1"/>
  <c r="Y54" i="1"/>
  <c r="V55" i="1"/>
  <c r="X55" i="1"/>
  <c r="Y55" i="1"/>
  <c r="V58" i="1"/>
  <c r="X58" i="1"/>
  <c r="Y58" i="1"/>
  <c r="V59" i="1"/>
  <c r="Y59" i="1"/>
  <c r="V61" i="1"/>
  <c r="Y61" i="1"/>
  <c r="V60" i="1"/>
  <c r="Y60" i="1"/>
  <c r="V62" i="1"/>
  <c r="Y62" i="1"/>
  <c r="V63" i="1"/>
  <c r="Y63" i="1"/>
  <c r="V65" i="1"/>
  <c r="Y65" i="1"/>
  <c r="V66" i="1"/>
  <c r="Y66" i="1"/>
  <c r="V67" i="1"/>
  <c r="Y67" i="1"/>
  <c r="V68" i="1"/>
  <c r="Y68" i="1"/>
  <c r="V69" i="1"/>
  <c r="Y69" i="1"/>
  <c r="V70" i="1"/>
  <c r="Y70" i="1"/>
  <c r="U70" i="1" s="1"/>
  <c r="S70" i="1" s="1"/>
  <c r="V71" i="1"/>
  <c r="Y71" i="1"/>
  <c r="V72" i="1"/>
  <c r="Y72" i="1"/>
  <c r="V73" i="1"/>
  <c r="Y73" i="1"/>
  <c r="V74" i="1"/>
  <c r="Y74" i="1"/>
  <c r="V75" i="1"/>
  <c r="Y75" i="1"/>
  <c r="V76" i="1"/>
  <c r="X76" i="1"/>
  <c r="Y76" i="1"/>
  <c r="V77" i="1"/>
  <c r="X77" i="1"/>
  <c r="Y77" i="1"/>
  <c r="V79" i="1"/>
  <c r="X79" i="1"/>
  <c r="Y79" i="1"/>
  <c r="V80" i="1"/>
  <c r="Y80" i="1"/>
  <c r="V81" i="1"/>
  <c r="Y81" i="1"/>
  <c r="V82" i="1"/>
  <c r="X82" i="1"/>
  <c r="Y82" i="1"/>
  <c r="V84" i="1"/>
  <c r="X84" i="1"/>
  <c r="Y84" i="1"/>
  <c r="V83" i="1"/>
  <c r="X83" i="1"/>
  <c r="Y83" i="1"/>
  <c r="V85" i="1"/>
  <c r="X85" i="1"/>
  <c r="Y85" i="1"/>
  <c r="V86" i="1"/>
  <c r="X86" i="1"/>
  <c r="Y86" i="1"/>
  <c r="U86" i="1" s="1"/>
  <c r="S86" i="1" s="1"/>
  <c r="V87" i="1"/>
  <c r="X87" i="1"/>
  <c r="Y87" i="1"/>
  <c r="V89" i="1"/>
  <c r="X89" i="1"/>
  <c r="Y89" i="1"/>
  <c r="V88" i="1"/>
  <c r="X88" i="1"/>
  <c r="Y88" i="1"/>
  <c r="V90" i="1"/>
  <c r="X90" i="1"/>
  <c r="Y90" i="1"/>
  <c r="V91" i="1"/>
  <c r="X91" i="1"/>
  <c r="Y91" i="1"/>
  <c r="V92" i="1"/>
  <c r="X92" i="1"/>
  <c r="Y92" i="1"/>
  <c r="U92" i="1" s="1"/>
  <c r="S92" i="1" s="1"/>
  <c r="V93" i="1"/>
  <c r="X93" i="1"/>
  <c r="Y93" i="1"/>
  <c r="U19" i="1" l="1"/>
  <c r="S19" i="1" s="1"/>
  <c r="U77" i="1"/>
  <c r="S77" i="1" s="1"/>
  <c r="U21" i="1"/>
  <c r="S21" i="1" s="1"/>
  <c r="U14" i="1"/>
  <c r="S14" i="1" s="1"/>
  <c r="U53" i="1"/>
  <c r="S53" i="1" s="1"/>
  <c r="U66" i="1"/>
  <c r="S66" i="1" s="1"/>
  <c r="U74" i="1"/>
  <c r="S74" i="1" s="1"/>
  <c r="U46" i="1"/>
  <c r="S46" i="1" s="1"/>
  <c r="U76" i="1"/>
  <c r="S76" i="1" s="1"/>
  <c r="U45" i="1"/>
  <c r="S45" i="1" s="1"/>
  <c r="U68" i="1"/>
  <c r="S68" i="1" s="1"/>
  <c r="U88" i="1"/>
  <c r="S88" i="1" s="1"/>
  <c r="U67" i="1"/>
  <c r="S67" i="1" s="1"/>
  <c r="U30" i="1"/>
  <c r="S30" i="1" s="1"/>
  <c r="U89" i="1"/>
  <c r="S89" i="1" s="1"/>
  <c r="U82" i="1"/>
  <c r="S82" i="1" s="1"/>
  <c r="U35" i="1"/>
  <c r="S35" i="1" s="1"/>
  <c r="U28" i="1"/>
  <c r="S28" i="1" s="1"/>
  <c r="U36" i="1"/>
  <c r="S36" i="1" s="1"/>
  <c r="U24" i="1"/>
  <c r="S24" i="1" s="1"/>
  <c r="U29" i="1"/>
  <c r="S29" i="1" s="1"/>
  <c r="U54" i="1"/>
  <c r="S54" i="1" s="1"/>
  <c r="U48" i="1"/>
  <c r="S48" i="1" s="1"/>
  <c r="U80" i="1"/>
  <c r="U72" i="1"/>
  <c r="S72" i="1" s="1"/>
  <c r="U63" i="1"/>
  <c r="S63" i="1" s="1"/>
  <c r="U40" i="1"/>
  <c r="S40" i="1" s="1"/>
  <c r="U37" i="1"/>
  <c r="S37" i="1" s="1"/>
  <c r="U32" i="1"/>
  <c r="S32" i="1" s="1"/>
  <c r="U51" i="1"/>
  <c r="S51" i="1" s="1"/>
  <c r="U17" i="1"/>
  <c r="S17" i="1" s="1"/>
  <c r="U31" i="1"/>
  <c r="S31" i="1" s="1"/>
  <c r="U87" i="1"/>
  <c r="S87" i="1" s="1"/>
  <c r="U73" i="1"/>
  <c r="S73" i="1" s="1"/>
  <c r="U42" i="1"/>
  <c r="S42" i="1" s="1"/>
  <c r="U79" i="1"/>
  <c r="U71" i="1"/>
  <c r="S71" i="1" s="1"/>
  <c r="U62" i="1"/>
  <c r="S62" i="1" s="1"/>
  <c r="U52" i="1"/>
  <c r="S52" i="1" s="1"/>
  <c r="U47" i="1"/>
  <c r="S47" i="1" s="1"/>
  <c r="U41" i="1"/>
  <c r="S41" i="1" s="1"/>
  <c r="U33" i="1"/>
  <c r="S33" i="1" s="1"/>
  <c r="U61" i="1"/>
  <c r="U59" i="1"/>
  <c r="S59" i="1" s="1"/>
  <c r="U38" i="1"/>
  <c r="S38" i="1" s="1"/>
  <c r="U84" i="1"/>
  <c r="S84" i="1" s="1"/>
  <c r="U75" i="1"/>
  <c r="S75" i="1" s="1"/>
  <c r="U55" i="1"/>
  <c r="S55" i="1" s="1"/>
  <c r="U26" i="1"/>
  <c r="S26" i="1" s="1"/>
  <c r="U90" i="1"/>
  <c r="S90" i="1" s="1"/>
  <c r="U69" i="1"/>
  <c r="S69" i="1" s="1"/>
  <c r="U18" i="1"/>
  <c r="S18" i="1" s="1"/>
  <c r="U58" i="1"/>
  <c r="S58" i="1" s="1"/>
  <c r="U23" i="1"/>
  <c r="S23" i="1" s="1"/>
  <c r="U22" i="1"/>
  <c r="S22" i="1" s="1"/>
  <c r="U91" i="1"/>
  <c r="S91" i="1" s="1"/>
  <c r="U85" i="1"/>
  <c r="S85" i="1" s="1"/>
  <c r="U60" i="1"/>
  <c r="U39" i="1"/>
  <c r="S39" i="1" s="1"/>
  <c r="U34" i="1"/>
  <c r="S34" i="1" s="1"/>
  <c r="U83" i="1"/>
  <c r="S83" i="1" s="1"/>
  <c r="U50" i="1"/>
  <c r="S50" i="1" s="1"/>
  <c r="U49" i="1"/>
  <c r="S49" i="1" s="1"/>
  <c r="U16" i="1"/>
  <c r="S16" i="1" s="1"/>
  <c r="U93" i="1"/>
  <c r="S93" i="1" s="1"/>
  <c r="U81" i="1"/>
  <c r="S81" i="1" s="1"/>
  <c r="U65" i="1"/>
  <c r="S65" i="1" s="1"/>
  <c r="AA29" i="1"/>
  <c r="W29" i="1" s="1"/>
  <c r="AA14" i="1"/>
  <c r="W14" i="1" s="1"/>
  <c r="AA51" i="1"/>
  <c r="W51" i="1" s="1"/>
  <c r="AA37" i="1"/>
  <c r="W37" i="1" s="1"/>
  <c r="AA20" i="1"/>
  <c r="W20" i="1" s="1"/>
  <c r="AA16" i="1"/>
  <c r="W16" i="1" s="1"/>
  <c r="AA26" i="1"/>
  <c r="W26" i="1" s="1"/>
  <c r="AA41" i="1"/>
  <c r="W41" i="1" s="1"/>
  <c r="AA52" i="1"/>
  <c r="W52" i="1" s="1"/>
  <c r="AA86" i="1"/>
  <c r="W86" i="1" s="1"/>
  <c r="AA62" i="1"/>
  <c r="W62" i="1" s="1"/>
  <c r="AA77" i="1"/>
  <c r="W77" i="1" s="1"/>
  <c r="AA35" i="1"/>
  <c r="W35" i="1" s="1"/>
  <c r="AA75" i="1"/>
  <c r="W75" i="1" s="1"/>
  <c r="AA25" i="1"/>
  <c r="W25" i="1" s="1"/>
  <c r="AA91" i="1"/>
  <c r="W91" i="1" s="1"/>
  <c r="AA15" i="1"/>
  <c r="W15" i="1" s="1"/>
  <c r="AA23" i="1"/>
  <c r="W23" i="1" s="1"/>
  <c r="AA88" i="1"/>
  <c r="W88" i="1" s="1"/>
  <c r="AA72" i="1"/>
  <c r="W72" i="1" s="1"/>
  <c r="AA30" i="1"/>
  <c r="W30" i="1" s="1"/>
  <c r="AA43" i="1"/>
  <c r="W43" i="1" s="1"/>
  <c r="AA63" i="1"/>
  <c r="W63" i="1" s="1"/>
  <c r="AA58" i="1"/>
  <c r="W58" i="1" s="1"/>
  <c r="AA42" i="1"/>
  <c r="W42" i="1" s="1"/>
  <c r="AA55" i="1"/>
  <c r="W55" i="1" s="1"/>
  <c r="AA89" i="1"/>
  <c r="W89" i="1" s="1"/>
  <c r="AA92" i="1"/>
  <c r="W92" i="1" s="1"/>
  <c r="AA28" i="1"/>
  <c r="W28" i="1" s="1"/>
  <c r="AA46" i="1"/>
  <c r="W46" i="1" s="1"/>
  <c r="AA85" i="1"/>
  <c r="W85" i="1" s="1"/>
  <c r="AA31" i="1"/>
  <c r="W31" i="1" s="1"/>
  <c r="AA19" i="1"/>
  <c r="W19" i="1" s="1"/>
  <c r="AA83" i="1"/>
  <c r="W83" i="1" s="1"/>
  <c r="AA67" i="1"/>
  <c r="W67" i="1" s="1"/>
  <c r="AA80" i="1"/>
  <c r="W80" i="1" s="1"/>
  <c r="AA84" i="1"/>
  <c r="W84" i="1" s="1"/>
  <c r="AA50" i="1"/>
  <c r="W50" i="1" s="1"/>
  <c r="AA61" i="1"/>
  <c r="W61" i="1" s="1"/>
  <c r="AA54" i="1"/>
  <c r="W54" i="1" s="1"/>
  <c r="AA93" i="1"/>
  <c r="W93" i="1" s="1"/>
  <c r="AA79" i="1"/>
  <c r="W79" i="1" s="1"/>
  <c r="AA90" i="1"/>
  <c r="W90" i="1" s="1"/>
  <c r="AA66" i="1"/>
  <c r="W66" i="1" s="1"/>
  <c r="AA81" i="1"/>
  <c r="W81" i="1" s="1"/>
  <c r="AA87" i="1"/>
  <c r="W87" i="1" s="1"/>
  <c r="AA47" i="1"/>
  <c r="W47" i="1" s="1"/>
  <c r="AA18" i="1"/>
  <c r="W18" i="1" s="1"/>
  <c r="AA82" i="1"/>
  <c r="W82" i="1" s="1"/>
  <c r="AA27" i="1"/>
  <c r="W27" i="1" s="1"/>
  <c r="AA22" i="1"/>
  <c r="W22" i="1" s="1"/>
  <c r="AA70" i="1"/>
  <c r="W70" i="1" s="1"/>
  <c r="AA49" i="1"/>
  <c r="W49" i="1" s="1"/>
  <c r="AA40" i="1"/>
  <c r="W40" i="1" s="1"/>
  <c r="AA48" i="1"/>
  <c r="W48" i="1" s="1"/>
  <c r="AA73" i="1"/>
  <c r="W73" i="1" s="1"/>
  <c r="AA68" i="1"/>
  <c r="W68" i="1" s="1"/>
  <c r="AA53" i="1"/>
  <c r="W53" i="1" s="1"/>
  <c r="AA33" i="1"/>
  <c r="W33" i="1" s="1"/>
  <c r="AA74" i="1"/>
  <c r="W74" i="1" s="1"/>
  <c r="AA38" i="1"/>
  <c r="W38" i="1" s="1"/>
  <c r="AA76" i="1"/>
  <c r="W76" i="1" s="1"/>
  <c r="AA69" i="1"/>
  <c r="W69" i="1" s="1"/>
  <c r="AA36" i="1"/>
  <c r="W36" i="1" s="1"/>
  <c r="AA32" i="1"/>
  <c r="W32" i="1" s="1"/>
  <c r="AA39" i="1"/>
  <c r="W39" i="1" s="1"/>
  <c r="AA21" i="1"/>
  <c r="W21" i="1" s="1"/>
  <c r="AA24" i="1"/>
  <c r="W24" i="1" s="1"/>
  <c r="AA59" i="1"/>
  <c r="W59" i="1" s="1"/>
  <c r="AA45" i="1"/>
  <c r="W45" i="1" s="1"/>
  <c r="AA71" i="1"/>
  <c r="W71" i="1" s="1"/>
  <c r="AA65" i="1"/>
  <c r="W65" i="1" s="1"/>
  <c r="AA60" i="1"/>
  <c r="W60" i="1" s="1"/>
  <c r="AA44" i="1"/>
  <c r="W44" i="1" s="1"/>
  <c r="AA34" i="1"/>
  <c r="W34" i="1" s="1"/>
  <c r="AA17" i="1"/>
  <c r="W17" i="1" s="1"/>
  <c r="L13" i="1"/>
  <c r="M13" i="1"/>
  <c r="N13" i="1" s="1"/>
  <c r="K15" i="1"/>
  <c r="L15" i="1"/>
  <c r="M15" i="1"/>
  <c r="N15" i="1" s="1"/>
  <c r="K14" i="1"/>
  <c r="L14" i="1"/>
  <c r="M14" i="1"/>
  <c r="N14" i="1" s="1"/>
  <c r="K16" i="1"/>
  <c r="L16" i="1"/>
  <c r="M16" i="1"/>
  <c r="N16" i="1" s="1"/>
  <c r="K17" i="1"/>
  <c r="L17" i="1"/>
  <c r="M17" i="1"/>
  <c r="N17" i="1" s="1"/>
  <c r="K18" i="1"/>
  <c r="L18" i="1"/>
  <c r="M18" i="1"/>
  <c r="N18" i="1" s="1"/>
  <c r="K19" i="1"/>
  <c r="L19" i="1"/>
  <c r="M19" i="1"/>
  <c r="N19" i="1" s="1"/>
  <c r="K20" i="1"/>
  <c r="L20" i="1"/>
  <c r="M20" i="1"/>
  <c r="P20" i="1" s="1"/>
  <c r="K21" i="1"/>
  <c r="L21" i="1"/>
  <c r="M21" i="1"/>
  <c r="N21" i="1" s="1"/>
  <c r="K22" i="1"/>
  <c r="L22" i="1"/>
  <c r="M22" i="1"/>
  <c r="N22" i="1" s="1"/>
  <c r="K23" i="1"/>
  <c r="L23" i="1"/>
  <c r="M23" i="1"/>
  <c r="N23" i="1" s="1"/>
  <c r="K24" i="1"/>
  <c r="L24" i="1"/>
  <c r="M24" i="1"/>
  <c r="N24" i="1" s="1"/>
  <c r="K25" i="1"/>
  <c r="L25" i="1"/>
  <c r="M25" i="1"/>
  <c r="N25" i="1" s="1"/>
  <c r="K26" i="1"/>
  <c r="L26" i="1"/>
  <c r="M26" i="1"/>
  <c r="N26" i="1" s="1"/>
  <c r="K27" i="1"/>
  <c r="L27" i="1"/>
  <c r="M27" i="1"/>
  <c r="N27" i="1" s="1"/>
  <c r="K28" i="1"/>
  <c r="L28" i="1"/>
  <c r="M28" i="1"/>
  <c r="N28" i="1" s="1"/>
  <c r="K29" i="1"/>
  <c r="L29" i="1"/>
  <c r="M29" i="1"/>
  <c r="N29" i="1" s="1"/>
  <c r="K30" i="1"/>
  <c r="L30" i="1"/>
  <c r="M30" i="1"/>
  <c r="N30" i="1" s="1"/>
  <c r="K31" i="1"/>
  <c r="L31" i="1"/>
  <c r="M31" i="1"/>
  <c r="N31" i="1" s="1"/>
  <c r="K32" i="1"/>
  <c r="L32" i="1"/>
  <c r="M32" i="1"/>
  <c r="N32" i="1" s="1"/>
  <c r="K34" i="1"/>
  <c r="L34" i="1"/>
  <c r="M34" i="1"/>
  <c r="N34" i="1" s="1"/>
  <c r="K33" i="1"/>
  <c r="L33" i="1"/>
  <c r="M33" i="1"/>
  <c r="N33" i="1" s="1"/>
  <c r="K35" i="1"/>
  <c r="L35" i="1"/>
  <c r="M35" i="1"/>
  <c r="P35" i="1" s="1"/>
  <c r="K36" i="1"/>
  <c r="L36" i="1"/>
  <c r="M36" i="1"/>
  <c r="N36" i="1" s="1"/>
  <c r="K38" i="1"/>
  <c r="L38" i="1"/>
  <c r="M38" i="1"/>
  <c r="N38" i="1" s="1"/>
  <c r="K37" i="1"/>
  <c r="L37" i="1"/>
  <c r="M37" i="1"/>
  <c r="N37" i="1" s="1"/>
  <c r="K41" i="1"/>
  <c r="L41" i="1"/>
  <c r="M41" i="1"/>
  <c r="N41" i="1" s="1"/>
  <c r="K40" i="1"/>
  <c r="L40" i="1"/>
  <c r="M40" i="1"/>
  <c r="N40" i="1" s="1"/>
  <c r="K42" i="1"/>
  <c r="L42" i="1"/>
  <c r="M42" i="1"/>
  <c r="N42" i="1" s="1"/>
  <c r="K43" i="1"/>
  <c r="L43" i="1"/>
  <c r="M43" i="1"/>
  <c r="N43" i="1" s="1"/>
  <c r="K44" i="1"/>
  <c r="L44" i="1"/>
  <c r="M44" i="1"/>
  <c r="N44" i="1" s="1"/>
  <c r="K45" i="1"/>
  <c r="L45" i="1"/>
  <c r="M45" i="1"/>
  <c r="N45" i="1" s="1"/>
  <c r="K46" i="1"/>
  <c r="L46" i="1"/>
  <c r="M46" i="1"/>
  <c r="N46" i="1" s="1"/>
  <c r="K47" i="1"/>
  <c r="L47" i="1"/>
  <c r="M47" i="1"/>
  <c r="P47" i="1" s="1"/>
  <c r="K48" i="1"/>
  <c r="L48" i="1"/>
  <c r="M48" i="1"/>
  <c r="N48" i="1" s="1"/>
  <c r="K49" i="1"/>
  <c r="L49" i="1"/>
  <c r="M49" i="1"/>
  <c r="N49" i="1" s="1"/>
  <c r="K50" i="1"/>
  <c r="L50" i="1"/>
  <c r="M50" i="1"/>
  <c r="N50" i="1" s="1"/>
  <c r="K51" i="1"/>
  <c r="L51" i="1"/>
  <c r="M51" i="1"/>
  <c r="N51" i="1" s="1"/>
  <c r="K53" i="1"/>
  <c r="L53" i="1"/>
  <c r="M53" i="1"/>
  <c r="N53" i="1" s="1"/>
  <c r="K52" i="1"/>
  <c r="L52" i="1"/>
  <c r="M52" i="1"/>
  <c r="N52" i="1" s="1"/>
  <c r="K54" i="1"/>
  <c r="L54" i="1"/>
  <c r="M54" i="1"/>
  <c r="N54" i="1" s="1"/>
  <c r="K55" i="1"/>
  <c r="L55" i="1"/>
  <c r="M55" i="1"/>
  <c r="N55" i="1" s="1"/>
  <c r="K56" i="1"/>
  <c r="L56" i="1"/>
  <c r="M56" i="1"/>
  <c r="N56" i="1" s="1"/>
  <c r="K58" i="1"/>
  <c r="L58" i="1"/>
  <c r="M58" i="1"/>
  <c r="N58" i="1" s="1"/>
  <c r="K59" i="1"/>
  <c r="L59" i="1"/>
  <c r="M59" i="1"/>
  <c r="N59" i="1" s="1"/>
  <c r="K61" i="1"/>
  <c r="L61" i="1"/>
  <c r="M61" i="1"/>
  <c r="K60" i="1"/>
  <c r="L60" i="1"/>
  <c r="M60" i="1"/>
  <c r="K62" i="1"/>
  <c r="L62" i="1"/>
  <c r="M62" i="1"/>
  <c r="N62" i="1" s="1"/>
  <c r="K63" i="1"/>
  <c r="L63" i="1"/>
  <c r="M63" i="1"/>
  <c r="N63" i="1" s="1"/>
  <c r="K65" i="1"/>
  <c r="L65" i="1"/>
  <c r="M65" i="1"/>
  <c r="N65" i="1" s="1"/>
  <c r="K67" i="1"/>
  <c r="L67" i="1"/>
  <c r="M67" i="1"/>
  <c r="N67" i="1" s="1"/>
  <c r="K68" i="1"/>
  <c r="L68" i="1"/>
  <c r="M68" i="1"/>
  <c r="N68" i="1" s="1"/>
  <c r="K69" i="1"/>
  <c r="L69" i="1"/>
  <c r="M69" i="1"/>
  <c r="N69" i="1" s="1"/>
  <c r="K70" i="1"/>
  <c r="L70" i="1"/>
  <c r="M70" i="1"/>
  <c r="N70" i="1" s="1"/>
  <c r="K71" i="1"/>
  <c r="L71" i="1"/>
  <c r="M71" i="1"/>
  <c r="N71" i="1" s="1"/>
  <c r="K72" i="1"/>
  <c r="L72" i="1"/>
  <c r="M72" i="1"/>
  <c r="N72" i="1" s="1"/>
  <c r="K73" i="1"/>
  <c r="L73" i="1"/>
  <c r="M73" i="1"/>
  <c r="N73" i="1" s="1"/>
  <c r="K74" i="1"/>
  <c r="L74" i="1"/>
  <c r="M74" i="1"/>
  <c r="N74" i="1" s="1"/>
  <c r="K75" i="1"/>
  <c r="L75" i="1"/>
  <c r="M75" i="1"/>
  <c r="N75" i="1" s="1"/>
  <c r="K76" i="1"/>
  <c r="L76" i="1"/>
  <c r="M76" i="1"/>
  <c r="N76" i="1" s="1"/>
  <c r="K77" i="1"/>
  <c r="L77" i="1"/>
  <c r="M77" i="1"/>
  <c r="N77" i="1" s="1"/>
  <c r="K79" i="1"/>
  <c r="L79" i="1"/>
  <c r="M79" i="1"/>
  <c r="K80" i="1"/>
  <c r="L80" i="1"/>
  <c r="M80" i="1"/>
  <c r="K81" i="1"/>
  <c r="L81" i="1"/>
  <c r="M81" i="1"/>
  <c r="P81" i="1" s="1"/>
  <c r="K82" i="1"/>
  <c r="L82" i="1"/>
  <c r="M82" i="1"/>
  <c r="N82" i="1" s="1"/>
  <c r="K84" i="1"/>
  <c r="L84" i="1"/>
  <c r="M84" i="1"/>
  <c r="N84" i="1" s="1"/>
  <c r="K83" i="1"/>
  <c r="L83" i="1"/>
  <c r="M83" i="1"/>
  <c r="N83" i="1" s="1"/>
  <c r="K85" i="1"/>
  <c r="L85" i="1"/>
  <c r="M85" i="1"/>
  <c r="N85" i="1" s="1"/>
  <c r="K86" i="1"/>
  <c r="L86" i="1"/>
  <c r="M86" i="1"/>
  <c r="N86" i="1" s="1"/>
  <c r="K87" i="1"/>
  <c r="L87" i="1"/>
  <c r="M87" i="1"/>
  <c r="N87" i="1" s="1"/>
  <c r="K89" i="1"/>
  <c r="L89" i="1"/>
  <c r="M89" i="1"/>
  <c r="N89" i="1" s="1"/>
  <c r="K88" i="1"/>
  <c r="L88" i="1"/>
  <c r="M88" i="1"/>
  <c r="N88" i="1" s="1"/>
  <c r="K90" i="1"/>
  <c r="L90" i="1"/>
  <c r="M90" i="1"/>
  <c r="N90" i="1" s="1"/>
  <c r="K92" i="1"/>
  <c r="L92" i="1"/>
  <c r="M92" i="1"/>
  <c r="N92" i="1" s="1"/>
  <c r="K91" i="1"/>
  <c r="L91" i="1"/>
  <c r="M91" i="1"/>
  <c r="N91" i="1" s="1"/>
  <c r="K93" i="1"/>
  <c r="L93" i="1"/>
  <c r="M93" i="1"/>
  <c r="N93" i="1" s="1"/>
  <c r="S60" i="1" l="1"/>
  <c r="P60" i="1"/>
  <c r="S79" i="1"/>
  <c r="P79" i="1"/>
  <c r="O5" i="1"/>
  <c r="J8" i="1"/>
  <c r="N8" i="1"/>
  <c r="N5" i="1"/>
  <c r="J5" i="1"/>
  <c r="O8" i="1"/>
  <c r="M5" i="1"/>
  <c r="X13" i="1"/>
  <c r="J7" i="1" l="1"/>
  <c r="M8" i="1"/>
  <c r="J4" i="1"/>
  <c r="J9" i="1" s="1"/>
  <c r="V13" i="1"/>
  <c r="Y13" i="1"/>
  <c r="Z13" i="1"/>
  <c r="U13" i="1" l="1"/>
  <c r="S13" i="1" s="1"/>
  <c r="AA13" i="1"/>
  <c r="W13" i="1" s="1"/>
  <c r="A11" i="1" l="1"/>
  <c r="A1" i="6" l="1"/>
</calcChain>
</file>

<file path=xl/connections.xml><?xml version="1.0" encoding="utf-8"?>
<connections xmlns="http://schemas.openxmlformats.org/spreadsheetml/2006/main">
  <connection id="1" name="Denver Train Runs 04122016" type="6" refreshedVersion="5" deleted="1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<sst xmlns="http://schemas.openxmlformats.org/spreadsheetml/2006/main" count="2086" uniqueCount="503">
  <si>
    <t>Train ID</t>
  </si>
  <si>
    <t>Departure/Init Location</t>
  </si>
  <si>
    <t>Initialization Date/Time (US/Mountain)</t>
  </si>
  <si>
    <t>Departure Date/Time (US/Mountain)</t>
  </si>
  <si>
    <t>Delay (minutes)</t>
  </si>
  <si>
    <t>Arrival Location</t>
  </si>
  <si>
    <t>Arrival Date/Time (US/Mountain)</t>
  </si>
  <si>
    <t>2083 Enforcements (count)</t>
  </si>
  <si>
    <t>Trip Length</t>
  </si>
  <si>
    <t>Cut out runs</t>
  </si>
  <si>
    <t>PTC Runs</t>
  </si>
  <si>
    <t>Average</t>
  </si>
  <si>
    <t>Min</t>
  </si>
  <si>
    <t>Max</t>
  </si>
  <si>
    <t>Total</t>
  </si>
  <si>
    <t>NA</t>
  </si>
  <si>
    <t>Total Completed PTC runs</t>
  </si>
  <si>
    <t>Single Init runs</t>
  </si>
  <si>
    <t>Cut out</t>
  </si>
  <si>
    <t>Total Completed PTC runs (%)</t>
  </si>
  <si>
    <t>Trip Start MP</t>
  </si>
  <si>
    <t>Trip End MP</t>
  </si>
  <si>
    <t>Trip Distance</t>
  </si>
  <si>
    <t>Concerning?</t>
  </si>
  <si>
    <t>Comments</t>
  </si>
  <si>
    <t>Operating Date</t>
  </si>
  <si>
    <t>Onboard Software Version</t>
  </si>
  <si>
    <t>System Enforcement Y/N</t>
  </si>
  <si>
    <t xml:space="preserve">Data.Enforcement Direction of Travel </t>
  </si>
  <si>
    <t xml:space="preserve">Data.Target Start Milepost </t>
  </si>
  <si>
    <t xml:space="preserve">Data.Target Type </t>
  </si>
  <si>
    <t xml:space="preserve">Data.Enforcement Start Milepost </t>
  </si>
  <si>
    <t xml:space="preserve">Data.Enforcement Train Speed </t>
  </si>
  <si>
    <t xml:space="preserve">Data.Target Speed </t>
  </si>
  <si>
    <t xml:space="preserve">Data.Target Description </t>
  </si>
  <si>
    <t xml:space="preserve">Data.Warning/Enforcement Type </t>
  </si>
  <si>
    <t xml:space="preserve">Data.Train ID </t>
  </si>
  <si>
    <t xml:space="preserve">Source </t>
  </si>
  <si>
    <t xml:space="preserve">Time </t>
  </si>
  <si>
    <t>Enforcement MP</t>
  </si>
  <si>
    <t>Enforcement Desc</t>
  </si>
  <si>
    <t>w/o multiple inits</t>
  </si>
  <si>
    <t>w/ multiple inits</t>
  </si>
  <si>
    <t>Multi Init runs</t>
  </si>
  <si>
    <t>Loco ID</t>
  </si>
  <si>
    <t>Kibana Link</t>
  </si>
  <si>
    <t>Threshold for Pink Highlight (Slow Run) (mins)</t>
  </si>
  <si>
    <t>Status</t>
  </si>
  <si>
    <t>Operator Name</t>
  </si>
  <si>
    <t>Difference between last trip</t>
  </si>
  <si>
    <t>Predictive Enforcement (2)</t>
  </si>
  <si>
    <t>TRACK WARRANT AUTHORITY</t>
  </si>
  <si>
    <t>Form based authority (4)</t>
  </si>
  <si>
    <t>Increasing Mileposts (1)</t>
  </si>
  <si>
    <t>Decreasing Mileposts (2)</t>
  </si>
  <si>
    <t>Reactive Enforcement (3)</t>
  </si>
  <si>
    <t>SIGNAL</t>
  </si>
  <si>
    <t>Signal based authority (5)</t>
  </si>
  <si>
    <t>PERMANENT SPEED RESTRICTION</t>
  </si>
  <si>
    <t>Speed (6)</t>
  </si>
  <si>
    <t>DE.1.0.6.0</t>
  </si>
  <si>
    <t>204:145</t>
  </si>
  <si>
    <t>204:152</t>
  </si>
  <si>
    <t>baselines:</t>
  </si>
  <si>
    <t>sunday - thu - 144/day</t>
  </si>
  <si>
    <t>fri-sat - 146/day</t>
  </si>
  <si>
    <t>Married Pair</t>
  </si>
  <si>
    <t>204:147</t>
  </si>
  <si>
    <t>204:160</t>
  </si>
  <si>
    <t>204:460</t>
  </si>
  <si>
    <t>rtdc.l.rtdc.4032:itc</t>
  </si>
  <si>
    <t>204:232977</t>
  </si>
  <si>
    <t>Kibana URL</t>
  </si>
  <si>
    <t>204:457</t>
  </si>
  <si>
    <t>204:141</t>
  </si>
  <si>
    <t>204:149</t>
  </si>
  <si>
    <t>GRADE CROSSING</t>
  </si>
  <si>
    <t>Bulletin (2)</t>
  </si>
  <si>
    <t>204:453</t>
  </si>
  <si>
    <t>204:232978</t>
  </si>
  <si>
    <t>rtdc.l.rtdc.4019:itc</t>
  </si>
  <si>
    <t>rtdc.l.rtdc.4020:itc</t>
  </si>
  <si>
    <t>204:458</t>
  </si>
  <si>
    <t>rtdc.l.rtdc.4018:itc</t>
  </si>
  <si>
    <t>rtdc.l.rtdc.4017:itc</t>
  </si>
  <si>
    <t>204:232975</t>
  </si>
  <si>
    <t>204:464</t>
  </si>
  <si>
    <t>rtdc.l.rtdc.4008:itc</t>
  </si>
  <si>
    <t>rtdc.l.rtdc.4007:itc</t>
  </si>
  <si>
    <t>rtdc.l.rtdc.4031:itc</t>
  </si>
  <si>
    <t>GOODNIGHT</t>
  </si>
  <si>
    <t>204:161</t>
  </si>
  <si>
    <t>Possible Explanation</t>
  </si>
  <si>
    <t>Recorded Operator</t>
  </si>
  <si>
    <t>Trip ID</t>
  </si>
  <si>
    <t># Of Times Offered</t>
  </si>
  <si>
    <t>Loco</t>
  </si>
  <si>
    <t>204:233295</t>
  </si>
  <si>
    <t>204:447</t>
  </si>
  <si>
    <t>204:158</t>
  </si>
  <si>
    <t>204:233297</t>
  </si>
  <si>
    <t>rtdc.l.rtdc.4041:itc</t>
  </si>
  <si>
    <t>rtdc.l.rtdc.4042:itc</t>
  </si>
  <si>
    <t>204:170</t>
  </si>
  <si>
    <t>204:163</t>
  </si>
  <si>
    <t>204:233291</t>
  </si>
  <si>
    <t>204:139</t>
  </si>
  <si>
    <t>204:455</t>
  </si>
  <si>
    <t>204:467</t>
  </si>
  <si>
    <t>Recorded Loco</t>
  </si>
  <si>
    <t>Recorded time</t>
  </si>
  <si>
    <t>204:233310</t>
  </si>
  <si>
    <t>204:233307</t>
  </si>
  <si>
    <t>204:150</t>
  </si>
  <si>
    <t>204:232986</t>
  </si>
  <si>
    <t>Xing Completion Percentage</t>
  </si>
  <si>
    <t>IsEven</t>
  </si>
  <si>
    <t>Xing#</t>
  </si>
  <si>
    <t>STREETNAME</t>
  </si>
  <si>
    <t>BEGINMILEPOST</t>
  </si>
  <si>
    <t>ENDMILEPOST</t>
  </si>
  <si>
    <t>York and Josephine Street</t>
  </si>
  <si>
    <t>CLAYTON ST</t>
  </si>
  <si>
    <t>STEELE ST</t>
  </si>
  <si>
    <t>Dahlia Street</t>
  </si>
  <si>
    <t>Holly Street</t>
  </si>
  <si>
    <t>Monaco Parkway</t>
  </si>
  <si>
    <t>SB Quebec Parkway</t>
  </si>
  <si>
    <t>NB Quebec Parkway</t>
  </si>
  <si>
    <t>Ulster Street</t>
  </si>
  <si>
    <t>Havana Street</t>
  </si>
  <si>
    <t>Sable Boulevard</t>
  </si>
  <si>
    <t>Chambers Road</t>
  </si>
  <si>
    <t>204:232982</t>
  </si>
  <si>
    <t>204:233288</t>
  </si>
  <si>
    <t>204:473</t>
  </si>
  <si>
    <t>ADANE</t>
  </si>
  <si>
    <t>SWITCH UNKNOWN</t>
  </si>
  <si>
    <t>Track device (7)</t>
  </si>
  <si>
    <t>Y</t>
  </si>
  <si>
    <t>N</t>
  </si>
  <si>
    <t>Possible System Enforcement</t>
  </si>
  <si>
    <t>Training enforcement</t>
  </si>
  <si>
    <t>204:471</t>
  </si>
  <si>
    <t>204:232974</t>
  </si>
  <si>
    <t>204:143</t>
  </si>
  <si>
    <t>204:475</t>
  </si>
  <si>
    <t>MAYBERRY</t>
  </si>
  <si>
    <t>STEWART</t>
  </si>
  <si>
    <t>YORK</t>
  </si>
  <si>
    <t>rtdc.l.rtdc.4038:itc</t>
  </si>
  <si>
    <t>CANFIELD</t>
  </si>
  <si>
    <t>NELSON</t>
  </si>
  <si>
    <t>MALAVE</t>
  </si>
  <si>
    <t>BRUDER</t>
  </si>
  <si>
    <t>204:477</t>
  </si>
  <si>
    <t>204:232969</t>
  </si>
  <si>
    <t>204:233300</t>
  </si>
  <si>
    <t>204:232985</t>
  </si>
  <si>
    <t>204:233004</t>
  </si>
  <si>
    <t>204:233293</t>
  </si>
  <si>
    <t>204:480</t>
  </si>
  <si>
    <t>204:169</t>
  </si>
  <si>
    <t>204:232971</t>
  </si>
  <si>
    <t>204:136</t>
  </si>
  <si>
    <t>204:232970</t>
  </si>
  <si>
    <t>204:233002</t>
  </si>
  <si>
    <t>204:172</t>
  </si>
  <si>
    <t>204:233289</t>
  </si>
  <si>
    <t>204:232990</t>
  </si>
  <si>
    <t>204:451</t>
  </si>
  <si>
    <t>204:232973</t>
  </si>
  <si>
    <t>204:223</t>
  </si>
  <si>
    <t>204:444</t>
  </si>
  <si>
    <t>204:233000</t>
  </si>
  <si>
    <t>204:233312</t>
  </si>
  <si>
    <t>204:233319</t>
  </si>
  <si>
    <t>204:233328</t>
  </si>
  <si>
    <t>204:478</t>
  </si>
  <si>
    <t>204:232984</t>
  </si>
  <si>
    <t>204:233276</t>
  </si>
  <si>
    <t>204:232994</t>
  </si>
  <si>
    <t>rtdc.l.rtdc.4024:itc</t>
  </si>
  <si>
    <t>rtdc.l.rtdc.4023:itc</t>
  </si>
  <si>
    <t>rtdc.l.rtdc.4011:itc</t>
  </si>
  <si>
    <t>rtdc.l.rtdc.4012:itc</t>
  </si>
  <si>
    <t>STURGEON</t>
  </si>
  <si>
    <t>WEBSTER</t>
  </si>
  <si>
    <t>RIVERA</t>
  </si>
  <si>
    <t>LOCKLEAR</t>
  </si>
  <si>
    <t>CHANDLER</t>
  </si>
  <si>
    <t>204:763</t>
  </si>
  <si>
    <t>204:781</t>
  </si>
  <si>
    <t>204:233314</t>
  </si>
  <si>
    <t>204:233305</t>
  </si>
  <si>
    <t>204:138</t>
  </si>
  <si>
    <t>204:232993</t>
  </si>
  <si>
    <t>204:466</t>
  </si>
  <si>
    <t>204:442</t>
  </si>
  <si>
    <t>204:165</t>
  </si>
  <si>
    <t>204:233311</t>
  </si>
  <si>
    <t>204:154</t>
  </si>
  <si>
    <t>204:233304</t>
  </si>
  <si>
    <t>204:233334</t>
  </si>
  <si>
    <t>204:233010</t>
  </si>
  <si>
    <t>204:232991</t>
  </si>
  <si>
    <t>204:167</t>
  </si>
  <si>
    <t>204:232932</t>
  </si>
  <si>
    <t>242-25</t>
  </si>
  <si>
    <t>244-25</t>
  </si>
  <si>
    <t>245-25</t>
  </si>
  <si>
    <t>246-25</t>
  </si>
  <si>
    <t>rtdc.l.rtdc.4026:itc</t>
  </si>
  <si>
    <t>rtdc.l.rtdc.4014:itc</t>
  </si>
  <si>
    <t>rtdc.l.rtdc.4013:itc</t>
  </si>
  <si>
    <t>rtdc.l.rtdc.4025:itc</t>
  </si>
  <si>
    <t>rtdc.l.rtdc.4043:itc</t>
  </si>
  <si>
    <t>rtdc.l.rtdc.4028:itc</t>
  </si>
  <si>
    <t>ACKERMAN</t>
  </si>
  <si>
    <t>HELVIE</t>
  </si>
  <si>
    <t>GEBRETEKLE</t>
  </si>
  <si>
    <t>SANTIZO</t>
  </si>
  <si>
    <t>101-26</t>
  </si>
  <si>
    <t>204:790</t>
  </si>
  <si>
    <t>102-26</t>
  </si>
  <si>
    <t>204:232664</t>
  </si>
  <si>
    <t>103-26</t>
  </si>
  <si>
    <t>204:774</t>
  </si>
  <si>
    <t>104-26</t>
  </si>
  <si>
    <t>204:232651</t>
  </si>
  <si>
    <t>105-26</t>
  </si>
  <si>
    <t>204:672</t>
  </si>
  <si>
    <t>204:233298</t>
  </si>
  <si>
    <t>106-26</t>
  </si>
  <si>
    <t>204:232673</t>
  </si>
  <si>
    <t>107-26</t>
  </si>
  <si>
    <t>204:438</t>
  </si>
  <si>
    <t>108-26</t>
  </si>
  <si>
    <t>204:154016</t>
  </si>
  <si>
    <t>109-26</t>
  </si>
  <si>
    <t>204:488</t>
  </si>
  <si>
    <t>110-26</t>
  </si>
  <si>
    <t>111-26</t>
  </si>
  <si>
    <t>204:233318</t>
  </si>
  <si>
    <t>112-26</t>
  </si>
  <si>
    <t>113-26</t>
  </si>
  <si>
    <t>204:489</t>
  </si>
  <si>
    <t>114-26</t>
  </si>
  <si>
    <t>115-26</t>
  </si>
  <si>
    <t>204:233278</t>
  </si>
  <si>
    <t>116-26</t>
  </si>
  <si>
    <t>204:232942</t>
  </si>
  <si>
    <t>204:194</t>
  </si>
  <si>
    <t>117-26</t>
  </si>
  <si>
    <t>204:232137</t>
  </si>
  <si>
    <t>118-26</t>
  </si>
  <si>
    <t>119-26</t>
  </si>
  <si>
    <t>204:783</t>
  </si>
  <si>
    <t>120-26</t>
  </si>
  <si>
    <t>121-26</t>
  </si>
  <si>
    <t>204:427</t>
  </si>
  <si>
    <t>122-26</t>
  </si>
  <si>
    <t>123-26</t>
  </si>
  <si>
    <t>124-26</t>
  </si>
  <si>
    <t>204:232963</t>
  </si>
  <si>
    <t>125-26</t>
  </si>
  <si>
    <t>126-26</t>
  </si>
  <si>
    <t>127-26</t>
  </si>
  <si>
    <t>128-26</t>
  </si>
  <si>
    <t>129-26</t>
  </si>
  <si>
    <t>204:517</t>
  </si>
  <si>
    <t>130-26</t>
  </si>
  <si>
    <t>204:181</t>
  </si>
  <si>
    <t>131-26</t>
  </si>
  <si>
    <t>204:233249</t>
  </si>
  <si>
    <t>132-26</t>
  </si>
  <si>
    <t>133-26</t>
  </si>
  <si>
    <t>204:233285</t>
  </si>
  <si>
    <t>134-26</t>
  </si>
  <si>
    <t>204:232966</t>
  </si>
  <si>
    <t>135-26</t>
  </si>
  <si>
    <t>204:37183</t>
  </si>
  <si>
    <t>137-26</t>
  </si>
  <si>
    <t>204:233274</t>
  </si>
  <si>
    <t>152-26</t>
  </si>
  <si>
    <t>204:232953</t>
  </si>
  <si>
    <t>154-26</t>
  </si>
  <si>
    <t>204:232976</t>
  </si>
  <si>
    <t>156-26</t>
  </si>
  <si>
    <t>204:232863</t>
  </si>
  <si>
    <t>158-26</t>
  </si>
  <si>
    <t>159-26</t>
  </si>
  <si>
    <t>160-26</t>
  </si>
  <si>
    <t>204:232965</t>
  </si>
  <si>
    <t>161-26</t>
  </si>
  <si>
    <t>204:449</t>
  </si>
  <si>
    <t>162-26</t>
  </si>
  <si>
    <t>163-26</t>
  </si>
  <si>
    <t>204:491</t>
  </si>
  <si>
    <t>164-26</t>
  </si>
  <si>
    <t>165-26</t>
  </si>
  <si>
    <t>204:462</t>
  </si>
  <si>
    <t>204:233315</t>
  </si>
  <si>
    <t>166-26</t>
  </si>
  <si>
    <t>167-26</t>
  </si>
  <si>
    <t>204:37188</t>
  </si>
  <si>
    <t>204:233255</t>
  </si>
  <si>
    <t>204:19141</t>
  </si>
  <si>
    <t>168-26</t>
  </si>
  <si>
    <t>204:127845</t>
  </si>
  <si>
    <t>169-26</t>
  </si>
  <si>
    <t>170-26</t>
  </si>
  <si>
    <t>204:232996</t>
  </si>
  <si>
    <t>171-26</t>
  </si>
  <si>
    <t>172-26</t>
  </si>
  <si>
    <t>173-26</t>
  </si>
  <si>
    <t>204:232241</t>
  </si>
  <si>
    <t>174-26</t>
  </si>
  <si>
    <t>204:233006</t>
  </si>
  <si>
    <t>175-26</t>
  </si>
  <si>
    <t>176-26</t>
  </si>
  <si>
    <t>177-26</t>
  </si>
  <si>
    <t>178-26</t>
  </si>
  <si>
    <t>179-26</t>
  </si>
  <si>
    <t>180-26</t>
  </si>
  <si>
    <t>204:233005</t>
  </si>
  <si>
    <t>1800-26</t>
  </si>
  <si>
    <t>1801-26</t>
  </si>
  <si>
    <t>1802-26</t>
  </si>
  <si>
    <t>1804-26</t>
  </si>
  <si>
    <t>1805-26</t>
  </si>
  <si>
    <t>181-26</t>
  </si>
  <si>
    <t>1811-26</t>
  </si>
  <si>
    <t>1812-26</t>
  </si>
  <si>
    <t>1813-26</t>
  </si>
  <si>
    <t>1814-26</t>
  </si>
  <si>
    <t>1815-26</t>
  </si>
  <si>
    <t>1816-26</t>
  </si>
  <si>
    <t>1817-26</t>
  </si>
  <si>
    <t>1818-26</t>
  </si>
  <si>
    <t>1819-26</t>
  </si>
  <si>
    <t>182-26</t>
  </si>
  <si>
    <t>204:232972</t>
  </si>
  <si>
    <t>1820-26</t>
  </si>
  <si>
    <t>1821-26</t>
  </si>
  <si>
    <t>1822-26</t>
  </si>
  <si>
    <t>1823-26</t>
  </si>
  <si>
    <t>1824-26</t>
  </si>
  <si>
    <t>1825-26</t>
  </si>
  <si>
    <t>1826-26</t>
  </si>
  <si>
    <t>1827-26</t>
  </si>
  <si>
    <t>1828-26</t>
  </si>
  <si>
    <t>1829-26</t>
  </si>
  <si>
    <t>183-26</t>
  </si>
  <si>
    <t>204:233163</t>
  </si>
  <si>
    <t>1830-26</t>
  </si>
  <si>
    <t>1831-26</t>
  </si>
  <si>
    <t>1832-26</t>
  </si>
  <si>
    <t>184-26</t>
  </si>
  <si>
    <t>204:232813</t>
  </si>
  <si>
    <t>185-26</t>
  </si>
  <si>
    <t>186-26</t>
  </si>
  <si>
    <t>204:67014</t>
  </si>
  <si>
    <t>187-26</t>
  </si>
  <si>
    <t>188-26</t>
  </si>
  <si>
    <t>189-26</t>
  </si>
  <si>
    <t>190-26</t>
  </si>
  <si>
    <t>1902-26</t>
  </si>
  <si>
    <t>191-26</t>
  </si>
  <si>
    <t>204:233326</t>
  </si>
  <si>
    <t>192-26</t>
  </si>
  <si>
    <t>204:233009</t>
  </si>
  <si>
    <t>193-26</t>
  </si>
  <si>
    <t>204:233338</t>
  </si>
  <si>
    <t>194-26</t>
  </si>
  <si>
    <t>204:233017</t>
  </si>
  <si>
    <t>195-26</t>
  </si>
  <si>
    <t>196-26</t>
  </si>
  <si>
    <t>197-26</t>
  </si>
  <si>
    <t>204:1934</t>
  </si>
  <si>
    <t>198-26</t>
  </si>
  <si>
    <t>204:232894</t>
  </si>
  <si>
    <t>199-26</t>
  </si>
  <si>
    <t>200-26</t>
  </si>
  <si>
    <t>201-26</t>
  </si>
  <si>
    <t>204:435</t>
  </si>
  <si>
    <t>202-26</t>
  </si>
  <si>
    <t>203-26</t>
  </si>
  <si>
    <t>204:233316</t>
  </si>
  <si>
    <t>204-26</t>
  </si>
  <si>
    <t>205-26</t>
  </si>
  <si>
    <t>204:233331</t>
  </si>
  <si>
    <t>206-26</t>
  </si>
  <si>
    <t>204:233025</t>
  </si>
  <si>
    <t>207-26</t>
  </si>
  <si>
    <t>208-26</t>
  </si>
  <si>
    <t>209-26</t>
  </si>
  <si>
    <t>204:233321</t>
  </si>
  <si>
    <t>210-26</t>
  </si>
  <si>
    <t>204:83</t>
  </si>
  <si>
    <t>211-26</t>
  </si>
  <si>
    <t>204:19122</t>
  </si>
  <si>
    <t>212-26</t>
  </si>
  <si>
    <t>204:232950</t>
  </si>
  <si>
    <t>204:413</t>
  </si>
  <si>
    <t>213-26</t>
  </si>
  <si>
    <t>214-26</t>
  </si>
  <si>
    <t>204:232981</t>
  </si>
  <si>
    <t>215-26</t>
  </si>
  <si>
    <t>204:233303</t>
  </si>
  <si>
    <t>216-26</t>
  </si>
  <si>
    <t>204:378</t>
  </si>
  <si>
    <t>217-26</t>
  </si>
  <si>
    <t>204:233306</t>
  </si>
  <si>
    <t>218-26</t>
  </si>
  <si>
    <t>219-26</t>
  </si>
  <si>
    <t>220-26</t>
  </si>
  <si>
    <t>221-26</t>
  </si>
  <si>
    <t>222-26</t>
  </si>
  <si>
    <t>223-26</t>
  </si>
  <si>
    <t>204:233301</t>
  </si>
  <si>
    <t>224-26</t>
  </si>
  <si>
    <t>225-26</t>
  </si>
  <si>
    <t>204:524</t>
  </si>
  <si>
    <t>226-26</t>
  </si>
  <si>
    <t>204:216</t>
  </si>
  <si>
    <t>227-26</t>
  </si>
  <si>
    <t>204:233309</t>
  </si>
  <si>
    <t>228-26</t>
  </si>
  <si>
    <t>229-26</t>
  </si>
  <si>
    <t>230-26</t>
  </si>
  <si>
    <t>231-26</t>
  </si>
  <si>
    <t>232-26</t>
  </si>
  <si>
    <t>233-26</t>
  </si>
  <si>
    <t>204:533</t>
  </si>
  <si>
    <t>234-26</t>
  </si>
  <si>
    <t>204:220</t>
  </si>
  <si>
    <t>236-26</t>
  </si>
  <si>
    <t>204:2561</t>
  </si>
  <si>
    <t>237-26</t>
  </si>
  <si>
    <t>204:233251</t>
  </si>
  <si>
    <t>238-26</t>
  </si>
  <si>
    <t>204:232943</t>
  </si>
  <si>
    <t>239-26</t>
  </si>
  <si>
    <t>240-26</t>
  </si>
  <si>
    <t>204:176</t>
  </si>
  <si>
    <t>241-26</t>
  </si>
  <si>
    <t>204:520</t>
  </si>
  <si>
    <t>242-26</t>
  </si>
  <si>
    <t>204:238</t>
  </si>
  <si>
    <t>243-26</t>
  </si>
  <si>
    <t>136-26</t>
  </si>
  <si>
    <t>139-26</t>
  </si>
  <si>
    <t>140-26</t>
  </si>
  <si>
    <t>141-26</t>
  </si>
  <si>
    <t>142-26</t>
  </si>
  <si>
    <t>143-26</t>
  </si>
  <si>
    <t>144-26</t>
  </si>
  <si>
    <t>145-26</t>
  </si>
  <si>
    <t>146-26</t>
  </si>
  <si>
    <t>204:232964</t>
  </si>
  <si>
    <t>147-26</t>
  </si>
  <si>
    <t>148-26</t>
  </si>
  <si>
    <t>149-26</t>
  </si>
  <si>
    <t>204:37179</t>
  </si>
  <si>
    <t>204:233282</t>
  </si>
  <si>
    <t>204:19125</t>
  </si>
  <si>
    <t>150-26</t>
  </si>
  <si>
    <t>151-26</t>
  </si>
  <si>
    <t>204:233286</t>
  </si>
  <si>
    <t>153-26</t>
  </si>
  <si>
    <t>155-26</t>
  </si>
  <si>
    <t>204:233188</t>
  </si>
  <si>
    <t>157-26</t>
  </si>
  <si>
    <t>1806-26</t>
  </si>
  <si>
    <t>1807-26</t>
  </si>
  <si>
    <t>1808-26</t>
  </si>
  <si>
    <t>1809-26</t>
  </si>
  <si>
    <t>1810-26</t>
  </si>
  <si>
    <t>rtdc.l.rtdc.4037:itc</t>
  </si>
  <si>
    <t>1803-26</t>
  </si>
  <si>
    <t>BARTLETT</t>
  </si>
  <si>
    <t>BONDS</t>
  </si>
  <si>
    <t>COOLAHAN</t>
  </si>
  <si>
    <t>REBOLETTI</t>
  </si>
  <si>
    <t>235-26</t>
  </si>
  <si>
    <t>138-26</t>
  </si>
  <si>
    <t>DE LA ROSA</t>
  </si>
  <si>
    <t>1833-26</t>
  </si>
  <si>
    <t>244-26</t>
  </si>
  <si>
    <t>Training - Sync flag appeared for longer than normal, unnecessary cut out</t>
  </si>
  <si>
    <t>Onboard in-route failure</t>
  </si>
  <si>
    <t>Onboard in-route failure at DUS, initialized and ran a normal run starting from 38th</t>
  </si>
  <si>
    <t>Onboard in-route failure at DUS, initialized and ran a normal run starting from Colorado Station</t>
  </si>
  <si>
    <t>Cannot find reason for cut out, no issues found</t>
  </si>
  <si>
    <t>Improper execution of bulletin</t>
  </si>
  <si>
    <t>Poor GPS at DUS</t>
  </si>
  <si>
    <t>Dispatcher error resulted in slight departure delay</t>
  </si>
  <si>
    <t>Form C</t>
  </si>
  <si>
    <t>Early Arrival</t>
  </si>
  <si>
    <t>Inefficient dispatching at 40th 4S</t>
  </si>
  <si>
    <t>Wi-MAX</t>
  </si>
  <si>
    <t>Premature downgrade at Chambers 2N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</si>
</sst>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h:mm:ss;@"/>
    <numFmt numFmtId="165" formatCode="0.0%"/>
    <numFmt numFmtId="166" formatCode="yyyy\-mm\-dd"/>
    <numFmt numFmtId="167" formatCode="yyyy\-mm\-dd\ hh:mm:ss"/>
    <numFmt numFmtId="168" formatCode="m/d/yy\ h:mm;@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22"/>
        <bgColor indexed="0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rgb="FFECF0F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9" fillId="0" borderId="0"/>
  </cellStyleXfs>
  <cellXfs count="89">
    <xf numFmtId="0" fontId="0" fillId="0" borderId="0" xfId="0"/>
    <xf numFmtId="20" fontId="0" fillId="0" borderId="0" xfId="0" applyNumberFormat="1" applyFill="1" applyAlignment="1">
      <alignment wrapText="1"/>
    </xf>
    <xf numFmtId="0" fontId="0" fillId="0" borderId="0" xfId="0" applyFill="1"/>
    <xf numFmtId="0" fontId="0" fillId="0" borderId="4" xfId="0" applyBorder="1" applyAlignment="1">
      <alignment horizontal="center" vertical="center"/>
    </xf>
    <xf numFmtId="1" fontId="0" fillId="0" borderId="0" xfId="0" applyNumberFormat="1"/>
    <xf numFmtId="1" fontId="0" fillId="0" borderId="3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/>
    </xf>
    <xf numFmtId="0" fontId="0" fillId="0" borderId="3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164" fontId="0" fillId="0" borderId="5" xfId="0" applyNumberFormat="1" applyFill="1" applyBorder="1" applyAlignment="1">
      <alignment horizontal="left"/>
    </xf>
    <xf numFmtId="1" fontId="0" fillId="0" borderId="5" xfId="0" applyNumberFormat="1" applyFill="1" applyBorder="1" applyAlignment="1">
      <alignment horizontal="left"/>
    </xf>
    <xf numFmtId="167" fontId="0" fillId="0" borderId="0" xfId="0" applyNumberFormat="1"/>
    <xf numFmtId="0" fontId="0" fillId="0" borderId="0" xfId="0" applyFill="1" applyAlignment="1"/>
    <xf numFmtId="0" fontId="0" fillId="0" borderId="5" xfId="0" applyFill="1" applyBorder="1" applyAlignment="1"/>
    <xf numFmtId="0" fontId="0" fillId="0" borderId="5" xfId="0" applyFill="1" applyBorder="1" applyAlignment="1">
      <alignment vertical="center"/>
    </xf>
    <xf numFmtId="0" fontId="0" fillId="0" borderId="5" xfId="0" applyBorder="1" applyAlignment="1">
      <alignment vertical="center"/>
    </xf>
    <xf numFmtId="167" fontId="0" fillId="0" borderId="5" xfId="0" applyNumberFormat="1" applyBorder="1" applyAlignment="1">
      <alignment vertical="center"/>
    </xf>
    <xf numFmtId="0" fontId="1" fillId="0" borderId="5" xfId="0" applyFont="1" applyFill="1" applyBorder="1" applyAlignment="1">
      <alignment horizontal="center" vertical="center" wrapText="1"/>
    </xf>
    <xf numFmtId="167" fontId="1" fillId="0" borderId="5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3" fillId="0" borderId="6" xfId="0" applyFont="1" applyBorder="1" applyAlignment="1">
      <alignment horizontal="center" wrapText="1"/>
    </xf>
    <xf numFmtId="166" fontId="4" fillId="0" borderId="7" xfId="0" applyNumberFormat="1" applyFont="1" applyBorder="1" applyAlignment="1">
      <alignment horizontal="center" vertical="center" wrapText="1"/>
    </xf>
    <xf numFmtId="167" fontId="0" fillId="0" borderId="5" xfId="0" applyNumberFormat="1" applyFill="1" applyBorder="1" applyAlignment="1">
      <alignment horizontal="left"/>
    </xf>
    <xf numFmtId="167" fontId="0" fillId="0" borderId="3" xfId="0" applyNumberFormat="1" applyBorder="1" applyAlignment="1">
      <alignment horizontal="right" vertical="center" wrapText="1"/>
    </xf>
    <xf numFmtId="167" fontId="0" fillId="2" borderId="3" xfId="0" applyNumberFormat="1" applyFill="1" applyBorder="1" applyAlignment="1">
      <alignment horizontal="right" vertical="center" wrapText="1"/>
    </xf>
    <xf numFmtId="167" fontId="0" fillId="3" borderId="3" xfId="0" applyNumberFormat="1" applyFill="1" applyBorder="1" applyAlignment="1">
      <alignment horizontal="right" vertical="center" wrapText="1"/>
    </xf>
    <xf numFmtId="0" fontId="1" fillId="0" borderId="6" xfId="0" applyFont="1" applyFill="1" applyBorder="1" applyAlignment="1">
      <alignment horizontal="center" wrapText="1"/>
    </xf>
    <xf numFmtId="0" fontId="1" fillId="0" borderId="7" xfId="0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left"/>
    </xf>
    <xf numFmtId="2" fontId="0" fillId="0" borderId="0" xfId="0" applyNumberFormat="1"/>
    <xf numFmtId="0" fontId="1" fillId="0" borderId="5" xfId="0" applyFont="1" applyFill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167" fontId="1" fillId="0" borderId="5" xfId="0" applyNumberFormat="1" applyFont="1" applyBorder="1" applyAlignment="1">
      <alignment horizontal="left" vertical="center" wrapText="1"/>
    </xf>
    <xf numFmtId="2" fontId="1" fillId="0" borderId="5" xfId="0" applyNumberFormat="1" applyFont="1" applyBorder="1" applyAlignment="1">
      <alignment horizontal="left" vertical="center" wrapText="1"/>
    </xf>
    <xf numFmtId="20" fontId="1" fillId="0" borderId="5" xfId="0" applyNumberFormat="1" applyFont="1" applyFill="1" applyBorder="1" applyAlignment="1">
      <alignment horizontal="left" vertical="center" wrapText="1"/>
    </xf>
    <xf numFmtId="1" fontId="1" fillId="0" borderId="5" xfId="0" applyNumberFormat="1" applyFont="1" applyBorder="1" applyAlignment="1">
      <alignment horizontal="left" vertical="center" wrapText="1"/>
    </xf>
    <xf numFmtId="0" fontId="1" fillId="0" borderId="5" xfId="0" applyFont="1" applyBorder="1" applyAlignment="1">
      <alignment horizontal="center" vertical="center" wrapText="1"/>
    </xf>
    <xf numFmtId="0" fontId="5" fillId="0" borderId="0" xfId="0" applyFont="1"/>
    <xf numFmtId="0" fontId="5" fillId="0" borderId="0" xfId="0" applyFont="1" applyAlignment="1">
      <alignment horizontal="left"/>
    </xf>
    <xf numFmtId="0" fontId="0" fillId="0" borderId="0" xfId="0"/>
    <xf numFmtId="0" fontId="0" fillId="0" borderId="5" xfId="0" applyFill="1" applyBorder="1" applyAlignment="1">
      <alignment horizontal="left"/>
    </xf>
    <xf numFmtId="1" fontId="0" fillId="0" borderId="5" xfId="0" applyNumberFormat="1" applyFill="1" applyBorder="1"/>
    <xf numFmtId="1" fontId="0" fillId="0" borderId="3" xfId="0" applyNumberForma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6" fillId="0" borderId="0" xfId="0" applyFont="1" applyFill="1" applyBorder="1"/>
    <xf numFmtId="0" fontId="6" fillId="0" borderId="0" xfId="0" applyFont="1" applyFill="1" applyBorder="1" applyAlignment="1">
      <alignment horizontal="left"/>
    </xf>
    <xf numFmtId="166" fontId="0" fillId="0" borderId="4" xfId="0" applyNumberFormat="1" applyBorder="1" applyAlignment="1">
      <alignment horizontal="center" wrapText="1"/>
    </xf>
    <xf numFmtId="0" fontId="1" fillId="0" borderId="0" xfId="0" applyFont="1" applyBorder="1"/>
    <xf numFmtId="0" fontId="0" fillId="0" borderId="0" xfId="0" applyBorder="1"/>
    <xf numFmtId="0" fontId="7" fillId="0" borderId="0" xfId="0" applyFont="1" applyAlignment="1">
      <alignment horizontal="center" vertical="center"/>
    </xf>
    <xf numFmtId="0" fontId="7" fillId="0" borderId="0" xfId="0" applyFont="1" applyFill="1" applyAlignment="1"/>
    <xf numFmtId="0" fontId="7" fillId="0" borderId="0" xfId="0" applyFont="1"/>
    <xf numFmtId="0" fontId="8" fillId="0" borderId="0" xfId="0" applyFont="1" applyFill="1" applyBorder="1" applyAlignment="1">
      <alignment horizontal="center" vertical="center" wrapText="1"/>
    </xf>
    <xf numFmtId="167" fontId="0" fillId="0" borderId="9" xfId="0" applyNumberFormat="1" applyBorder="1"/>
    <xf numFmtId="17" fontId="0" fillId="0" borderId="0" xfId="0" applyNumberFormat="1"/>
    <xf numFmtId="167" fontId="0" fillId="0" borderId="0" xfId="0" applyNumberFormat="1" applyBorder="1"/>
    <xf numFmtId="0" fontId="0" fillId="0" borderId="0" xfId="0" applyAlignment="1">
      <alignment horizontal="center"/>
    </xf>
    <xf numFmtId="0" fontId="1" fillId="0" borderId="0" xfId="0" applyFont="1" applyBorder="1" applyAlignment="1">
      <alignment horizontal="left" wrapText="1"/>
    </xf>
    <xf numFmtId="0" fontId="0" fillId="0" borderId="0" xfId="0" applyAlignment="1">
      <alignment horizontal="left"/>
    </xf>
    <xf numFmtId="0" fontId="1" fillId="0" borderId="0" xfId="0" applyFont="1" applyBorder="1" applyAlignment="1">
      <alignment horizontal="center" wrapText="1"/>
    </xf>
    <xf numFmtId="0" fontId="0" fillId="0" borderId="0" xfId="0" applyFill="1" applyBorder="1"/>
    <xf numFmtId="168" fontId="0" fillId="0" borderId="5" xfId="0" applyNumberFormat="1" applyFill="1" applyBorder="1" applyAlignment="1">
      <alignment horizontal="left"/>
    </xf>
    <xf numFmtId="0" fontId="0" fillId="0" borderId="5" xfId="0" applyBorder="1"/>
    <xf numFmtId="0" fontId="10" fillId="4" borderId="10" xfId="1" applyFont="1" applyFill="1" applyBorder="1" applyAlignment="1">
      <alignment horizontal="center"/>
    </xf>
    <xf numFmtId="0" fontId="10" fillId="0" borderId="11" xfId="1" applyFont="1" applyFill="1" applyBorder="1" applyAlignment="1">
      <alignment wrapText="1"/>
    </xf>
    <xf numFmtId="0" fontId="10" fillId="0" borderId="11" xfId="1" applyFont="1" applyFill="1" applyBorder="1" applyAlignment="1">
      <alignment horizontal="right" wrapText="1"/>
    </xf>
    <xf numFmtId="9" fontId="0" fillId="0" borderId="5" xfId="0" applyNumberFormat="1" applyFill="1" applyBorder="1"/>
    <xf numFmtId="20" fontId="0" fillId="0" borderId="2" xfId="0" applyNumberFormat="1" applyBorder="1" applyAlignment="1">
      <alignment horizontal="center" vertical="center" wrapText="1"/>
    </xf>
    <xf numFmtId="0" fontId="0" fillId="2" borderId="12" xfId="0" applyFill="1" applyBorder="1" applyAlignment="1">
      <alignment vertical="center" wrapText="1"/>
    </xf>
    <xf numFmtId="0" fontId="0" fillId="2" borderId="13" xfId="0" applyFill="1" applyBorder="1" applyAlignment="1">
      <alignment vertical="center" wrapText="1"/>
    </xf>
    <xf numFmtId="0" fontId="0" fillId="2" borderId="14" xfId="0" applyFill="1" applyBorder="1"/>
    <xf numFmtId="0" fontId="0" fillId="0" borderId="15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17" xfId="0" applyBorder="1"/>
    <xf numFmtId="167" fontId="0" fillId="0" borderId="5" xfId="0" applyNumberFormat="1" applyBorder="1"/>
    <xf numFmtId="0" fontId="2" fillId="0" borderId="0" xfId="0" applyFont="1" applyBorder="1" applyAlignment="1">
      <alignment horizontal="center" vertical="center"/>
    </xf>
    <xf numFmtId="166" fontId="0" fillId="0" borderId="1" xfId="0" applyNumberFormat="1" applyBorder="1" applyAlignment="1">
      <alignment horizontal="center" wrapText="1"/>
    </xf>
    <xf numFmtId="166" fontId="0" fillId="0" borderId="2" xfId="0" applyNumberForma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20" fontId="0" fillId="0" borderId="1" xfId="0" applyNumberFormat="1" applyBorder="1" applyAlignment="1">
      <alignment horizontal="center" vertical="center" wrapText="1"/>
    </xf>
    <xf numFmtId="20" fontId="0" fillId="0" borderId="2" xfId="0" applyNumberForma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</cellXfs>
  <cellStyles count="2">
    <cellStyle name="Normal" xfId="0" builtinId="0"/>
    <cellStyle name="Normal_XINGS" xfId="1"/>
  </cellStyles>
  <dxfs count="12"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Wabtec/Documents/GitHub/eaglep3-reporting/NWGL/Train%20Runs%20and%20Enforcements%20NW%202016-06-2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>
        <row r="23">
          <cell r="A23" t="str">
            <v>1809-26</v>
          </cell>
        </row>
        <row r="33">
          <cell r="A33" t="str">
            <v>1819-26</v>
          </cell>
        </row>
        <row r="45">
          <cell r="A45" t="str">
            <v>1829-26</v>
          </cell>
        </row>
        <row r="49">
          <cell r="A49" t="str">
            <v>1832-26</v>
          </cell>
        </row>
        <row r="51">
          <cell r="A51" t="str">
            <v>1902-26</v>
          </cell>
        </row>
      </sheetData>
      <sheetData sheetId="1"/>
      <sheetData sheetId="2"/>
      <sheetData sheetId="3"/>
      <sheetData sheetId="4"/>
    </sheetDataSet>
  </externalBook>
</externalLink>
</file>

<file path=xl/queryTables/queryTable1.xml><?xml version="1.0" encoding="utf-8"?>
<queryTable xmlns="http://schemas.openxmlformats.org/spreadsheetml/2006/main" name="Denver Train Runs 04122016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155"/>
  <sheetViews>
    <sheetView showGridLines="0" topLeftCell="A115" zoomScale="85" zoomScaleNormal="85" workbookViewId="0">
      <selection activeCell="R129" sqref="R129"/>
    </sheetView>
  </sheetViews>
  <sheetFormatPr defaultRowHeight="15" x14ac:dyDescent="0.25"/>
  <cols>
    <col min="1" max="1" width="10.5703125" style="2" customWidth="1"/>
    <col min="2" max="2" width="10.7109375" customWidth="1"/>
    <col min="3" max="3" width="13.5703125" hidden="1" customWidth="1"/>
    <col min="4" max="4" width="16.140625" hidden="1" customWidth="1"/>
    <col min="5" max="5" width="19.5703125" style="13" hidden="1" customWidth="1"/>
    <col min="6" max="6" width="20.140625" style="13" customWidth="1"/>
    <col min="7" max="7" width="18.42578125" style="32" hidden="1" customWidth="1"/>
    <col min="8" max="8" width="22.140625" style="13" hidden="1" customWidth="1"/>
    <col min="9" max="9" width="19.7109375" style="13" customWidth="1"/>
    <col min="10" max="10" width="7.7109375" bestFit="1" customWidth="1"/>
    <col min="11" max="11" width="13.28515625" customWidth="1"/>
    <col min="12" max="12" width="13.28515625" style="42" customWidth="1"/>
    <col min="13" max="13" width="9.5703125" style="1" customWidth="1"/>
    <col min="14" max="14" width="8.85546875" style="4" customWidth="1"/>
    <col min="15" max="15" width="9.140625" style="4"/>
    <col min="16" max="16" width="6" style="4" customWidth="1"/>
    <col min="17" max="17" width="13.5703125" customWidth="1"/>
    <col min="18" max="18" width="52.28515625" bestFit="1" customWidth="1"/>
    <col min="19" max="19" width="11.85546875" style="42" customWidth="1"/>
    <col min="20" max="20" width="12.42578125" bestFit="1" customWidth="1"/>
    <col min="21" max="21" width="4.28515625" style="42" customWidth="1"/>
    <col min="22" max="22" width="19.28515625" style="40" customWidth="1"/>
    <col min="23" max="23" width="10.140625" style="40" customWidth="1"/>
    <col min="24" max="24" width="14.140625" style="40" customWidth="1"/>
    <col min="25" max="27" width="9.140625" style="40"/>
    <col min="28" max="28" width="10.7109375" style="41" bestFit="1" customWidth="1"/>
    <col min="29" max="29" width="17.42578125" style="41" customWidth="1"/>
  </cols>
  <sheetData>
    <row r="1" spans="1:91" s="42" customFormat="1" ht="15.75" thickBot="1" x14ac:dyDescent="0.3">
      <c r="A1" s="2"/>
      <c r="E1" s="13"/>
      <c r="F1" s="13"/>
      <c r="G1" s="32"/>
      <c r="H1" s="13"/>
      <c r="I1" s="13"/>
      <c r="M1" s="1"/>
      <c r="N1" s="4"/>
      <c r="O1" s="4"/>
      <c r="P1" s="4"/>
      <c r="V1" s="40"/>
      <c r="W1" s="40"/>
      <c r="X1" s="40"/>
      <c r="Y1" s="40"/>
      <c r="Z1" s="40"/>
      <c r="AA1" s="40"/>
      <c r="AB1" s="41"/>
      <c r="AC1" s="41"/>
    </row>
    <row r="2" spans="1:91" s="42" customFormat="1" ht="15.75" thickBot="1" x14ac:dyDescent="0.3">
      <c r="A2" s="2"/>
      <c r="E2" s="13"/>
      <c r="F2" s="13"/>
      <c r="G2" s="32"/>
      <c r="H2" s="13"/>
      <c r="I2" s="80">
        <f>Variables!A2</f>
        <v>42547</v>
      </c>
      <c r="J2" s="81"/>
      <c r="K2" s="50"/>
      <c r="L2" s="50"/>
      <c r="M2" s="82" t="s">
        <v>8</v>
      </c>
      <c r="N2" s="83"/>
      <c r="O2" s="84"/>
      <c r="P2" s="4"/>
      <c r="V2" s="40"/>
      <c r="W2" s="40"/>
      <c r="X2" s="40"/>
      <c r="Y2" s="40"/>
      <c r="Z2" s="40"/>
      <c r="AA2" s="40"/>
      <c r="AB2" s="41"/>
      <c r="AC2" s="41"/>
    </row>
    <row r="3" spans="1:91" s="42" customFormat="1" ht="15.75" thickBot="1" x14ac:dyDescent="0.3">
      <c r="A3" s="2"/>
      <c r="E3" s="13"/>
      <c r="F3" s="13"/>
      <c r="G3" s="32"/>
      <c r="H3" s="13"/>
      <c r="I3" s="85" t="s">
        <v>10</v>
      </c>
      <c r="J3" s="86"/>
      <c r="K3" s="71"/>
      <c r="L3" s="71"/>
      <c r="M3" s="8" t="s">
        <v>11</v>
      </c>
      <c r="N3" s="5" t="s">
        <v>12</v>
      </c>
      <c r="O3" s="6" t="s">
        <v>13</v>
      </c>
      <c r="P3" s="4"/>
      <c r="V3" s="40"/>
      <c r="W3" s="40"/>
      <c r="X3" s="40"/>
      <c r="Y3" s="40"/>
      <c r="Z3" s="40"/>
      <c r="AA3" s="40"/>
      <c r="AB3" s="41"/>
      <c r="AC3" s="41"/>
    </row>
    <row r="4" spans="1:91" s="42" customFormat="1" ht="15.75" thickBot="1" x14ac:dyDescent="0.3">
      <c r="A4" s="2"/>
      <c r="E4" s="13"/>
      <c r="F4" s="13"/>
      <c r="G4" s="32"/>
      <c r="H4" s="13"/>
      <c r="I4" s="26" t="s">
        <v>14</v>
      </c>
      <c r="J4" s="3">
        <f>COUNT($N$13:$P$1908)</f>
        <v>140</v>
      </c>
      <c r="K4" s="3"/>
      <c r="L4" s="3"/>
      <c r="M4" s="45" t="s">
        <v>15</v>
      </c>
      <c r="N4" s="5" t="s">
        <v>15</v>
      </c>
      <c r="O4" s="6" t="s">
        <v>15</v>
      </c>
      <c r="P4" s="4"/>
      <c r="V4" s="40"/>
      <c r="W4" s="40"/>
      <c r="X4" s="40"/>
      <c r="Y4" s="40"/>
      <c r="Z4" s="40"/>
      <c r="AA4" s="40"/>
      <c r="AB4" s="41"/>
      <c r="AC4" s="41"/>
    </row>
    <row r="5" spans="1:91" s="42" customFormat="1" ht="15.75" thickBot="1" x14ac:dyDescent="0.3">
      <c r="A5" s="2"/>
      <c r="E5" s="13"/>
      <c r="F5" s="13"/>
      <c r="G5" s="32"/>
      <c r="H5" s="13"/>
      <c r="I5" s="26" t="s">
        <v>17</v>
      </c>
      <c r="J5" s="3">
        <f>COUNT($N$13:$N$1908)</f>
        <v>132</v>
      </c>
      <c r="K5" s="3"/>
      <c r="L5" s="3"/>
      <c r="M5" s="45">
        <f>AVERAGE($N$13:$N$908)</f>
        <v>44.263131313041825</v>
      </c>
      <c r="N5" s="5">
        <f>MIN($N$13:$N$908)</f>
        <v>36.900000002933666</v>
      </c>
      <c r="O5" s="6">
        <f>MAX($N$13:$N$908)</f>
        <v>61.716666676802561</v>
      </c>
      <c r="P5" s="4"/>
      <c r="V5" s="40"/>
      <c r="W5" s="40"/>
      <c r="X5" s="40"/>
      <c r="Y5" s="40"/>
      <c r="Z5" s="40"/>
      <c r="AA5" s="40"/>
      <c r="AB5" s="41"/>
      <c r="AC5" s="41"/>
    </row>
    <row r="6" spans="1:91" s="42" customFormat="1" ht="15.75" thickBot="1" x14ac:dyDescent="0.3">
      <c r="A6" s="2"/>
      <c r="E6" s="13"/>
      <c r="F6" s="13"/>
      <c r="G6" s="32"/>
      <c r="H6" s="13"/>
      <c r="I6" s="27" t="s">
        <v>43</v>
      </c>
      <c r="J6" s="3">
        <f>COUNT($O$13:$O$908)</f>
        <v>0</v>
      </c>
      <c r="K6" s="3"/>
      <c r="L6" s="3"/>
      <c r="M6" s="45">
        <f>IFERROR(AVERAGE($O$13:$O$908),0)</f>
        <v>0</v>
      </c>
      <c r="N6" s="5">
        <f>MIN($O$13:$O$908)</f>
        <v>0</v>
      </c>
      <c r="O6" s="6">
        <f>MAX($O$13:$O$908)</f>
        <v>0</v>
      </c>
      <c r="P6" s="4"/>
      <c r="V6" s="40"/>
      <c r="W6" s="40"/>
      <c r="X6" s="40"/>
      <c r="Y6" s="40"/>
      <c r="Z6" s="40"/>
      <c r="AA6" s="40"/>
      <c r="AB6" s="41"/>
      <c r="AC6" s="41"/>
    </row>
    <row r="7" spans="1:91" s="42" customFormat="1" ht="15.75" thickBot="1" x14ac:dyDescent="0.3">
      <c r="A7" s="2"/>
      <c r="E7" s="13"/>
      <c r="F7" s="13"/>
      <c r="G7" s="32"/>
      <c r="H7" s="13"/>
      <c r="I7" s="28" t="s">
        <v>9</v>
      </c>
      <c r="J7" s="3">
        <f>COUNT($P$13:$P$908)</f>
        <v>8</v>
      </c>
      <c r="K7" s="3"/>
      <c r="L7" s="3"/>
      <c r="M7" s="45" t="s">
        <v>15</v>
      </c>
      <c r="N7" s="5" t="s">
        <v>15</v>
      </c>
      <c r="O7" s="6" t="s">
        <v>15</v>
      </c>
      <c r="P7" s="4"/>
      <c r="V7" s="40"/>
      <c r="W7" s="40"/>
      <c r="X7" s="40"/>
      <c r="Y7" s="40"/>
      <c r="Z7" s="40"/>
      <c r="AA7" s="40"/>
      <c r="AB7" s="41"/>
      <c r="AC7" s="41"/>
    </row>
    <row r="8" spans="1:91" s="42" customFormat="1" ht="30.75" thickBot="1" x14ac:dyDescent="0.3">
      <c r="A8" s="2"/>
      <c r="E8" s="13"/>
      <c r="F8" s="13"/>
      <c r="G8" s="32"/>
      <c r="H8" s="13"/>
      <c r="I8" s="26" t="s">
        <v>16</v>
      </c>
      <c r="J8" s="3">
        <f>COUNT($N$13:$O$908)</f>
        <v>132</v>
      </c>
      <c r="K8" s="3"/>
      <c r="L8" s="3"/>
      <c r="M8" s="45">
        <f>AVERAGE($N$13:$P$908)</f>
        <v>43.613452380805811</v>
      </c>
      <c r="N8" s="5">
        <f>MIN($N$13:$O$908)</f>
        <v>36.900000002933666</v>
      </c>
      <c r="O8" s="6">
        <f>MAX($N$13:$O$908)</f>
        <v>61.716666676802561</v>
      </c>
      <c r="P8" s="4"/>
      <c r="V8" s="40"/>
      <c r="W8" s="40"/>
      <c r="X8" s="40"/>
      <c r="Y8" s="40"/>
      <c r="Z8" s="40"/>
      <c r="AA8" s="40"/>
      <c r="AB8" s="41"/>
      <c r="AC8" s="41"/>
    </row>
    <row r="9" spans="1:91" s="42" customFormat="1" ht="30.75" thickBot="1" x14ac:dyDescent="0.3">
      <c r="A9" s="2"/>
      <c r="E9" s="13"/>
      <c r="F9" s="13"/>
      <c r="G9" s="32"/>
      <c r="H9" s="13"/>
      <c r="I9" s="26" t="s">
        <v>19</v>
      </c>
      <c r="J9" s="7">
        <f>J8/J4</f>
        <v>0.94285714285714284</v>
      </c>
      <c r="K9" s="7"/>
      <c r="L9" s="7"/>
      <c r="M9" s="1"/>
      <c r="N9" s="4"/>
      <c r="O9" s="4"/>
      <c r="P9" s="4"/>
      <c r="V9" s="40"/>
      <c r="W9" s="40"/>
      <c r="X9" s="40"/>
      <c r="Y9" s="40"/>
      <c r="Z9" s="40"/>
      <c r="AA9" s="40"/>
      <c r="AB9" s="41"/>
      <c r="AC9" s="41"/>
    </row>
    <row r="10" spans="1:91" s="42" customFormat="1" x14ac:dyDescent="0.25">
      <c r="A10" s="2"/>
      <c r="E10" s="13"/>
      <c r="F10" s="13"/>
      <c r="G10" s="32"/>
      <c r="H10" s="13"/>
      <c r="I10" s="13"/>
      <c r="M10" s="1"/>
      <c r="N10" s="4"/>
      <c r="O10" s="4"/>
      <c r="P10" s="4"/>
      <c r="V10" s="40"/>
      <c r="W10" s="40"/>
      <c r="X10" s="40"/>
      <c r="Y10" s="40"/>
      <c r="Z10" s="40"/>
      <c r="AA10" s="40"/>
      <c r="AB10" s="41"/>
      <c r="AC10" s="41"/>
    </row>
    <row r="11" spans="1:91" ht="57.75" customHeight="1" thickBot="1" x14ac:dyDescent="0.3">
      <c r="A11" s="79" t="str">
        <f>"Eagle P3 System Performance - "&amp;TEXT(Variables!A2,"yyyy-mm-dd")</f>
        <v>Eagle P3 System Performance - 2016-06-26</v>
      </c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</row>
    <row r="12" spans="1:91" s="10" customFormat="1" ht="69" customHeight="1" thickBot="1" x14ac:dyDescent="0.3">
      <c r="A12" s="33" t="s">
        <v>0</v>
      </c>
      <c r="B12" s="34" t="s">
        <v>44</v>
      </c>
      <c r="C12" s="34" t="s">
        <v>26</v>
      </c>
      <c r="D12" s="34" t="s">
        <v>1</v>
      </c>
      <c r="E12" s="35" t="s">
        <v>2</v>
      </c>
      <c r="F12" s="35" t="s">
        <v>3</v>
      </c>
      <c r="G12" s="36" t="s">
        <v>4</v>
      </c>
      <c r="H12" s="35" t="s">
        <v>5</v>
      </c>
      <c r="I12" s="35" t="s">
        <v>6</v>
      </c>
      <c r="J12" s="34" t="s">
        <v>7</v>
      </c>
      <c r="K12" s="34" t="s">
        <v>66</v>
      </c>
      <c r="L12" s="34" t="s">
        <v>48</v>
      </c>
      <c r="M12" s="37" t="s">
        <v>8</v>
      </c>
      <c r="N12" s="34" t="s">
        <v>41</v>
      </c>
      <c r="O12" s="38" t="s">
        <v>42</v>
      </c>
      <c r="P12" s="38" t="s">
        <v>18</v>
      </c>
      <c r="Q12" s="39" t="s">
        <v>47</v>
      </c>
      <c r="R12" s="39" t="s">
        <v>24</v>
      </c>
      <c r="S12" s="39" t="s">
        <v>115</v>
      </c>
      <c r="T12" s="9" t="s">
        <v>116</v>
      </c>
      <c r="U12" s="9" t="s">
        <v>117</v>
      </c>
      <c r="V12" s="46" t="s">
        <v>45</v>
      </c>
      <c r="W12" s="46" t="s">
        <v>23</v>
      </c>
      <c r="X12" s="46" t="s">
        <v>49</v>
      </c>
      <c r="Y12" s="46" t="s">
        <v>20</v>
      </c>
      <c r="Z12" s="46" t="s">
        <v>21</v>
      </c>
      <c r="AA12" s="46" t="s">
        <v>22</v>
      </c>
      <c r="AB12" s="47" t="s">
        <v>39</v>
      </c>
      <c r="AC12" s="47" t="s">
        <v>40</v>
      </c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9"/>
      <c r="BR12" s="9"/>
      <c r="BS12" s="9"/>
      <c r="BT12" s="9"/>
      <c r="BU12" s="9"/>
      <c r="BV12" s="9"/>
      <c r="BW12" s="9"/>
      <c r="BX12" s="9"/>
      <c r="BY12" s="9"/>
      <c r="BZ12" s="9"/>
      <c r="CA12" s="9"/>
      <c r="CB12" s="9"/>
      <c r="CC12" s="9"/>
      <c r="CD12" s="9"/>
      <c r="CE12" s="9"/>
      <c r="CF12" s="9"/>
      <c r="CG12" s="9"/>
      <c r="CH12" s="9"/>
      <c r="CI12" s="9"/>
      <c r="CJ12" s="9"/>
      <c r="CK12" s="9"/>
      <c r="CL12" s="9"/>
      <c r="CM12" s="9"/>
    </row>
    <row r="13" spans="1:91" s="2" customFormat="1" x14ac:dyDescent="0.25">
      <c r="A13" s="43" t="s">
        <v>222</v>
      </c>
      <c r="B13" s="43">
        <v>4011</v>
      </c>
      <c r="C13" s="43" t="s">
        <v>60</v>
      </c>
      <c r="D13" s="43" t="s">
        <v>223</v>
      </c>
      <c r="E13" s="25">
        <v>42547.1325462963</v>
      </c>
      <c r="F13" s="25">
        <v>42547.133819444447</v>
      </c>
      <c r="G13" s="31">
        <v>1</v>
      </c>
      <c r="H13" s="25" t="s">
        <v>105</v>
      </c>
      <c r="I13" s="25">
        <v>42547.161874999998</v>
      </c>
      <c r="J13" s="43">
        <v>0</v>
      </c>
      <c r="K13" s="43" t="str">
        <f t="shared" ref="K13:K44" si="0">IF(ISEVEN(B13),(B13-1)&amp;"/"&amp;B13,B13&amp;"/"&amp;(B13+1))</f>
        <v>4011/4012</v>
      </c>
      <c r="L13" s="43" t="str">
        <f>VLOOKUP(A13,'Trips&amp;Operators'!$C$1:$E$10000,3,FALSE)</f>
        <v>CANFIELD</v>
      </c>
      <c r="M13" s="11">
        <f t="shared" ref="M13:M44" si="1">I13-F13</f>
        <v>2.8055555550963618E-2</v>
      </c>
      <c r="N13" s="12">
        <f t="shared" ref="N13:N19" si="2">24*60*SUM($M13:$M13)</f>
        <v>40.39999999338761</v>
      </c>
      <c r="O13" s="12"/>
      <c r="P13" s="12"/>
      <c r="Q13" s="44"/>
      <c r="R13" s="44"/>
      <c r="S13" s="70">
        <f>SUM(U13:U13)/12</f>
        <v>1</v>
      </c>
      <c r="T13" s="2" t="str">
        <f t="shared" ref="T13:T44" si="3">IF(ISEVEN(LEFT(A13,3)),"Southbound","NorthBound")</f>
        <v>NorthBound</v>
      </c>
      <c r="U13" s="2">
        <f>COUNTIFS(Variables!$M$2:$M$19,IF(T13="NorthBound","&gt;=","&lt;=")&amp;Y13,Variables!$M$2:$M$19,IF(T13="NorthBound","&lt;=","&gt;=")&amp;Z13)</f>
        <v>12</v>
      </c>
      <c r="V13" s="48" t="str">
        <f t="shared" ref="V13:V44" si="4">"https://search-rtdc-monitor-bjffxe2xuh6vdkpspy63sjmuny.us-east-1.es.amazonaws.com/_plugin/kibana/#/discover/Steve-Slow-Train-Analysis-(2080s-and-2083s)?_g=(refreshInterval:(display:Off,section:0,value:0),time:(from:'"&amp;TEXT(E13-1/24/60,"yyyy-MM-DD hh:mm:ss")&amp;"-0600',mode:absolute,to:'"&amp;TEXT(I13+1/24/60,"yyyy-MM-DD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&amp;"%22')),sort:!(Time,asc))"</f>
        <v>https://search-rtdc-monitor-bjffxe2xuh6vdkpspy63sjmuny.us-east-1.es.amazonaws.com/_plugin/kibana/#/discover/Steve-Slow-Train-Analysis-(2080s-and-2083s)?_g=(refreshInterval:(display:Off,section:0,value:0),time:(from:'2016-06-26 03:09:52-0600',mode:absolute,to:'2016-06-26 03:54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13" s="48" t="str">
        <f t="shared" ref="W13:W44" si="5">IF(AA13&lt;23,"Y","N")</f>
        <v>N</v>
      </c>
      <c r="X13" s="48" t="e">
        <f t="shared" ref="X13:X33" si="6">VALUE(LEFT(A13,3))-VALUE(LEFT(A12,3))</f>
        <v>#VALUE!</v>
      </c>
      <c r="Y13" s="48">
        <f t="shared" ref="Y13:Y56" si="7">RIGHT(D13,LEN(D13)-4)/10000</f>
        <v>7.9000000000000001E-2</v>
      </c>
      <c r="Z13" s="48">
        <f>RIGHT(H13,LEN(H13)-4)/10000</f>
        <v>23.3291</v>
      </c>
      <c r="AA13" s="48">
        <f t="shared" ref="AA13:AA44" si="8">ABS(Z13-Y13)</f>
        <v>23.2501</v>
      </c>
      <c r="AB13" s="49" t="e">
        <f>VLOOKUP(A13,#REF!,8,0)</f>
        <v>#REF!</v>
      </c>
      <c r="AC13" s="49" t="e">
        <f>VLOOKUP(A13,#REF!,3,0)</f>
        <v>#REF!</v>
      </c>
    </row>
    <row r="14" spans="1:91" s="2" customFormat="1" x14ac:dyDescent="0.25">
      <c r="A14" s="43" t="s">
        <v>224</v>
      </c>
      <c r="B14" s="43">
        <v>4008</v>
      </c>
      <c r="C14" s="43" t="s">
        <v>60</v>
      </c>
      <c r="D14" s="43" t="s">
        <v>225</v>
      </c>
      <c r="E14" s="25">
        <v>42547.168310185189</v>
      </c>
      <c r="F14" s="25">
        <v>42547.171261574076</v>
      </c>
      <c r="G14" s="31">
        <v>4</v>
      </c>
      <c r="H14" s="25" t="s">
        <v>91</v>
      </c>
      <c r="I14" s="25">
        <v>42547.200775462959</v>
      </c>
      <c r="J14" s="43">
        <v>0</v>
      </c>
      <c r="K14" s="43" t="str">
        <f t="shared" si="0"/>
        <v>4007/4008</v>
      </c>
      <c r="L14" s="43" t="str">
        <f>VLOOKUP(A14,'Trips&amp;Operators'!$C$1:$E$10000,3,FALSE)</f>
        <v>CANFIELD</v>
      </c>
      <c r="M14" s="11">
        <f t="shared" si="1"/>
        <v>2.9513888883229811E-2</v>
      </c>
      <c r="N14" s="12">
        <f t="shared" si="2"/>
        <v>42.499999991850927</v>
      </c>
      <c r="O14" s="12"/>
      <c r="P14" s="12"/>
      <c r="Q14" s="44"/>
      <c r="R14" s="44"/>
      <c r="S14" s="70">
        <f t="shared" ref="S14:S59" si="9">SUM(U14:U14)/12</f>
        <v>1</v>
      </c>
      <c r="T14" s="2" t="str">
        <f t="shared" si="3"/>
        <v>Southbound</v>
      </c>
      <c r="U14" s="2">
        <f>COUNTIFS(Variables!$M$2:$M$19,IF(T14="NorthBound","&gt;=","&lt;=")&amp;Y14,Variables!$M$2:$M$19,IF(T14="NorthBound","&lt;=","&gt;=")&amp;Z14)</f>
        <v>12</v>
      </c>
      <c r="V14" s="48" t="str">
        <f t="shared" si="4"/>
        <v>https://search-rtdc-monitor-bjffxe2xuh6vdkpspy63sjmuny.us-east-1.es.amazonaws.com/_plugin/kibana/#/discover/Steve-Slow-Train-Analysis-(2080s-and-2083s)?_g=(refreshInterval:(display:Off,section:0,value:0),time:(from:'2016-06-26 04:01:22-0600',mode:absolute,to:'2016-06-26 04:50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W14" s="48" t="str">
        <f t="shared" si="5"/>
        <v>N</v>
      </c>
      <c r="X14" s="48">
        <f t="shared" si="6"/>
        <v>1</v>
      </c>
      <c r="Y14" s="48">
        <f t="shared" si="7"/>
        <v>23.266400000000001</v>
      </c>
      <c r="Z14" s="48">
        <f t="shared" ref="Z14:Z77" si="10">RIGHT(H14,LEN(H14)-4)/10000</f>
        <v>1.61E-2</v>
      </c>
      <c r="AA14" s="48">
        <f t="shared" si="8"/>
        <v>23.250299999999999</v>
      </c>
      <c r="AB14" s="49" t="e">
        <f>VLOOKUP(A14,#REF!,8,0)</f>
        <v>#REF!</v>
      </c>
      <c r="AC14" s="49" t="e">
        <f>VLOOKUP(A14,#REF!,3,0)</f>
        <v>#REF!</v>
      </c>
    </row>
    <row r="15" spans="1:91" s="2" customFormat="1" x14ac:dyDescent="0.25">
      <c r="A15" s="43" t="s">
        <v>226</v>
      </c>
      <c r="B15" s="43">
        <v>4038</v>
      </c>
      <c r="C15" s="43" t="s">
        <v>60</v>
      </c>
      <c r="D15" s="43" t="s">
        <v>227</v>
      </c>
      <c r="E15" s="25">
        <v>42547.149710648147</v>
      </c>
      <c r="F15" s="25">
        <v>42547.151076388887</v>
      </c>
      <c r="G15" s="31">
        <v>1</v>
      </c>
      <c r="H15" s="25" t="s">
        <v>157</v>
      </c>
      <c r="I15" s="25">
        <v>42547.183182870373</v>
      </c>
      <c r="J15" s="43">
        <v>0</v>
      </c>
      <c r="K15" s="43" t="str">
        <f t="shared" si="0"/>
        <v>4037/4038</v>
      </c>
      <c r="L15" s="43" t="str">
        <f>VLOOKUP(A15,'Trips&amp;Operators'!$C$1:$E$10000,3,FALSE)</f>
        <v>STURGEON</v>
      </c>
      <c r="M15" s="11">
        <f t="shared" si="1"/>
        <v>3.2106481485243421E-2</v>
      </c>
      <c r="N15" s="12">
        <f t="shared" si="2"/>
        <v>46.233333338750526</v>
      </c>
      <c r="O15" s="12"/>
      <c r="P15" s="12"/>
      <c r="Q15" s="44"/>
      <c r="R15" s="44"/>
      <c r="S15" s="70">
        <f t="shared" si="9"/>
        <v>1</v>
      </c>
      <c r="T15" s="2" t="str">
        <f t="shared" si="3"/>
        <v>NorthBound</v>
      </c>
      <c r="U15" s="2">
        <f>COUNTIFS(Variables!$M$2:$M$19,IF(T15="NorthBound","&gt;=","&lt;=")&amp;Y15,Variables!$M$2:$M$19,IF(T15="NorthBound","&lt;=","&gt;=")&amp;Z15)</f>
        <v>12</v>
      </c>
      <c r="V15" s="48" t="str">
        <f t="shared" si="4"/>
        <v>https://search-rtdc-monitor-bjffxe2xuh6vdkpspy63sjmuny.us-east-1.es.amazonaws.com/_plugin/kibana/#/discover/Steve-Slow-Train-Analysis-(2080s-and-2083s)?_g=(refreshInterval:(display:Off,section:0,value:0),time:(from:'2016-06-26 03:34:35-0600',mode:absolute,to:'2016-06-26 04:24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W15" s="48" t="str">
        <f t="shared" si="5"/>
        <v>N</v>
      </c>
      <c r="X15" s="48">
        <f t="shared" si="6"/>
        <v>1</v>
      </c>
      <c r="Y15" s="48">
        <f t="shared" si="7"/>
        <v>7.7399999999999997E-2</v>
      </c>
      <c r="Z15" s="48">
        <f t="shared" si="10"/>
        <v>23.33</v>
      </c>
      <c r="AA15" s="48">
        <f t="shared" si="8"/>
        <v>23.252599999999997</v>
      </c>
      <c r="AB15" s="49" t="e">
        <f>VLOOKUP(A15,#REF!,8,0)</f>
        <v>#REF!</v>
      </c>
      <c r="AC15" s="49" t="e">
        <f>VLOOKUP(A15,#REF!,3,0)</f>
        <v>#REF!</v>
      </c>
    </row>
    <row r="16" spans="1:91" s="2" customFormat="1" x14ac:dyDescent="0.25">
      <c r="A16" s="43" t="s">
        <v>228</v>
      </c>
      <c r="B16" s="43">
        <v>4017</v>
      </c>
      <c r="C16" s="43" t="s">
        <v>60</v>
      </c>
      <c r="D16" s="43" t="s">
        <v>229</v>
      </c>
      <c r="E16" s="25">
        <v>42547.191296296296</v>
      </c>
      <c r="F16" s="25">
        <v>42547.19263888889</v>
      </c>
      <c r="G16" s="31">
        <v>1</v>
      </c>
      <c r="H16" s="25" t="s">
        <v>103</v>
      </c>
      <c r="I16" s="25">
        <v>42547.22179398148</v>
      </c>
      <c r="J16" s="43">
        <v>0</v>
      </c>
      <c r="K16" s="43" t="str">
        <f t="shared" si="0"/>
        <v>4017/4018</v>
      </c>
      <c r="L16" s="43" t="str">
        <f>VLOOKUP(A16,'Trips&amp;Operators'!$C$1:$E$10000,3,FALSE)</f>
        <v>STURGEON</v>
      </c>
      <c r="M16" s="11">
        <f t="shared" si="1"/>
        <v>2.9155092590372078E-2</v>
      </c>
      <c r="N16" s="12">
        <f t="shared" si="2"/>
        <v>41.983333330135792</v>
      </c>
      <c r="O16" s="12"/>
      <c r="P16" s="12"/>
      <c r="Q16" s="44"/>
      <c r="R16" s="44"/>
      <c r="S16" s="70">
        <f t="shared" si="9"/>
        <v>1</v>
      </c>
      <c r="T16" s="2" t="str">
        <f t="shared" si="3"/>
        <v>Southbound</v>
      </c>
      <c r="U16" s="2">
        <f>COUNTIFS(Variables!$M$2:$M$19,IF(T16="NorthBound","&gt;=","&lt;=")&amp;Y16,Variables!$M$2:$M$19,IF(T16="NorthBound","&lt;=","&gt;=")&amp;Z16)</f>
        <v>12</v>
      </c>
      <c r="V16" s="48" t="str">
        <f t="shared" si="4"/>
        <v>https://search-rtdc-monitor-bjffxe2xuh6vdkpspy63sjmuny.us-east-1.es.amazonaws.com/_plugin/kibana/#/discover/Steve-Slow-Train-Analysis-(2080s-and-2083s)?_g=(refreshInterval:(display:Off,section:0,value:0),time:(from:'2016-06-26 04:34:28-0600',mode:absolute,to:'2016-06-26 05:20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16" s="48" t="str">
        <f t="shared" si="5"/>
        <v>N</v>
      </c>
      <c r="X16" s="48">
        <f t="shared" si="6"/>
        <v>1</v>
      </c>
      <c r="Y16" s="48">
        <f t="shared" si="7"/>
        <v>23.2651</v>
      </c>
      <c r="Z16" s="48">
        <f t="shared" si="10"/>
        <v>1.7000000000000001E-2</v>
      </c>
      <c r="AA16" s="48">
        <f t="shared" si="8"/>
        <v>23.248100000000001</v>
      </c>
      <c r="AB16" s="49" t="e">
        <f>VLOOKUP(A16,#REF!,8,0)</f>
        <v>#REF!</v>
      </c>
      <c r="AC16" s="49" t="e">
        <f>VLOOKUP(A16,#REF!,3,0)</f>
        <v>#REF!</v>
      </c>
    </row>
    <row r="17" spans="1:29" s="2" customFormat="1" x14ac:dyDescent="0.25">
      <c r="A17" s="43" t="s">
        <v>230</v>
      </c>
      <c r="B17" s="43">
        <v>4025</v>
      </c>
      <c r="C17" s="43" t="s">
        <v>60</v>
      </c>
      <c r="D17" s="43" t="s">
        <v>231</v>
      </c>
      <c r="E17" s="25">
        <v>42547.175682870373</v>
      </c>
      <c r="F17" s="25">
        <v>42547.176400462966</v>
      </c>
      <c r="G17" s="31">
        <v>1</v>
      </c>
      <c r="H17" s="25" t="s">
        <v>232</v>
      </c>
      <c r="I17" s="25">
        <v>42547.202349537038</v>
      </c>
      <c r="J17" s="43">
        <v>0</v>
      </c>
      <c r="K17" s="43" t="str">
        <f t="shared" si="0"/>
        <v>4025/4026</v>
      </c>
      <c r="L17" s="43" t="str">
        <f>VLOOKUP(A17,'Trips&amp;Operators'!$C$1:$E$10000,3,FALSE)</f>
        <v>YORK</v>
      </c>
      <c r="M17" s="11">
        <f t="shared" si="1"/>
        <v>2.5949074071832001E-2</v>
      </c>
      <c r="N17" s="12">
        <f t="shared" si="2"/>
        <v>37.366666663438082</v>
      </c>
      <c r="O17" s="12"/>
      <c r="P17" s="12"/>
      <c r="Q17" s="44"/>
      <c r="R17" s="44"/>
      <c r="S17" s="70">
        <f t="shared" si="9"/>
        <v>1</v>
      </c>
      <c r="T17" s="2" t="str">
        <f t="shared" si="3"/>
        <v>NorthBound</v>
      </c>
      <c r="U17" s="2">
        <f>COUNTIFS(Variables!$M$2:$M$19,IF(T17="NorthBound","&gt;=","&lt;=")&amp;Y17,Variables!$M$2:$M$19,IF(T17="NorthBound","&lt;=","&gt;=")&amp;Z17)</f>
        <v>12</v>
      </c>
      <c r="V17" s="48" t="str">
        <f t="shared" si="4"/>
        <v>https://search-rtdc-monitor-bjffxe2xuh6vdkpspy63sjmuny.us-east-1.es.amazonaws.com/_plugin/kibana/#/discover/Steve-Slow-Train-Analysis-(2080s-and-2083s)?_g=(refreshInterval:(display:Off,section:0,value:0),time:(from:'2016-06-26 04:11:59-0600',mode:absolute,to:'2016-06-26 04:52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17" s="48" t="str">
        <f t="shared" si="5"/>
        <v>N</v>
      </c>
      <c r="X17" s="48">
        <f t="shared" si="6"/>
        <v>1</v>
      </c>
      <c r="Y17" s="48">
        <f t="shared" si="7"/>
        <v>6.7199999999999996E-2</v>
      </c>
      <c r="Z17" s="48">
        <f t="shared" si="10"/>
        <v>23.329799999999999</v>
      </c>
      <c r="AA17" s="48">
        <f t="shared" si="8"/>
        <v>23.262599999999999</v>
      </c>
      <c r="AB17" s="49" t="e">
        <f>VLOOKUP(A17,#REF!,8,0)</f>
        <v>#REF!</v>
      </c>
      <c r="AC17" s="49" t="e">
        <f>VLOOKUP(A17,#REF!,3,0)</f>
        <v>#REF!</v>
      </c>
    </row>
    <row r="18" spans="1:29" s="2" customFormat="1" x14ac:dyDescent="0.25">
      <c r="A18" s="43" t="s">
        <v>233</v>
      </c>
      <c r="B18" s="43">
        <v>4023</v>
      </c>
      <c r="C18" s="43" t="s">
        <v>60</v>
      </c>
      <c r="D18" s="43" t="s">
        <v>234</v>
      </c>
      <c r="E18" s="25">
        <v>42547.203726851854</v>
      </c>
      <c r="F18" s="25">
        <v>42547.204652777778</v>
      </c>
      <c r="G18" s="31">
        <v>1</v>
      </c>
      <c r="H18" s="25" t="s">
        <v>167</v>
      </c>
      <c r="I18" s="25">
        <v>42547.24145833333</v>
      </c>
      <c r="J18" s="43">
        <v>1</v>
      </c>
      <c r="K18" s="43" t="str">
        <f t="shared" si="0"/>
        <v>4023/4024</v>
      </c>
      <c r="L18" s="43" t="str">
        <f>VLOOKUP(A18,'Trips&amp;Operators'!$C$1:$E$10000,3,FALSE)</f>
        <v>YORK</v>
      </c>
      <c r="M18" s="11">
        <f t="shared" si="1"/>
        <v>3.6805555551836733E-2</v>
      </c>
      <c r="N18" s="12">
        <f t="shared" si="2"/>
        <v>52.999999994644895</v>
      </c>
      <c r="O18" s="12"/>
      <c r="P18" s="12"/>
      <c r="Q18" s="44"/>
      <c r="R18" s="44"/>
      <c r="S18" s="70">
        <f t="shared" si="9"/>
        <v>1</v>
      </c>
      <c r="T18" s="2" t="str">
        <f t="shared" si="3"/>
        <v>Southbound</v>
      </c>
      <c r="U18" s="2">
        <f>COUNTIFS(Variables!$M$2:$M$19,IF(T18="NorthBound","&gt;=","&lt;=")&amp;Y18,Variables!$M$2:$M$19,IF(T18="NorthBound","&lt;=","&gt;=")&amp;Z18)</f>
        <v>12</v>
      </c>
      <c r="V18" s="48" t="str">
        <f t="shared" si="4"/>
        <v>https://search-rtdc-monitor-bjffxe2xuh6vdkpspy63sjmuny.us-east-1.es.amazonaws.com/_plugin/kibana/#/discover/Steve-Slow-Train-Analysis-(2080s-and-2083s)?_g=(refreshInterval:(display:Off,section:0,value:0),time:(from:'2016-06-26 04:52:22-0600',mode:absolute,to:'2016-06-26 05:48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W18" s="48" t="str">
        <f t="shared" si="5"/>
        <v>N</v>
      </c>
      <c r="X18" s="48">
        <f t="shared" si="6"/>
        <v>1</v>
      </c>
      <c r="Y18" s="48">
        <f t="shared" si="7"/>
        <v>23.267299999999999</v>
      </c>
      <c r="Z18" s="48">
        <f t="shared" si="10"/>
        <v>1.72E-2</v>
      </c>
      <c r="AA18" s="48">
        <f t="shared" si="8"/>
        <v>23.2501</v>
      </c>
      <c r="AB18" s="49" t="e">
        <f>VLOOKUP(A18,#REF!,8,0)</f>
        <v>#REF!</v>
      </c>
      <c r="AC18" s="49" t="e">
        <f>VLOOKUP(A18,#REF!,3,0)</f>
        <v>#REF!</v>
      </c>
    </row>
    <row r="19" spans="1:29" s="2" customFormat="1" x14ac:dyDescent="0.25">
      <c r="A19" s="43" t="s">
        <v>235</v>
      </c>
      <c r="B19" s="43">
        <v>4020</v>
      </c>
      <c r="C19" s="43" t="s">
        <v>60</v>
      </c>
      <c r="D19" s="43" t="s">
        <v>236</v>
      </c>
      <c r="E19" s="25">
        <v>42547.186319444445</v>
      </c>
      <c r="F19" s="25">
        <v>42547.187384259261</v>
      </c>
      <c r="G19" s="31">
        <v>1</v>
      </c>
      <c r="H19" s="25" t="s">
        <v>194</v>
      </c>
      <c r="I19" s="25">
        <v>42547.213368055556</v>
      </c>
      <c r="J19" s="43">
        <v>0</v>
      </c>
      <c r="K19" s="43" t="str">
        <f t="shared" si="0"/>
        <v>4019/4020</v>
      </c>
      <c r="L19" s="43" t="str">
        <f>VLOOKUP(A19,'Trips&amp;Operators'!$C$1:$E$10000,3,FALSE)</f>
        <v>SANTIZO</v>
      </c>
      <c r="M19" s="11">
        <f t="shared" si="1"/>
        <v>2.5983796294895001E-2</v>
      </c>
      <c r="N19" s="12">
        <f t="shared" si="2"/>
        <v>37.416666664648801</v>
      </c>
      <c r="O19" s="12"/>
      <c r="P19" s="12"/>
      <c r="Q19" s="44"/>
      <c r="R19" s="44"/>
      <c r="S19" s="70">
        <f t="shared" si="9"/>
        <v>1</v>
      </c>
      <c r="T19" s="2" t="str">
        <f t="shared" si="3"/>
        <v>NorthBound</v>
      </c>
      <c r="U19" s="2">
        <f>COUNTIFS(Variables!$M$2:$M$19,IF(T19="NorthBound","&gt;=","&lt;=")&amp;Y19,Variables!$M$2:$M$19,IF(T19="NorthBound","&lt;=","&gt;=")&amp;Z19)</f>
        <v>12</v>
      </c>
      <c r="V19" s="48" t="str">
        <f t="shared" si="4"/>
        <v>https://search-rtdc-monitor-bjffxe2xuh6vdkpspy63sjmuny.us-east-1.es.amazonaws.com/_plugin/kibana/#/discover/Steve-Slow-Train-Analysis-(2080s-and-2083s)?_g=(refreshInterval:(display:Off,section:0,value:0),time:(from:'2016-06-26 04:27:18-0600',mode:absolute,to:'2016-06-26 05:08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19" s="48" t="str">
        <f t="shared" si="5"/>
        <v>N</v>
      </c>
      <c r="X19" s="48">
        <f t="shared" si="6"/>
        <v>1</v>
      </c>
      <c r="Y19" s="48">
        <f t="shared" si="7"/>
        <v>4.3799999999999999E-2</v>
      </c>
      <c r="Z19" s="48">
        <f t="shared" si="10"/>
        <v>23.330500000000001</v>
      </c>
      <c r="AA19" s="48">
        <f t="shared" si="8"/>
        <v>23.2867</v>
      </c>
      <c r="AB19" s="49" t="e">
        <f>VLOOKUP(A19,#REF!,8,0)</f>
        <v>#REF!</v>
      </c>
      <c r="AC19" s="49" t="e">
        <f>VLOOKUP(A19,#REF!,3,0)</f>
        <v>#REF!</v>
      </c>
    </row>
    <row r="20" spans="1:29" s="2" customFormat="1" x14ac:dyDescent="0.25">
      <c r="A20" s="43" t="s">
        <v>237</v>
      </c>
      <c r="B20" s="43">
        <v>4019</v>
      </c>
      <c r="C20" s="43" t="s">
        <v>60</v>
      </c>
      <c r="D20" s="43" t="s">
        <v>238</v>
      </c>
      <c r="E20" s="25">
        <v>42547.235300925924</v>
      </c>
      <c r="F20" s="25">
        <v>42547.236006944448</v>
      </c>
      <c r="G20" s="31">
        <v>1</v>
      </c>
      <c r="H20" s="25" t="s">
        <v>75</v>
      </c>
      <c r="I20" s="25">
        <v>42547.255636574075</v>
      </c>
      <c r="J20" s="43">
        <v>0</v>
      </c>
      <c r="K20" s="43" t="str">
        <f t="shared" si="0"/>
        <v>4019/4020</v>
      </c>
      <c r="L20" s="43" t="str">
        <f>VLOOKUP(A20,'Trips&amp;Operators'!$C$1:$E$10000,3,FALSE)</f>
        <v>SANTIZO</v>
      </c>
      <c r="M20" s="11">
        <f t="shared" si="1"/>
        <v>1.9629629627161194E-2</v>
      </c>
      <c r="N20" s="12"/>
      <c r="O20" s="12"/>
      <c r="P20" s="12">
        <f>24*60*SUM($M20:$M20)</f>
        <v>28.266666663112119</v>
      </c>
      <c r="Q20" s="44"/>
      <c r="R20" s="44" t="s">
        <v>490</v>
      </c>
      <c r="S20" s="70">
        <f t="shared" si="9"/>
        <v>1</v>
      </c>
      <c r="T20" s="2" t="str">
        <f t="shared" si="3"/>
        <v>Southbound</v>
      </c>
      <c r="U20" s="2">
        <f>COUNTIFS(Variables!$M$2:$M$19,IF(T20="NorthBound","&gt;=","&lt;=")&amp;Y20,Variables!$M$2:$M$19,IF(T20="NorthBound","&lt;=","&gt;=")&amp;Z20)</f>
        <v>12</v>
      </c>
      <c r="V20" s="48" t="str">
        <f t="shared" si="4"/>
        <v>https://search-rtdc-monitor-bjffxe2xuh6vdkpspy63sjmuny.us-east-1.es.amazonaws.com/_plugin/kibana/#/discover/Steve-Slow-Train-Analysis-(2080s-and-2083s)?_g=(refreshInterval:(display:Off,section:0,value:0),time:(from:'2016-06-26 05:37:50-0600',mode:absolute,to:'2016-06-26 06:09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20" s="48" t="str">
        <f t="shared" si="5"/>
        <v>Y</v>
      </c>
      <c r="X20" s="48">
        <f t="shared" si="6"/>
        <v>1</v>
      </c>
      <c r="Y20" s="48">
        <f t="shared" si="7"/>
        <v>15.4016</v>
      </c>
      <c r="Z20" s="48">
        <f t="shared" si="10"/>
        <v>1.49E-2</v>
      </c>
      <c r="AA20" s="48">
        <f t="shared" si="8"/>
        <v>15.386699999999999</v>
      </c>
      <c r="AB20" s="49" t="e">
        <f>VLOOKUP(A20,#REF!,8,0)</f>
        <v>#REF!</v>
      </c>
      <c r="AC20" s="49" t="e">
        <f>VLOOKUP(A20,#REF!,3,0)</f>
        <v>#REF!</v>
      </c>
    </row>
    <row r="21" spans="1:29" s="2" customFormat="1" x14ac:dyDescent="0.25">
      <c r="A21" s="43" t="s">
        <v>239</v>
      </c>
      <c r="B21" s="43">
        <v>4042</v>
      </c>
      <c r="C21" s="43" t="s">
        <v>60</v>
      </c>
      <c r="D21" s="43" t="s">
        <v>240</v>
      </c>
      <c r="E21" s="25">
        <v>42547.195243055554</v>
      </c>
      <c r="F21" s="25">
        <v>42547.196319444447</v>
      </c>
      <c r="G21" s="31">
        <v>1</v>
      </c>
      <c r="H21" s="25" t="s">
        <v>97</v>
      </c>
      <c r="I21" s="25">
        <v>42547.223749999997</v>
      </c>
      <c r="J21" s="43">
        <v>1</v>
      </c>
      <c r="K21" s="43" t="str">
        <f t="shared" si="0"/>
        <v>4041/4042</v>
      </c>
      <c r="L21" s="43" t="str">
        <f>VLOOKUP(A21,'Trips&amp;Operators'!$C$1:$E$10000,3,FALSE)</f>
        <v>MALAVE</v>
      </c>
      <c r="M21" s="11">
        <f t="shared" si="1"/>
        <v>2.7430555550381541E-2</v>
      </c>
      <c r="N21" s="12">
        <f t="shared" ref="N21:N34" si="11">24*60*SUM($M21:$M21)</f>
        <v>39.499999992549419</v>
      </c>
      <c r="O21" s="12"/>
      <c r="P21" s="12"/>
      <c r="Q21" s="44"/>
      <c r="R21" s="44"/>
      <c r="S21" s="70">
        <f t="shared" si="9"/>
        <v>1</v>
      </c>
      <c r="T21" s="2" t="str">
        <f t="shared" si="3"/>
        <v>NorthBound</v>
      </c>
      <c r="U21" s="2">
        <f>COUNTIFS(Variables!$M$2:$M$19,IF(T21="NorthBound","&gt;=","&lt;=")&amp;Y21,Variables!$M$2:$M$19,IF(T21="NorthBound","&lt;=","&gt;=")&amp;Z21)</f>
        <v>12</v>
      </c>
      <c r="V21" s="48" t="str">
        <f t="shared" si="4"/>
        <v>https://search-rtdc-monitor-bjffxe2xuh6vdkpspy63sjmuny.us-east-1.es.amazonaws.com/_plugin/kibana/#/discover/Steve-Slow-Train-Analysis-(2080s-and-2083s)?_g=(refreshInterval:(display:Off,section:0,value:0),time:(from:'2016-06-26 04:40:09-0600',mode:absolute,to:'2016-06-26 05:23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W21" s="48" t="str">
        <f t="shared" si="5"/>
        <v>N</v>
      </c>
      <c r="X21" s="48">
        <f t="shared" si="6"/>
        <v>1</v>
      </c>
      <c r="Y21" s="48">
        <f t="shared" si="7"/>
        <v>4.8800000000000003E-2</v>
      </c>
      <c r="Z21" s="48">
        <f t="shared" si="10"/>
        <v>23.329499999999999</v>
      </c>
      <c r="AA21" s="48">
        <f t="shared" si="8"/>
        <v>23.2807</v>
      </c>
      <c r="AB21" s="49" t="e">
        <f>VLOOKUP(A21,#REF!,8,0)</f>
        <v>#REF!</v>
      </c>
      <c r="AC21" s="49" t="e">
        <f>VLOOKUP(A21,#REF!,3,0)</f>
        <v>#REF!</v>
      </c>
    </row>
    <row r="22" spans="1:29" s="2" customFormat="1" x14ac:dyDescent="0.25">
      <c r="A22" s="43" t="s">
        <v>241</v>
      </c>
      <c r="B22" s="43">
        <v>4041</v>
      </c>
      <c r="C22" s="43" t="s">
        <v>60</v>
      </c>
      <c r="D22" s="43" t="s">
        <v>196</v>
      </c>
      <c r="E22" s="25">
        <v>42547.234803240739</v>
      </c>
      <c r="F22" s="25">
        <v>42547.23574074074</v>
      </c>
      <c r="G22" s="31">
        <v>1</v>
      </c>
      <c r="H22" s="25" t="s">
        <v>62</v>
      </c>
      <c r="I22" s="25">
        <v>42547.264525462961</v>
      </c>
      <c r="J22" s="43">
        <v>1</v>
      </c>
      <c r="K22" s="43" t="str">
        <f t="shared" si="0"/>
        <v>4041/4042</v>
      </c>
      <c r="L22" s="43" t="str">
        <f>VLOOKUP(A22,'Trips&amp;Operators'!$C$1:$E$10000,3,FALSE)</f>
        <v>MALAVE</v>
      </c>
      <c r="M22" s="11">
        <f t="shared" si="1"/>
        <v>2.8784722220734693E-2</v>
      </c>
      <c r="N22" s="12">
        <f t="shared" si="11"/>
        <v>41.449999997857958</v>
      </c>
      <c r="O22" s="12"/>
      <c r="P22" s="12"/>
      <c r="Q22" s="44"/>
      <c r="R22" s="44"/>
      <c r="S22" s="70">
        <f t="shared" si="9"/>
        <v>1</v>
      </c>
      <c r="T22" s="2" t="str">
        <f t="shared" si="3"/>
        <v>Southbound</v>
      </c>
      <c r="U22" s="2">
        <f>COUNTIFS(Variables!$M$2:$M$19,IF(T22="NorthBound","&gt;=","&lt;=")&amp;Y22,Variables!$M$2:$M$19,IF(T22="NorthBound","&lt;=","&gt;=")&amp;Z22)</f>
        <v>12</v>
      </c>
      <c r="V22" s="48" t="str">
        <f t="shared" si="4"/>
        <v>https://search-rtdc-monitor-bjffxe2xuh6vdkpspy63sjmuny.us-east-1.es.amazonaws.com/_plugin/kibana/#/discover/Steve-Slow-Train-Analysis-(2080s-and-2083s)?_g=(refreshInterval:(display:Off,section:0,value:0),time:(from:'2016-06-26 05:37:07-0600',mode:absolute,to:'2016-06-26 06:21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W22" s="48" t="str">
        <f t="shared" si="5"/>
        <v>N</v>
      </c>
      <c r="X22" s="48">
        <f t="shared" si="6"/>
        <v>1</v>
      </c>
      <c r="Y22" s="48">
        <f t="shared" si="7"/>
        <v>23.299299999999999</v>
      </c>
      <c r="Z22" s="48">
        <f t="shared" si="10"/>
        <v>1.52E-2</v>
      </c>
      <c r="AA22" s="48">
        <f t="shared" si="8"/>
        <v>23.284099999999999</v>
      </c>
      <c r="AB22" s="49" t="e">
        <f>VLOOKUP(A22,#REF!,8,0)</f>
        <v>#REF!</v>
      </c>
      <c r="AC22" s="49" t="e">
        <f>VLOOKUP(A22,#REF!,3,0)</f>
        <v>#REF!</v>
      </c>
    </row>
    <row r="23" spans="1:29" s="2" customFormat="1" x14ac:dyDescent="0.25">
      <c r="A23" s="43" t="s">
        <v>242</v>
      </c>
      <c r="B23" s="43">
        <v>4011</v>
      </c>
      <c r="C23" s="43" t="s">
        <v>60</v>
      </c>
      <c r="D23" s="43" t="s">
        <v>192</v>
      </c>
      <c r="E23" s="25">
        <v>42547.205150462964</v>
      </c>
      <c r="F23" s="25">
        <v>42547.206828703704</v>
      </c>
      <c r="G23" s="31">
        <v>2</v>
      </c>
      <c r="H23" s="25" t="s">
        <v>243</v>
      </c>
      <c r="I23" s="25">
        <v>42547.23364583333</v>
      </c>
      <c r="J23" s="43">
        <v>0</v>
      </c>
      <c r="K23" s="43" t="str">
        <f t="shared" si="0"/>
        <v>4011/4012</v>
      </c>
      <c r="L23" s="43" t="str">
        <f>VLOOKUP(A23,'Trips&amp;Operators'!$C$1:$E$10000,3,FALSE)</f>
        <v>GEBRETEKLE</v>
      </c>
      <c r="M23" s="11">
        <f t="shared" si="1"/>
        <v>2.6817129626579117E-2</v>
      </c>
      <c r="N23" s="12">
        <f t="shared" si="11"/>
        <v>38.616666662273929</v>
      </c>
      <c r="O23" s="12"/>
      <c r="P23" s="12"/>
      <c r="Q23" s="44"/>
      <c r="R23" s="44"/>
      <c r="S23" s="70">
        <f t="shared" si="9"/>
        <v>1</v>
      </c>
      <c r="T23" s="2" t="str">
        <f t="shared" si="3"/>
        <v>NorthBound</v>
      </c>
      <c r="U23" s="2">
        <f>COUNTIFS(Variables!$M$2:$M$19,IF(T23="NorthBound","&gt;=","&lt;=")&amp;Y23,Variables!$M$2:$M$19,IF(T23="NorthBound","&lt;=","&gt;=")&amp;Z23)</f>
        <v>12</v>
      </c>
      <c r="V23" s="48" t="str">
        <f t="shared" si="4"/>
        <v>https://search-rtdc-monitor-bjffxe2xuh6vdkpspy63sjmuny.us-east-1.es.amazonaws.com/_plugin/kibana/#/discover/Steve-Slow-Train-Analysis-(2080s-and-2083s)?_g=(refreshInterval:(display:Off,section:0,value:0),time:(from:'2016-06-26 04:54:25-0600',mode:absolute,to:'2016-06-26 05:37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23" s="48" t="str">
        <f t="shared" si="5"/>
        <v>N</v>
      </c>
      <c r="X23" s="48">
        <f t="shared" si="6"/>
        <v>1</v>
      </c>
      <c r="Y23" s="48">
        <f t="shared" si="7"/>
        <v>7.8100000000000003E-2</v>
      </c>
      <c r="Z23" s="48">
        <f t="shared" si="10"/>
        <v>23.331800000000001</v>
      </c>
      <c r="AA23" s="48">
        <f t="shared" si="8"/>
        <v>23.253700000000002</v>
      </c>
      <c r="AB23" s="49" t="e">
        <f>VLOOKUP(A23,#REF!,8,0)</f>
        <v>#REF!</v>
      </c>
      <c r="AC23" s="49" t="e">
        <f>VLOOKUP(A23,#REF!,3,0)</f>
        <v>#REF!</v>
      </c>
    </row>
    <row r="24" spans="1:29" s="2" customFormat="1" x14ac:dyDescent="0.25">
      <c r="A24" s="43" t="s">
        <v>244</v>
      </c>
      <c r="B24" s="43">
        <v>4012</v>
      </c>
      <c r="C24" s="43" t="s">
        <v>60</v>
      </c>
      <c r="D24" s="43" t="s">
        <v>133</v>
      </c>
      <c r="E24" s="25">
        <v>42547.243009259262</v>
      </c>
      <c r="F24" s="25">
        <v>42547.244120370371</v>
      </c>
      <c r="G24" s="31">
        <v>1</v>
      </c>
      <c r="H24" s="25" t="s">
        <v>74</v>
      </c>
      <c r="I24" s="25">
        <v>42547.273668981485</v>
      </c>
      <c r="J24" s="43">
        <v>0</v>
      </c>
      <c r="K24" s="43" t="str">
        <f t="shared" si="0"/>
        <v>4011/4012</v>
      </c>
      <c r="L24" s="43" t="str">
        <f>VLOOKUP(A24,'Trips&amp;Operators'!$C$1:$E$10000,3,FALSE)</f>
        <v>GEBRETEKLE</v>
      </c>
      <c r="M24" s="11">
        <f t="shared" si="1"/>
        <v>2.9548611113568768E-2</v>
      </c>
      <c r="N24" s="12">
        <f t="shared" si="11"/>
        <v>42.550000003539026</v>
      </c>
      <c r="O24" s="12"/>
      <c r="P24" s="12"/>
      <c r="Q24" s="44"/>
      <c r="R24" s="44"/>
      <c r="S24" s="70">
        <f t="shared" si="9"/>
        <v>1</v>
      </c>
      <c r="T24" s="2" t="str">
        <f t="shared" si="3"/>
        <v>Southbound</v>
      </c>
      <c r="U24" s="2">
        <f>COUNTIFS(Variables!$M$2:$M$19,IF(T24="NorthBound","&gt;=","&lt;=")&amp;Y24,Variables!$M$2:$M$19,IF(T24="NorthBound","&lt;=","&gt;=")&amp;Z24)</f>
        <v>12</v>
      </c>
      <c r="V24" s="48" t="str">
        <f t="shared" si="4"/>
        <v>https://search-rtdc-monitor-bjffxe2xuh6vdkpspy63sjmuny.us-east-1.es.amazonaws.com/_plugin/kibana/#/discover/Steve-Slow-Train-Analysis-(2080s-and-2083s)?_g=(refreshInterval:(display:Off,section:0,value:0),time:(from:'2016-06-26 05:48:56-0600',mode:absolute,to:'2016-06-26 06:35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24" s="48" t="str">
        <f t="shared" si="5"/>
        <v>N</v>
      </c>
      <c r="X24" s="48">
        <f t="shared" si="6"/>
        <v>1</v>
      </c>
      <c r="Y24" s="48">
        <f t="shared" si="7"/>
        <v>23.298200000000001</v>
      </c>
      <c r="Z24" s="48">
        <f t="shared" si="10"/>
        <v>1.41E-2</v>
      </c>
      <c r="AA24" s="48">
        <f t="shared" si="8"/>
        <v>23.284100000000002</v>
      </c>
      <c r="AB24" s="49" t="e">
        <f>VLOOKUP(A24,#REF!,8,0)</f>
        <v>#REF!</v>
      </c>
      <c r="AC24" s="49" t="e">
        <f>VLOOKUP(A24,#REF!,3,0)</f>
        <v>#REF!</v>
      </c>
    </row>
    <row r="25" spans="1:29" s="2" customFormat="1" x14ac:dyDescent="0.25">
      <c r="A25" s="43" t="s">
        <v>245</v>
      </c>
      <c r="B25" s="43">
        <v>4007</v>
      </c>
      <c r="C25" s="43" t="s">
        <v>60</v>
      </c>
      <c r="D25" s="43" t="s">
        <v>246</v>
      </c>
      <c r="E25" s="25">
        <v>42547.210775462961</v>
      </c>
      <c r="F25" s="25">
        <v>42547.21234953704</v>
      </c>
      <c r="G25" s="31">
        <v>2</v>
      </c>
      <c r="H25" s="25" t="s">
        <v>175</v>
      </c>
      <c r="I25" s="25">
        <v>42547.244884259257</v>
      </c>
      <c r="J25" s="43">
        <v>0</v>
      </c>
      <c r="K25" s="43" t="str">
        <f t="shared" si="0"/>
        <v>4007/4008</v>
      </c>
      <c r="L25" s="43" t="str">
        <f>VLOOKUP(A25,'Trips&amp;Operators'!$C$1:$E$10000,3,FALSE)</f>
        <v>CANFIELD</v>
      </c>
      <c r="M25" s="11">
        <f t="shared" si="1"/>
        <v>3.2534722216951195E-2</v>
      </c>
      <c r="N25" s="12">
        <f t="shared" si="11"/>
        <v>46.849999992409721</v>
      </c>
      <c r="O25" s="12"/>
      <c r="P25" s="12"/>
      <c r="Q25" s="44"/>
      <c r="R25" s="44"/>
      <c r="S25" s="70">
        <f t="shared" si="9"/>
        <v>1</v>
      </c>
      <c r="T25" s="2" t="str">
        <f t="shared" si="3"/>
        <v>NorthBound</v>
      </c>
      <c r="U25" s="2">
        <f>COUNTIFS(Variables!$M$2:$M$19,IF(T25="NorthBound","&gt;=","&lt;=")&amp;Y25,Variables!$M$2:$M$19,IF(T25="NorthBound","&lt;=","&gt;=")&amp;Z25)</f>
        <v>12</v>
      </c>
      <c r="V25" s="48" t="str">
        <f t="shared" si="4"/>
        <v>https://search-rtdc-monitor-bjffxe2xuh6vdkpspy63sjmuny.us-east-1.es.amazonaws.com/_plugin/kibana/#/discover/Steve-Slow-Train-Analysis-(2080s-and-2083s)?_g=(refreshInterval:(display:Off,section:0,value:0),time:(from:'2016-06-26 05:02:31-0600',mode:absolute,to:'2016-06-26 05:53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W25" s="48" t="str">
        <f t="shared" si="5"/>
        <v>N</v>
      </c>
      <c r="X25" s="48">
        <f t="shared" si="6"/>
        <v>1</v>
      </c>
      <c r="Y25" s="48">
        <f t="shared" si="7"/>
        <v>4.8899999999999999E-2</v>
      </c>
      <c r="Z25" s="48">
        <f t="shared" si="10"/>
        <v>23.331199999999999</v>
      </c>
      <c r="AA25" s="48">
        <f t="shared" si="8"/>
        <v>23.282299999999999</v>
      </c>
      <c r="AB25" s="49" t="e">
        <f>VLOOKUP(A25,#REF!,8,0)</f>
        <v>#REF!</v>
      </c>
      <c r="AC25" s="49" t="e">
        <f>VLOOKUP(A25,#REF!,3,0)</f>
        <v>#REF!</v>
      </c>
    </row>
    <row r="26" spans="1:29" s="2" customFormat="1" x14ac:dyDescent="0.25">
      <c r="A26" s="43" t="s">
        <v>247</v>
      </c>
      <c r="B26" s="43">
        <v>4008</v>
      </c>
      <c r="C26" s="43" t="s">
        <v>60</v>
      </c>
      <c r="D26" s="43" t="s">
        <v>181</v>
      </c>
      <c r="E26" s="25">
        <v>42547.252268518518</v>
      </c>
      <c r="F26" s="25">
        <v>42547.253310185188</v>
      </c>
      <c r="G26" s="31">
        <v>1</v>
      </c>
      <c r="H26" s="25" t="s">
        <v>61</v>
      </c>
      <c r="I26" s="25">
        <v>42547.283425925925</v>
      </c>
      <c r="J26" s="43">
        <v>0</v>
      </c>
      <c r="K26" s="43" t="str">
        <f t="shared" si="0"/>
        <v>4007/4008</v>
      </c>
      <c r="L26" s="43" t="str">
        <f>VLOOKUP(A26,'Trips&amp;Operators'!$C$1:$E$10000,3,FALSE)</f>
        <v>CANFIELD</v>
      </c>
      <c r="M26" s="11">
        <f t="shared" si="1"/>
        <v>3.011574073752854E-2</v>
      </c>
      <c r="N26" s="12">
        <f t="shared" si="11"/>
        <v>43.366666662041098</v>
      </c>
      <c r="O26" s="12"/>
      <c r="P26" s="12"/>
      <c r="Q26" s="44"/>
      <c r="R26" s="44"/>
      <c r="S26" s="70">
        <f t="shared" si="9"/>
        <v>1</v>
      </c>
      <c r="T26" s="2" t="str">
        <f t="shared" si="3"/>
        <v>Southbound</v>
      </c>
      <c r="U26" s="2">
        <f>COUNTIFS(Variables!$M$2:$M$19,IF(T26="NorthBound","&gt;=","&lt;=")&amp;Y26,Variables!$M$2:$M$19,IF(T26="NorthBound","&lt;=","&gt;=")&amp;Z26)</f>
        <v>12</v>
      </c>
      <c r="V26" s="48" t="str">
        <f t="shared" si="4"/>
        <v>https://search-rtdc-monitor-bjffxe2xuh6vdkpspy63sjmuny.us-east-1.es.amazonaws.com/_plugin/kibana/#/discover/Steve-Slow-Train-Analysis-(2080s-and-2083s)?_g=(refreshInterval:(display:Off,section:0,value:0),time:(from:'2016-06-26 06:02:16-0600',mode:absolute,to:'2016-06-26 06:49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W26" s="48" t="str">
        <f t="shared" si="5"/>
        <v>N</v>
      </c>
      <c r="X26" s="48">
        <f t="shared" si="6"/>
        <v>1</v>
      </c>
      <c r="Y26" s="48">
        <f t="shared" si="7"/>
        <v>23.299399999999999</v>
      </c>
      <c r="Z26" s="48">
        <f t="shared" si="10"/>
        <v>1.4500000000000001E-2</v>
      </c>
      <c r="AA26" s="48">
        <f t="shared" si="8"/>
        <v>23.284899999999997</v>
      </c>
      <c r="AB26" s="49" t="e">
        <f>VLOOKUP(A26,#REF!,8,0)</f>
        <v>#REF!</v>
      </c>
      <c r="AC26" s="49" t="e">
        <f>VLOOKUP(A26,#REF!,3,0)</f>
        <v>#REF!</v>
      </c>
    </row>
    <row r="27" spans="1:29" s="2" customFormat="1" x14ac:dyDescent="0.25">
      <c r="A27" s="43" t="s">
        <v>248</v>
      </c>
      <c r="B27" s="43">
        <v>4038</v>
      </c>
      <c r="C27" s="43" t="s">
        <v>60</v>
      </c>
      <c r="D27" s="43" t="s">
        <v>191</v>
      </c>
      <c r="E27" s="25">
        <v>42547.223611111112</v>
      </c>
      <c r="F27" s="25">
        <v>42547.2265162037</v>
      </c>
      <c r="G27" s="31">
        <v>4</v>
      </c>
      <c r="H27" s="25" t="s">
        <v>249</v>
      </c>
      <c r="I27" s="25">
        <v>42547.255358796298</v>
      </c>
      <c r="J27" s="43">
        <v>1</v>
      </c>
      <c r="K27" s="43" t="str">
        <f t="shared" si="0"/>
        <v>4037/4038</v>
      </c>
      <c r="L27" s="43" t="str">
        <f>VLOOKUP(A27,'Trips&amp;Operators'!$C$1:$E$10000,3,FALSE)</f>
        <v>MAYBERRY</v>
      </c>
      <c r="M27" s="11">
        <f t="shared" si="1"/>
        <v>2.8842592597356997E-2</v>
      </c>
      <c r="N27" s="12">
        <f t="shared" si="11"/>
        <v>41.533333340194076</v>
      </c>
      <c r="O27" s="12"/>
      <c r="P27" s="12"/>
      <c r="Q27" s="44"/>
      <c r="R27" s="44"/>
      <c r="S27" s="70">
        <f t="shared" si="9"/>
        <v>1</v>
      </c>
      <c r="T27" s="2" t="str">
        <f t="shared" si="3"/>
        <v>NorthBound</v>
      </c>
      <c r="U27" s="2">
        <f>COUNTIFS(Variables!$M$2:$M$19,IF(T27="NorthBound","&gt;=","&lt;=")&amp;Y27,Variables!$M$2:$M$19,IF(T27="NorthBound","&lt;=","&gt;=")&amp;Z27)</f>
        <v>12</v>
      </c>
      <c r="V27" s="48" t="str">
        <f t="shared" si="4"/>
        <v>https://search-rtdc-monitor-bjffxe2xuh6vdkpspy63sjmuny.us-east-1.es.amazonaws.com/_plugin/kibana/#/discover/Steve-Slow-Train-Analysis-(2080s-and-2083s)?_g=(refreshInterval:(display:Off,section:0,value:0),time:(from:'2016-06-26 05:21:00-0600',mode:absolute,to:'2016-06-26 06:08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W27" s="48" t="str">
        <f t="shared" si="5"/>
        <v>N</v>
      </c>
      <c r="X27" s="48">
        <f t="shared" si="6"/>
        <v>1</v>
      </c>
      <c r="Y27" s="48">
        <f t="shared" si="7"/>
        <v>7.6300000000000007E-2</v>
      </c>
      <c r="Z27" s="48">
        <f t="shared" si="10"/>
        <v>23.3278</v>
      </c>
      <c r="AA27" s="48">
        <f t="shared" si="8"/>
        <v>23.2515</v>
      </c>
      <c r="AB27" s="49" t="e">
        <f>VLOOKUP(A27,#REF!,8,0)</f>
        <v>#REF!</v>
      </c>
      <c r="AC27" s="49" t="e">
        <f>VLOOKUP(A27,#REF!,3,0)</f>
        <v>#REF!</v>
      </c>
    </row>
    <row r="28" spans="1:29" s="2" customFormat="1" x14ac:dyDescent="0.25">
      <c r="A28" s="43" t="s">
        <v>250</v>
      </c>
      <c r="B28" s="43">
        <v>4037</v>
      </c>
      <c r="C28" s="43" t="s">
        <v>60</v>
      </c>
      <c r="D28" s="43" t="s">
        <v>251</v>
      </c>
      <c r="E28" s="25">
        <v>42547.260439814818</v>
      </c>
      <c r="F28" s="25">
        <v>42547.26152777778</v>
      </c>
      <c r="G28" s="31">
        <v>1</v>
      </c>
      <c r="H28" s="25" t="s">
        <v>252</v>
      </c>
      <c r="I28" s="25">
        <v>42547.296724537038</v>
      </c>
      <c r="J28" s="43">
        <v>1</v>
      </c>
      <c r="K28" s="43" t="str">
        <f t="shared" si="0"/>
        <v>4037/4038</v>
      </c>
      <c r="L28" s="43" t="str">
        <f>VLOOKUP(A28,'Trips&amp;Operators'!$C$1:$E$10000,3,FALSE)</f>
        <v>MAYBERRY</v>
      </c>
      <c r="M28" s="11">
        <f t="shared" si="1"/>
        <v>3.5196759257814847E-2</v>
      </c>
      <c r="N28" s="12">
        <f t="shared" si="11"/>
        <v>50.68333333125338</v>
      </c>
      <c r="O28" s="12"/>
      <c r="P28" s="12"/>
      <c r="Q28" s="44"/>
      <c r="R28" s="44"/>
      <c r="S28" s="70">
        <f t="shared" si="9"/>
        <v>1</v>
      </c>
      <c r="T28" s="2" t="str">
        <f t="shared" si="3"/>
        <v>Southbound</v>
      </c>
      <c r="U28" s="2">
        <f>COUNTIFS(Variables!$M$2:$M$19,IF(T28="NorthBound","&gt;=","&lt;=")&amp;Y28,Variables!$M$2:$M$19,IF(T28="NorthBound","&lt;=","&gt;=")&amp;Z28)</f>
        <v>12</v>
      </c>
      <c r="V28" s="48" t="str">
        <f t="shared" si="4"/>
        <v>https://search-rtdc-monitor-bjffxe2xuh6vdkpspy63sjmuny.us-east-1.es.amazonaws.com/_plugin/kibana/#/discover/Steve-Slow-Train-Analysis-(2080s-and-2083s)?_g=(refreshInterval:(display:Off,section:0,value:0),time:(from:'2016-06-26 06:14:02-0600',mode:absolute,to:'2016-06-26 07:08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W28" s="48" t="str">
        <f t="shared" si="5"/>
        <v>N</v>
      </c>
      <c r="X28" s="48">
        <f t="shared" si="6"/>
        <v>1</v>
      </c>
      <c r="Y28" s="48">
        <f t="shared" si="7"/>
        <v>23.2942</v>
      </c>
      <c r="Z28" s="48">
        <f t="shared" si="10"/>
        <v>1.9400000000000001E-2</v>
      </c>
      <c r="AA28" s="48">
        <f t="shared" si="8"/>
        <v>23.274799999999999</v>
      </c>
      <c r="AB28" s="49" t="e">
        <f>VLOOKUP(A28,#REF!,8,0)</f>
        <v>#REF!</v>
      </c>
      <c r="AC28" s="49" t="e">
        <f>VLOOKUP(A28,#REF!,3,0)</f>
        <v>#REF!</v>
      </c>
    </row>
    <row r="29" spans="1:29" s="2" customFormat="1" x14ac:dyDescent="0.25">
      <c r="A29" s="43" t="s">
        <v>253</v>
      </c>
      <c r="B29" s="43">
        <v>4018</v>
      </c>
      <c r="C29" s="43" t="s">
        <v>60</v>
      </c>
      <c r="D29" s="43" t="s">
        <v>135</v>
      </c>
      <c r="E29" s="25">
        <v>42547.232638888891</v>
      </c>
      <c r="F29" s="25">
        <v>42547.234259259261</v>
      </c>
      <c r="G29" s="31">
        <v>2</v>
      </c>
      <c r="H29" s="25" t="s">
        <v>254</v>
      </c>
      <c r="I29" s="25">
        <v>42547.264907407407</v>
      </c>
      <c r="J29" s="43">
        <v>0</v>
      </c>
      <c r="K29" s="43" t="str">
        <f t="shared" si="0"/>
        <v>4017/4018</v>
      </c>
      <c r="L29" s="43" t="str">
        <f>VLOOKUP(A29,'Trips&amp;Operators'!$C$1:$E$10000,3,FALSE)</f>
        <v>STURGEON</v>
      </c>
      <c r="M29" s="11">
        <f t="shared" si="1"/>
        <v>3.0648148145701271E-2</v>
      </c>
      <c r="N29" s="12">
        <f t="shared" si="11"/>
        <v>44.13333332980983</v>
      </c>
      <c r="O29" s="12"/>
      <c r="P29" s="12"/>
      <c r="Q29" s="44"/>
      <c r="R29" s="44"/>
      <c r="S29" s="70">
        <f t="shared" si="9"/>
        <v>1</v>
      </c>
      <c r="T29" s="2" t="str">
        <f t="shared" si="3"/>
        <v>NorthBound</v>
      </c>
      <c r="U29" s="2">
        <f>COUNTIFS(Variables!$M$2:$M$19,IF(T29="NorthBound","&gt;=","&lt;=")&amp;Y29,Variables!$M$2:$M$19,IF(T29="NorthBound","&lt;=","&gt;=")&amp;Z29)</f>
        <v>12</v>
      </c>
      <c r="V29" s="48" t="str">
        <f t="shared" si="4"/>
        <v>https://search-rtdc-monitor-bjffxe2xuh6vdkpspy63sjmuny.us-east-1.es.amazonaws.com/_plugin/kibana/#/discover/Steve-Slow-Train-Analysis-(2080s-and-2083s)?_g=(refreshInterval:(display:Off,section:0,value:0),time:(from:'2016-06-26 05:34:00-0600',mode:absolute,to:'2016-06-26 06:22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29" s="48" t="str">
        <f t="shared" si="5"/>
        <v>N</v>
      </c>
      <c r="X29" s="48">
        <f t="shared" si="6"/>
        <v>1</v>
      </c>
      <c r="Y29" s="48">
        <f t="shared" si="7"/>
        <v>4.7300000000000002E-2</v>
      </c>
      <c r="Z29" s="48">
        <f t="shared" si="10"/>
        <v>23.213699999999999</v>
      </c>
      <c r="AA29" s="48">
        <f t="shared" si="8"/>
        <v>23.166399999999999</v>
      </c>
      <c r="AB29" s="49" t="e">
        <f>VLOOKUP(A29,#REF!,8,0)</f>
        <v>#REF!</v>
      </c>
      <c r="AC29" s="49" t="e">
        <f>VLOOKUP(A29,#REF!,3,0)</f>
        <v>#REF!</v>
      </c>
    </row>
    <row r="30" spans="1:29" s="2" customFormat="1" x14ac:dyDescent="0.25">
      <c r="A30" s="43" t="s">
        <v>255</v>
      </c>
      <c r="B30" s="43">
        <v>4017</v>
      </c>
      <c r="C30" s="43" t="s">
        <v>60</v>
      </c>
      <c r="D30" s="43" t="s">
        <v>71</v>
      </c>
      <c r="E30" s="25">
        <v>42547.270497685182</v>
      </c>
      <c r="F30" s="25">
        <v>42547.271435185183</v>
      </c>
      <c r="G30" s="31">
        <v>1</v>
      </c>
      <c r="H30" s="25" t="s">
        <v>62</v>
      </c>
      <c r="I30" s="25">
        <v>42547.305208333331</v>
      </c>
      <c r="J30" s="43">
        <v>0</v>
      </c>
      <c r="K30" s="43" t="str">
        <f t="shared" si="0"/>
        <v>4017/4018</v>
      </c>
      <c r="L30" s="43" t="str">
        <f>VLOOKUP(A30,'Trips&amp;Operators'!$C$1:$E$10000,3,FALSE)</f>
        <v>STURGEON</v>
      </c>
      <c r="M30" s="11">
        <f t="shared" si="1"/>
        <v>3.3773148148611654E-2</v>
      </c>
      <c r="N30" s="12">
        <f t="shared" si="11"/>
        <v>48.633333334000781</v>
      </c>
      <c r="O30" s="12"/>
      <c r="P30" s="12"/>
      <c r="Q30" s="44"/>
      <c r="R30" s="44"/>
      <c r="S30" s="70">
        <f t="shared" si="9"/>
        <v>1</v>
      </c>
      <c r="T30" s="2" t="str">
        <f t="shared" si="3"/>
        <v>Southbound</v>
      </c>
      <c r="U30" s="2">
        <f>COUNTIFS(Variables!$M$2:$M$19,IF(T30="NorthBound","&gt;=","&lt;=")&amp;Y30,Variables!$M$2:$M$19,IF(T30="NorthBound","&lt;=","&gt;=")&amp;Z30)</f>
        <v>12</v>
      </c>
      <c r="V30" s="48" t="str">
        <f t="shared" si="4"/>
        <v>https://search-rtdc-monitor-bjffxe2xuh6vdkpspy63sjmuny.us-east-1.es.amazonaws.com/_plugin/kibana/#/discover/Steve-Slow-Train-Analysis-(2080s-and-2083s)?_g=(refreshInterval:(display:Off,section:0,value:0),time:(from:'2016-06-26 06:28:31-0600',mode:absolute,to:'2016-06-26 07:20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30" s="48" t="str">
        <f t="shared" si="5"/>
        <v>N</v>
      </c>
      <c r="X30" s="48">
        <f t="shared" si="6"/>
        <v>1</v>
      </c>
      <c r="Y30" s="48">
        <f t="shared" si="7"/>
        <v>23.297699999999999</v>
      </c>
      <c r="Z30" s="48">
        <f t="shared" si="10"/>
        <v>1.52E-2</v>
      </c>
      <c r="AA30" s="48">
        <f t="shared" si="8"/>
        <v>23.282499999999999</v>
      </c>
      <c r="AB30" s="49" t="e">
        <f>VLOOKUP(A30,#REF!,8,0)</f>
        <v>#REF!</v>
      </c>
      <c r="AC30" s="49" t="e">
        <f>VLOOKUP(A30,#REF!,3,0)</f>
        <v>#REF!</v>
      </c>
    </row>
    <row r="31" spans="1:29" s="2" customFormat="1" x14ac:dyDescent="0.25">
      <c r="A31" s="43" t="s">
        <v>256</v>
      </c>
      <c r="B31" s="43">
        <v>4025</v>
      </c>
      <c r="C31" s="43" t="s">
        <v>60</v>
      </c>
      <c r="D31" s="43" t="s">
        <v>257</v>
      </c>
      <c r="E31" s="25">
        <v>42547.247939814813</v>
      </c>
      <c r="F31" s="25">
        <v>42547.248912037037</v>
      </c>
      <c r="G31" s="31">
        <v>1</v>
      </c>
      <c r="H31" s="25" t="s">
        <v>112</v>
      </c>
      <c r="I31" s="25">
        <v>42547.274872685186</v>
      </c>
      <c r="J31" s="43">
        <v>1</v>
      </c>
      <c r="K31" s="43" t="str">
        <f t="shared" si="0"/>
        <v>4025/4026</v>
      </c>
      <c r="L31" s="43" t="str">
        <f>VLOOKUP(A31,'Trips&amp;Operators'!$C$1:$E$10000,3,FALSE)</f>
        <v>YORK</v>
      </c>
      <c r="M31" s="11">
        <f t="shared" si="1"/>
        <v>2.5960648148611654E-2</v>
      </c>
      <c r="N31" s="12">
        <f t="shared" si="11"/>
        <v>37.383333334000781</v>
      </c>
      <c r="O31" s="12"/>
      <c r="P31" s="12"/>
      <c r="Q31" s="44"/>
      <c r="R31" s="44"/>
      <c r="S31" s="70">
        <f t="shared" si="9"/>
        <v>1</v>
      </c>
      <c r="T31" s="2" t="str">
        <f t="shared" si="3"/>
        <v>NorthBound</v>
      </c>
      <c r="U31" s="2">
        <f>COUNTIFS(Variables!$M$2:$M$19,IF(T31="NorthBound","&gt;=","&lt;=")&amp;Y31,Variables!$M$2:$M$19,IF(T31="NorthBound","&lt;=","&gt;=")&amp;Z31)</f>
        <v>12</v>
      </c>
      <c r="V31" s="48" t="str">
        <f t="shared" si="4"/>
        <v>https://search-rtdc-monitor-bjffxe2xuh6vdkpspy63sjmuny.us-east-1.es.amazonaws.com/_plugin/kibana/#/discover/Steve-Slow-Train-Analysis-(2080s-and-2083s)?_g=(refreshInterval:(display:Off,section:0,value:0),time:(from:'2016-06-26 05:56:02-0600',mode:absolute,to:'2016-06-26 06:36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31" s="48" t="str">
        <f t="shared" si="5"/>
        <v>N</v>
      </c>
      <c r="X31" s="48">
        <f t="shared" si="6"/>
        <v>1</v>
      </c>
      <c r="Y31" s="48">
        <f t="shared" si="7"/>
        <v>7.8299999999999995E-2</v>
      </c>
      <c r="Z31" s="48">
        <f t="shared" si="10"/>
        <v>23.3307</v>
      </c>
      <c r="AA31" s="48">
        <f t="shared" si="8"/>
        <v>23.252400000000002</v>
      </c>
      <c r="AB31" s="49" t="e">
        <f>VLOOKUP(A31,#REF!,8,0)</f>
        <v>#REF!</v>
      </c>
      <c r="AC31" s="49" t="e">
        <f>VLOOKUP(A31,#REF!,3,0)</f>
        <v>#REF!</v>
      </c>
    </row>
    <row r="32" spans="1:29" s="2" customFormat="1" x14ac:dyDescent="0.25">
      <c r="A32" s="43" t="s">
        <v>258</v>
      </c>
      <c r="B32" s="43">
        <v>4026</v>
      </c>
      <c r="C32" s="43" t="s">
        <v>60</v>
      </c>
      <c r="D32" s="43" t="s">
        <v>85</v>
      </c>
      <c r="E32" s="25">
        <v>42547.275868055556</v>
      </c>
      <c r="F32" s="25">
        <v>42547.276701388888</v>
      </c>
      <c r="G32" s="31">
        <v>1</v>
      </c>
      <c r="H32" s="25" t="s">
        <v>113</v>
      </c>
      <c r="I32" s="25">
        <v>42547.314756944441</v>
      </c>
      <c r="J32" s="43">
        <v>0</v>
      </c>
      <c r="K32" s="43" t="str">
        <f t="shared" si="0"/>
        <v>4025/4026</v>
      </c>
      <c r="L32" s="43" t="str">
        <f>VLOOKUP(A32,'Trips&amp;Operators'!$C$1:$E$10000,3,FALSE)</f>
        <v>YORK</v>
      </c>
      <c r="M32" s="11">
        <f t="shared" si="1"/>
        <v>3.8055555553000886E-2</v>
      </c>
      <c r="N32" s="12">
        <f t="shared" si="11"/>
        <v>54.799999996321276</v>
      </c>
      <c r="O32" s="12"/>
      <c r="P32" s="12"/>
      <c r="Q32" s="44"/>
      <c r="R32" s="44"/>
      <c r="S32" s="70">
        <f t="shared" si="9"/>
        <v>1</v>
      </c>
      <c r="T32" s="2" t="str">
        <f t="shared" si="3"/>
        <v>Southbound</v>
      </c>
      <c r="U32" s="2">
        <f>COUNTIFS(Variables!$M$2:$M$19,IF(T32="NorthBound","&gt;=","&lt;=")&amp;Y32,Variables!$M$2:$M$19,IF(T32="NorthBound","&lt;=","&gt;=")&amp;Z32)</f>
        <v>12</v>
      </c>
      <c r="V32" s="48" t="str">
        <f t="shared" si="4"/>
        <v>https://search-rtdc-monitor-bjffxe2xuh6vdkpspy63sjmuny.us-east-1.es.amazonaws.com/_plugin/kibana/#/discover/Steve-Slow-Train-Analysis-(2080s-and-2083s)?_g=(refreshInterval:(display:Off,section:0,value:0),time:(from:'2016-06-26 06:36:15-0600',mode:absolute,to:'2016-06-26 07:34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32" s="48" t="str">
        <f t="shared" si="5"/>
        <v>N</v>
      </c>
      <c r="X32" s="48">
        <f t="shared" si="6"/>
        <v>1</v>
      </c>
      <c r="Y32" s="48">
        <f t="shared" si="7"/>
        <v>23.297499999999999</v>
      </c>
      <c r="Z32" s="48">
        <f t="shared" si="10"/>
        <v>1.4999999999999999E-2</v>
      </c>
      <c r="AA32" s="48">
        <f t="shared" si="8"/>
        <v>23.282499999999999</v>
      </c>
      <c r="AB32" s="49" t="e">
        <f>VLOOKUP(A32,#REF!,8,0)</f>
        <v>#REF!</v>
      </c>
      <c r="AC32" s="49" t="e">
        <f>VLOOKUP(A32,#REF!,3,0)</f>
        <v>#REF!</v>
      </c>
    </row>
    <row r="33" spans="1:29" s="2" customFormat="1" x14ac:dyDescent="0.25">
      <c r="A33" s="43" t="s">
        <v>259</v>
      </c>
      <c r="B33" s="43">
        <v>4020</v>
      </c>
      <c r="C33" s="43" t="s">
        <v>60</v>
      </c>
      <c r="D33" s="43" t="s">
        <v>260</v>
      </c>
      <c r="E33" s="25">
        <v>42547.256921296299</v>
      </c>
      <c r="F33" s="25">
        <v>42547.258287037039</v>
      </c>
      <c r="G33" s="31">
        <v>1</v>
      </c>
      <c r="H33" s="25" t="s">
        <v>176</v>
      </c>
      <c r="I33" s="25">
        <v>42547.285937499997</v>
      </c>
      <c r="J33" s="43">
        <v>0</v>
      </c>
      <c r="K33" s="43" t="str">
        <f t="shared" si="0"/>
        <v>4019/4020</v>
      </c>
      <c r="L33" s="43" t="str">
        <f>VLOOKUP(A33,'Trips&amp;Operators'!$C$1:$E$10000,3,FALSE)</f>
        <v>SANTIZO</v>
      </c>
      <c r="M33" s="11">
        <f t="shared" si="1"/>
        <v>2.7650462958263233E-2</v>
      </c>
      <c r="N33" s="12">
        <f t="shared" si="11"/>
        <v>39.816666659899056</v>
      </c>
      <c r="O33" s="12"/>
      <c r="P33" s="12"/>
      <c r="Q33" s="44"/>
      <c r="R33" s="44"/>
      <c r="S33" s="70">
        <f t="shared" si="9"/>
        <v>1</v>
      </c>
      <c r="T33" s="2" t="str">
        <f t="shared" si="3"/>
        <v>NorthBound</v>
      </c>
      <c r="U33" s="2">
        <f>COUNTIFS(Variables!$M$2:$M$19,IF(T33="NorthBound","&gt;=","&lt;=")&amp;Y33,Variables!$M$2:$M$19,IF(T33="NorthBound","&lt;=","&gt;=")&amp;Z33)</f>
        <v>12</v>
      </c>
      <c r="V33" s="48" t="str">
        <f t="shared" si="4"/>
        <v>https://search-rtdc-monitor-bjffxe2xuh6vdkpspy63sjmuny.us-east-1.es.amazonaws.com/_plugin/kibana/#/discover/Steve-Slow-Train-Analysis-(2080s-and-2083s)?_g=(refreshInterval:(display:Off,section:0,value:0),time:(from:'2016-06-26 06:08:58-0600',mode:absolute,to:'2016-06-26 06:52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33" s="48" t="str">
        <f t="shared" si="5"/>
        <v>N</v>
      </c>
      <c r="X33" s="48">
        <f t="shared" si="6"/>
        <v>1</v>
      </c>
      <c r="Y33" s="48">
        <f t="shared" si="7"/>
        <v>4.2700000000000002E-2</v>
      </c>
      <c r="Z33" s="48">
        <f t="shared" si="10"/>
        <v>23.331900000000001</v>
      </c>
      <c r="AA33" s="48">
        <f t="shared" si="8"/>
        <v>23.289200000000001</v>
      </c>
      <c r="AB33" s="49" t="e">
        <f>VLOOKUP(A33,#REF!,8,0)</f>
        <v>#REF!</v>
      </c>
      <c r="AC33" s="49" t="e">
        <f>VLOOKUP(A33,#REF!,3,0)</f>
        <v>#REF!</v>
      </c>
    </row>
    <row r="34" spans="1:29" s="2" customFormat="1" x14ac:dyDescent="0.25">
      <c r="A34" s="43" t="s">
        <v>261</v>
      </c>
      <c r="B34" s="43">
        <v>4019</v>
      </c>
      <c r="C34" s="43" t="s">
        <v>60</v>
      </c>
      <c r="D34" s="43" t="s">
        <v>204</v>
      </c>
      <c r="E34" s="25">
        <v>42547.287569444445</v>
      </c>
      <c r="F34" s="25">
        <v>42547.288518518515</v>
      </c>
      <c r="G34" s="31">
        <v>1</v>
      </c>
      <c r="H34" s="25" t="s">
        <v>62</v>
      </c>
      <c r="I34" s="25">
        <v>42547.331377314818</v>
      </c>
      <c r="J34" s="43">
        <v>0</v>
      </c>
      <c r="K34" s="43" t="str">
        <f t="shared" si="0"/>
        <v>4019/4020</v>
      </c>
      <c r="L34" s="43" t="str">
        <f>VLOOKUP(A34,'Trips&amp;Operators'!$C$1:$E$10000,3,FALSE)</f>
        <v>SANTIZO</v>
      </c>
      <c r="M34" s="11">
        <f t="shared" si="1"/>
        <v>4.2858796303335112E-2</v>
      </c>
      <c r="N34" s="12">
        <f t="shared" si="11"/>
        <v>61.716666676802561</v>
      </c>
      <c r="O34" s="12"/>
      <c r="P34" s="12"/>
      <c r="Q34" s="44"/>
      <c r="R34" s="44"/>
      <c r="S34" s="70">
        <f t="shared" si="9"/>
        <v>1</v>
      </c>
      <c r="T34" s="2" t="str">
        <f t="shared" si="3"/>
        <v>Southbound</v>
      </c>
      <c r="U34" s="2">
        <f>COUNTIFS(Variables!$M$2:$M$19,IF(T34="NorthBound","&gt;=","&lt;=")&amp;Y34,Variables!$M$2:$M$19,IF(T34="NorthBound","&lt;=","&gt;=")&amp;Z34)</f>
        <v>12</v>
      </c>
      <c r="V34" s="48" t="str">
        <f t="shared" si="4"/>
        <v>https://search-rtdc-monitor-bjffxe2xuh6vdkpspy63sjmuny.us-east-1.es.amazonaws.com/_plugin/kibana/#/discover/Steve-Slow-Train-Analysis-(2080s-and-2083s)?_g=(refreshInterval:(display:Off,section:0,value:0),time:(from:'2016-06-26 06:53:06-0600',mode:absolute,to:'2016-06-26 07:58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34" s="48" t="str">
        <f t="shared" si="5"/>
        <v>N</v>
      </c>
      <c r="X34" s="48">
        <f t="shared" ref="X34:X37" si="12">VALUE(LEFT(A34,3))-VALUE(LEFT(A33,3))</f>
        <v>1</v>
      </c>
      <c r="Y34" s="48">
        <f t="shared" si="7"/>
        <v>23.300999999999998</v>
      </c>
      <c r="Z34" s="48">
        <f t="shared" si="10"/>
        <v>1.52E-2</v>
      </c>
      <c r="AA34" s="48">
        <f t="shared" si="8"/>
        <v>23.285799999999998</v>
      </c>
      <c r="AB34" s="49" t="e">
        <f>VLOOKUP(A34,#REF!,8,0)</f>
        <v>#REF!</v>
      </c>
      <c r="AC34" s="49" t="e">
        <f>VLOOKUP(A34,#REF!,3,0)</f>
        <v>#REF!</v>
      </c>
    </row>
    <row r="35" spans="1:29" s="2" customFormat="1" x14ac:dyDescent="0.25">
      <c r="A35" s="43" t="s">
        <v>262</v>
      </c>
      <c r="B35" s="43">
        <v>4042</v>
      </c>
      <c r="C35" s="43" t="s">
        <v>60</v>
      </c>
      <c r="D35" s="43" t="s">
        <v>73</v>
      </c>
      <c r="E35" s="25">
        <v>42547.26903935185</v>
      </c>
      <c r="F35" s="25">
        <v>42547.275555555556</v>
      </c>
      <c r="G35" s="31">
        <v>1</v>
      </c>
      <c r="H35" s="25" t="s">
        <v>107</v>
      </c>
      <c r="I35" s="25">
        <v>42547.297361111108</v>
      </c>
      <c r="J35" s="43">
        <v>0</v>
      </c>
      <c r="K35" s="43" t="str">
        <f t="shared" si="0"/>
        <v>4041/4042</v>
      </c>
      <c r="L35" s="43" t="str">
        <f>VLOOKUP(A35,'Trips&amp;Operators'!$C$1:$E$10000,3,FALSE)</f>
        <v>MALAVE</v>
      </c>
      <c r="M35" s="11">
        <f t="shared" si="1"/>
        <v>2.1805555552418809E-2</v>
      </c>
      <c r="N35" s="12"/>
      <c r="O35" s="12"/>
      <c r="P35" s="12">
        <f>24*60*SUM($M35:$M35)</f>
        <v>31.399999995483086</v>
      </c>
      <c r="Q35" s="44"/>
      <c r="R35" s="44" t="s">
        <v>492</v>
      </c>
      <c r="S35" s="70">
        <f t="shared" si="9"/>
        <v>1</v>
      </c>
      <c r="T35" s="2" t="str">
        <f t="shared" si="3"/>
        <v>NorthBound</v>
      </c>
      <c r="U35" s="2">
        <f>COUNTIFS(Variables!$M$2:$M$19,IF(T35="NorthBound","&gt;=","&lt;=")&amp;Y35,Variables!$M$2:$M$19,IF(T35="NorthBound","&lt;=","&gt;=")&amp;Z35)</f>
        <v>12</v>
      </c>
      <c r="V35" s="48" t="str">
        <f t="shared" si="4"/>
        <v>https://search-rtdc-monitor-bjffxe2xuh6vdkpspy63sjmuny.us-east-1.es.amazonaws.com/_plugin/kibana/#/discover/Steve-Slow-Train-Analysis-(2080s-and-2083s)?_g=(refreshInterval:(display:Off,section:0,value:0),time:(from:'2016-06-26 06:26:25-0600',mode:absolute,to:'2016-06-26 07:09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W35" s="48" t="str">
        <f t="shared" si="5"/>
        <v>Y</v>
      </c>
      <c r="X35" s="48">
        <f t="shared" si="12"/>
        <v>1</v>
      </c>
      <c r="Y35" s="48">
        <v>1.9128000000000001</v>
      </c>
      <c r="Z35" s="48">
        <v>23.3276</v>
      </c>
      <c r="AA35" s="48">
        <f t="shared" si="8"/>
        <v>21.4148</v>
      </c>
      <c r="AB35" s="49" t="e">
        <f>VLOOKUP(A35,#REF!,8,0)</f>
        <v>#REF!</v>
      </c>
      <c r="AC35" s="49" t="e">
        <f>VLOOKUP(A35,#REF!,3,0)</f>
        <v>#REF!</v>
      </c>
    </row>
    <row r="36" spans="1:29" s="2" customFormat="1" x14ac:dyDescent="0.25">
      <c r="A36" s="43" t="s">
        <v>263</v>
      </c>
      <c r="B36" s="43">
        <v>4041</v>
      </c>
      <c r="C36" s="43" t="s">
        <v>60</v>
      </c>
      <c r="D36" s="43" t="s">
        <v>264</v>
      </c>
      <c r="E36" s="25">
        <v>42547.308449074073</v>
      </c>
      <c r="F36" s="25">
        <v>42547.309421296297</v>
      </c>
      <c r="G36" s="31">
        <v>1</v>
      </c>
      <c r="H36" s="25" t="s">
        <v>162</v>
      </c>
      <c r="I36" s="25">
        <v>42547.340127314812</v>
      </c>
      <c r="J36" s="43">
        <v>1</v>
      </c>
      <c r="K36" s="43" t="str">
        <f t="shared" si="0"/>
        <v>4041/4042</v>
      </c>
      <c r="L36" s="43" t="str">
        <f>VLOOKUP(A36,'Trips&amp;Operators'!$C$1:$E$10000,3,FALSE)</f>
        <v>MALAVE</v>
      </c>
      <c r="M36" s="11">
        <f t="shared" si="1"/>
        <v>3.0706018515047617E-2</v>
      </c>
      <c r="N36" s="12">
        <f t="shared" ref="N36:N46" si="13">24*60*SUM($M36:$M36)</f>
        <v>44.216666661668569</v>
      </c>
      <c r="O36" s="12"/>
      <c r="P36" s="12"/>
      <c r="Q36" s="44"/>
      <c r="R36" s="44"/>
      <c r="S36" s="70">
        <f t="shared" si="9"/>
        <v>1</v>
      </c>
      <c r="T36" s="2" t="str">
        <f t="shared" si="3"/>
        <v>Southbound</v>
      </c>
      <c r="U36" s="2">
        <f>COUNTIFS(Variables!$M$2:$M$19,IF(T36="NorthBound","&gt;=","&lt;=")&amp;Y36,Variables!$M$2:$M$19,IF(T36="NorthBound","&lt;=","&gt;=")&amp;Z36)</f>
        <v>12</v>
      </c>
      <c r="V36" s="48" t="str">
        <f t="shared" si="4"/>
        <v>https://search-rtdc-monitor-bjffxe2xuh6vdkpspy63sjmuny.us-east-1.es.amazonaws.com/_plugin/kibana/#/discover/Steve-Slow-Train-Analysis-(2080s-and-2083s)?_g=(refreshInterval:(display:Off,section:0,value:0),time:(from:'2016-06-26 07:23:10-0600',mode:absolute,to:'2016-06-26 08:10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W36" s="48" t="str">
        <f t="shared" si="5"/>
        <v>N</v>
      </c>
      <c r="X36" s="48">
        <f t="shared" si="12"/>
        <v>1</v>
      </c>
      <c r="Y36" s="48">
        <f t="shared" si="7"/>
        <v>23.296299999999999</v>
      </c>
      <c r="Z36" s="48">
        <f t="shared" si="10"/>
        <v>1.6899999999999998E-2</v>
      </c>
      <c r="AA36" s="48">
        <f t="shared" si="8"/>
        <v>23.279399999999999</v>
      </c>
      <c r="AB36" s="49" t="e">
        <f>VLOOKUP(A36,#REF!,8,0)</f>
        <v>#REF!</v>
      </c>
      <c r="AC36" s="49" t="e">
        <f>VLOOKUP(A36,#REF!,3,0)</f>
        <v>#REF!</v>
      </c>
    </row>
    <row r="37" spans="1:29" s="2" customFormat="1" x14ac:dyDescent="0.25">
      <c r="A37" s="43" t="s">
        <v>265</v>
      </c>
      <c r="B37" s="43">
        <v>4011</v>
      </c>
      <c r="C37" s="43" t="s">
        <v>60</v>
      </c>
      <c r="D37" s="43" t="s">
        <v>98</v>
      </c>
      <c r="E37" s="25">
        <v>42547.276226851849</v>
      </c>
      <c r="F37" s="25">
        <v>42547.277442129627</v>
      </c>
      <c r="G37" s="31">
        <v>1</v>
      </c>
      <c r="H37" s="25" t="s">
        <v>249</v>
      </c>
      <c r="I37" s="25">
        <v>42547.306967592594</v>
      </c>
      <c r="J37" s="43">
        <v>0</v>
      </c>
      <c r="K37" s="43" t="str">
        <f t="shared" si="0"/>
        <v>4011/4012</v>
      </c>
      <c r="L37" s="43" t="str">
        <f>VLOOKUP(A37,'Trips&amp;Operators'!$C$1:$E$10000,3,FALSE)</f>
        <v>GEBRETEKLE</v>
      </c>
      <c r="M37" s="11">
        <f t="shared" si="1"/>
        <v>2.9525462967285421E-2</v>
      </c>
      <c r="N37" s="12">
        <f t="shared" si="13"/>
        <v>42.516666672891006</v>
      </c>
      <c r="O37" s="12"/>
      <c r="P37" s="12"/>
      <c r="Q37" s="44"/>
      <c r="R37" s="44"/>
      <c r="S37" s="70">
        <f t="shared" si="9"/>
        <v>1</v>
      </c>
      <c r="T37" s="2" t="str">
        <f t="shared" si="3"/>
        <v>NorthBound</v>
      </c>
      <c r="U37" s="2">
        <f>COUNTIFS(Variables!$M$2:$M$19,IF(T37="NorthBound","&gt;=","&lt;=")&amp;Y37,Variables!$M$2:$M$19,IF(T37="NorthBound","&lt;=","&gt;=")&amp;Z37)</f>
        <v>12</v>
      </c>
      <c r="V37" s="48" t="str">
        <f t="shared" si="4"/>
        <v>https://search-rtdc-monitor-bjffxe2xuh6vdkpspy63sjmuny.us-east-1.es.amazonaws.com/_plugin/kibana/#/discover/Steve-Slow-Train-Analysis-(2080s-and-2083s)?_g=(refreshInterval:(display:Off,section:0,value:0),time:(from:'2016-06-26 06:36:46-0600',mode:absolute,to:'2016-06-26 07:23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37" s="48" t="str">
        <f t="shared" si="5"/>
        <v>N</v>
      </c>
      <c r="X37" s="48">
        <f t="shared" si="12"/>
        <v>1</v>
      </c>
      <c r="Y37" s="48">
        <f t="shared" si="7"/>
        <v>4.4699999999999997E-2</v>
      </c>
      <c r="Z37" s="48">
        <f t="shared" si="10"/>
        <v>23.3278</v>
      </c>
      <c r="AA37" s="48">
        <f t="shared" si="8"/>
        <v>23.283100000000001</v>
      </c>
      <c r="AB37" s="49" t="e">
        <f>VLOOKUP(A37,#REF!,8,0)</f>
        <v>#REF!</v>
      </c>
      <c r="AC37" s="49" t="e">
        <f>VLOOKUP(A37,#REF!,3,0)</f>
        <v>#REF!</v>
      </c>
    </row>
    <row r="38" spans="1:29" s="2" customFormat="1" x14ac:dyDescent="0.25">
      <c r="A38" s="43" t="s">
        <v>266</v>
      </c>
      <c r="B38" s="43">
        <v>4012</v>
      </c>
      <c r="C38" s="43" t="s">
        <v>60</v>
      </c>
      <c r="D38" s="43" t="s">
        <v>71</v>
      </c>
      <c r="E38" s="25">
        <v>42547.318969907406</v>
      </c>
      <c r="F38" s="25">
        <v>42547.319884259261</v>
      </c>
      <c r="G38" s="31">
        <v>1</v>
      </c>
      <c r="H38" s="25" t="s">
        <v>167</v>
      </c>
      <c r="I38" s="25">
        <v>42547.351481481484</v>
      </c>
      <c r="J38" s="43">
        <v>0</v>
      </c>
      <c r="K38" s="43" t="str">
        <f t="shared" si="0"/>
        <v>4011/4012</v>
      </c>
      <c r="L38" s="43" t="str">
        <f>VLOOKUP(A38,'Trips&amp;Operators'!$C$1:$E$10000,3,FALSE)</f>
        <v>GEBRETEKLE</v>
      </c>
      <c r="M38" s="11">
        <f t="shared" si="1"/>
        <v>3.1597222223354038E-2</v>
      </c>
      <c r="N38" s="12">
        <f t="shared" si="13"/>
        <v>45.500000001629815</v>
      </c>
      <c r="O38" s="12"/>
      <c r="P38" s="12"/>
      <c r="Q38" s="44"/>
      <c r="R38" s="44"/>
      <c r="S38" s="70">
        <f t="shared" si="9"/>
        <v>1</v>
      </c>
      <c r="T38" s="2" t="str">
        <f t="shared" si="3"/>
        <v>Southbound</v>
      </c>
      <c r="U38" s="2">
        <f>COUNTIFS(Variables!$M$2:$M$19,IF(T38="NorthBound","&gt;=","&lt;=")&amp;Y38,Variables!$M$2:$M$19,IF(T38="NorthBound","&lt;=","&gt;=")&amp;Z38)</f>
        <v>12</v>
      </c>
      <c r="V38" s="48" t="str">
        <f t="shared" si="4"/>
        <v>https://search-rtdc-monitor-bjffxe2xuh6vdkpspy63sjmuny.us-east-1.es.amazonaws.com/_plugin/kibana/#/discover/Steve-Slow-Train-Analysis-(2080s-and-2083s)?_g=(refreshInterval:(display:Off,section:0,value:0),time:(from:'2016-06-26 07:38:19-0600',mode:absolute,to:'2016-06-26 08:27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38" s="48" t="str">
        <f t="shared" si="5"/>
        <v>N</v>
      </c>
      <c r="X38" s="48">
        <f t="shared" ref="X38:X69" si="14">VALUE(LEFT(A38,3))-VALUE(LEFT(A37,3))</f>
        <v>1</v>
      </c>
      <c r="Y38" s="48">
        <f t="shared" si="7"/>
        <v>23.297699999999999</v>
      </c>
      <c r="Z38" s="48">
        <f t="shared" si="10"/>
        <v>1.72E-2</v>
      </c>
      <c r="AA38" s="48">
        <f t="shared" si="8"/>
        <v>23.2805</v>
      </c>
      <c r="AB38" s="49" t="e">
        <f>VLOOKUP(A38,#REF!,8,0)</f>
        <v>#REF!</v>
      </c>
      <c r="AC38" s="49" t="e">
        <f>VLOOKUP(A38,#REF!,3,0)</f>
        <v>#REF!</v>
      </c>
    </row>
    <row r="39" spans="1:29" s="2" customFormat="1" x14ac:dyDescent="0.25">
      <c r="A39" s="66" t="s">
        <v>267</v>
      </c>
      <c r="B39" s="43">
        <v>4007</v>
      </c>
      <c r="C39" s="43" t="s">
        <v>60</v>
      </c>
      <c r="D39" s="43" t="s">
        <v>82</v>
      </c>
      <c r="E39" s="25">
        <v>42547.287187499998</v>
      </c>
      <c r="F39" s="25">
        <v>42547.288113425922</v>
      </c>
      <c r="G39" s="31">
        <v>1</v>
      </c>
      <c r="H39" s="25" t="s">
        <v>168</v>
      </c>
      <c r="I39" s="25">
        <v>42547.323344907411</v>
      </c>
      <c r="J39" s="43">
        <v>2</v>
      </c>
      <c r="K39" s="43" t="str">
        <f t="shared" si="0"/>
        <v>4007/4008</v>
      </c>
      <c r="L39" s="43" t="str">
        <f>VLOOKUP(A39,'Trips&amp;Operators'!$C$1:$E$10000,3,FALSE)</f>
        <v>CANFIELD</v>
      </c>
      <c r="M39" s="11">
        <f t="shared" si="1"/>
        <v>3.5231481488153804E-2</v>
      </c>
      <c r="N39" s="12">
        <f t="shared" si="13"/>
        <v>50.733333342941478</v>
      </c>
      <c r="O39" s="12"/>
      <c r="P39" s="12"/>
      <c r="Q39" s="44"/>
      <c r="R39" s="44"/>
      <c r="S39" s="70">
        <f t="shared" si="9"/>
        <v>1</v>
      </c>
      <c r="T39" s="2" t="str">
        <f t="shared" si="3"/>
        <v>NorthBound</v>
      </c>
      <c r="U39" s="2">
        <f>COUNTIFS(Variables!$M$2:$M$19,IF(T39="NorthBound","&gt;=","&lt;=")&amp;Y39,Variables!$M$2:$M$19,IF(T39="NorthBound","&lt;=","&gt;=")&amp;Z39)</f>
        <v>12</v>
      </c>
      <c r="V39" s="48" t="str">
        <f t="shared" si="4"/>
        <v>https://search-rtdc-monitor-bjffxe2xuh6vdkpspy63sjmuny.us-east-1.es.amazonaws.com/_plugin/kibana/#/discover/Steve-Slow-Train-Analysis-(2080s-and-2083s)?_g=(refreshInterval:(display:Off,section:0,value:0),time:(from:'2016-06-26 06:52:33-0600',mode:absolute,to:'2016-06-26 07:46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W39" s="48" t="str">
        <f t="shared" si="5"/>
        <v>N</v>
      </c>
      <c r="X39" s="48">
        <f t="shared" si="14"/>
        <v>1</v>
      </c>
      <c r="Y39" s="48">
        <f t="shared" si="7"/>
        <v>4.58E-2</v>
      </c>
      <c r="Z39" s="48">
        <f t="shared" si="10"/>
        <v>23.328900000000001</v>
      </c>
      <c r="AA39" s="48">
        <f t="shared" si="8"/>
        <v>23.283100000000001</v>
      </c>
      <c r="AB39" s="49" t="e">
        <f>VLOOKUP(A39,#REF!,8,0)</f>
        <v>#REF!</v>
      </c>
      <c r="AC39" s="49" t="e">
        <f>VLOOKUP(A39,#REF!,3,0)</f>
        <v>#REF!</v>
      </c>
    </row>
    <row r="40" spans="1:29" s="2" customFormat="1" x14ac:dyDescent="0.25">
      <c r="A40" s="43" t="s">
        <v>268</v>
      </c>
      <c r="B40" s="43">
        <v>4008</v>
      </c>
      <c r="C40" s="43" t="s">
        <v>60</v>
      </c>
      <c r="D40" s="43" t="s">
        <v>85</v>
      </c>
      <c r="E40" s="25">
        <v>42547.325740740744</v>
      </c>
      <c r="F40" s="25">
        <v>42547.326840277776</v>
      </c>
      <c r="G40" s="31">
        <v>1</v>
      </c>
      <c r="H40" s="25" t="s">
        <v>74</v>
      </c>
      <c r="I40" s="25">
        <v>42547.362592592595</v>
      </c>
      <c r="J40" s="43">
        <v>0</v>
      </c>
      <c r="K40" s="43" t="str">
        <f t="shared" si="0"/>
        <v>4007/4008</v>
      </c>
      <c r="L40" s="43" t="str">
        <f>VLOOKUP(A40,'Trips&amp;Operators'!$C$1:$E$10000,3,FALSE)</f>
        <v>CANFIELD</v>
      </c>
      <c r="M40" s="11">
        <f t="shared" si="1"/>
        <v>3.5752314819546882E-2</v>
      </c>
      <c r="N40" s="12">
        <f t="shared" si="13"/>
        <v>51.48333334014751</v>
      </c>
      <c r="O40" s="12"/>
      <c r="P40" s="12"/>
      <c r="Q40" s="44"/>
      <c r="R40" s="44"/>
      <c r="S40" s="70">
        <f t="shared" si="9"/>
        <v>1</v>
      </c>
      <c r="T40" s="2" t="str">
        <f t="shared" si="3"/>
        <v>Southbound</v>
      </c>
      <c r="U40" s="2">
        <f>COUNTIFS(Variables!$M$2:$M$19,IF(T40="NorthBound","&gt;=","&lt;=")&amp;Y40,Variables!$M$2:$M$19,IF(T40="NorthBound","&lt;=","&gt;=")&amp;Z40)</f>
        <v>12</v>
      </c>
      <c r="V40" s="48" t="str">
        <f t="shared" si="4"/>
        <v>https://search-rtdc-monitor-bjffxe2xuh6vdkpspy63sjmuny.us-east-1.es.amazonaws.com/_plugin/kibana/#/discover/Steve-Slow-Train-Analysis-(2080s-and-2083s)?_g=(refreshInterval:(display:Off,section:0,value:0),time:(from:'2016-06-26 07:48:04-0600',mode:absolute,to:'2016-06-26 08:43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W40" s="48" t="str">
        <f t="shared" si="5"/>
        <v>N</v>
      </c>
      <c r="X40" s="48">
        <f t="shared" si="14"/>
        <v>1</v>
      </c>
      <c r="Y40" s="48">
        <f t="shared" si="7"/>
        <v>23.297499999999999</v>
      </c>
      <c r="Z40" s="48">
        <f t="shared" si="10"/>
        <v>1.41E-2</v>
      </c>
      <c r="AA40" s="48">
        <f t="shared" si="8"/>
        <v>23.2834</v>
      </c>
      <c r="AB40" s="49" t="e">
        <f>VLOOKUP(A40,#REF!,8,0)</f>
        <v>#REF!</v>
      </c>
      <c r="AC40" s="49" t="e">
        <f>VLOOKUP(A40,#REF!,3,0)</f>
        <v>#REF!</v>
      </c>
    </row>
    <row r="41" spans="1:29" s="2" customFormat="1" x14ac:dyDescent="0.25">
      <c r="A41" s="43" t="s">
        <v>269</v>
      </c>
      <c r="B41" s="43">
        <v>4038</v>
      </c>
      <c r="C41" s="43" t="s">
        <v>60</v>
      </c>
      <c r="D41" s="43" t="s">
        <v>270</v>
      </c>
      <c r="E41" s="25">
        <v>42547.298877314817</v>
      </c>
      <c r="F41" s="25">
        <v>42547.300254629627</v>
      </c>
      <c r="G41" s="31">
        <v>1</v>
      </c>
      <c r="H41" s="25" t="s">
        <v>202</v>
      </c>
      <c r="I41" s="25">
        <v>42547.331828703704</v>
      </c>
      <c r="J41" s="43">
        <v>1</v>
      </c>
      <c r="K41" s="43" t="str">
        <f t="shared" si="0"/>
        <v>4037/4038</v>
      </c>
      <c r="L41" s="43" t="str">
        <f>VLOOKUP(A41,'Trips&amp;Operators'!$C$1:$E$10000,3,FALSE)</f>
        <v>MAYBERRY</v>
      </c>
      <c r="M41" s="11">
        <f t="shared" si="1"/>
        <v>3.1574074077070691E-2</v>
      </c>
      <c r="N41" s="12">
        <f t="shared" si="13"/>
        <v>45.466666670981795</v>
      </c>
      <c r="O41" s="12"/>
      <c r="P41" s="12"/>
      <c r="Q41" s="44"/>
      <c r="R41" s="44"/>
      <c r="S41" s="70">
        <f t="shared" si="9"/>
        <v>1</v>
      </c>
      <c r="T41" s="2" t="str">
        <f t="shared" si="3"/>
        <v>NorthBound</v>
      </c>
      <c r="U41" s="2">
        <f>COUNTIFS(Variables!$M$2:$M$19,IF(T41="NorthBound","&gt;=","&lt;=")&amp;Y41,Variables!$M$2:$M$19,IF(T41="NorthBound","&lt;=","&gt;=")&amp;Z41)</f>
        <v>12</v>
      </c>
      <c r="V41" s="48" t="str">
        <f t="shared" si="4"/>
        <v>https://search-rtdc-monitor-bjffxe2xuh6vdkpspy63sjmuny.us-east-1.es.amazonaws.com/_plugin/kibana/#/discover/Steve-Slow-Train-Analysis-(2080s-and-2083s)?_g=(refreshInterval:(display:Off,section:0,value:0),time:(from:'2016-06-26 07:09:23-0600',mode:absolute,to:'2016-06-26 07:58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W41" s="48" t="str">
        <f t="shared" si="5"/>
        <v>N</v>
      </c>
      <c r="X41" s="48">
        <f t="shared" si="14"/>
        <v>1</v>
      </c>
      <c r="Y41" s="48">
        <f t="shared" si="7"/>
        <v>5.1700000000000003E-2</v>
      </c>
      <c r="Z41" s="48">
        <f t="shared" si="10"/>
        <v>23.330400000000001</v>
      </c>
      <c r="AA41" s="48">
        <f t="shared" si="8"/>
        <v>23.278700000000001</v>
      </c>
      <c r="AB41" s="49" t="e">
        <f>VLOOKUP(A41,#REF!,8,0)</f>
        <v>#REF!</v>
      </c>
      <c r="AC41" s="49" t="e">
        <f>VLOOKUP(A41,#REF!,3,0)</f>
        <v>#REF!</v>
      </c>
    </row>
    <row r="42" spans="1:29" s="2" customFormat="1" x14ac:dyDescent="0.25">
      <c r="A42" s="43" t="s">
        <v>271</v>
      </c>
      <c r="B42" s="43">
        <v>4037</v>
      </c>
      <c r="C42" s="43" t="s">
        <v>60</v>
      </c>
      <c r="D42" s="43" t="s">
        <v>158</v>
      </c>
      <c r="E42" s="25">
        <v>42547.338287037041</v>
      </c>
      <c r="F42" s="25">
        <v>42547.339548611111</v>
      </c>
      <c r="G42" s="31">
        <v>1</v>
      </c>
      <c r="H42" s="25" t="s">
        <v>272</v>
      </c>
      <c r="I42" s="25">
        <v>42547.373576388891</v>
      </c>
      <c r="J42" s="43">
        <v>1</v>
      </c>
      <c r="K42" s="43" t="str">
        <f t="shared" si="0"/>
        <v>4037/4038</v>
      </c>
      <c r="L42" s="43" t="str">
        <f>VLOOKUP(A42,'Trips&amp;Operators'!$C$1:$E$10000,3,FALSE)</f>
        <v>MAYBERRY</v>
      </c>
      <c r="M42" s="11">
        <f t="shared" si="1"/>
        <v>3.4027777779556345E-2</v>
      </c>
      <c r="N42" s="12">
        <f t="shared" si="13"/>
        <v>49.000000002561137</v>
      </c>
      <c r="O42" s="12"/>
      <c r="P42" s="12"/>
      <c r="Q42" s="44"/>
      <c r="R42" s="44"/>
      <c r="S42" s="70">
        <f t="shared" si="9"/>
        <v>1</v>
      </c>
      <c r="T42" s="2" t="str">
        <f t="shared" si="3"/>
        <v>Southbound</v>
      </c>
      <c r="U42" s="2">
        <f>COUNTIFS(Variables!$M$2:$M$19,IF(T42="NorthBound","&gt;=","&lt;=")&amp;Y42,Variables!$M$2:$M$19,IF(T42="NorthBound","&lt;=","&gt;=")&amp;Z42)</f>
        <v>12</v>
      </c>
      <c r="V42" s="48" t="str">
        <f t="shared" si="4"/>
        <v>https://search-rtdc-monitor-bjffxe2xuh6vdkpspy63sjmuny.us-east-1.es.amazonaws.com/_plugin/kibana/#/discover/Steve-Slow-Train-Analysis-(2080s-and-2083s)?_g=(refreshInterval:(display:Off,section:0,value:0),time:(from:'2016-06-26 08:06:08-0600',mode:absolute,to:'2016-06-26 08:58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W42" s="48" t="str">
        <f t="shared" si="5"/>
        <v>N</v>
      </c>
      <c r="X42" s="48">
        <f t="shared" si="14"/>
        <v>1</v>
      </c>
      <c r="Y42" s="48">
        <f t="shared" si="7"/>
        <v>23.298500000000001</v>
      </c>
      <c r="Z42" s="48">
        <f t="shared" si="10"/>
        <v>1.8100000000000002E-2</v>
      </c>
      <c r="AA42" s="48">
        <f t="shared" si="8"/>
        <v>23.2804</v>
      </c>
      <c r="AB42" s="49" t="e">
        <f>VLOOKUP(A42,#REF!,8,0)</f>
        <v>#REF!</v>
      </c>
      <c r="AC42" s="49" t="e">
        <f>VLOOKUP(A42,#REF!,3,0)</f>
        <v>#REF!</v>
      </c>
    </row>
    <row r="43" spans="1:29" s="2" customFormat="1" x14ac:dyDescent="0.25">
      <c r="A43" s="43" t="s">
        <v>273</v>
      </c>
      <c r="B43" s="43">
        <v>4018</v>
      </c>
      <c r="C43" s="43" t="s">
        <v>60</v>
      </c>
      <c r="D43" s="43" t="s">
        <v>107</v>
      </c>
      <c r="E43" s="25">
        <v>42547.309270833335</v>
      </c>
      <c r="F43" s="25">
        <v>42547.31040509259</v>
      </c>
      <c r="G43" s="31">
        <v>1</v>
      </c>
      <c r="H43" s="25" t="s">
        <v>274</v>
      </c>
      <c r="I43" s="25">
        <v>42547.341863425929</v>
      </c>
      <c r="J43" s="43">
        <v>0</v>
      </c>
      <c r="K43" s="43" t="str">
        <f t="shared" si="0"/>
        <v>4017/4018</v>
      </c>
      <c r="L43" s="43" t="str">
        <f>VLOOKUP(A43,'Trips&amp;Operators'!$C$1:$E$10000,3,FALSE)</f>
        <v>STURGEON</v>
      </c>
      <c r="M43" s="11">
        <f t="shared" si="1"/>
        <v>3.1458333338377997E-2</v>
      </c>
      <c r="N43" s="12">
        <f t="shared" si="13"/>
        <v>45.300000007264316</v>
      </c>
      <c r="O43" s="12"/>
      <c r="P43" s="12"/>
      <c r="Q43" s="44"/>
      <c r="R43" s="44"/>
      <c r="S43" s="70">
        <f t="shared" si="9"/>
        <v>1</v>
      </c>
      <c r="T43" s="2" t="str">
        <f t="shared" si="3"/>
        <v>NorthBound</v>
      </c>
      <c r="U43" s="2">
        <f>COUNTIFS(Variables!$M$2:$M$19,IF(T43="NorthBound","&gt;=","&lt;=")&amp;Y43,Variables!$M$2:$M$19,IF(T43="NorthBound","&lt;=","&gt;=")&amp;Z43)</f>
        <v>12</v>
      </c>
      <c r="V43" s="48" t="str">
        <f t="shared" si="4"/>
        <v>https://search-rtdc-monitor-bjffxe2xuh6vdkpspy63sjmuny.us-east-1.es.amazonaws.com/_plugin/kibana/#/discover/Steve-Slow-Train-Analysis-(2080s-and-2083s)?_g=(refreshInterval:(display:Off,section:0,value:0),time:(from:'2016-06-26 07:24:21-0600',mode:absolute,to:'2016-06-26 08:13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43" s="48" t="str">
        <f t="shared" si="5"/>
        <v>N</v>
      </c>
      <c r="X43" s="48">
        <f t="shared" si="14"/>
        <v>1</v>
      </c>
      <c r="Y43" s="48">
        <f t="shared" si="7"/>
        <v>4.5499999999999999E-2</v>
      </c>
      <c r="Z43" s="48">
        <f t="shared" si="10"/>
        <v>23.3249</v>
      </c>
      <c r="AA43" s="48">
        <f t="shared" si="8"/>
        <v>23.279399999999999</v>
      </c>
      <c r="AB43" s="49" t="e">
        <f>VLOOKUP(A43,#REF!,8,0)</f>
        <v>#REF!</v>
      </c>
      <c r="AC43" s="49" t="e">
        <f>VLOOKUP(A43,#REF!,3,0)</f>
        <v>#REF!</v>
      </c>
    </row>
    <row r="44" spans="1:29" s="2" customFormat="1" x14ac:dyDescent="0.25">
      <c r="A44" s="43" t="s">
        <v>275</v>
      </c>
      <c r="B44" s="43">
        <v>4017</v>
      </c>
      <c r="C44" s="43" t="s">
        <v>60</v>
      </c>
      <c r="D44" s="43" t="s">
        <v>207</v>
      </c>
      <c r="E44" s="25">
        <v>42547.346053240741</v>
      </c>
      <c r="F44" s="25">
        <v>42547.34715277778</v>
      </c>
      <c r="G44" s="31">
        <v>1</v>
      </c>
      <c r="H44" s="25" t="s">
        <v>206</v>
      </c>
      <c r="I44" s="25">
        <v>42547.384456018517</v>
      </c>
      <c r="J44" s="43">
        <v>0</v>
      </c>
      <c r="K44" s="43" t="str">
        <f t="shared" si="0"/>
        <v>4017/4018</v>
      </c>
      <c r="L44" s="43" t="str">
        <f>VLOOKUP(A44,'Trips&amp;Operators'!$C$1:$E$10000,3,FALSE)</f>
        <v>STURGEON</v>
      </c>
      <c r="M44" s="11">
        <f t="shared" si="1"/>
        <v>3.7303240736946464E-2</v>
      </c>
      <c r="N44" s="12">
        <f t="shared" si="13"/>
        <v>53.716666661202908</v>
      </c>
      <c r="O44" s="12"/>
      <c r="P44" s="12"/>
      <c r="Q44" s="44"/>
      <c r="R44" s="44"/>
      <c r="S44" s="70">
        <f t="shared" si="9"/>
        <v>1</v>
      </c>
      <c r="T44" s="2" t="str">
        <f t="shared" si="3"/>
        <v>Southbound</v>
      </c>
      <c r="U44" s="2">
        <f>COUNTIFS(Variables!$M$2:$M$19,IF(T44="NorthBound","&gt;=","&lt;=")&amp;Y44,Variables!$M$2:$M$19,IF(T44="NorthBound","&lt;=","&gt;=")&amp;Z44)</f>
        <v>12</v>
      </c>
      <c r="V44" s="48" t="str">
        <f t="shared" si="4"/>
        <v>https://search-rtdc-monitor-bjffxe2xuh6vdkpspy63sjmuny.us-east-1.es.amazonaws.com/_plugin/kibana/#/discover/Steve-Slow-Train-Analysis-(2080s-and-2083s)?_g=(refreshInterval:(display:Off,section:0,value:0),time:(from:'2016-06-26 08:17:19-0600',mode:absolute,to:'2016-06-26 09:14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44" s="48" t="str">
        <f t="shared" si="5"/>
        <v>N</v>
      </c>
      <c r="X44" s="48">
        <f t="shared" si="14"/>
        <v>1</v>
      </c>
      <c r="Y44" s="48">
        <f t="shared" si="7"/>
        <v>23.293199999999999</v>
      </c>
      <c r="Z44" s="48">
        <f t="shared" si="10"/>
        <v>1.67E-2</v>
      </c>
      <c r="AA44" s="48">
        <f t="shared" si="8"/>
        <v>23.276499999999999</v>
      </c>
      <c r="AB44" s="49" t="e">
        <f>VLOOKUP(A44,#REF!,8,0)</f>
        <v>#REF!</v>
      </c>
      <c r="AC44" s="49" t="e">
        <f>VLOOKUP(A44,#REF!,3,0)</f>
        <v>#REF!</v>
      </c>
    </row>
    <row r="45" spans="1:29" s="2" customFormat="1" x14ac:dyDescent="0.25">
      <c r="A45" s="43" t="s">
        <v>276</v>
      </c>
      <c r="B45" s="43">
        <v>4025</v>
      </c>
      <c r="C45" s="43" t="s">
        <v>60</v>
      </c>
      <c r="D45" s="43" t="s">
        <v>108</v>
      </c>
      <c r="E45" s="25">
        <v>42547.317164351851</v>
      </c>
      <c r="F45" s="25">
        <v>42547.318078703705</v>
      </c>
      <c r="G45" s="31">
        <v>1</v>
      </c>
      <c r="H45" s="25" t="s">
        <v>277</v>
      </c>
      <c r="I45" s="25">
        <v>42547.349351851852</v>
      </c>
      <c r="J45" s="43">
        <v>0</v>
      </c>
      <c r="K45" s="43" t="str">
        <f t="shared" ref="K45:K76" si="15">IF(ISEVEN(B45),(B45-1)&amp;"/"&amp;B45,B45&amp;"/"&amp;(B45+1))</f>
        <v>4025/4026</v>
      </c>
      <c r="L45" s="43" t="str">
        <f>VLOOKUP(A45,'Trips&amp;Operators'!$C$1:$E$10000,3,FALSE)</f>
        <v>YORK</v>
      </c>
      <c r="M45" s="11">
        <f t="shared" ref="M45:M76" si="16">I45-F45</f>
        <v>3.1273148146283347E-2</v>
      </c>
      <c r="N45" s="12">
        <f t="shared" si="13"/>
        <v>45.03333333064802</v>
      </c>
      <c r="O45" s="12"/>
      <c r="P45" s="12"/>
      <c r="Q45" s="44"/>
      <c r="R45" s="44"/>
      <c r="S45" s="70">
        <f t="shared" si="9"/>
        <v>1</v>
      </c>
      <c r="T45" s="2" t="str">
        <f t="shared" ref="T45:T76" si="17">IF(ISEVEN(LEFT(A45,3)),"Southbound","NorthBound")</f>
        <v>NorthBound</v>
      </c>
      <c r="U45" s="2">
        <f>COUNTIFS(Variables!$M$2:$M$19,IF(T45="NorthBound","&gt;=","&lt;=")&amp;Y45,Variables!$M$2:$M$19,IF(T45="NorthBound","&lt;=","&gt;=")&amp;Z45)</f>
        <v>12</v>
      </c>
      <c r="V45" s="48" t="str">
        <f t="shared" ref="V45:V76" si="18">"https://search-rtdc-monitor-bjffxe2xuh6vdkpspy63sjmuny.us-east-1.es.amazonaws.com/_plugin/kibana/#/discover/Steve-Slow-Train-Analysis-(2080s-and-2083s)?_g=(refreshInterval:(display:Off,section:0,value:0),time:(from:'"&amp;TEXT(E45-1/24/60,"yyyy-MM-DD hh:mm:ss")&amp;"-0600',mode:absolute,to:'"&amp;TEXT(I45+1/24/60,"yyyy-MM-DD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45&amp;"%22')),sort:!(Time,asc))"</f>
        <v>https://search-rtdc-monitor-bjffxe2xuh6vdkpspy63sjmuny.us-east-1.es.amazonaws.com/_plugin/kibana/#/discover/Steve-Slow-Train-Analysis-(2080s-and-2083s)?_g=(refreshInterval:(display:Off,section:0,value:0),time:(from:'2016-06-26 07:35:43-0600',mode:absolute,to:'2016-06-26 08:24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45" s="48" t="str">
        <f t="shared" ref="W45:W76" si="19">IF(AA45&lt;23,"Y","N")</f>
        <v>N</v>
      </c>
      <c r="X45" s="48">
        <f t="shared" si="14"/>
        <v>1</v>
      </c>
      <c r="Y45" s="48">
        <f t="shared" si="7"/>
        <v>4.6699999999999998E-2</v>
      </c>
      <c r="Z45" s="48">
        <f t="shared" si="10"/>
        <v>23.328499999999998</v>
      </c>
      <c r="AA45" s="48">
        <f t="shared" ref="AA45:AA76" si="20">ABS(Z45-Y45)</f>
        <v>23.281799999999997</v>
      </c>
      <c r="AB45" s="49" t="e">
        <f>VLOOKUP(A45,#REF!,8,0)</f>
        <v>#REF!</v>
      </c>
      <c r="AC45" s="49" t="e">
        <f>VLOOKUP(A45,#REF!,3,0)</f>
        <v>#REF!</v>
      </c>
    </row>
    <row r="46" spans="1:29" s="2" customFormat="1" x14ac:dyDescent="0.25">
      <c r="A46" s="43" t="s">
        <v>278</v>
      </c>
      <c r="B46" s="43">
        <v>4026</v>
      </c>
      <c r="C46" s="43" t="s">
        <v>60</v>
      </c>
      <c r="D46" s="43" t="s">
        <v>279</v>
      </c>
      <c r="E46" s="25">
        <v>42547.350173611114</v>
      </c>
      <c r="F46" s="25">
        <v>42547.350949074076</v>
      </c>
      <c r="G46" s="31">
        <v>1</v>
      </c>
      <c r="H46" s="25" t="s">
        <v>61</v>
      </c>
      <c r="I46" s="25">
        <v>42547.38925925926</v>
      </c>
      <c r="J46" s="43">
        <v>0</v>
      </c>
      <c r="K46" s="43" t="str">
        <f t="shared" si="15"/>
        <v>4025/4026</v>
      </c>
      <c r="L46" s="43" t="str">
        <f>VLOOKUP(A46,'Trips&amp;Operators'!$C$1:$E$10000,3,FALSE)</f>
        <v>YORK</v>
      </c>
      <c r="M46" s="11">
        <f t="shared" si="16"/>
        <v>3.8310185183945578E-2</v>
      </c>
      <c r="N46" s="12">
        <f t="shared" si="13"/>
        <v>55.166666664881632</v>
      </c>
      <c r="O46" s="12"/>
      <c r="P46" s="12"/>
      <c r="Q46" s="44"/>
      <c r="R46" s="44"/>
      <c r="S46" s="70">
        <f t="shared" si="9"/>
        <v>1</v>
      </c>
      <c r="T46" s="2" t="str">
        <f t="shared" si="17"/>
        <v>Southbound</v>
      </c>
      <c r="U46" s="2">
        <f>COUNTIFS(Variables!$M$2:$M$19,IF(T46="NorthBound","&gt;=","&lt;=")&amp;Y46,Variables!$M$2:$M$19,IF(T46="NorthBound","&lt;=","&gt;=")&amp;Z46)</f>
        <v>12</v>
      </c>
      <c r="V46" s="48" t="str">
        <f t="shared" si="18"/>
        <v>https://search-rtdc-monitor-bjffxe2xuh6vdkpspy63sjmuny.us-east-1.es.amazonaws.com/_plugin/kibana/#/discover/Steve-Slow-Train-Analysis-(2080s-and-2083s)?_g=(refreshInterval:(display:Off,section:0,value:0),time:(from:'2016-06-26 08:23:15-0600',mode:absolute,to:'2016-06-26 09:21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46" s="48" t="str">
        <f t="shared" si="19"/>
        <v>N</v>
      </c>
      <c r="X46" s="48">
        <f t="shared" si="14"/>
        <v>1</v>
      </c>
      <c r="Y46" s="48">
        <f t="shared" si="7"/>
        <v>23.296600000000002</v>
      </c>
      <c r="Z46" s="48">
        <f t="shared" si="10"/>
        <v>1.4500000000000001E-2</v>
      </c>
      <c r="AA46" s="48">
        <f t="shared" si="20"/>
        <v>23.2821</v>
      </c>
      <c r="AB46" s="49" t="e">
        <f>VLOOKUP(A46,#REF!,8,0)</f>
        <v>#REF!</v>
      </c>
      <c r="AC46" s="49" t="e">
        <f>VLOOKUP(A46,#REF!,3,0)</f>
        <v>#REF!</v>
      </c>
    </row>
    <row r="47" spans="1:29" s="2" customFormat="1" x14ac:dyDescent="0.25">
      <c r="A47" s="43" t="s">
        <v>280</v>
      </c>
      <c r="B47" s="43">
        <v>4020</v>
      </c>
      <c r="C47" s="43" t="s">
        <v>60</v>
      </c>
      <c r="D47" s="43" t="s">
        <v>281</v>
      </c>
      <c r="E47" s="25">
        <v>42547.341527777775</v>
      </c>
      <c r="F47" s="25">
        <v>42547.342430555553</v>
      </c>
      <c r="G47" s="31">
        <v>1</v>
      </c>
      <c r="H47" s="25" t="s">
        <v>112</v>
      </c>
      <c r="I47" s="25">
        <v>42547.363599537035</v>
      </c>
      <c r="J47" s="43">
        <v>0</v>
      </c>
      <c r="K47" s="43" t="str">
        <f t="shared" si="15"/>
        <v>4019/4020</v>
      </c>
      <c r="L47" s="43" t="str">
        <f>VLOOKUP(A47,'Trips&amp;Operators'!$C$1:$E$10000,3,FALSE)</f>
        <v>SANTIZO</v>
      </c>
      <c r="M47" s="11">
        <f t="shared" si="16"/>
        <v>2.1168981482333038E-2</v>
      </c>
      <c r="N47" s="12"/>
      <c r="O47" s="12"/>
      <c r="P47" s="12">
        <f>24*60*SUM($M47:$M47)</f>
        <v>30.483333334559575</v>
      </c>
      <c r="Q47" s="44"/>
      <c r="R47" s="44" t="s">
        <v>493</v>
      </c>
      <c r="S47" s="70">
        <f t="shared" si="9"/>
        <v>0.75</v>
      </c>
      <c r="T47" s="2" t="str">
        <f t="shared" si="17"/>
        <v>NorthBound</v>
      </c>
      <c r="U47" s="2">
        <f>COUNTIFS(Variables!$M$2:$M$19,IF(T47="NorthBound","&gt;=","&lt;=")&amp;Y47,Variables!$M$2:$M$19,IF(T47="NorthBound","&lt;=","&gt;=")&amp;Z47)</f>
        <v>9</v>
      </c>
      <c r="V47" s="48" t="str">
        <f t="shared" si="18"/>
        <v>https://search-rtdc-monitor-bjffxe2xuh6vdkpspy63sjmuny.us-east-1.es.amazonaws.com/_plugin/kibana/#/discover/Steve-Slow-Train-Analysis-(2080s-and-2083s)?_g=(refreshInterval:(display:Off,section:0,value:0),time:(from:'2016-06-26 08:10:48-0600',mode:absolute,to:'2016-06-26 08:44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47" s="48" t="str">
        <f t="shared" si="19"/>
        <v>Y</v>
      </c>
      <c r="X47" s="48">
        <f t="shared" si="14"/>
        <v>1</v>
      </c>
      <c r="Y47" s="48">
        <f t="shared" si="7"/>
        <v>3.7183000000000002</v>
      </c>
      <c r="Z47" s="48">
        <f t="shared" si="10"/>
        <v>23.3307</v>
      </c>
      <c r="AA47" s="48">
        <f t="shared" si="20"/>
        <v>19.612400000000001</v>
      </c>
      <c r="AB47" s="49" t="e">
        <f>VLOOKUP(A47,#REF!,8,0)</f>
        <v>#REF!</v>
      </c>
      <c r="AC47" s="49" t="e">
        <f>VLOOKUP(A47,#REF!,3,0)</f>
        <v>#REF!</v>
      </c>
    </row>
    <row r="48" spans="1:29" s="2" customFormat="1" x14ac:dyDescent="0.25">
      <c r="A48" s="43" t="s">
        <v>451</v>
      </c>
      <c r="B48" s="43">
        <v>4019</v>
      </c>
      <c r="C48" s="43" t="s">
        <v>60</v>
      </c>
      <c r="D48" s="43" t="s">
        <v>85</v>
      </c>
      <c r="E48" s="25">
        <v>42547.368958333333</v>
      </c>
      <c r="F48" s="25">
        <v>42547.37</v>
      </c>
      <c r="G48" s="31">
        <v>1</v>
      </c>
      <c r="H48" s="25" t="s">
        <v>74</v>
      </c>
      <c r="I48" s="25">
        <v>42547.401388888888</v>
      </c>
      <c r="J48" s="43">
        <v>0</v>
      </c>
      <c r="K48" s="43" t="str">
        <f t="shared" si="15"/>
        <v>4019/4020</v>
      </c>
      <c r="L48" s="43" t="str">
        <f>VLOOKUP(A48,'Trips&amp;Operators'!$C$1:$E$10000,3,FALSE)</f>
        <v>SANTIZO</v>
      </c>
      <c r="M48" s="11">
        <f t="shared" si="16"/>
        <v>3.1388888884976041E-2</v>
      </c>
      <c r="N48" s="12">
        <f t="shared" ref="N48:N59" si="21">24*60*SUM($M48:$M48)</f>
        <v>45.199999994365498</v>
      </c>
      <c r="O48" s="12"/>
      <c r="P48" s="12"/>
      <c r="Q48" s="44"/>
      <c r="R48" s="44"/>
      <c r="S48" s="70">
        <f t="shared" si="9"/>
        <v>1</v>
      </c>
      <c r="T48" s="2" t="str">
        <f t="shared" si="17"/>
        <v>Southbound</v>
      </c>
      <c r="U48" s="2">
        <f>COUNTIFS(Variables!$M$2:$M$19,IF(T48="NorthBound","&gt;=","&lt;=")&amp;Y48,Variables!$M$2:$M$19,IF(T48="NorthBound","&lt;=","&gt;=")&amp;Z48)</f>
        <v>12</v>
      </c>
      <c r="V48" s="48" t="str">
        <f t="shared" si="18"/>
        <v>https://search-rtdc-monitor-bjffxe2xuh6vdkpspy63sjmuny.us-east-1.es.amazonaws.com/_plugin/kibana/#/discover/Steve-Slow-Train-Analysis-(2080s-and-2083s)?_g=(refreshInterval:(display:Off,section:0,value:0),time:(from:'2016-06-26 08:50:18-0600',mode:absolute,to:'2016-06-26 09:39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48" s="48" t="str">
        <f t="shared" si="19"/>
        <v>N</v>
      </c>
      <c r="X48" s="48">
        <f t="shared" si="14"/>
        <v>1</v>
      </c>
      <c r="Y48" s="48">
        <f t="shared" si="7"/>
        <v>23.297499999999999</v>
      </c>
      <c r="Z48" s="48">
        <f t="shared" si="10"/>
        <v>1.41E-2</v>
      </c>
      <c r="AA48" s="48">
        <f t="shared" si="20"/>
        <v>23.2834</v>
      </c>
      <c r="AB48" s="49" t="e">
        <f>VLOOKUP(A48,#REF!,8,0)</f>
        <v>#REF!</v>
      </c>
      <c r="AC48" s="49" t="e">
        <f>VLOOKUP(A48,#REF!,3,0)</f>
        <v>#REF!</v>
      </c>
    </row>
    <row r="49" spans="1:29" s="2" customFormat="1" x14ac:dyDescent="0.25">
      <c r="A49" s="43" t="s">
        <v>282</v>
      </c>
      <c r="B49" s="43">
        <v>4042</v>
      </c>
      <c r="C49" s="43" t="s">
        <v>60</v>
      </c>
      <c r="D49" s="43" t="s">
        <v>108</v>
      </c>
      <c r="E49" s="25">
        <v>42547.342997685184</v>
      </c>
      <c r="F49" s="25">
        <v>42547.344166666669</v>
      </c>
      <c r="G49" s="31">
        <v>1</v>
      </c>
      <c r="H49" s="25" t="s">
        <v>283</v>
      </c>
      <c r="I49" s="25">
        <v>42547.370694444442</v>
      </c>
      <c r="J49" s="43">
        <v>1</v>
      </c>
      <c r="K49" s="43" t="str">
        <f t="shared" si="15"/>
        <v>4041/4042</v>
      </c>
      <c r="L49" s="43" t="str">
        <f>VLOOKUP(A49,'Trips&amp;Operators'!$C$1:$E$10000,3,FALSE)</f>
        <v>MALAVE</v>
      </c>
      <c r="M49" s="11">
        <f t="shared" si="16"/>
        <v>2.6527777772571426E-2</v>
      </c>
      <c r="N49" s="12">
        <f t="shared" si="21"/>
        <v>38.199999992502853</v>
      </c>
      <c r="O49" s="12"/>
      <c r="P49" s="12"/>
      <c r="Q49" s="44"/>
      <c r="R49" s="44"/>
      <c r="S49" s="70">
        <f t="shared" si="9"/>
        <v>1</v>
      </c>
      <c r="T49" s="2" t="str">
        <f t="shared" si="17"/>
        <v>NorthBound</v>
      </c>
      <c r="U49" s="2">
        <f>COUNTIFS(Variables!$M$2:$M$19,IF(T49="NorthBound","&gt;=","&lt;=")&amp;Y49,Variables!$M$2:$M$19,IF(T49="NorthBound","&lt;=","&gt;=")&amp;Z49)</f>
        <v>12</v>
      </c>
      <c r="V49" s="48" t="str">
        <f t="shared" si="18"/>
        <v>https://search-rtdc-monitor-bjffxe2xuh6vdkpspy63sjmuny.us-east-1.es.amazonaws.com/_plugin/kibana/#/discover/Steve-Slow-Train-Analysis-(2080s-and-2083s)?_g=(refreshInterval:(display:Off,section:0,value:0),time:(from:'2016-06-26 08:12:55-0600',mode:absolute,to:'2016-06-26 08:54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W49" s="48" t="str">
        <f t="shared" si="19"/>
        <v>N</v>
      </c>
      <c r="X49" s="48">
        <f t="shared" si="14"/>
        <v>1</v>
      </c>
      <c r="Y49" s="48">
        <f t="shared" si="7"/>
        <v>4.6699999999999998E-2</v>
      </c>
      <c r="Z49" s="48">
        <f t="shared" si="10"/>
        <v>23.327400000000001</v>
      </c>
      <c r="AA49" s="48">
        <f t="shared" si="20"/>
        <v>23.2807</v>
      </c>
      <c r="AB49" s="49" t="e">
        <f>VLOOKUP(A49,#REF!,8,0)</f>
        <v>#REF!</v>
      </c>
      <c r="AC49" s="49" t="e">
        <f>VLOOKUP(A49,#REF!,3,0)</f>
        <v>#REF!</v>
      </c>
    </row>
    <row r="50" spans="1:29" s="2" customFormat="1" x14ac:dyDescent="0.25">
      <c r="A50" s="43" t="s">
        <v>452</v>
      </c>
      <c r="B50" s="43">
        <v>4011</v>
      </c>
      <c r="C50" s="43" t="s">
        <v>60</v>
      </c>
      <c r="D50" s="43" t="s">
        <v>155</v>
      </c>
      <c r="E50" s="25">
        <v>42547.352685185186</v>
      </c>
      <c r="F50" s="25">
        <v>42547.35365740741</v>
      </c>
      <c r="G50" s="31">
        <v>1</v>
      </c>
      <c r="H50" s="25" t="s">
        <v>388</v>
      </c>
      <c r="I50" s="25">
        <v>42547.381956018522</v>
      </c>
      <c r="J50" s="43">
        <v>1</v>
      </c>
      <c r="K50" s="43" t="str">
        <f t="shared" si="15"/>
        <v>4011/4012</v>
      </c>
      <c r="L50" s="43" t="str">
        <f>VLOOKUP(A50,'Trips&amp;Operators'!$C$1:$E$10000,3,FALSE)</f>
        <v>GEBRETEKLE</v>
      </c>
      <c r="M50" s="11">
        <f t="shared" si="16"/>
        <v>2.8298611112404615E-2</v>
      </c>
      <c r="N50" s="12">
        <f t="shared" si="21"/>
        <v>40.750000001862645</v>
      </c>
      <c r="O50" s="12"/>
      <c r="P50" s="12"/>
      <c r="Q50" s="44"/>
      <c r="R50" s="44"/>
      <c r="S50" s="70">
        <f t="shared" si="9"/>
        <v>1</v>
      </c>
      <c r="T50" s="2" t="str">
        <f t="shared" si="17"/>
        <v>NorthBound</v>
      </c>
      <c r="U50" s="2">
        <f>COUNTIFS(Variables!$M$2:$M$19,IF(T50="NorthBound","&gt;=","&lt;=")&amp;Y50,Variables!$M$2:$M$19,IF(T50="NorthBound","&lt;=","&gt;=")&amp;Z50)</f>
        <v>12</v>
      </c>
      <c r="V50" s="48" t="str">
        <f t="shared" si="18"/>
        <v>https://search-rtdc-monitor-bjffxe2xuh6vdkpspy63sjmuny.us-east-1.es.amazonaws.com/_plugin/kibana/#/discover/Steve-Slow-Train-Analysis-(2080s-and-2083s)?_g=(refreshInterval:(display:Off,section:0,value:0),time:(from:'2016-06-26 08:26:52-0600',mode:absolute,to:'2016-06-26 09:11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50" s="48" t="str">
        <f t="shared" si="19"/>
        <v>N</v>
      </c>
      <c r="X50" s="48">
        <f t="shared" si="14"/>
        <v>2</v>
      </c>
      <c r="Y50" s="48">
        <f t="shared" si="7"/>
        <v>4.7699999999999999E-2</v>
      </c>
      <c r="Z50" s="48">
        <f t="shared" si="10"/>
        <v>23.331600000000002</v>
      </c>
      <c r="AA50" s="48">
        <f t="shared" si="20"/>
        <v>23.283900000000003</v>
      </c>
      <c r="AB50" s="49" t="e">
        <f>VLOOKUP(A50,#REF!,8,0)</f>
        <v>#REF!</v>
      </c>
      <c r="AC50" s="49" t="e">
        <f>VLOOKUP(A50,#REF!,3,0)</f>
        <v>#REF!</v>
      </c>
    </row>
    <row r="51" spans="1:29" s="2" customFormat="1" x14ac:dyDescent="0.25">
      <c r="A51" s="43" t="s">
        <v>453</v>
      </c>
      <c r="B51" s="43">
        <v>4012</v>
      </c>
      <c r="C51" s="43" t="s">
        <v>60</v>
      </c>
      <c r="D51" s="43" t="s">
        <v>163</v>
      </c>
      <c r="E51" s="25">
        <v>42547.392407407409</v>
      </c>
      <c r="F51" s="25">
        <v>42547.393229166664</v>
      </c>
      <c r="G51" s="31">
        <v>1</v>
      </c>
      <c r="H51" s="25" t="s">
        <v>113</v>
      </c>
      <c r="I51" s="25">
        <v>42547.425034722219</v>
      </c>
      <c r="J51" s="43">
        <v>1</v>
      </c>
      <c r="K51" s="43" t="str">
        <f t="shared" si="15"/>
        <v>4011/4012</v>
      </c>
      <c r="L51" s="43" t="str">
        <f>VLOOKUP(A51,'Trips&amp;Operators'!$C$1:$E$10000,3,FALSE)</f>
        <v>GEBRETEKLE</v>
      </c>
      <c r="M51" s="11">
        <f t="shared" si="16"/>
        <v>3.1805555554456078E-2</v>
      </c>
      <c r="N51" s="12">
        <f t="shared" si="21"/>
        <v>45.799999998416752</v>
      </c>
      <c r="O51" s="12"/>
      <c r="P51" s="12"/>
      <c r="Q51" s="44"/>
      <c r="R51" s="44"/>
      <c r="S51" s="70">
        <f t="shared" si="9"/>
        <v>1</v>
      </c>
      <c r="T51" s="2" t="str">
        <f t="shared" si="17"/>
        <v>Southbound</v>
      </c>
      <c r="U51" s="2">
        <f>COUNTIFS(Variables!$M$2:$M$19,IF(T51="NorthBound","&gt;=","&lt;=")&amp;Y51,Variables!$M$2:$M$19,IF(T51="NorthBound","&lt;=","&gt;=")&amp;Z51)</f>
        <v>12</v>
      </c>
      <c r="V51" s="48" t="str">
        <f t="shared" si="18"/>
        <v>https://search-rtdc-monitor-bjffxe2xuh6vdkpspy63sjmuny.us-east-1.es.amazonaws.com/_plugin/kibana/#/discover/Steve-Slow-Train-Analysis-(2080s-and-2083s)?_g=(refreshInterval:(display:Off,section:0,value:0),time:(from:'2016-06-26 09:24:04-0600',mode:absolute,to:'2016-06-26 10:13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51" s="48" t="str">
        <f t="shared" si="19"/>
        <v>N</v>
      </c>
      <c r="X51" s="48">
        <f t="shared" si="14"/>
        <v>1</v>
      </c>
      <c r="Y51" s="48">
        <f t="shared" si="7"/>
        <v>23.2971</v>
      </c>
      <c r="Z51" s="48">
        <f t="shared" si="10"/>
        <v>1.4999999999999999E-2</v>
      </c>
      <c r="AA51" s="48">
        <f t="shared" si="20"/>
        <v>23.2821</v>
      </c>
      <c r="AB51" s="49" t="e">
        <f>VLOOKUP(A51,#REF!,8,0)</f>
        <v>#REF!</v>
      </c>
      <c r="AC51" s="49" t="e">
        <f>VLOOKUP(A51,#REF!,3,0)</f>
        <v>#REF!</v>
      </c>
    </row>
    <row r="52" spans="1:29" s="2" customFormat="1" x14ac:dyDescent="0.25">
      <c r="A52" s="43" t="s">
        <v>454</v>
      </c>
      <c r="B52" s="43">
        <v>4007</v>
      </c>
      <c r="C52" s="43" t="s">
        <v>60</v>
      </c>
      <c r="D52" s="43" t="s">
        <v>73</v>
      </c>
      <c r="E52" s="25">
        <v>42547.366782407407</v>
      </c>
      <c r="F52" s="25">
        <v>42547.368819444448</v>
      </c>
      <c r="G52" s="31">
        <v>2</v>
      </c>
      <c r="H52" s="25" t="s">
        <v>397</v>
      </c>
      <c r="I52" s="25">
        <v>42547.39984953704</v>
      </c>
      <c r="J52" s="43">
        <v>0</v>
      </c>
      <c r="K52" s="43" t="str">
        <f t="shared" si="15"/>
        <v>4007/4008</v>
      </c>
      <c r="L52" s="43" t="str">
        <f>VLOOKUP(A52,'Trips&amp;Operators'!$C$1:$E$10000,3,FALSE)</f>
        <v>NELSON</v>
      </c>
      <c r="M52" s="11">
        <f t="shared" si="16"/>
        <v>3.1030092592118308E-2</v>
      </c>
      <c r="N52" s="12">
        <f t="shared" si="21"/>
        <v>44.683333332650363</v>
      </c>
      <c r="O52" s="12"/>
      <c r="P52" s="12"/>
      <c r="Q52" s="44"/>
      <c r="R52" s="44"/>
      <c r="S52" s="70">
        <f t="shared" si="9"/>
        <v>1</v>
      </c>
      <c r="T52" s="2" t="str">
        <f t="shared" si="17"/>
        <v>NorthBound</v>
      </c>
      <c r="U52" s="2">
        <f>COUNTIFS(Variables!$M$2:$M$19,IF(T52="NorthBound","&gt;=","&lt;=")&amp;Y52,Variables!$M$2:$M$19,IF(T52="NorthBound","&lt;=","&gt;=")&amp;Z52)</f>
        <v>12</v>
      </c>
      <c r="V52" s="48" t="str">
        <f t="shared" si="18"/>
        <v>https://search-rtdc-monitor-bjffxe2xuh6vdkpspy63sjmuny.us-east-1.es.amazonaws.com/_plugin/kibana/#/discover/Steve-Slow-Train-Analysis-(2080s-and-2083s)?_g=(refreshInterval:(display:Off,section:0,value:0),time:(from:'2016-06-26 08:47:10-0600',mode:absolute,to:'2016-06-26 09:36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W52" s="48" t="str">
        <f t="shared" si="19"/>
        <v>N</v>
      </c>
      <c r="X52" s="48">
        <f t="shared" si="14"/>
        <v>1</v>
      </c>
      <c r="Y52" s="48">
        <f t="shared" si="7"/>
        <v>4.5699999999999998E-2</v>
      </c>
      <c r="Z52" s="48">
        <f t="shared" si="10"/>
        <v>23.332100000000001</v>
      </c>
      <c r="AA52" s="48">
        <f t="shared" si="20"/>
        <v>23.2864</v>
      </c>
      <c r="AB52" s="49" t="e">
        <f>VLOOKUP(A52,#REF!,8,0)</f>
        <v>#REF!</v>
      </c>
      <c r="AC52" s="49" t="e">
        <f>VLOOKUP(A52,#REF!,3,0)</f>
        <v>#REF!</v>
      </c>
    </row>
    <row r="53" spans="1:29" s="2" customFormat="1" x14ac:dyDescent="0.25">
      <c r="A53" s="43" t="s">
        <v>455</v>
      </c>
      <c r="B53" s="43">
        <v>4008</v>
      </c>
      <c r="C53" s="43" t="s">
        <v>60</v>
      </c>
      <c r="D53" s="43" t="s">
        <v>159</v>
      </c>
      <c r="E53" s="25">
        <v>42547.40185185185</v>
      </c>
      <c r="F53" s="25">
        <v>42547.403101851851</v>
      </c>
      <c r="G53" s="31">
        <v>1</v>
      </c>
      <c r="H53" s="25" t="s">
        <v>145</v>
      </c>
      <c r="I53" s="25">
        <v>42547.432430555556</v>
      </c>
      <c r="J53" s="43">
        <v>0</v>
      </c>
      <c r="K53" s="43" t="str">
        <f t="shared" si="15"/>
        <v>4007/4008</v>
      </c>
      <c r="L53" s="43" t="str">
        <f>VLOOKUP(A53,'Trips&amp;Operators'!$C$1:$E$10000,3,FALSE)</f>
        <v>NELSON</v>
      </c>
      <c r="M53" s="11">
        <f t="shared" si="16"/>
        <v>2.9328703705687076E-2</v>
      </c>
      <c r="N53" s="12">
        <f t="shared" si="21"/>
        <v>42.233333336189389</v>
      </c>
      <c r="O53" s="12"/>
      <c r="P53" s="12"/>
      <c r="Q53" s="44"/>
      <c r="R53" s="44"/>
      <c r="S53" s="70">
        <f t="shared" si="9"/>
        <v>1</v>
      </c>
      <c r="T53" s="2" t="str">
        <f t="shared" si="17"/>
        <v>Southbound</v>
      </c>
      <c r="U53" s="2">
        <f>COUNTIFS(Variables!$M$2:$M$19,IF(T53="NorthBound","&gt;=","&lt;=")&amp;Y53,Variables!$M$2:$M$19,IF(T53="NorthBound","&lt;=","&gt;=")&amp;Z53)</f>
        <v>12</v>
      </c>
      <c r="V53" s="48" t="str">
        <f t="shared" si="18"/>
        <v>https://search-rtdc-monitor-bjffxe2xuh6vdkpspy63sjmuny.us-east-1.es.amazonaws.com/_plugin/kibana/#/discover/Steve-Slow-Train-Analysis-(2080s-and-2083s)?_g=(refreshInterval:(display:Off,section:0,value:0),time:(from:'2016-06-26 09:37:40-0600',mode:absolute,to:'2016-06-26 10:23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W53" s="48" t="str">
        <f t="shared" si="19"/>
        <v>N</v>
      </c>
      <c r="X53" s="48">
        <f t="shared" si="14"/>
        <v>1</v>
      </c>
      <c r="Y53" s="48">
        <f t="shared" si="7"/>
        <v>23.3004</v>
      </c>
      <c r="Z53" s="48">
        <f t="shared" si="10"/>
        <v>1.43E-2</v>
      </c>
      <c r="AA53" s="48">
        <f t="shared" si="20"/>
        <v>23.286100000000001</v>
      </c>
      <c r="AB53" s="49" t="e">
        <f>VLOOKUP(A53,#REF!,8,0)</f>
        <v>#REF!</v>
      </c>
      <c r="AC53" s="49" t="e">
        <f>VLOOKUP(A53,#REF!,3,0)</f>
        <v>#REF!</v>
      </c>
    </row>
    <row r="54" spans="1:29" s="2" customFormat="1" x14ac:dyDescent="0.25">
      <c r="A54" s="43" t="s">
        <v>456</v>
      </c>
      <c r="B54" s="43">
        <v>4038</v>
      </c>
      <c r="C54" s="43" t="s">
        <v>60</v>
      </c>
      <c r="D54" s="43" t="s">
        <v>146</v>
      </c>
      <c r="E54" s="25">
        <v>42547.376099537039</v>
      </c>
      <c r="F54" s="25">
        <v>42547.377280092594</v>
      </c>
      <c r="G54" s="31">
        <v>1</v>
      </c>
      <c r="H54" s="25" t="s">
        <v>105</v>
      </c>
      <c r="I54" s="25">
        <v>42547.408576388887</v>
      </c>
      <c r="J54" s="43">
        <v>2</v>
      </c>
      <c r="K54" s="43" t="str">
        <f t="shared" si="15"/>
        <v>4037/4038</v>
      </c>
      <c r="L54" s="43" t="str">
        <f>VLOOKUP(A54,'Trips&amp;Operators'!$C$1:$E$10000,3,FALSE)</f>
        <v>MAYBERRY</v>
      </c>
      <c r="M54" s="11">
        <f t="shared" si="16"/>
        <v>3.1296296292566694E-2</v>
      </c>
      <c r="N54" s="12">
        <f t="shared" si="21"/>
        <v>45.06666666129604</v>
      </c>
      <c r="O54" s="12"/>
      <c r="P54" s="12"/>
      <c r="Q54" s="44"/>
      <c r="R54" s="44"/>
      <c r="S54" s="70">
        <f t="shared" si="9"/>
        <v>1</v>
      </c>
      <c r="T54" s="2" t="str">
        <f t="shared" si="17"/>
        <v>NorthBound</v>
      </c>
      <c r="U54" s="2">
        <f>COUNTIFS(Variables!$M$2:$M$19,IF(T54="NorthBound","&gt;=","&lt;=")&amp;Y54,Variables!$M$2:$M$19,IF(T54="NorthBound","&lt;=","&gt;=")&amp;Z54)</f>
        <v>12</v>
      </c>
      <c r="V54" s="48" t="str">
        <f t="shared" si="18"/>
        <v>https://search-rtdc-monitor-bjffxe2xuh6vdkpspy63sjmuny.us-east-1.es.amazonaws.com/_plugin/kibana/#/discover/Steve-Slow-Train-Analysis-(2080s-and-2083s)?_g=(refreshInterval:(display:Off,section:0,value:0),time:(from:'2016-06-26 09:00:35-0600',mode:absolute,to:'2016-06-26 09:49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W54" s="48" t="str">
        <f t="shared" si="19"/>
        <v>N</v>
      </c>
      <c r="X54" s="48">
        <f t="shared" si="14"/>
        <v>1</v>
      </c>
      <c r="Y54" s="48">
        <f t="shared" si="7"/>
        <v>4.7500000000000001E-2</v>
      </c>
      <c r="Z54" s="48">
        <f t="shared" si="10"/>
        <v>23.3291</v>
      </c>
      <c r="AA54" s="48">
        <f t="shared" si="20"/>
        <v>23.281600000000001</v>
      </c>
      <c r="AB54" s="49" t="e">
        <f>VLOOKUP(A54,#REF!,8,0)</f>
        <v>#REF!</v>
      </c>
      <c r="AC54" s="49" t="e">
        <f>VLOOKUP(A54,#REF!,3,0)</f>
        <v>#REF!</v>
      </c>
    </row>
    <row r="55" spans="1:29" s="2" customFormat="1" x14ac:dyDescent="0.25">
      <c r="A55" s="43" t="s">
        <v>457</v>
      </c>
      <c r="B55" s="43">
        <v>4037</v>
      </c>
      <c r="C55" s="43" t="s">
        <v>60</v>
      </c>
      <c r="D55" s="43" t="s">
        <v>264</v>
      </c>
      <c r="E55" s="25">
        <v>42547.409918981481</v>
      </c>
      <c r="F55" s="25">
        <v>42547.411550925928</v>
      </c>
      <c r="G55" s="31">
        <v>2</v>
      </c>
      <c r="H55" s="25" t="s">
        <v>164</v>
      </c>
      <c r="I55" s="25">
        <v>42547.444097222222</v>
      </c>
      <c r="J55" s="43">
        <v>1</v>
      </c>
      <c r="K55" s="43" t="str">
        <f t="shared" si="15"/>
        <v>4037/4038</v>
      </c>
      <c r="L55" s="43" t="str">
        <f>VLOOKUP(A55,'Trips&amp;Operators'!$C$1:$E$10000,3,FALSE)</f>
        <v>MAYBERRY</v>
      </c>
      <c r="M55" s="11">
        <f t="shared" si="16"/>
        <v>3.2546296293730848E-2</v>
      </c>
      <c r="N55" s="12">
        <f t="shared" si="21"/>
        <v>46.86666666297242</v>
      </c>
      <c r="O55" s="12"/>
      <c r="P55" s="12"/>
      <c r="Q55" s="44"/>
      <c r="R55" s="44"/>
      <c r="S55" s="70">
        <f t="shared" si="9"/>
        <v>1</v>
      </c>
      <c r="T55" s="2" t="str">
        <f t="shared" si="17"/>
        <v>Southbound</v>
      </c>
      <c r="U55" s="2">
        <f>COUNTIFS(Variables!$M$2:$M$19,IF(T55="NorthBound","&gt;=","&lt;=")&amp;Y55,Variables!$M$2:$M$19,IF(T55="NorthBound","&lt;=","&gt;=")&amp;Z55)</f>
        <v>12</v>
      </c>
      <c r="V55" s="48" t="str">
        <f t="shared" si="18"/>
        <v>https://search-rtdc-monitor-bjffxe2xuh6vdkpspy63sjmuny.us-east-1.es.amazonaws.com/_plugin/kibana/#/discover/Steve-Slow-Train-Analysis-(2080s-and-2083s)?_g=(refreshInterval:(display:Off,section:0,value:0),time:(from:'2016-06-26 09:49:17-0600',mode:absolute,to:'2016-06-26 10:40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W55" s="48" t="str">
        <f t="shared" si="19"/>
        <v>N</v>
      </c>
      <c r="X55" s="48">
        <f t="shared" si="14"/>
        <v>1</v>
      </c>
      <c r="Y55" s="48">
        <f t="shared" si="7"/>
        <v>23.296299999999999</v>
      </c>
      <c r="Z55" s="48">
        <f t="shared" si="10"/>
        <v>1.3599999999999999E-2</v>
      </c>
      <c r="AA55" s="48">
        <f t="shared" si="20"/>
        <v>23.282699999999998</v>
      </c>
      <c r="AB55" s="49" t="e">
        <f>VLOOKUP(A55,#REF!,8,0)</f>
        <v>#REF!</v>
      </c>
      <c r="AC55" s="49" t="e">
        <f>VLOOKUP(A55,#REF!,3,0)</f>
        <v>#REF!</v>
      </c>
    </row>
    <row r="56" spans="1:29" s="2" customFormat="1" x14ac:dyDescent="0.25">
      <c r="A56" s="43" t="s">
        <v>458</v>
      </c>
      <c r="B56" s="43">
        <v>4018</v>
      </c>
      <c r="C56" s="43" t="s">
        <v>60</v>
      </c>
      <c r="D56" s="43" t="s">
        <v>108</v>
      </c>
      <c r="E56" s="25">
        <v>42547.386643518519</v>
      </c>
      <c r="F56" s="25">
        <v>42547.387708333335</v>
      </c>
      <c r="G56" s="31">
        <v>1</v>
      </c>
      <c r="H56" s="25" t="s">
        <v>168</v>
      </c>
      <c r="I56" s="25">
        <v>42547.418483796297</v>
      </c>
      <c r="J56" s="43">
        <v>1</v>
      </c>
      <c r="K56" s="43" t="str">
        <f t="shared" si="15"/>
        <v>4017/4018</v>
      </c>
      <c r="L56" s="43" t="str">
        <f>VLOOKUP(A56,'Trips&amp;Operators'!$C$1:$E$10000,3,FALSE)</f>
        <v>STURGEON</v>
      </c>
      <c r="M56" s="11">
        <f t="shared" si="16"/>
        <v>3.0775462961173616E-2</v>
      </c>
      <c r="N56" s="12">
        <f t="shared" si="21"/>
        <v>44.316666664090008</v>
      </c>
      <c r="O56" s="12"/>
      <c r="P56" s="12"/>
      <c r="Q56" s="44"/>
      <c r="R56" s="44"/>
      <c r="S56" s="70">
        <f t="shared" si="9"/>
        <v>1</v>
      </c>
      <c r="T56" s="2" t="str">
        <f t="shared" si="17"/>
        <v>NorthBound</v>
      </c>
      <c r="U56" s="2">
        <f>COUNTIFS(Variables!$M$2:$M$19,IF(T56="NorthBound","&gt;=","&lt;=")&amp;Y56,Variables!$M$2:$M$19,IF(T56="NorthBound","&lt;=","&gt;=")&amp;Z56)</f>
        <v>12</v>
      </c>
      <c r="V56" s="48" t="str">
        <f t="shared" si="18"/>
        <v>https://search-rtdc-monitor-bjffxe2xuh6vdkpspy63sjmuny.us-east-1.es.amazonaws.com/_plugin/kibana/#/discover/Steve-Slow-Train-Analysis-(2080s-and-2083s)?_g=(refreshInterval:(display:Off,section:0,value:0),time:(from:'2016-06-26 09:15:46-0600',mode:absolute,to:'2016-06-26 10:03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56" s="48" t="str">
        <f t="shared" si="19"/>
        <v>N</v>
      </c>
      <c r="X56" s="48">
        <f t="shared" si="14"/>
        <v>1</v>
      </c>
      <c r="Y56" s="48">
        <f t="shared" si="7"/>
        <v>4.6699999999999998E-2</v>
      </c>
      <c r="Z56" s="48">
        <f t="shared" si="10"/>
        <v>23.328900000000001</v>
      </c>
      <c r="AA56" s="48">
        <f t="shared" si="20"/>
        <v>23.2822</v>
      </c>
      <c r="AB56" s="49" t="e">
        <f>VLOOKUP(A56,#REF!,8,0)</f>
        <v>#REF!</v>
      </c>
      <c r="AC56" s="49" t="e">
        <f>VLOOKUP(A56,#REF!,3,0)</f>
        <v>#REF!</v>
      </c>
    </row>
    <row r="57" spans="1:29" s="2" customFormat="1" x14ac:dyDescent="0.25">
      <c r="A57" s="66" t="s">
        <v>459</v>
      </c>
      <c r="B57" s="43">
        <v>4017</v>
      </c>
      <c r="C57" s="43" t="s">
        <v>60</v>
      </c>
      <c r="D57" s="43" t="s">
        <v>460</v>
      </c>
      <c r="E57" s="25">
        <v>42547.421956018516</v>
      </c>
      <c r="F57" s="25">
        <v>42547.422893518517</v>
      </c>
      <c r="G57" s="31">
        <v>1</v>
      </c>
      <c r="H57" s="25" t="s">
        <v>445</v>
      </c>
      <c r="I57" s="25">
        <v>42547.45171296296</v>
      </c>
      <c r="J57" s="43">
        <v>0</v>
      </c>
      <c r="K57" s="43" t="str">
        <f t="shared" si="15"/>
        <v>4017/4018</v>
      </c>
      <c r="L57" s="43" t="str">
        <f>VLOOKUP(A57,'Trips&amp;Operators'!$C$1:$E$10000,3,FALSE)</f>
        <v>STURGEON</v>
      </c>
      <c r="M57" s="11">
        <f t="shared" si="16"/>
        <v>2.8819444443797693E-2</v>
      </c>
      <c r="N57" s="12">
        <f t="shared" si="21"/>
        <v>41.499999999068677</v>
      </c>
      <c r="O57" s="12"/>
      <c r="P57" s="12"/>
      <c r="Q57" s="44"/>
      <c r="R57" s="44"/>
      <c r="S57" s="70">
        <f t="shared" si="9"/>
        <v>1</v>
      </c>
      <c r="T57" s="2" t="str">
        <f t="shared" si="17"/>
        <v>Southbound</v>
      </c>
      <c r="U57" s="2">
        <f>COUNTIFS(Variables!$M$2:$M$19,IF(T57="NorthBound","&gt;=","&lt;=")&amp;Y57,Variables!$M$2:$M$19,IF(T57="NorthBound","&lt;=","&gt;=")&amp;Z57)</f>
        <v>12</v>
      </c>
      <c r="V57" s="48" t="str">
        <f t="shared" si="18"/>
        <v>https://search-rtdc-monitor-bjffxe2xuh6vdkpspy63sjmuny.us-east-1.es.amazonaws.com/_plugin/kibana/#/discover/Steve-Slow-Train-Analysis-(2080s-and-2083s)?_g=(refreshInterval:(display:Off,section:0,value:0),time:(from:'2016-06-26 10:06:37-0600',mode:absolute,to:'2016-06-26 10:51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57" s="48" t="str">
        <f t="shared" si="19"/>
        <v>N</v>
      </c>
      <c r="X57" s="48">
        <f t="shared" si="14"/>
        <v>1</v>
      </c>
      <c r="Y57" s="48">
        <v>23.297499999999999</v>
      </c>
      <c r="Z57" s="48">
        <f t="shared" si="10"/>
        <v>1.7600000000000001E-2</v>
      </c>
      <c r="AA57" s="48">
        <f t="shared" si="20"/>
        <v>23.279899999999998</v>
      </c>
      <c r="AB57" s="49" t="e">
        <f>VLOOKUP(A57,#REF!,8,0)</f>
        <v>#REF!</v>
      </c>
      <c r="AC57" s="49" t="e">
        <f>VLOOKUP(A57,#REF!,3,0)</f>
        <v>#REF!</v>
      </c>
    </row>
    <row r="58" spans="1:29" s="2" customFormat="1" x14ac:dyDescent="0.25">
      <c r="A58" s="43" t="s">
        <v>461</v>
      </c>
      <c r="B58" s="43">
        <v>4025</v>
      </c>
      <c r="C58" s="43" t="s">
        <v>60</v>
      </c>
      <c r="D58" s="43" t="s">
        <v>73</v>
      </c>
      <c r="E58" s="25">
        <v>42547.390833333331</v>
      </c>
      <c r="F58" s="25">
        <v>42547.391701388886</v>
      </c>
      <c r="G58" s="31">
        <v>1</v>
      </c>
      <c r="H58" s="25" t="s">
        <v>409</v>
      </c>
      <c r="I58" s="25">
        <v>42547.423009259262</v>
      </c>
      <c r="J58" s="43">
        <v>0</v>
      </c>
      <c r="K58" s="43" t="str">
        <f t="shared" si="15"/>
        <v>4025/4026</v>
      </c>
      <c r="L58" s="43" t="str">
        <f>VLOOKUP(A58,'Trips&amp;Operators'!$C$1:$E$10000,3,FALSE)</f>
        <v>YORK</v>
      </c>
      <c r="M58" s="11">
        <f t="shared" si="16"/>
        <v>3.1307870376622304E-2</v>
      </c>
      <c r="N58" s="12">
        <f t="shared" si="21"/>
        <v>45.083333342336118</v>
      </c>
      <c r="O58" s="12"/>
      <c r="P58" s="12"/>
      <c r="Q58" s="44"/>
      <c r="R58" s="44"/>
      <c r="S58" s="70">
        <f t="shared" si="9"/>
        <v>1</v>
      </c>
      <c r="T58" s="2" t="str">
        <f t="shared" si="17"/>
        <v>NorthBound</v>
      </c>
      <c r="U58" s="2">
        <f>COUNTIFS(Variables!$M$2:$M$19,IF(T58="NorthBound","&gt;=","&lt;=")&amp;Y58,Variables!$M$2:$M$19,IF(T58="NorthBound","&lt;=","&gt;=")&amp;Z58)</f>
        <v>12</v>
      </c>
      <c r="V58" s="48" t="str">
        <f t="shared" si="18"/>
        <v>https://search-rtdc-monitor-bjffxe2xuh6vdkpspy63sjmuny.us-east-1.es.amazonaws.com/_plugin/kibana/#/discover/Steve-Slow-Train-Analysis-(2080s-and-2083s)?_g=(refreshInterval:(display:Off,section:0,value:0),time:(from:'2016-06-26 09:21:48-0600',mode:absolute,to:'2016-06-26 10:10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58" s="48" t="str">
        <f t="shared" si="19"/>
        <v>N</v>
      </c>
      <c r="X58" s="48">
        <f t="shared" si="14"/>
        <v>1</v>
      </c>
      <c r="Y58" s="48">
        <f t="shared" ref="Y58:Y77" si="22">RIGHT(D58,LEN(D58)-4)/10000</f>
        <v>4.5699999999999998E-2</v>
      </c>
      <c r="Z58" s="48">
        <f t="shared" si="10"/>
        <v>23.330300000000001</v>
      </c>
      <c r="AA58" s="48">
        <f t="shared" si="20"/>
        <v>23.284600000000001</v>
      </c>
      <c r="AB58" s="49" t="e">
        <f>VLOOKUP(A58,#REF!,8,0)</f>
        <v>#REF!</v>
      </c>
      <c r="AC58" s="49" t="e">
        <f>VLOOKUP(A58,#REF!,3,0)</f>
        <v>#REF!</v>
      </c>
    </row>
    <row r="59" spans="1:29" s="2" customFormat="1" x14ac:dyDescent="0.25">
      <c r="A59" s="43" t="s">
        <v>462</v>
      </c>
      <c r="B59" s="43">
        <v>4026</v>
      </c>
      <c r="C59" s="43" t="s">
        <v>60</v>
      </c>
      <c r="D59" s="43" t="s">
        <v>156</v>
      </c>
      <c r="E59" s="25">
        <v>42547.423842592594</v>
      </c>
      <c r="F59" s="25">
        <v>42547.424907407411</v>
      </c>
      <c r="G59" s="31">
        <v>1</v>
      </c>
      <c r="H59" s="25" t="s">
        <v>67</v>
      </c>
      <c r="I59" s="25">
        <v>42547.461597222224</v>
      </c>
      <c r="J59" s="43">
        <v>0</v>
      </c>
      <c r="K59" s="43" t="str">
        <f t="shared" si="15"/>
        <v>4025/4026</v>
      </c>
      <c r="L59" s="43" t="str">
        <f>VLOOKUP(A59,'Trips&amp;Operators'!$C$1:$E$10000,3,FALSE)</f>
        <v>YORK</v>
      </c>
      <c r="M59" s="11">
        <f t="shared" si="16"/>
        <v>3.6689814813144039E-2</v>
      </c>
      <c r="N59" s="12">
        <f t="shared" si="21"/>
        <v>52.833333330927417</v>
      </c>
      <c r="O59" s="12"/>
      <c r="P59" s="12"/>
      <c r="Q59" s="44"/>
      <c r="R59" s="44"/>
      <c r="S59" s="70">
        <f t="shared" si="9"/>
        <v>1</v>
      </c>
      <c r="T59" s="2" t="str">
        <f t="shared" si="17"/>
        <v>Southbound</v>
      </c>
      <c r="U59" s="2">
        <f>COUNTIFS(Variables!$M$2:$M$19,IF(T59="NorthBound","&gt;=","&lt;=")&amp;Y59,Variables!$M$2:$M$19,IF(T59="NorthBound","&lt;=","&gt;=")&amp;Z59)</f>
        <v>12</v>
      </c>
      <c r="V59" s="48" t="str">
        <f t="shared" si="18"/>
        <v>https://search-rtdc-monitor-bjffxe2xuh6vdkpspy63sjmuny.us-east-1.es.amazonaws.com/_plugin/kibana/#/discover/Steve-Slow-Train-Analysis-(2080s-and-2083s)?_g=(refreshInterval:(display:Off,section:0,value:0),time:(from:'2016-06-26 10:09:20-0600',mode:absolute,to:'2016-06-26 11:05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59" s="48" t="str">
        <f t="shared" si="19"/>
        <v>N</v>
      </c>
      <c r="X59" s="48">
        <f t="shared" si="14"/>
        <v>1</v>
      </c>
      <c r="Y59" s="48">
        <f t="shared" si="22"/>
        <v>23.296900000000001</v>
      </c>
      <c r="Z59" s="48">
        <f t="shared" si="10"/>
        <v>1.47E-2</v>
      </c>
      <c r="AA59" s="48">
        <f t="shared" si="20"/>
        <v>23.2822</v>
      </c>
      <c r="AB59" s="49" t="e">
        <f>VLOOKUP(A59,#REF!,8,0)</f>
        <v>#REF!</v>
      </c>
      <c r="AC59" s="49" t="e">
        <f>VLOOKUP(A59,#REF!,3,0)</f>
        <v>#REF!</v>
      </c>
    </row>
    <row r="60" spans="1:29" s="2" customFormat="1" x14ac:dyDescent="0.25">
      <c r="A60" s="43" t="s">
        <v>463</v>
      </c>
      <c r="B60" s="43">
        <v>4020</v>
      </c>
      <c r="C60" s="43" t="s">
        <v>60</v>
      </c>
      <c r="D60" s="43" t="s">
        <v>86</v>
      </c>
      <c r="E60" s="25">
        <v>42547.405810185184</v>
      </c>
      <c r="F60" s="25">
        <v>42547.406782407408</v>
      </c>
      <c r="G60" s="31">
        <v>1</v>
      </c>
      <c r="H60" s="25" t="s">
        <v>466</v>
      </c>
      <c r="I60" s="25">
        <v>42547.411134259259</v>
      </c>
      <c r="J60" s="43">
        <v>1</v>
      </c>
      <c r="K60" s="43" t="str">
        <f t="shared" si="15"/>
        <v>4019/4020</v>
      </c>
      <c r="L60" s="43" t="str">
        <f>VLOOKUP(A60,'Trips&amp;Operators'!$C$1:$E$10000,3,FALSE)</f>
        <v>SANTIZO</v>
      </c>
      <c r="M60" s="11">
        <f t="shared" si="16"/>
        <v>4.3518518505152315E-3</v>
      </c>
      <c r="N60" s="12"/>
      <c r="O60" s="12"/>
      <c r="P60" s="12">
        <f>24*60*SUM($M60:$M61)</f>
        <v>43.199999998323619</v>
      </c>
      <c r="Q60" s="44"/>
      <c r="R60" s="44" t="s">
        <v>494</v>
      </c>
      <c r="S60" s="70">
        <f>SUM(U60:U61)/12</f>
        <v>0.75</v>
      </c>
      <c r="T60" s="2" t="str">
        <f t="shared" si="17"/>
        <v>NorthBound</v>
      </c>
      <c r="U60" s="2">
        <f>COUNTIFS(Variables!$M$2:$M$19,IF(T60="NorthBound","&gt;=","&lt;=")&amp;Y60,Variables!$M$2:$M$19,IF(T60="NorthBound","&lt;=","&gt;=")&amp;Z60)</f>
        <v>0</v>
      </c>
      <c r="V60" s="48" t="str">
        <f t="shared" si="18"/>
        <v>https://search-rtdc-monitor-bjffxe2xuh6vdkpspy63sjmuny.us-east-1.es.amazonaws.com/_plugin/kibana/#/discover/Steve-Slow-Train-Analysis-(2080s-and-2083s)?_g=(refreshInterval:(display:Off,section:0,value:0),time:(from:'2016-06-26 09:43:22-0600',mode:absolute,to:'2016-06-26 09:53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60" s="48" t="str">
        <f t="shared" si="19"/>
        <v>Y</v>
      </c>
      <c r="X60" s="48">
        <f t="shared" si="14"/>
        <v>1</v>
      </c>
      <c r="Y60" s="48">
        <f t="shared" si="22"/>
        <v>4.6399999999999997E-2</v>
      </c>
      <c r="Z60" s="48">
        <f t="shared" si="10"/>
        <v>1.9125000000000001</v>
      </c>
      <c r="AA60" s="48">
        <f t="shared" si="20"/>
        <v>1.8661000000000001</v>
      </c>
      <c r="AB60" s="49" t="e">
        <f>VLOOKUP(A60,#REF!,8,0)</f>
        <v>#REF!</v>
      </c>
      <c r="AC60" s="49" t="e">
        <f>VLOOKUP(A60,#REF!,3,0)</f>
        <v>#REF!</v>
      </c>
    </row>
    <row r="61" spans="1:29" s="2" customFormat="1" x14ac:dyDescent="0.25">
      <c r="A61" s="43" t="s">
        <v>463</v>
      </c>
      <c r="B61" s="43">
        <v>4020</v>
      </c>
      <c r="C61" s="43" t="s">
        <v>60</v>
      </c>
      <c r="D61" s="43" t="s">
        <v>464</v>
      </c>
      <c r="E61" s="25">
        <v>42547.415520833332</v>
      </c>
      <c r="F61" s="25">
        <v>42547.416388888887</v>
      </c>
      <c r="G61" s="31">
        <v>1</v>
      </c>
      <c r="H61" s="25" t="s">
        <v>465</v>
      </c>
      <c r="I61" s="25">
        <v>42547.442037037035</v>
      </c>
      <c r="J61" s="43">
        <v>1</v>
      </c>
      <c r="K61" s="43" t="str">
        <f t="shared" si="15"/>
        <v>4019/4020</v>
      </c>
      <c r="L61" s="43" t="str">
        <f>VLOOKUP(A61,'Trips&amp;Operators'!$C$1:$E$10000,3,FALSE)</f>
        <v>SANTIZO</v>
      </c>
      <c r="M61" s="11">
        <f t="shared" si="16"/>
        <v>2.5648148148320615E-2</v>
      </c>
      <c r="N61" s="12"/>
      <c r="O61" s="12"/>
      <c r="P61" s="12"/>
      <c r="Q61" s="44"/>
      <c r="R61" s="44"/>
      <c r="S61" s="70"/>
      <c r="T61" s="2" t="str">
        <f t="shared" si="17"/>
        <v>NorthBound</v>
      </c>
      <c r="U61" s="2">
        <f>COUNTIFS(Variables!$M$2:$M$19,IF(T61="NorthBound","&gt;=","&lt;=")&amp;Y61,Variables!$M$2:$M$19,IF(T61="NorthBound","&lt;=","&gt;=")&amp;Z61)</f>
        <v>9</v>
      </c>
      <c r="V61" s="48" t="str">
        <f t="shared" si="18"/>
        <v>https://search-rtdc-monitor-bjffxe2xuh6vdkpspy63sjmuny.us-east-1.es.amazonaws.com/_plugin/kibana/#/discover/Steve-Slow-Train-Analysis-(2080s-and-2083s)?_g=(refreshInterval:(display:Off,section:0,value:0),time:(from:'2016-06-26 09:57:21-0600',mode:absolute,to:'2016-06-26 10:37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61" s="48" t="str">
        <f t="shared" si="19"/>
        <v>Y</v>
      </c>
      <c r="X61" s="48">
        <f t="shared" si="14"/>
        <v>0</v>
      </c>
      <c r="Y61" s="48">
        <f t="shared" si="22"/>
        <v>3.7179000000000002</v>
      </c>
      <c r="Z61" s="48">
        <f t="shared" si="10"/>
        <v>23.328199999999999</v>
      </c>
      <c r="AA61" s="48">
        <f t="shared" si="20"/>
        <v>19.610299999999999</v>
      </c>
      <c r="AB61" s="49" t="e">
        <f>VLOOKUP(A61,#REF!,8,0)</f>
        <v>#REF!</v>
      </c>
      <c r="AC61" s="49" t="e">
        <f>VLOOKUP(A61,#REF!,3,0)</f>
        <v>#REF!</v>
      </c>
    </row>
    <row r="62" spans="1:29" s="2" customFormat="1" x14ac:dyDescent="0.25">
      <c r="A62" s="43" t="s">
        <v>467</v>
      </c>
      <c r="B62" s="43">
        <v>4019</v>
      </c>
      <c r="C62" s="43" t="s">
        <v>60</v>
      </c>
      <c r="D62" s="43" t="s">
        <v>179</v>
      </c>
      <c r="E62" s="25">
        <v>42547.445</v>
      </c>
      <c r="F62" s="25">
        <v>42547.445706018516</v>
      </c>
      <c r="G62" s="31">
        <v>1</v>
      </c>
      <c r="H62" s="25" t="s">
        <v>75</v>
      </c>
      <c r="I62" s="25">
        <v>42547.475659722222</v>
      </c>
      <c r="J62" s="43">
        <v>2</v>
      </c>
      <c r="K62" s="43" t="str">
        <f t="shared" si="15"/>
        <v>4019/4020</v>
      </c>
      <c r="L62" s="43" t="str">
        <f>VLOOKUP(A62,'Trips&amp;Operators'!$C$1:$E$10000,3,FALSE)</f>
        <v>SANTIZO</v>
      </c>
      <c r="M62" s="11">
        <f t="shared" si="16"/>
        <v>2.9953703706269152E-2</v>
      </c>
      <c r="N62" s="12">
        <f t="shared" ref="N62:N78" si="23">24*60*SUM($M62:$M62)</f>
        <v>43.13333333702758</v>
      </c>
      <c r="O62" s="12"/>
      <c r="P62" s="12"/>
      <c r="Q62" s="44"/>
      <c r="R62" s="44"/>
      <c r="S62" s="70">
        <f>SUM(U62:U62)/12</f>
        <v>1</v>
      </c>
      <c r="T62" s="2" t="str">
        <f t="shared" si="17"/>
        <v>Southbound</v>
      </c>
      <c r="U62" s="2">
        <f>COUNTIFS(Variables!$M$2:$M$19,IF(T62="NorthBound","&gt;=","&lt;=")&amp;Y62,Variables!$M$2:$M$19,IF(T62="NorthBound","&lt;=","&gt;=")&amp;Z62)</f>
        <v>12</v>
      </c>
      <c r="V62" s="48" t="str">
        <f t="shared" si="18"/>
        <v>https://search-rtdc-monitor-bjffxe2xuh6vdkpspy63sjmuny.us-east-1.es.amazonaws.com/_plugin/kibana/#/discover/Steve-Slow-Train-Analysis-(2080s-and-2083s)?_g=(refreshInterval:(display:Off,section:0,value:0),time:(from:'2016-06-26 10:39:48-0600',mode:absolute,to:'2016-06-26 11:25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62" s="48" t="str">
        <f t="shared" si="19"/>
        <v>N</v>
      </c>
      <c r="X62" s="48">
        <f t="shared" si="14"/>
        <v>1</v>
      </c>
      <c r="Y62" s="48">
        <f t="shared" si="22"/>
        <v>23.298400000000001</v>
      </c>
      <c r="Z62" s="48">
        <f t="shared" si="10"/>
        <v>1.49E-2</v>
      </c>
      <c r="AA62" s="48">
        <f t="shared" si="20"/>
        <v>23.2835</v>
      </c>
      <c r="AB62" s="49" t="e">
        <f>VLOOKUP(A62,#REF!,8,0)</f>
        <v>#REF!</v>
      </c>
      <c r="AC62" s="49" t="e">
        <f>VLOOKUP(A62,#REF!,3,0)</f>
        <v>#REF!</v>
      </c>
    </row>
    <row r="63" spans="1:29" s="2" customFormat="1" x14ac:dyDescent="0.25">
      <c r="A63" s="43" t="s">
        <v>468</v>
      </c>
      <c r="B63" s="43">
        <v>4024</v>
      </c>
      <c r="C63" s="43" t="s">
        <v>60</v>
      </c>
      <c r="D63" s="43" t="s">
        <v>198</v>
      </c>
      <c r="E63" s="25">
        <v>42547.424409722225</v>
      </c>
      <c r="F63" s="25">
        <v>42547.425671296296</v>
      </c>
      <c r="G63" s="31">
        <v>1</v>
      </c>
      <c r="H63" s="25" t="s">
        <v>469</v>
      </c>
      <c r="I63" s="25">
        <v>42547.45484953704</v>
      </c>
      <c r="J63" s="43">
        <v>2</v>
      </c>
      <c r="K63" s="43" t="str">
        <f t="shared" si="15"/>
        <v>4023/4024</v>
      </c>
      <c r="L63" s="43" t="str">
        <f>VLOOKUP(A63,'Trips&amp;Operators'!$C$1:$E$10000,3,FALSE)</f>
        <v>MALAVE</v>
      </c>
      <c r="M63" s="11">
        <f t="shared" si="16"/>
        <v>2.9178240743931383E-2</v>
      </c>
      <c r="N63" s="12">
        <f t="shared" si="23"/>
        <v>42.016666671261191</v>
      </c>
      <c r="O63" s="12"/>
      <c r="P63" s="12"/>
      <c r="Q63" s="44"/>
      <c r="R63" s="44"/>
      <c r="S63" s="70">
        <f t="shared" ref="S63:S78" si="24">SUM(U63:U63)/12</f>
        <v>1</v>
      </c>
      <c r="T63" s="2" t="str">
        <f t="shared" si="17"/>
        <v>NorthBound</v>
      </c>
      <c r="U63" s="2">
        <f>COUNTIFS(Variables!$M$2:$M$19,IF(T63="NorthBound","&gt;=","&lt;=")&amp;Y63,Variables!$M$2:$M$19,IF(T63="NorthBound","&lt;=","&gt;=")&amp;Z63)</f>
        <v>12</v>
      </c>
      <c r="V63" s="48" t="str">
        <f t="shared" si="18"/>
        <v>https://search-rtdc-monitor-bjffxe2xuh6vdkpspy63sjmuny.us-east-1.es.amazonaws.com/_plugin/kibana/#/discover/Steve-Slow-Train-Analysis-(2080s-and-2083s)?_g=(refreshInterval:(display:Off,section:0,value:0),time:(from:'2016-06-26 10:10:09-0600',mode:absolute,to:'2016-06-26 10:55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W63" s="48" t="str">
        <f t="shared" si="19"/>
        <v>N</v>
      </c>
      <c r="X63" s="48">
        <f t="shared" si="14"/>
        <v>1</v>
      </c>
      <c r="Y63" s="48">
        <f t="shared" si="22"/>
        <v>4.4200000000000003E-2</v>
      </c>
      <c r="Z63" s="48">
        <f t="shared" si="10"/>
        <v>23.328600000000002</v>
      </c>
      <c r="AA63" s="48">
        <f t="shared" si="20"/>
        <v>23.284400000000002</v>
      </c>
      <c r="AB63" s="49" t="e">
        <f>VLOOKUP(A63,#REF!,8,0)</f>
        <v>#REF!</v>
      </c>
      <c r="AC63" s="49" t="e">
        <f>VLOOKUP(A63,#REF!,3,0)</f>
        <v>#REF!</v>
      </c>
    </row>
    <row r="64" spans="1:29" s="2" customFormat="1" x14ac:dyDescent="0.25">
      <c r="A64" s="43" t="s">
        <v>284</v>
      </c>
      <c r="B64" s="43">
        <v>4023</v>
      </c>
      <c r="C64" s="43" t="s">
        <v>60</v>
      </c>
      <c r="D64" s="43" t="s">
        <v>285</v>
      </c>
      <c r="E64" s="25">
        <v>42547.457546296297</v>
      </c>
      <c r="F64" s="25">
        <v>42547.459386574075</v>
      </c>
      <c r="G64" s="31">
        <v>2</v>
      </c>
      <c r="H64" s="25" t="s">
        <v>91</v>
      </c>
      <c r="I64" s="25">
        <v>42547.488923611112</v>
      </c>
      <c r="J64" s="43">
        <v>4</v>
      </c>
      <c r="K64" s="43" t="str">
        <f t="shared" si="15"/>
        <v>4023/4024</v>
      </c>
      <c r="L64" s="43" t="str">
        <f>VLOOKUP(A64,'Trips&amp;Operators'!$C$1:$E$10000,3,FALSE)</f>
        <v>MALAVE</v>
      </c>
      <c r="M64" s="11">
        <f t="shared" si="16"/>
        <v>2.9537037036789116E-2</v>
      </c>
      <c r="N64" s="12">
        <f t="shared" si="23"/>
        <v>42.533333332976326</v>
      </c>
      <c r="O64" s="12"/>
      <c r="P64" s="12"/>
      <c r="Q64" s="44"/>
      <c r="R64" s="44"/>
      <c r="S64" s="70">
        <f t="shared" si="24"/>
        <v>1</v>
      </c>
      <c r="T64" s="2" t="str">
        <f t="shared" si="17"/>
        <v>Southbound</v>
      </c>
      <c r="U64" s="2">
        <f>COUNTIFS(Variables!$M$2:$M$19,IF(T64="NorthBound","&gt;=","&lt;=")&amp;Y64,Variables!$M$2:$M$19,IF(T64="NorthBound","&lt;=","&gt;=")&amp;Z64)</f>
        <v>12</v>
      </c>
      <c r="V64" s="48" t="str">
        <f t="shared" si="18"/>
        <v>https://search-rtdc-monitor-bjffxe2xuh6vdkpspy63sjmuny.us-east-1.es.amazonaws.com/_plugin/kibana/#/discover/Steve-Slow-Train-Analysis-(2080s-and-2083s)?_g=(refreshInterval:(display:Off,section:0,value:0),time:(from:'2016-06-26 10:57:52-0600',mode:absolute,to:'2016-06-26 11:45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W64" s="48" t="str">
        <f t="shared" si="19"/>
        <v>N</v>
      </c>
      <c r="X64" s="48">
        <f t="shared" si="14"/>
        <v>1</v>
      </c>
      <c r="Y64" s="48">
        <f t="shared" si="22"/>
        <v>23.295300000000001</v>
      </c>
      <c r="Z64" s="48">
        <f t="shared" si="10"/>
        <v>1.61E-2</v>
      </c>
      <c r="AA64" s="48">
        <f t="shared" si="20"/>
        <v>23.279199999999999</v>
      </c>
      <c r="AB64" s="49" t="e">
        <f>VLOOKUP(A64,#REF!,8,0)</f>
        <v>#REF!</v>
      </c>
      <c r="AC64" s="49" t="e">
        <f>VLOOKUP(A64,#REF!,3,0)</f>
        <v>#REF!</v>
      </c>
    </row>
    <row r="65" spans="1:29" s="2" customFormat="1" x14ac:dyDescent="0.25">
      <c r="A65" s="43" t="s">
        <v>470</v>
      </c>
      <c r="B65" s="43">
        <v>4011</v>
      </c>
      <c r="C65" s="43" t="s">
        <v>60</v>
      </c>
      <c r="D65" s="43" t="s">
        <v>73</v>
      </c>
      <c r="E65" s="25">
        <v>42547.426527777781</v>
      </c>
      <c r="F65" s="25">
        <v>42547.427777777775</v>
      </c>
      <c r="G65" s="31">
        <v>1</v>
      </c>
      <c r="H65" s="25" t="s">
        <v>105</v>
      </c>
      <c r="I65" s="25">
        <v>42547.464108796295</v>
      </c>
      <c r="J65" s="43">
        <v>1</v>
      </c>
      <c r="K65" s="43" t="str">
        <f t="shared" si="15"/>
        <v>4011/4012</v>
      </c>
      <c r="L65" s="43" t="str">
        <f>VLOOKUP(A65,'Trips&amp;Operators'!$C$1:$E$10000,3,FALSE)</f>
        <v>ACKERMAN</v>
      </c>
      <c r="M65" s="11">
        <f t="shared" si="16"/>
        <v>3.6331018520286307E-2</v>
      </c>
      <c r="N65" s="12">
        <f t="shared" si="23"/>
        <v>52.316666669212282</v>
      </c>
      <c r="O65" s="12"/>
      <c r="P65" s="12"/>
      <c r="Q65" s="44"/>
      <c r="R65" s="44"/>
      <c r="S65" s="70">
        <f t="shared" si="24"/>
        <v>1</v>
      </c>
      <c r="T65" s="2" t="str">
        <f t="shared" si="17"/>
        <v>NorthBound</v>
      </c>
      <c r="U65" s="2">
        <f>COUNTIFS(Variables!$M$2:$M$19,IF(T65="NorthBound","&gt;=","&lt;=")&amp;Y65,Variables!$M$2:$M$19,IF(T65="NorthBound","&lt;=","&gt;=")&amp;Z65)</f>
        <v>12</v>
      </c>
      <c r="V65" s="48" t="str">
        <f t="shared" si="18"/>
        <v>https://search-rtdc-monitor-bjffxe2xuh6vdkpspy63sjmuny.us-east-1.es.amazonaws.com/_plugin/kibana/#/discover/Steve-Slow-Train-Analysis-(2080s-and-2083s)?_g=(refreshInterval:(display:Off,section:0,value:0),time:(from:'2016-06-26 10:13:12-0600',mode:absolute,to:'2016-06-26 11:09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65" s="48" t="str">
        <f t="shared" si="19"/>
        <v>N</v>
      </c>
      <c r="X65" s="48">
        <f t="shared" si="14"/>
        <v>1</v>
      </c>
      <c r="Y65" s="48">
        <f t="shared" si="22"/>
        <v>4.5699999999999998E-2</v>
      </c>
      <c r="Z65" s="48">
        <f t="shared" si="10"/>
        <v>23.3291</v>
      </c>
      <c r="AA65" s="48">
        <f t="shared" si="20"/>
        <v>23.2834</v>
      </c>
      <c r="AB65" s="49" t="e">
        <f>VLOOKUP(A65,#REF!,8,0)</f>
        <v>#REF!</v>
      </c>
      <c r="AC65" s="49" t="e">
        <f>VLOOKUP(A65,#REF!,3,0)</f>
        <v>#REF!</v>
      </c>
    </row>
    <row r="66" spans="1:29" s="2" customFormat="1" x14ac:dyDescent="0.25">
      <c r="A66" s="66" t="s">
        <v>286</v>
      </c>
      <c r="B66" s="43">
        <v>4012</v>
      </c>
      <c r="C66" s="43" t="s">
        <v>60</v>
      </c>
      <c r="D66" s="43" t="s">
        <v>287</v>
      </c>
      <c r="E66" s="25">
        <v>42547.466736111113</v>
      </c>
      <c r="F66" s="25">
        <v>42547.467719907407</v>
      </c>
      <c r="G66" s="31">
        <v>1</v>
      </c>
      <c r="H66" s="25" t="s">
        <v>106</v>
      </c>
      <c r="I66" s="25">
        <v>42547.494560185187</v>
      </c>
      <c r="J66" s="43">
        <v>0</v>
      </c>
      <c r="K66" s="43" t="str">
        <f t="shared" si="15"/>
        <v>4011/4012</v>
      </c>
      <c r="L66" s="43" t="str">
        <f>VLOOKUP(A66,'Trips&amp;Operators'!$C$1:$E$10000,3,FALSE)</f>
        <v>ACKERMAN</v>
      </c>
      <c r="M66" s="11">
        <f t="shared" si="16"/>
        <v>2.6840277780138422E-2</v>
      </c>
      <c r="N66" s="12">
        <f t="shared" si="23"/>
        <v>38.650000003399327</v>
      </c>
      <c r="O66" s="12"/>
      <c r="P66" s="12"/>
      <c r="Q66" s="44"/>
      <c r="R66" s="44"/>
      <c r="S66" s="70">
        <f t="shared" si="24"/>
        <v>1</v>
      </c>
      <c r="T66" s="2" t="str">
        <f t="shared" si="17"/>
        <v>Southbound</v>
      </c>
      <c r="U66" s="2">
        <f>COUNTIFS(Variables!$M$2:$M$19,IF(T66="NorthBound","&gt;=","&lt;=")&amp;Y66,Variables!$M$2:$M$19,IF(T66="NorthBound","&lt;=","&gt;=")&amp;Z66)</f>
        <v>12</v>
      </c>
      <c r="V66" s="48" t="str">
        <f t="shared" si="18"/>
        <v>https://search-rtdc-monitor-bjffxe2xuh6vdkpspy63sjmuny.us-east-1.es.amazonaws.com/_plugin/kibana/#/discover/Steve-Slow-Train-Analysis-(2080s-and-2083s)?_g=(refreshInterval:(display:Off,section:0,value:0),time:(from:'2016-06-26 11:11:06-0600',mode:absolute,to:'2016-06-26 11:53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66" s="48" t="str">
        <f t="shared" si="19"/>
        <v>N</v>
      </c>
      <c r="X66" s="48">
        <f t="shared" si="14"/>
        <v>1</v>
      </c>
      <c r="Y66" s="48">
        <f t="shared" si="22"/>
        <v>23.297599999999999</v>
      </c>
      <c r="Z66" s="48">
        <f t="shared" si="10"/>
        <v>1.3899999999999999E-2</v>
      </c>
      <c r="AA66" s="48">
        <f t="shared" si="20"/>
        <v>23.2837</v>
      </c>
      <c r="AB66" s="49" t="e">
        <f>VLOOKUP(A66,#REF!,8,0)</f>
        <v>#REF!</v>
      </c>
      <c r="AC66" s="49" t="e">
        <f>VLOOKUP(A66,#REF!,3,0)</f>
        <v>#REF!</v>
      </c>
    </row>
    <row r="67" spans="1:29" s="2" customFormat="1" x14ac:dyDescent="0.25">
      <c r="A67" s="43" t="s">
        <v>471</v>
      </c>
      <c r="B67" s="43">
        <v>4007</v>
      </c>
      <c r="C67" s="43" t="s">
        <v>60</v>
      </c>
      <c r="D67" s="43" t="s">
        <v>197</v>
      </c>
      <c r="E67" s="25">
        <v>42547.437557870369</v>
      </c>
      <c r="F67" s="25">
        <v>42547.438483796293</v>
      </c>
      <c r="G67" s="31">
        <v>1</v>
      </c>
      <c r="H67" s="25" t="s">
        <v>472</v>
      </c>
      <c r="I67" s="25">
        <v>42547.465844907405</v>
      </c>
      <c r="J67" s="43">
        <v>1</v>
      </c>
      <c r="K67" s="43" t="str">
        <f t="shared" si="15"/>
        <v>4007/4008</v>
      </c>
      <c r="L67" s="43" t="str">
        <f>VLOOKUP(A67,'Trips&amp;Operators'!$C$1:$E$10000,3,FALSE)</f>
        <v>GEBRETEKLE</v>
      </c>
      <c r="M67" s="11">
        <f t="shared" si="16"/>
        <v>2.73611111115315E-2</v>
      </c>
      <c r="N67" s="12">
        <f t="shared" si="23"/>
        <v>39.40000000060536</v>
      </c>
      <c r="O67" s="12"/>
      <c r="P67" s="12"/>
      <c r="Q67" s="44"/>
      <c r="R67" s="44"/>
      <c r="S67" s="70">
        <f t="shared" si="24"/>
        <v>1</v>
      </c>
      <c r="T67" s="2" t="str">
        <f t="shared" si="17"/>
        <v>NorthBound</v>
      </c>
      <c r="U67" s="2">
        <f>COUNTIFS(Variables!$M$2:$M$19,IF(T67="NorthBound","&gt;=","&lt;=")&amp;Y67,Variables!$M$2:$M$19,IF(T67="NorthBound","&lt;=","&gt;=")&amp;Z67)</f>
        <v>12</v>
      </c>
      <c r="V67" s="48" t="str">
        <f t="shared" si="18"/>
        <v>https://search-rtdc-monitor-bjffxe2xuh6vdkpspy63sjmuny.us-east-1.es.amazonaws.com/_plugin/kibana/#/discover/Steve-Slow-Train-Analysis-(2080s-and-2083s)?_g=(refreshInterval:(display:Off,section:0,value:0),time:(from:'2016-06-26 10:29:05-0600',mode:absolute,to:'2016-06-26 11:11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W67" s="48" t="str">
        <f t="shared" si="19"/>
        <v>N</v>
      </c>
      <c r="X67" s="48">
        <f t="shared" si="14"/>
        <v>1</v>
      </c>
      <c r="Y67" s="48">
        <f t="shared" si="22"/>
        <v>4.6600000000000003E-2</v>
      </c>
      <c r="Z67" s="48">
        <f t="shared" si="10"/>
        <v>23.3188</v>
      </c>
      <c r="AA67" s="48">
        <f t="shared" si="20"/>
        <v>23.272199999999998</v>
      </c>
      <c r="AB67" s="49" t="e">
        <f>VLOOKUP(A67,#REF!,8,0)</f>
        <v>#REF!</v>
      </c>
      <c r="AC67" s="49" t="e">
        <f>VLOOKUP(A67,#REF!,3,0)</f>
        <v>#REF!</v>
      </c>
    </row>
    <row r="68" spans="1:29" s="2" customFormat="1" x14ac:dyDescent="0.25">
      <c r="A68" s="43" t="s">
        <v>288</v>
      </c>
      <c r="B68" s="43">
        <v>4008</v>
      </c>
      <c r="C68" s="43" t="s">
        <v>60</v>
      </c>
      <c r="D68" s="43" t="s">
        <v>289</v>
      </c>
      <c r="E68" s="25">
        <v>42547.47384259259</v>
      </c>
      <c r="F68" s="25">
        <v>42547.475335648145</v>
      </c>
      <c r="G68" s="31">
        <v>2</v>
      </c>
      <c r="H68" s="25" t="s">
        <v>201</v>
      </c>
      <c r="I68" s="25">
        <v>42547.505474537036</v>
      </c>
      <c r="J68" s="43">
        <v>1</v>
      </c>
      <c r="K68" s="43" t="str">
        <f t="shared" si="15"/>
        <v>4007/4008</v>
      </c>
      <c r="L68" s="43" t="str">
        <f>VLOOKUP(A68,'Trips&amp;Operators'!$C$1:$E$10000,3,FALSE)</f>
        <v>GEBRETEKLE</v>
      </c>
      <c r="M68" s="11">
        <f t="shared" si="16"/>
        <v>3.0138888891087845E-2</v>
      </c>
      <c r="N68" s="12">
        <f t="shared" si="23"/>
        <v>43.400000003166497</v>
      </c>
      <c r="O68" s="12"/>
      <c r="P68" s="12"/>
      <c r="Q68" s="44"/>
      <c r="R68" s="44"/>
      <c r="S68" s="70">
        <f t="shared" si="24"/>
        <v>1</v>
      </c>
      <c r="T68" s="2" t="str">
        <f t="shared" si="17"/>
        <v>Southbound</v>
      </c>
      <c r="U68" s="2">
        <f>COUNTIFS(Variables!$M$2:$M$19,IF(T68="NorthBound","&gt;=","&lt;=")&amp;Y68,Variables!$M$2:$M$19,IF(T68="NorthBound","&lt;=","&gt;=")&amp;Z68)</f>
        <v>12</v>
      </c>
      <c r="V68" s="48" t="str">
        <f t="shared" si="18"/>
        <v>https://search-rtdc-monitor-bjffxe2xuh6vdkpspy63sjmuny.us-east-1.es.amazonaws.com/_plugin/kibana/#/discover/Steve-Slow-Train-Analysis-(2080s-and-2083s)?_g=(refreshInterval:(display:Off,section:0,value:0),time:(from:'2016-06-26 11:21:20-0600',mode:absolute,to:'2016-06-26 12:08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W68" s="48" t="str">
        <f t="shared" si="19"/>
        <v>N</v>
      </c>
      <c r="X68" s="48">
        <f t="shared" si="14"/>
        <v>1</v>
      </c>
      <c r="Y68" s="48">
        <f t="shared" si="22"/>
        <v>23.286300000000001</v>
      </c>
      <c r="Z68" s="48">
        <f t="shared" si="10"/>
        <v>1.54E-2</v>
      </c>
      <c r="AA68" s="48">
        <f t="shared" si="20"/>
        <v>23.270900000000001</v>
      </c>
      <c r="AB68" s="49" t="e">
        <f>VLOOKUP(A68,#REF!,8,0)</f>
        <v>#REF!</v>
      </c>
      <c r="AC68" s="49" t="e">
        <f>VLOOKUP(A68,#REF!,3,0)</f>
        <v>#REF!</v>
      </c>
    </row>
    <row r="69" spans="1:29" s="2" customFormat="1" x14ac:dyDescent="0.25">
      <c r="A69" s="43" t="s">
        <v>473</v>
      </c>
      <c r="B69" s="43">
        <v>4038</v>
      </c>
      <c r="C69" s="43" t="s">
        <v>60</v>
      </c>
      <c r="D69" s="43" t="s">
        <v>135</v>
      </c>
      <c r="E69" s="25">
        <v>42547.44667824074</v>
      </c>
      <c r="F69" s="25">
        <v>42547.447569444441</v>
      </c>
      <c r="G69" s="31">
        <v>1</v>
      </c>
      <c r="H69" s="25" t="s">
        <v>111</v>
      </c>
      <c r="I69" s="25">
        <v>42547.475069444445</v>
      </c>
      <c r="J69" s="43">
        <v>0</v>
      </c>
      <c r="K69" s="43" t="str">
        <f t="shared" si="15"/>
        <v>4037/4038</v>
      </c>
      <c r="L69" s="43" t="str">
        <f>VLOOKUP(A69,'Trips&amp;Operators'!$C$1:$E$10000,3,FALSE)</f>
        <v>HELVIE</v>
      </c>
      <c r="M69" s="11">
        <f t="shared" si="16"/>
        <v>2.7500000003783498E-2</v>
      </c>
      <c r="N69" s="12">
        <f t="shared" si="23"/>
        <v>39.600000005448237</v>
      </c>
      <c r="O69" s="12"/>
      <c r="P69" s="12"/>
      <c r="Q69" s="44"/>
      <c r="R69" s="44"/>
      <c r="S69" s="70">
        <f t="shared" si="24"/>
        <v>1</v>
      </c>
      <c r="T69" s="2" t="str">
        <f t="shared" si="17"/>
        <v>NorthBound</v>
      </c>
      <c r="U69" s="2">
        <f>COUNTIFS(Variables!$M$2:$M$19,IF(T69="NorthBound","&gt;=","&lt;=")&amp;Y69,Variables!$M$2:$M$19,IF(T69="NorthBound","&lt;=","&gt;=")&amp;Z69)</f>
        <v>12</v>
      </c>
      <c r="V69" s="48" t="str">
        <f t="shared" si="18"/>
        <v>https://search-rtdc-monitor-bjffxe2xuh6vdkpspy63sjmuny.us-east-1.es.amazonaws.com/_plugin/kibana/#/discover/Steve-Slow-Train-Analysis-(2080s-and-2083s)?_g=(refreshInterval:(display:Off,section:0,value:0),time:(from:'2016-06-26 10:42:13-0600',mode:absolute,to:'2016-06-26 11:25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W69" s="48" t="str">
        <f t="shared" si="19"/>
        <v>N</v>
      </c>
      <c r="X69" s="48">
        <f t="shared" si="14"/>
        <v>1</v>
      </c>
      <c r="Y69" s="48">
        <f t="shared" si="22"/>
        <v>4.7300000000000002E-2</v>
      </c>
      <c r="Z69" s="48">
        <f t="shared" si="10"/>
        <v>23.331</v>
      </c>
      <c r="AA69" s="48">
        <f t="shared" si="20"/>
        <v>23.2837</v>
      </c>
      <c r="AB69" s="49" t="e">
        <f>VLOOKUP(A69,#REF!,8,0)</f>
        <v>#REF!</v>
      </c>
      <c r="AC69" s="49" t="e">
        <f>VLOOKUP(A69,#REF!,3,0)</f>
        <v>#REF!</v>
      </c>
    </row>
    <row r="70" spans="1:29" s="2" customFormat="1" x14ac:dyDescent="0.25">
      <c r="A70" s="43" t="s">
        <v>290</v>
      </c>
      <c r="B70" s="43">
        <v>4037</v>
      </c>
      <c r="C70" s="43" t="s">
        <v>60</v>
      </c>
      <c r="D70" s="43" t="s">
        <v>144</v>
      </c>
      <c r="E70" s="25">
        <v>42547.480613425927</v>
      </c>
      <c r="F70" s="25">
        <v>42547.481689814813</v>
      </c>
      <c r="G70" s="31">
        <v>1</v>
      </c>
      <c r="H70" s="25" t="s">
        <v>68</v>
      </c>
      <c r="I70" s="25">
        <v>42547.51462962963</v>
      </c>
      <c r="J70" s="43">
        <v>0</v>
      </c>
      <c r="K70" s="43" t="str">
        <f t="shared" si="15"/>
        <v>4037/4038</v>
      </c>
      <c r="L70" s="43" t="str">
        <f>VLOOKUP(A70,'Trips&amp;Operators'!$C$1:$E$10000,3,FALSE)</f>
        <v>HELVIE</v>
      </c>
      <c r="M70" s="11">
        <f t="shared" si="16"/>
        <v>3.2939814816927537E-2</v>
      </c>
      <c r="N70" s="12">
        <f t="shared" si="23"/>
        <v>47.433333336375654</v>
      </c>
      <c r="O70" s="12"/>
      <c r="P70" s="12"/>
      <c r="Q70" s="44"/>
      <c r="R70" s="44"/>
      <c r="S70" s="70">
        <f t="shared" si="24"/>
        <v>1</v>
      </c>
      <c r="T70" s="2" t="str">
        <f t="shared" si="17"/>
        <v>Southbound</v>
      </c>
      <c r="U70" s="2">
        <f>COUNTIFS(Variables!$M$2:$M$19,IF(T70="NorthBound","&gt;=","&lt;=")&amp;Y70,Variables!$M$2:$M$19,IF(T70="NorthBound","&lt;=","&gt;=")&amp;Z70)</f>
        <v>12</v>
      </c>
      <c r="V70" s="48" t="str">
        <f t="shared" si="18"/>
        <v>https://search-rtdc-monitor-bjffxe2xuh6vdkpspy63sjmuny.us-east-1.es.amazonaws.com/_plugin/kibana/#/discover/Steve-Slow-Train-Analysis-(2080s-and-2083s)?_g=(refreshInterval:(display:Off,section:0,value:0),time:(from:'2016-06-26 11:31:05-0600',mode:absolute,to:'2016-06-26 12:22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W70" s="48" t="str">
        <f t="shared" si="19"/>
        <v>N</v>
      </c>
      <c r="X70" s="48">
        <f t="shared" ref="X70:X93" si="25">VALUE(LEFT(A70,3))-VALUE(LEFT(A69,3))</f>
        <v>1</v>
      </c>
      <c r="Y70" s="48">
        <f t="shared" si="22"/>
        <v>23.2974</v>
      </c>
      <c r="Z70" s="48">
        <f t="shared" si="10"/>
        <v>1.6E-2</v>
      </c>
      <c r="AA70" s="48">
        <f t="shared" si="20"/>
        <v>23.281400000000001</v>
      </c>
      <c r="AB70" s="49" t="e">
        <f>VLOOKUP(A70,#REF!,8,0)</f>
        <v>#REF!</v>
      </c>
      <c r="AC70" s="49" t="e">
        <f>VLOOKUP(A70,#REF!,3,0)</f>
        <v>#REF!</v>
      </c>
    </row>
    <row r="71" spans="1:29" s="2" customFormat="1" x14ac:dyDescent="0.25">
      <c r="A71" s="43" t="s">
        <v>291</v>
      </c>
      <c r="B71" s="43">
        <v>4018</v>
      </c>
      <c r="C71" s="43" t="s">
        <v>60</v>
      </c>
      <c r="D71" s="43" t="s">
        <v>246</v>
      </c>
      <c r="E71" s="25">
        <v>42547.455324074072</v>
      </c>
      <c r="F71" s="25">
        <v>42547.457291666666</v>
      </c>
      <c r="G71" s="31">
        <v>2</v>
      </c>
      <c r="H71" s="25" t="s">
        <v>134</v>
      </c>
      <c r="I71" s="25">
        <v>42547.487256944441</v>
      </c>
      <c r="J71" s="43">
        <v>1</v>
      </c>
      <c r="K71" s="43" t="str">
        <f t="shared" si="15"/>
        <v>4017/4018</v>
      </c>
      <c r="L71" s="43" t="str">
        <f>VLOOKUP(A71,'Trips&amp;Operators'!$C$1:$E$10000,3,FALSE)</f>
        <v>MAYBERRY</v>
      </c>
      <c r="M71" s="11">
        <f t="shared" si="16"/>
        <v>2.9965277775772847E-2</v>
      </c>
      <c r="N71" s="12">
        <f t="shared" si="23"/>
        <v>43.1499999971129</v>
      </c>
      <c r="O71" s="12"/>
      <c r="P71" s="12"/>
      <c r="Q71" s="44"/>
      <c r="R71" s="44"/>
      <c r="S71" s="70">
        <f t="shared" si="24"/>
        <v>1</v>
      </c>
      <c r="T71" s="2" t="str">
        <f t="shared" si="17"/>
        <v>NorthBound</v>
      </c>
      <c r="U71" s="2">
        <f>COUNTIFS(Variables!$M$2:$M$19,IF(T71="NorthBound","&gt;=","&lt;=")&amp;Y71,Variables!$M$2:$M$19,IF(T71="NorthBound","&lt;=","&gt;=")&amp;Z71)</f>
        <v>12</v>
      </c>
      <c r="V71" s="48" t="str">
        <f t="shared" si="18"/>
        <v>https://search-rtdc-monitor-bjffxe2xuh6vdkpspy63sjmuny.us-east-1.es.amazonaws.com/_plugin/kibana/#/discover/Steve-Slow-Train-Analysis-(2080s-and-2083s)?_g=(refreshInterval:(display:Off,section:0,value:0),time:(from:'2016-06-26 10:54:40-0600',mode:absolute,to:'2016-06-26 11:42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71" s="48" t="str">
        <f t="shared" si="19"/>
        <v>N</v>
      </c>
      <c r="X71" s="48">
        <f t="shared" si="25"/>
        <v>1</v>
      </c>
      <c r="Y71" s="48">
        <f t="shared" si="22"/>
        <v>4.8899999999999999E-2</v>
      </c>
      <c r="Z71" s="48">
        <f t="shared" si="10"/>
        <v>23.328800000000001</v>
      </c>
      <c r="AA71" s="48">
        <f t="shared" si="20"/>
        <v>23.279900000000001</v>
      </c>
      <c r="AB71" s="49" t="e">
        <f>VLOOKUP(A71,#REF!,8,0)</f>
        <v>#REF!</v>
      </c>
      <c r="AC71" s="49" t="e">
        <f>VLOOKUP(A71,#REF!,3,0)</f>
        <v>#REF!</v>
      </c>
    </row>
    <row r="72" spans="1:29" s="2" customFormat="1" x14ac:dyDescent="0.25">
      <c r="A72" s="43" t="s">
        <v>292</v>
      </c>
      <c r="B72" s="43">
        <v>4017</v>
      </c>
      <c r="C72" s="43" t="s">
        <v>60</v>
      </c>
      <c r="D72" s="43" t="s">
        <v>293</v>
      </c>
      <c r="E72" s="25">
        <v>42547.490057870367</v>
      </c>
      <c r="F72" s="25">
        <v>42547.491319444445</v>
      </c>
      <c r="G72" s="31">
        <v>1</v>
      </c>
      <c r="H72" s="25" t="s">
        <v>195</v>
      </c>
      <c r="I72" s="25">
        <v>42547.526180555556</v>
      </c>
      <c r="J72" s="43">
        <v>0</v>
      </c>
      <c r="K72" s="43" t="str">
        <f t="shared" si="15"/>
        <v>4017/4018</v>
      </c>
      <c r="L72" s="43" t="str">
        <f>VLOOKUP(A72,'Trips&amp;Operators'!$C$1:$E$10000,3,FALSE)</f>
        <v>MAYBERRY</v>
      </c>
      <c r="M72" s="11">
        <f t="shared" si="16"/>
        <v>3.4861111111240461E-2</v>
      </c>
      <c r="N72" s="12">
        <f t="shared" si="23"/>
        <v>50.200000000186265</v>
      </c>
      <c r="O72" s="12"/>
      <c r="P72" s="12"/>
      <c r="Q72" s="44"/>
      <c r="R72" s="44"/>
      <c r="S72" s="70">
        <f t="shared" si="24"/>
        <v>1</v>
      </c>
      <c r="T72" s="2" t="str">
        <f t="shared" si="17"/>
        <v>Southbound</v>
      </c>
      <c r="U72" s="2">
        <f>COUNTIFS(Variables!$M$2:$M$19,IF(T72="NorthBound","&gt;=","&lt;=")&amp;Y72,Variables!$M$2:$M$19,IF(T72="NorthBound","&lt;=","&gt;=")&amp;Z72)</f>
        <v>12</v>
      </c>
      <c r="V72" s="48" t="str">
        <f t="shared" si="18"/>
        <v>https://search-rtdc-monitor-bjffxe2xuh6vdkpspy63sjmuny.us-east-1.es.amazonaws.com/_plugin/kibana/#/discover/Steve-Slow-Train-Analysis-(2080s-and-2083s)?_g=(refreshInterval:(display:Off,section:0,value:0),time:(from:'2016-06-26 11:44:41-0600',mode:absolute,to:'2016-06-26 12:38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72" s="48" t="str">
        <f t="shared" si="19"/>
        <v>N</v>
      </c>
      <c r="X72" s="48">
        <f t="shared" si="25"/>
        <v>1</v>
      </c>
      <c r="Y72" s="48">
        <f t="shared" si="22"/>
        <v>23.296500000000002</v>
      </c>
      <c r="Z72" s="48">
        <f t="shared" si="10"/>
        <v>1.38E-2</v>
      </c>
      <c r="AA72" s="48">
        <f t="shared" si="20"/>
        <v>23.282700000000002</v>
      </c>
      <c r="AB72" s="49" t="e">
        <f>VLOOKUP(A72,#REF!,8,0)</f>
        <v>#REF!</v>
      </c>
      <c r="AC72" s="49" t="e">
        <f>VLOOKUP(A72,#REF!,3,0)</f>
        <v>#REF!</v>
      </c>
    </row>
    <row r="73" spans="1:29" s="2" customFormat="1" x14ac:dyDescent="0.25">
      <c r="A73" s="43" t="s">
        <v>294</v>
      </c>
      <c r="B73" s="43">
        <v>4025</v>
      </c>
      <c r="C73" s="43" t="s">
        <v>60</v>
      </c>
      <c r="D73" s="43" t="s">
        <v>295</v>
      </c>
      <c r="E73" s="25">
        <v>42547.464965277781</v>
      </c>
      <c r="F73" s="25">
        <v>42547.466504629629</v>
      </c>
      <c r="G73" s="31">
        <v>2</v>
      </c>
      <c r="H73" s="25" t="s">
        <v>175</v>
      </c>
      <c r="I73" s="25">
        <v>42547.495069444441</v>
      </c>
      <c r="J73" s="43">
        <v>0</v>
      </c>
      <c r="K73" s="43" t="str">
        <f t="shared" si="15"/>
        <v>4025/4026</v>
      </c>
      <c r="L73" s="43" t="str">
        <f>VLOOKUP(A73,'Trips&amp;Operators'!$C$1:$E$10000,3,FALSE)</f>
        <v>RIVERA</v>
      </c>
      <c r="M73" s="11">
        <f t="shared" si="16"/>
        <v>2.8564814812853001E-2</v>
      </c>
      <c r="N73" s="12">
        <f t="shared" si="23"/>
        <v>41.133333330508322</v>
      </c>
      <c r="O73" s="12"/>
      <c r="P73" s="12"/>
      <c r="Q73" s="44"/>
      <c r="R73" s="44"/>
      <c r="S73" s="70">
        <f t="shared" si="24"/>
        <v>1</v>
      </c>
      <c r="T73" s="2" t="str">
        <f t="shared" si="17"/>
        <v>NorthBound</v>
      </c>
      <c r="U73" s="2">
        <f>COUNTIFS(Variables!$M$2:$M$19,IF(T73="NorthBound","&gt;=","&lt;=")&amp;Y73,Variables!$M$2:$M$19,IF(T73="NorthBound","&lt;=","&gt;=")&amp;Z73)</f>
        <v>12</v>
      </c>
      <c r="V73" s="48" t="str">
        <f t="shared" si="18"/>
        <v>https://search-rtdc-monitor-bjffxe2xuh6vdkpspy63sjmuny.us-east-1.es.amazonaws.com/_plugin/kibana/#/discover/Steve-Slow-Train-Analysis-(2080s-and-2083s)?_g=(refreshInterval:(display:Off,section:0,value:0),time:(from:'2016-06-26 11:08:33-0600',mode:absolute,to:'2016-06-26 11:53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73" s="48" t="str">
        <f t="shared" si="19"/>
        <v>N</v>
      </c>
      <c r="X73" s="48">
        <f t="shared" si="25"/>
        <v>1</v>
      </c>
      <c r="Y73" s="48">
        <f t="shared" si="22"/>
        <v>4.4900000000000002E-2</v>
      </c>
      <c r="Z73" s="48">
        <f t="shared" si="10"/>
        <v>23.331199999999999</v>
      </c>
      <c r="AA73" s="48">
        <f t="shared" si="20"/>
        <v>23.286300000000001</v>
      </c>
      <c r="AB73" s="49" t="e">
        <f>VLOOKUP(A73,#REF!,8,0)</f>
        <v>#REF!</v>
      </c>
      <c r="AC73" s="49" t="e">
        <f>VLOOKUP(A73,#REF!,3,0)</f>
        <v>#REF!</v>
      </c>
    </row>
    <row r="74" spans="1:29" s="2" customFormat="1" x14ac:dyDescent="0.25">
      <c r="A74" s="43" t="s">
        <v>296</v>
      </c>
      <c r="B74" s="43">
        <v>4026</v>
      </c>
      <c r="C74" s="43" t="s">
        <v>60</v>
      </c>
      <c r="D74" s="43" t="s">
        <v>196</v>
      </c>
      <c r="E74" s="25">
        <v>42547.502569444441</v>
      </c>
      <c r="F74" s="25">
        <v>42547.503831018519</v>
      </c>
      <c r="G74" s="31">
        <v>1</v>
      </c>
      <c r="H74" s="25" t="s">
        <v>195</v>
      </c>
      <c r="I74" s="25">
        <v>42547.534317129626</v>
      </c>
      <c r="J74" s="43">
        <v>0</v>
      </c>
      <c r="K74" s="43" t="str">
        <f t="shared" si="15"/>
        <v>4025/4026</v>
      </c>
      <c r="L74" s="43" t="str">
        <f>VLOOKUP(A74,'Trips&amp;Operators'!$C$1:$E$10000,3,FALSE)</f>
        <v>RIVERA</v>
      </c>
      <c r="M74" s="11">
        <f t="shared" si="16"/>
        <v>3.0486111107165925E-2</v>
      </c>
      <c r="N74" s="12">
        <f t="shared" si="23"/>
        <v>43.899999994318932</v>
      </c>
      <c r="O74" s="12"/>
      <c r="P74" s="12"/>
      <c r="Q74" s="44"/>
      <c r="R74" s="44"/>
      <c r="S74" s="70">
        <f t="shared" si="24"/>
        <v>1</v>
      </c>
      <c r="T74" s="2" t="str">
        <f t="shared" si="17"/>
        <v>Southbound</v>
      </c>
      <c r="U74" s="2">
        <f>COUNTIFS(Variables!$M$2:$M$19,IF(T74="NorthBound","&gt;=","&lt;=")&amp;Y74,Variables!$M$2:$M$19,IF(T74="NorthBound","&lt;=","&gt;=")&amp;Z74)</f>
        <v>12</v>
      </c>
      <c r="V74" s="48" t="str">
        <f t="shared" si="18"/>
        <v>https://search-rtdc-monitor-bjffxe2xuh6vdkpspy63sjmuny.us-east-1.es.amazonaws.com/_plugin/kibana/#/discover/Steve-Slow-Train-Analysis-(2080s-and-2083s)?_g=(refreshInterval:(display:Off,section:0,value:0),time:(from:'2016-06-26 12:02:42-0600',mode:absolute,to:'2016-06-26 12:50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74" s="48" t="str">
        <f t="shared" si="19"/>
        <v>N</v>
      </c>
      <c r="X74" s="48">
        <f t="shared" si="25"/>
        <v>1</v>
      </c>
      <c r="Y74" s="48">
        <f t="shared" si="22"/>
        <v>23.299299999999999</v>
      </c>
      <c r="Z74" s="48">
        <f t="shared" si="10"/>
        <v>1.38E-2</v>
      </c>
      <c r="AA74" s="48">
        <f t="shared" si="20"/>
        <v>23.285499999999999</v>
      </c>
      <c r="AB74" s="49" t="e">
        <f>VLOOKUP(A74,#REF!,8,0)</f>
        <v>#REF!</v>
      </c>
      <c r="AC74" s="49" t="e">
        <f>VLOOKUP(A74,#REF!,3,0)</f>
        <v>#REF!</v>
      </c>
    </row>
    <row r="75" spans="1:29" s="2" customFormat="1" x14ac:dyDescent="0.25">
      <c r="A75" s="43" t="s">
        <v>297</v>
      </c>
      <c r="B75" s="43">
        <v>4020</v>
      </c>
      <c r="C75" s="43" t="s">
        <v>60</v>
      </c>
      <c r="D75" s="43" t="s">
        <v>298</v>
      </c>
      <c r="E75" s="25">
        <v>42547.47892361111</v>
      </c>
      <c r="F75" s="25">
        <v>42547.480219907404</v>
      </c>
      <c r="G75" s="31">
        <v>1</v>
      </c>
      <c r="H75" s="25" t="s">
        <v>193</v>
      </c>
      <c r="I75" s="25">
        <v>42547.506574074076</v>
      </c>
      <c r="J75" s="43">
        <v>0</v>
      </c>
      <c r="K75" s="43" t="str">
        <f t="shared" si="15"/>
        <v>4019/4020</v>
      </c>
      <c r="L75" s="43" t="str">
        <f>VLOOKUP(A75,'Trips&amp;Operators'!$C$1:$E$10000,3,FALSE)</f>
        <v>BONDS</v>
      </c>
      <c r="M75" s="11">
        <f t="shared" si="16"/>
        <v>2.6354166671808343E-2</v>
      </c>
      <c r="N75" s="12">
        <f t="shared" si="23"/>
        <v>37.950000007404014</v>
      </c>
      <c r="O75" s="12"/>
      <c r="P75" s="12"/>
      <c r="Q75" s="44"/>
      <c r="R75" s="44"/>
      <c r="S75" s="70">
        <f t="shared" si="24"/>
        <v>1</v>
      </c>
      <c r="T75" s="2" t="str">
        <f t="shared" si="17"/>
        <v>NorthBound</v>
      </c>
      <c r="U75" s="2">
        <f>COUNTIFS(Variables!$M$2:$M$19,IF(T75="NorthBound","&gt;=","&lt;=")&amp;Y75,Variables!$M$2:$M$19,IF(T75="NorthBound","&lt;=","&gt;=")&amp;Z75)</f>
        <v>12</v>
      </c>
      <c r="V75" s="48" t="str">
        <f t="shared" si="18"/>
        <v>https://search-rtdc-monitor-bjffxe2xuh6vdkpspy63sjmuny.us-east-1.es.amazonaws.com/_plugin/kibana/#/discover/Steve-Slow-Train-Analysis-(2080s-and-2083s)?_g=(refreshInterval:(display:Off,section:0,value:0),time:(from:'2016-06-26 11:28:39-0600',mode:absolute,to:'2016-06-26 12:10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75" s="48" t="str">
        <f t="shared" si="19"/>
        <v>N</v>
      </c>
      <c r="X75" s="48">
        <f t="shared" si="25"/>
        <v>1</v>
      </c>
      <c r="Y75" s="48">
        <f t="shared" si="22"/>
        <v>4.9099999999999998E-2</v>
      </c>
      <c r="Z75" s="48">
        <f t="shared" si="10"/>
        <v>23.331399999999999</v>
      </c>
      <c r="AA75" s="48">
        <f t="shared" si="20"/>
        <v>23.282299999999999</v>
      </c>
      <c r="AB75" s="49" t="e">
        <f>VLOOKUP(A75,#REF!,8,0)</f>
        <v>#REF!</v>
      </c>
      <c r="AC75" s="49" t="e">
        <f>VLOOKUP(A75,#REF!,3,0)</f>
        <v>#REF!</v>
      </c>
    </row>
    <row r="76" spans="1:29" s="2" customFormat="1" x14ac:dyDescent="0.25">
      <c r="A76" s="43" t="s">
        <v>299</v>
      </c>
      <c r="B76" s="43">
        <v>4019</v>
      </c>
      <c r="C76" s="43" t="s">
        <v>60</v>
      </c>
      <c r="D76" s="43" t="s">
        <v>71</v>
      </c>
      <c r="E76" s="25">
        <v>42547.51085648148</v>
      </c>
      <c r="F76" s="25">
        <v>42547.511793981481</v>
      </c>
      <c r="G76" s="31">
        <v>1</v>
      </c>
      <c r="H76" s="25" t="s">
        <v>145</v>
      </c>
      <c r="I76" s="25">
        <v>42547.544374999998</v>
      </c>
      <c r="J76" s="43">
        <v>0</v>
      </c>
      <c r="K76" s="43" t="str">
        <f t="shared" si="15"/>
        <v>4019/4020</v>
      </c>
      <c r="L76" s="43" t="str">
        <f>VLOOKUP(A76,'Trips&amp;Operators'!$C$1:$E$10000,3,FALSE)</f>
        <v>BONDS</v>
      </c>
      <c r="M76" s="11">
        <f t="shared" si="16"/>
        <v>3.2581018516793847E-2</v>
      </c>
      <c r="N76" s="12">
        <f t="shared" si="23"/>
        <v>46.91666666418314</v>
      </c>
      <c r="O76" s="12"/>
      <c r="P76" s="12"/>
      <c r="Q76" s="44"/>
      <c r="R76" s="44"/>
      <c r="S76" s="70">
        <f t="shared" si="24"/>
        <v>1</v>
      </c>
      <c r="T76" s="2" t="str">
        <f t="shared" si="17"/>
        <v>Southbound</v>
      </c>
      <c r="U76" s="2">
        <f>COUNTIFS(Variables!$M$2:$M$19,IF(T76="NorthBound","&gt;=","&lt;=")&amp;Y76,Variables!$M$2:$M$19,IF(T76="NorthBound","&lt;=","&gt;=")&amp;Z76)</f>
        <v>12</v>
      </c>
      <c r="V76" s="48" t="str">
        <f t="shared" si="18"/>
        <v>https://search-rtdc-monitor-bjffxe2xuh6vdkpspy63sjmuny.us-east-1.es.amazonaws.com/_plugin/kibana/#/discover/Steve-Slow-Train-Analysis-(2080s-and-2083s)?_g=(refreshInterval:(display:Off,section:0,value:0),time:(from:'2016-06-26 12:14:38-0600',mode:absolute,to:'2016-06-26 13:04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76" s="48" t="str">
        <f t="shared" si="19"/>
        <v>N</v>
      </c>
      <c r="X76" s="48">
        <f t="shared" si="25"/>
        <v>1</v>
      </c>
      <c r="Y76" s="48">
        <f t="shared" si="22"/>
        <v>23.297699999999999</v>
      </c>
      <c r="Z76" s="48">
        <f t="shared" si="10"/>
        <v>1.43E-2</v>
      </c>
      <c r="AA76" s="48">
        <f t="shared" si="20"/>
        <v>23.2834</v>
      </c>
      <c r="AB76" s="49" t="e">
        <f>VLOOKUP(A76,#REF!,8,0)</f>
        <v>#REF!</v>
      </c>
      <c r="AC76" s="49" t="e">
        <f>VLOOKUP(A76,#REF!,3,0)</f>
        <v>#REF!</v>
      </c>
    </row>
    <row r="77" spans="1:29" s="2" customFormat="1" ht="16.5" customHeight="1" x14ac:dyDescent="0.25">
      <c r="A77" s="43" t="s">
        <v>300</v>
      </c>
      <c r="B77" s="43">
        <v>4024</v>
      </c>
      <c r="C77" s="43" t="s">
        <v>60</v>
      </c>
      <c r="D77" s="43" t="s">
        <v>301</v>
      </c>
      <c r="E77" s="25">
        <v>42547.489641203705</v>
      </c>
      <c r="F77" s="25">
        <v>42547.490682870368</v>
      </c>
      <c r="G77" s="31">
        <v>1</v>
      </c>
      <c r="H77" s="25" t="s">
        <v>302</v>
      </c>
      <c r="I77" s="25">
        <v>42547.522152777776</v>
      </c>
      <c r="J77" s="43">
        <v>0</v>
      </c>
      <c r="K77" s="43" t="str">
        <f t="shared" ref="K77:K108" si="26">IF(ISEVEN(B77),(B77-1)&amp;"/"&amp;B77,B77&amp;"/"&amp;(B77+1))</f>
        <v>4023/4024</v>
      </c>
      <c r="L77" s="43" t="str">
        <f>VLOOKUP(A77,'Trips&amp;Operators'!$C$1:$E$10000,3,FALSE)</f>
        <v>LOCKLEAR</v>
      </c>
      <c r="M77" s="11">
        <f t="shared" ref="M77:M108" si="27">I77-F77</f>
        <v>3.1469907407881692E-2</v>
      </c>
      <c r="N77" s="12">
        <f t="shared" si="23"/>
        <v>45.316666667349637</v>
      </c>
      <c r="O77" s="12"/>
      <c r="P77" s="12"/>
      <c r="Q77" s="44"/>
      <c r="R77" s="44"/>
      <c r="S77" s="70">
        <f t="shared" si="24"/>
        <v>1</v>
      </c>
      <c r="T77" s="2" t="str">
        <f t="shared" ref="T77:T108" si="28">IF(ISEVEN(LEFT(A77,3)),"Southbound","NorthBound")</f>
        <v>NorthBound</v>
      </c>
      <c r="U77" s="2">
        <f>COUNTIFS(Variables!$M$2:$M$19,IF(T77="NorthBound","&gt;=","&lt;=")&amp;Y77,Variables!$M$2:$M$19,IF(T77="NorthBound","&lt;=","&gt;=")&amp;Z77)</f>
        <v>12</v>
      </c>
      <c r="V77" s="48" t="str">
        <f t="shared" ref="V77:V108" si="29">"https://search-rtdc-monitor-bjffxe2xuh6vdkpspy63sjmuny.us-east-1.es.amazonaws.com/_plugin/kibana/#/discover/Steve-Slow-Train-Analysis-(2080s-and-2083s)?_g=(refreshInterval:(display:Off,section:0,value:0),time:(from:'"&amp;TEXT(E77-1/24/60,"yyyy-MM-DD hh:mm:ss")&amp;"-0600',mode:absolute,to:'"&amp;TEXT(I77+1/24/60,"yyyy-MM-DD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77&amp;"%22')),sort:!(Time,asc))"</f>
        <v>https://search-rtdc-monitor-bjffxe2xuh6vdkpspy63sjmuny.us-east-1.es.amazonaws.com/_plugin/kibana/#/discover/Steve-Slow-Train-Analysis-(2080s-and-2083s)?_g=(refreshInterval:(display:Off,section:0,value:0),time:(from:'2016-06-26 11:44:05-0600',mode:absolute,to:'2016-06-26 12:32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W77" s="48" t="str">
        <f t="shared" ref="W77:W108" si="30">IF(AA77&lt;23,"Y","N")</f>
        <v>N</v>
      </c>
      <c r="X77" s="48">
        <f t="shared" si="25"/>
        <v>1</v>
      </c>
      <c r="Y77" s="48">
        <f t="shared" si="22"/>
        <v>4.6199999999999998E-2</v>
      </c>
      <c r="Z77" s="48">
        <f t="shared" si="10"/>
        <v>23.331499999999998</v>
      </c>
      <c r="AA77" s="48">
        <f t="shared" ref="AA77:AA108" si="31">ABS(Z77-Y77)</f>
        <v>23.285299999999999</v>
      </c>
      <c r="AB77" s="49" t="e">
        <f>VLOOKUP(A77,#REF!,8,0)</f>
        <v>#REF!</v>
      </c>
      <c r="AC77" s="49" t="e">
        <f>VLOOKUP(A77,#REF!,3,0)</f>
        <v>#REF!</v>
      </c>
    </row>
    <row r="78" spans="1:29" s="2" customFormat="1" ht="16.5" customHeight="1" x14ac:dyDescent="0.25">
      <c r="A78" s="66" t="s">
        <v>303</v>
      </c>
      <c r="B78" s="43">
        <v>4023</v>
      </c>
      <c r="C78" s="43" t="s">
        <v>60</v>
      </c>
      <c r="D78" s="43" t="s">
        <v>166</v>
      </c>
      <c r="E78" s="25">
        <v>42547.527071759258</v>
      </c>
      <c r="F78" s="25">
        <v>42547.527731481481</v>
      </c>
      <c r="G78" s="25">
        <v>0</v>
      </c>
      <c r="H78" s="25" t="s">
        <v>99</v>
      </c>
      <c r="I78" s="25">
        <v>42547.554282407407</v>
      </c>
      <c r="J78" s="43">
        <v>1</v>
      </c>
      <c r="K78" s="43" t="str">
        <f t="shared" si="26"/>
        <v>4023/4024</v>
      </c>
      <c r="L78" s="43" t="str">
        <f>VLOOKUP(A78,'Trips&amp;Operators'!$C$1:$E$10000,3,FALSE)</f>
        <v>LOCKLEAR</v>
      </c>
      <c r="M78" s="11">
        <f t="shared" si="27"/>
        <v>2.6550925926130731E-2</v>
      </c>
      <c r="N78" s="12">
        <f t="shared" si="23"/>
        <v>38.233333333628252</v>
      </c>
      <c r="O78" s="12"/>
      <c r="P78" s="12"/>
      <c r="Q78" s="44"/>
      <c r="R78" s="44"/>
      <c r="S78" s="70">
        <f t="shared" si="24"/>
        <v>1</v>
      </c>
      <c r="T78" s="2" t="str">
        <f t="shared" si="28"/>
        <v>Southbound</v>
      </c>
      <c r="U78" s="2">
        <f>COUNTIFS(Variables!$M$2:$M$19,IF(T78="NorthBound","&gt;=","&lt;=")&amp;Y78,Variables!$M$2:$M$19,IF(T78="NorthBound","&lt;=","&gt;=")&amp;Z78)</f>
        <v>12</v>
      </c>
      <c r="V78" s="48" t="str">
        <f t="shared" si="29"/>
        <v>https://search-rtdc-monitor-bjffxe2xuh6vdkpspy63sjmuny.us-east-1.es.amazonaws.com/_plugin/kibana/#/discover/Steve-Slow-Train-Analysis-(2080s-and-2083s)?_g=(refreshInterval:(display:Off,section:0,value:0),time:(from:'2016-06-26 12:37:59-0600',mode:absolute,to:'2016-06-26 13:19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W78" s="48" t="str">
        <f t="shared" si="30"/>
        <v>N</v>
      </c>
      <c r="X78" s="48">
        <f t="shared" si="25"/>
        <v>1</v>
      </c>
      <c r="Y78" s="48">
        <v>23.299199999999999</v>
      </c>
      <c r="Z78" s="48">
        <f t="shared" ref="Z78:Z139" si="32">RIGHT(H78,LEN(H78)-4)/10000</f>
        <v>1.5800000000000002E-2</v>
      </c>
      <c r="AA78" s="48">
        <f t="shared" si="31"/>
        <v>23.2834</v>
      </c>
      <c r="AB78" s="49" t="e">
        <f>VLOOKUP(A78,#REF!,8,0)</f>
        <v>#REF!</v>
      </c>
      <c r="AC78" s="49" t="e">
        <f>VLOOKUP(A78,#REF!,3,0)</f>
        <v>#REF!</v>
      </c>
    </row>
    <row r="79" spans="1:29" s="2" customFormat="1" x14ac:dyDescent="0.25">
      <c r="A79" s="43" t="s">
        <v>304</v>
      </c>
      <c r="B79" s="43">
        <v>4011</v>
      </c>
      <c r="C79" s="43" t="s">
        <v>60</v>
      </c>
      <c r="D79" s="43" t="s">
        <v>236</v>
      </c>
      <c r="E79" s="25">
        <v>42547.496064814812</v>
      </c>
      <c r="F79" s="25">
        <v>42547.497152777774</v>
      </c>
      <c r="G79" s="31">
        <v>1</v>
      </c>
      <c r="H79" s="25" t="s">
        <v>307</v>
      </c>
      <c r="I79" s="25">
        <v>42547.50341435185</v>
      </c>
      <c r="J79" s="43">
        <v>0</v>
      </c>
      <c r="K79" s="43" t="str">
        <f t="shared" si="26"/>
        <v>4011/4012</v>
      </c>
      <c r="L79" s="43" t="str">
        <f>VLOOKUP(A79,'Trips&amp;Operators'!$C$1:$E$10000,3,FALSE)</f>
        <v>ACKERMAN</v>
      </c>
      <c r="M79" s="11">
        <f t="shared" si="27"/>
        <v>6.2615740753244609E-3</v>
      </c>
      <c r="N79" s="12"/>
      <c r="O79" s="12"/>
      <c r="P79" s="12">
        <f>24*60*SUM($M79:$M80)</f>
        <v>42.433333341032267</v>
      </c>
      <c r="Q79" s="44"/>
      <c r="R79" s="44" t="s">
        <v>494</v>
      </c>
      <c r="S79" s="70">
        <f>SUM(U79:U80)/12</f>
        <v>0.75</v>
      </c>
      <c r="T79" s="2" t="str">
        <f t="shared" si="28"/>
        <v>NorthBound</v>
      </c>
      <c r="U79" s="2">
        <f>COUNTIFS(Variables!$M$2:$M$19,IF(T79="NorthBound","&gt;=","&lt;=")&amp;Y79,Variables!$M$2:$M$19,IF(T79="NorthBound","&lt;=","&gt;=")&amp;Z79)</f>
        <v>0</v>
      </c>
      <c r="V79" s="48" t="str">
        <f t="shared" si="29"/>
        <v>https://search-rtdc-monitor-bjffxe2xuh6vdkpspy63sjmuny.us-east-1.es.amazonaws.com/_plugin/kibana/#/discover/Steve-Slow-Train-Analysis-(2080s-and-2083s)?_g=(refreshInterval:(display:Off,section:0,value:0),time:(from:'2016-06-26 11:53:20-0600',mode:absolute,to:'2016-06-26 12:05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79" s="48" t="str">
        <f t="shared" si="30"/>
        <v>Y</v>
      </c>
      <c r="X79" s="48">
        <f t="shared" si="25"/>
        <v>1</v>
      </c>
      <c r="Y79" s="48">
        <f t="shared" ref="Y79:Y110" si="33">RIGHT(D79,LEN(D79)-4)/10000</f>
        <v>4.3799999999999999E-2</v>
      </c>
      <c r="Z79" s="48">
        <f t="shared" si="32"/>
        <v>1.9140999999999999</v>
      </c>
      <c r="AA79" s="48">
        <f t="shared" si="31"/>
        <v>1.8702999999999999</v>
      </c>
      <c r="AB79" s="49" t="e">
        <f>VLOOKUP(A79,#REF!,8,0)</f>
        <v>#REF!</v>
      </c>
      <c r="AC79" s="49" t="e">
        <f>VLOOKUP(A79,#REF!,3,0)</f>
        <v>#REF!</v>
      </c>
    </row>
    <row r="80" spans="1:29" s="2" customFormat="1" x14ac:dyDescent="0.25">
      <c r="A80" s="43" t="s">
        <v>304</v>
      </c>
      <c r="B80" s="43">
        <v>4011</v>
      </c>
      <c r="C80" s="43" t="s">
        <v>60</v>
      </c>
      <c r="D80" s="43" t="s">
        <v>305</v>
      </c>
      <c r="E80" s="25">
        <v>42547.508587962962</v>
      </c>
      <c r="F80" s="25">
        <v>42547.509328703702</v>
      </c>
      <c r="G80" s="31">
        <v>1</v>
      </c>
      <c r="H80" s="25" t="s">
        <v>306</v>
      </c>
      <c r="I80" s="25">
        <v>42547.532534722224</v>
      </c>
      <c r="J80" s="43">
        <v>1</v>
      </c>
      <c r="K80" s="43" t="str">
        <f t="shared" si="26"/>
        <v>4011/4012</v>
      </c>
      <c r="L80" s="43" t="str">
        <f>VLOOKUP(A80,'Trips&amp;Operators'!$C$1:$E$10000,3,FALSE)</f>
        <v>ACKERMAN</v>
      </c>
      <c r="M80" s="11">
        <f t="shared" si="27"/>
        <v>2.3206018522614613E-2</v>
      </c>
      <c r="N80" s="12"/>
      <c r="O80" s="12"/>
      <c r="P80" s="12"/>
      <c r="Q80" s="44"/>
      <c r="R80" s="44"/>
      <c r="S80" s="70"/>
      <c r="T80" s="2" t="str">
        <f t="shared" si="28"/>
        <v>NorthBound</v>
      </c>
      <c r="U80" s="2">
        <f>COUNTIFS(Variables!$M$2:$M$19,IF(T80="NorthBound","&gt;=","&lt;=")&amp;Y80,Variables!$M$2:$M$19,IF(T80="NorthBound","&lt;=","&gt;=")&amp;Z80)</f>
        <v>9</v>
      </c>
      <c r="V80" s="48" t="str">
        <f t="shared" si="29"/>
        <v>https://search-rtdc-monitor-bjffxe2xuh6vdkpspy63sjmuny.us-east-1.es.amazonaws.com/_plugin/kibana/#/discover/Steve-Slow-Train-Analysis-(2080s-and-2083s)?_g=(refreshInterval:(display:Off,section:0,value:0),time:(from:'2016-06-26 12:11:22-0600',mode:absolute,to:'2016-06-26 12:47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80" s="48" t="str">
        <f t="shared" si="30"/>
        <v>Y</v>
      </c>
      <c r="X80" s="48">
        <f t="shared" si="25"/>
        <v>0</v>
      </c>
      <c r="Y80" s="48">
        <f t="shared" si="33"/>
        <v>3.7187999999999999</v>
      </c>
      <c r="Z80" s="48">
        <f t="shared" si="32"/>
        <v>23.325500000000002</v>
      </c>
      <c r="AA80" s="48">
        <f t="shared" si="31"/>
        <v>19.606700000000004</v>
      </c>
      <c r="AB80" s="49" t="e">
        <f>VLOOKUP(A80,#REF!,8,0)</f>
        <v>#REF!</v>
      </c>
      <c r="AC80" s="49" t="e">
        <f>VLOOKUP(A80,#REF!,3,0)</f>
        <v>#REF!</v>
      </c>
    </row>
    <row r="81" spans="1:29" s="2" customFormat="1" x14ac:dyDescent="0.25">
      <c r="A81" s="43" t="s">
        <v>308</v>
      </c>
      <c r="B81" s="43">
        <v>4012</v>
      </c>
      <c r="C81" s="43" t="s">
        <v>60</v>
      </c>
      <c r="D81" s="43" t="s">
        <v>309</v>
      </c>
      <c r="E81" s="25">
        <v>42547.550891203704</v>
      </c>
      <c r="F81" s="25">
        <v>42547.538287037038</v>
      </c>
      <c r="G81" s="31">
        <v>1</v>
      </c>
      <c r="H81" s="25" t="s">
        <v>75</v>
      </c>
      <c r="I81" s="25">
        <v>42547.550879629627</v>
      </c>
      <c r="J81" s="43">
        <v>0</v>
      </c>
      <c r="K81" s="43" t="str">
        <f t="shared" si="26"/>
        <v>4011/4012</v>
      </c>
      <c r="L81" s="43" t="str">
        <f>VLOOKUP(A81,'Trips&amp;Operators'!$C$1:$E$10000,3,FALSE)</f>
        <v>ACKERMAN</v>
      </c>
      <c r="M81" s="11">
        <f t="shared" si="27"/>
        <v>1.2592592589498963E-2</v>
      </c>
      <c r="N81" s="12"/>
      <c r="O81" s="12"/>
      <c r="P81" s="12">
        <f>24*60*SUM($M81:$M81)</f>
        <v>18.133333328878507</v>
      </c>
      <c r="Q81" s="44"/>
      <c r="R81" s="44" t="s">
        <v>491</v>
      </c>
      <c r="S81" s="70">
        <f>SUM(U81:U81)/12</f>
        <v>1</v>
      </c>
      <c r="T81" s="2" t="str">
        <f t="shared" si="28"/>
        <v>Southbound</v>
      </c>
      <c r="U81" s="2">
        <f>COUNTIFS(Variables!$M$2:$M$19,IF(T81="NorthBound","&gt;=","&lt;=")&amp;Y81,Variables!$M$2:$M$19,IF(T81="NorthBound","&lt;=","&gt;=")&amp;Z81)</f>
        <v>12</v>
      </c>
      <c r="V81" s="48" t="str">
        <f t="shared" si="29"/>
        <v>https://search-rtdc-monitor-bjffxe2xuh6vdkpspy63sjmuny.us-east-1.es.amazonaws.com/_plugin/kibana/#/discover/Steve-Slow-Train-Analysis-(2080s-and-2083s)?_g=(refreshInterval:(display:Off,section:0,value:0),time:(from:'2016-06-26 13:12:17-0600',mode:absolute,to:'2016-06-26 13:14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81" s="48" t="str">
        <f t="shared" si="30"/>
        <v>Y</v>
      </c>
      <c r="X81" s="48">
        <f t="shared" si="25"/>
        <v>1</v>
      </c>
      <c r="Y81" s="48">
        <f t="shared" si="33"/>
        <v>12.7845</v>
      </c>
      <c r="Z81" s="48">
        <f t="shared" si="32"/>
        <v>1.49E-2</v>
      </c>
      <c r="AA81" s="48">
        <f t="shared" si="31"/>
        <v>12.769599999999999</v>
      </c>
      <c r="AB81" s="49" t="e">
        <f>VLOOKUP(A81,#REF!,8,0)</f>
        <v>#REF!</v>
      </c>
      <c r="AC81" s="49" t="e">
        <f>VLOOKUP(A81,#REF!,3,0)</f>
        <v>#REF!</v>
      </c>
    </row>
    <row r="82" spans="1:29" s="2" customFormat="1" x14ac:dyDescent="0.25">
      <c r="A82" s="43" t="s">
        <v>310</v>
      </c>
      <c r="B82" s="43">
        <v>4007</v>
      </c>
      <c r="C82" s="43" t="s">
        <v>60</v>
      </c>
      <c r="D82" s="43" t="s">
        <v>82</v>
      </c>
      <c r="E82" s="25">
        <v>42547.509664351855</v>
      </c>
      <c r="F82" s="25">
        <v>42547.510763888888</v>
      </c>
      <c r="G82" s="31">
        <v>1</v>
      </c>
      <c r="H82" s="25" t="s">
        <v>203</v>
      </c>
      <c r="I82" s="25">
        <v>42547.546782407408</v>
      </c>
      <c r="J82" s="43">
        <v>0</v>
      </c>
      <c r="K82" s="43" t="str">
        <f t="shared" si="26"/>
        <v>4007/4008</v>
      </c>
      <c r="L82" s="43" t="str">
        <f>VLOOKUP(A82,'Trips&amp;Operators'!$C$1:$E$10000,3,FALSE)</f>
        <v>STEWART</v>
      </c>
      <c r="M82" s="11">
        <f t="shared" si="27"/>
        <v>3.6018518519995268E-2</v>
      </c>
      <c r="N82" s="12">
        <f t="shared" ref="N82:N98" si="34">24*60*SUM($M82:$M82)</f>
        <v>51.866666668793187</v>
      </c>
      <c r="O82" s="12"/>
      <c r="P82" s="12"/>
      <c r="Q82" s="44"/>
      <c r="R82" s="44"/>
      <c r="S82" s="70">
        <f t="shared" ref="S82:S98" si="35">SUM(U82:U82)/12</f>
        <v>1</v>
      </c>
      <c r="T82" s="2" t="str">
        <f t="shared" si="28"/>
        <v>NorthBound</v>
      </c>
      <c r="U82" s="2">
        <f>COUNTIFS(Variables!$M$2:$M$19,IF(T82="NorthBound","&gt;=","&lt;=")&amp;Y82,Variables!$M$2:$M$19,IF(T82="NorthBound","&lt;=","&gt;=")&amp;Z82)</f>
        <v>12</v>
      </c>
      <c r="V82" s="48" t="str">
        <f t="shared" si="29"/>
        <v>https://search-rtdc-monitor-bjffxe2xuh6vdkpspy63sjmuny.us-east-1.es.amazonaws.com/_plugin/kibana/#/discover/Steve-Slow-Train-Analysis-(2080s-and-2083s)?_g=(refreshInterval:(display:Off,section:0,value:0),time:(from:'2016-06-26 12:12:55-0600',mode:absolute,to:'2016-06-26 13:08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W82" s="48" t="str">
        <f t="shared" si="30"/>
        <v>N</v>
      </c>
      <c r="X82" s="48">
        <f t="shared" si="25"/>
        <v>1</v>
      </c>
      <c r="Y82" s="48">
        <f t="shared" si="33"/>
        <v>4.58E-2</v>
      </c>
      <c r="Z82" s="48">
        <f t="shared" si="32"/>
        <v>23.333400000000001</v>
      </c>
      <c r="AA82" s="48">
        <f t="shared" si="31"/>
        <v>23.287600000000001</v>
      </c>
      <c r="AB82" s="49" t="e">
        <f>VLOOKUP(A82,#REF!,8,0)</f>
        <v>#REF!</v>
      </c>
      <c r="AC82" s="49" t="e">
        <f>VLOOKUP(A82,#REF!,3,0)</f>
        <v>#REF!</v>
      </c>
    </row>
    <row r="83" spans="1:29" s="64" customFormat="1" x14ac:dyDescent="0.25">
      <c r="A83" s="43" t="s">
        <v>311</v>
      </c>
      <c r="B83" s="43">
        <v>4008</v>
      </c>
      <c r="C83" s="43" t="s">
        <v>60</v>
      </c>
      <c r="D83" s="43" t="s">
        <v>312</v>
      </c>
      <c r="E83" s="25">
        <v>42547.548356481479</v>
      </c>
      <c r="F83" s="25">
        <v>42547.549745370372</v>
      </c>
      <c r="G83" s="31">
        <v>1</v>
      </c>
      <c r="H83" s="25" t="s">
        <v>113</v>
      </c>
      <c r="I83" s="25">
        <v>42547.5778587963</v>
      </c>
      <c r="J83" s="43">
        <v>0</v>
      </c>
      <c r="K83" s="43" t="str">
        <f t="shared" si="26"/>
        <v>4007/4008</v>
      </c>
      <c r="L83" s="43" t="str">
        <f>VLOOKUP(A83,'Trips&amp;Operators'!$C$1:$E$10000,3,FALSE)</f>
        <v>STEWART</v>
      </c>
      <c r="M83" s="11">
        <f t="shared" si="27"/>
        <v>2.8113425927585922E-2</v>
      </c>
      <c r="N83" s="12">
        <f t="shared" si="34"/>
        <v>40.483333335723728</v>
      </c>
      <c r="O83" s="12"/>
      <c r="P83" s="12"/>
      <c r="Q83" s="44"/>
      <c r="R83" s="44"/>
      <c r="S83" s="70">
        <f t="shared" si="35"/>
        <v>1</v>
      </c>
      <c r="T83" s="2" t="str">
        <f t="shared" si="28"/>
        <v>Southbound</v>
      </c>
      <c r="U83" s="2">
        <f>COUNTIFS(Variables!$M$2:$M$19,IF(T83="NorthBound","&gt;=","&lt;=")&amp;Y83,Variables!$M$2:$M$19,IF(T83="NorthBound","&lt;=","&gt;=")&amp;Z83)</f>
        <v>12</v>
      </c>
      <c r="V83" s="48" t="str">
        <f t="shared" si="29"/>
        <v>https://search-rtdc-monitor-bjffxe2xuh6vdkpspy63sjmuny.us-east-1.es.amazonaws.com/_plugin/kibana/#/discover/Steve-Slow-Train-Analysis-(2080s-and-2083s)?_g=(refreshInterval:(display:Off,section:0,value:0),time:(from:'2016-06-26 13:08:38-0600',mode:absolute,to:'2016-06-26 13:53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W83" s="48" t="str">
        <f t="shared" si="30"/>
        <v>N</v>
      </c>
      <c r="X83" s="48">
        <f t="shared" si="25"/>
        <v>1</v>
      </c>
      <c r="Y83" s="48">
        <f t="shared" si="33"/>
        <v>23.299600000000002</v>
      </c>
      <c r="Z83" s="48">
        <f t="shared" si="32"/>
        <v>1.4999999999999999E-2</v>
      </c>
      <c r="AA83" s="48">
        <f t="shared" si="31"/>
        <v>23.284600000000001</v>
      </c>
      <c r="AB83" s="49" t="e">
        <f>VLOOKUP(A83,#REF!,8,0)</f>
        <v>#REF!</v>
      </c>
      <c r="AC83" s="49" t="e">
        <f>VLOOKUP(A83,#REF!,3,0)</f>
        <v>#REF!</v>
      </c>
    </row>
    <row r="84" spans="1:29" s="2" customFormat="1" x14ac:dyDescent="0.25">
      <c r="A84" s="43" t="s">
        <v>313</v>
      </c>
      <c r="B84" s="43">
        <v>4038</v>
      </c>
      <c r="C84" s="43" t="s">
        <v>60</v>
      </c>
      <c r="D84" s="43" t="s">
        <v>146</v>
      </c>
      <c r="E84" s="25">
        <v>42547.519259259258</v>
      </c>
      <c r="F84" s="25">
        <v>42547.520046296297</v>
      </c>
      <c r="G84" s="31">
        <v>1</v>
      </c>
      <c r="H84" s="25" t="s">
        <v>160</v>
      </c>
      <c r="I84" s="25">
        <v>42547.546689814815</v>
      </c>
      <c r="J84" s="43">
        <v>0</v>
      </c>
      <c r="K84" s="43" t="str">
        <f t="shared" si="26"/>
        <v>4037/4038</v>
      </c>
      <c r="L84" s="43" t="str">
        <f>VLOOKUP(A84,'Trips&amp;Operators'!$C$1:$E$10000,3,FALSE)</f>
        <v>HELVIE</v>
      </c>
      <c r="M84" s="11">
        <f t="shared" si="27"/>
        <v>2.6643518518540077E-2</v>
      </c>
      <c r="N84" s="12">
        <f t="shared" si="34"/>
        <v>38.366666666697711</v>
      </c>
      <c r="O84" s="12"/>
      <c r="P84" s="12"/>
      <c r="Q84" s="44"/>
      <c r="R84" s="44"/>
      <c r="S84" s="70">
        <f t="shared" si="35"/>
        <v>1</v>
      </c>
      <c r="T84" s="2" t="str">
        <f t="shared" si="28"/>
        <v>NorthBound</v>
      </c>
      <c r="U84" s="2">
        <f>COUNTIFS(Variables!$M$2:$M$19,IF(T84="NorthBound","&gt;=","&lt;=")&amp;Y84,Variables!$M$2:$M$19,IF(T84="NorthBound","&lt;=","&gt;=")&amp;Z84)</f>
        <v>12</v>
      </c>
      <c r="V84" s="48" t="str">
        <f t="shared" si="29"/>
        <v>https://search-rtdc-monitor-bjffxe2xuh6vdkpspy63sjmuny.us-east-1.es.amazonaws.com/_plugin/kibana/#/discover/Steve-Slow-Train-Analysis-(2080s-and-2083s)?_g=(refreshInterval:(display:Off,section:0,value:0),time:(from:'2016-06-26 12:26:44-0600',mode:absolute,to:'2016-06-26 13:08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W84" s="48" t="str">
        <f t="shared" si="30"/>
        <v>N</v>
      </c>
      <c r="X84" s="48">
        <f t="shared" si="25"/>
        <v>1</v>
      </c>
      <c r="Y84" s="48">
        <f t="shared" si="33"/>
        <v>4.7500000000000001E-2</v>
      </c>
      <c r="Z84" s="48">
        <f t="shared" si="32"/>
        <v>23.3293</v>
      </c>
      <c r="AA84" s="48">
        <f t="shared" si="31"/>
        <v>23.2818</v>
      </c>
      <c r="AB84" s="49" t="e">
        <f>VLOOKUP(A84,#REF!,8,0)</f>
        <v>#REF!</v>
      </c>
      <c r="AC84" s="49" t="e">
        <f>VLOOKUP(A84,#REF!,3,0)</f>
        <v>#REF!</v>
      </c>
    </row>
    <row r="85" spans="1:29" s="2" customFormat="1" ht="14.25" customHeight="1" x14ac:dyDescent="0.25">
      <c r="A85" s="43" t="s">
        <v>314</v>
      </c>
      <c r="B85" s="43">
        <v>4037</v>
      </c>
      <c r="C85" s="43" t="s">
        <v>60</v>
      </c>
      <c r="D85" s="43" t="s">
        <v>79</v>
      </c>
      <c r="E85" s="25">
        <v>42547.550937499997</v>
      </c>
      <c r="F85" s="25">
        <v>42547.552268518521</v>
      </c>
      <c r="G85" s="31">
        <v>1</v>
      </c>
      <c r="H85" s="25" t="s">
        <v>91</v>
      </c>
      <c r="I85" s="25">
        <v>42547.587210648147</v>
      </c>
      <c r="J85" s="43">
        <v>0</v>
      </c>
      <c r="K85" s="43" t="str">
        <f t="shared" si="26"/>
        <v>4037/4038</v>
      </c>
      <c r="L85" s="43" t="str">
        <f>VLOOKUP(A85,'Trips&amp;Operators'!$C$1:$E$10000,3,FALSE)</f>
        <v>HELVIE</v>
      </c>
      <c r="M85" s="11">
        <f t="shared" si="27"/>
        <v>3.4942129626870155E-2</v>
      </c>
      <c r="N85" s="12">
        <f t="shared" si="34"/>
        <v>50.316666662693024</v>
      </c>
      <c r="O85" s="12"/>
      <c r="P85" s="12"/>
      <c r="Q85" s="44"/>
      <c r="R85" s="44"/>
      <c r="S85" s="70">
        <f t="shared" si="35"/>
        <v>1</v>
      </c>
      <c r="T85" s="2" t="str">
        <f t="shared" si="28"/>
        <v>Southbound</v>
      </c>
      <c r="U85" s="2">
        <f>COUNTIFS(Variables!$M$2:$M$19,IF(T85="NorthBound","&gt;=","&lt;=")&amp;Y85,Variables!$M$2:$M$19,IF(T85="NorthBound","&lt;=","&gt;=")&amp;Z85)</f>
        <v>12</v>
      </c>
      <c r="V85" s="48" t="str">
        <f t="shared" si="29"/>
        <v>https://search-rtdc-monitor-bjffxe2xuh6vdkpspy63sjmuny.us-east-1.es.amazonaws.com/_plugin/kibana/#/discover/Steve-Slow-Train-Analysis-(2080s-and-2083s)?_g=(refreshInterval:(display:Off,section:0,value:0),time:(from:'2016-06-26 13:12:21-0600',mode:absolute,to:'2016-06-26 14:06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W85" s="48" t="str">
        <f t="shared" si="30"/>
        <v>N</v>
      </c>
      <c r="X85" s="48">
        <f t="shared" si="25"/>
        <v>1</v>
      </c>
      <c r="Y85" s="48">
        <f t="shared" si="33"/>
        <v>23.297799999999999</v>
      </c>
      <c r="Z85" s="48">
        <f t="shared" si="32"/>
        <v>1.61E-2</v>
      </c>
      <c r="AA85" s="48">
        <f t="shared" si="31"/>
        <v>23.281699999999997</v>
      </c>
      <c r="AB85" s="49" t="e">
        <f>VLOOKUP(A85,#REF!,8,0)</f>
        <v>#REF!</v>
      </c>
      <c r="AC85" s="49" t="e">
        <f>VLOOKUP(A85,#REF!,3,0)</f>
        <v>#REF!</v>
      </c>
    </row>
    <row r="86" spans="1:29" s="2" customFormat="1" x14ac:dyDescent="0.25">
      <c r="A86" s="43" t="s">
        <v>315</v>
      </c>
      <c r="B86" s="43">
        <v>4018</v>
      </c>
      <c r="C86" s="43" t="s">
        <v>60</v>
      </c>
      <c r="D86" s="43" t="s">
        <v>78</v>
      </c>
      <c r="E86" s="25">
        <v>42547.528738425928</v>
      </c>
      <c r="F86" s="25">
        <v>42547.531053240738</v>
      </c>
      <c r="G86" s="31">
        <v>3</v>
      </c>
      <c r="H86" s="25" t="s">
        <v>316</v>
      </c>
      <c r="I86" s="25">
        <v>42547.557650462964</v>
      </c>
      <c r="J86" s="43">
        <v>3</v>
      </c>
      <c r="K86" s="43" t="str">
        <f t="shared" si="26"/>
        <v>4017/4018</v>
      </c>
      <c r="L86" s="43" t="str">
        <f>VLOOKUP(A86,'Trips&amp;Operators'!$C$1:$E$10000,3,FALSE)</f>
        <v>WEBSTER</v>
      </c>
      <c r="M86" s="11">
        <f t="shared" si="27"/>
        <v>2.6597222225973383E-2</v>
      </c>
      <c r="N86" s="12">
        <f t="shared" si="34"/>
        <v>38.300000005401671</v>
      </c>
      <c r="O86" s="12"/>
      <c r="P86" s="12"/>
      <c r="Q86" s="44"/>
      <c r="R86" s="44"/>
      <c r="S86" s="70">
        <f t="shared" si="35"/>
        <v>1</v>
      </c>
      <c r="T86" s="2" t="str">
        <f t="shared" si="28"/>
        <v>NorthBound</v>
      </c>
      <c r="U86" s="2">
        <f>COUNTIFS(Variables!$M$2:$M$19,IF(T86="NorthBound","&gt;=","&lt;=")&amp;Y86,Variables!$M$2:$M$19,IF(T86="NorthBound","&lt;=","&gt;=")&amp;Z86)</f>
        <v>12</v>
      </c>
      <c r="V86" s="48" t="str">
        <f t="shared" si="29"/>
        <v>https://search-rtdc-monitor-bjffxe2xuh6vdkpspy63sjmuny.us-east-1.es.amazonaws.com/_plugin/kibana/#/discover/Steve-Slow-Train-Analysis-(2080s-and-2083s)?_g=(refreshInterval:(display:Off,section:0,value:0),time:(from:'2016-06-26 12:40:23-0600',mode:absolute,to:'2016-06-26 13:24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86" s="48" t="str">
        <f t="shared" si="30"/>
        <v>N</v>
      </c>
      <c r="X86" s="48">
        <f t="shared" si="25"/>
        <v>1</v>
      </c>
      <c r="Y86" s="48">
        <f t="shared" si="33"/>
        <v>4.53E-2</v>
      </c>
      <c r="Z86" s="48">
        <f t="shared" si="32"/>
        <v>23.2241</v>
      </c>
      <c r="AA86" s="48">
        <f t="shared" si="31"/>
        <v>23.178799999999999</v>
      </c>
      <c r="AB86" s="49" t="e">
        <f>VLOOKUP(A86,#REF!,8,0)</f>
        <v>#REF!</v>
      </c>
      <c r="AC86" s="49" t="e">
        <f>VLOOKUP(A86,#REF!,3,0)</f>
        <v>#REF!</v>
      </c>
    </row>
    <row r="87" spans="1:29" s="2" customFormat="1" x14ac:dyDescent="0.25">
      <c r="A87" s="43" t="s">
        <v>317</v>
      </c>
      <c r="B87" s="43">
        <v>4017</v>
      </c>
      <c r="C87" s="43" t="s">
        <v>60</v>
      </c>
      <c r="D87" s="43" t="s">
        <v>318</v>
      </c>
      <c r="E87" s="25">
        <v>42547.569143518522</v>
      </c>
      <c r="F87" s="25">
        <v>42547.569953703707</v>
      </c>
      <c r="G87" s="31">
        <v>1</v>
      </c>
      <c r="H87" s="25" t="s">
        <v>195</v>
      </c>
      <c r="I87" s="25">
        <v>42547.597037037034</v>
      </c>
      <c r="J87" s="43">
        <v>0</v>
      </c>
      <c r="K87" s="43" t="str">
        <f t="shared" si="26"/>
        <v>4017/4018</v>
      </c>
      <c r="L87" s="43" t="str">
        <f>VLOOKUP(A87,'Trips&amp;Operators'!$C$1:$E$10000,3,FALSE)</f>
        <v>WEBSTER</v>
      </c>
      <c r="M87" s="11">
        <f t="shared" si="27"/>
        <v>2.7083333327027503E-2</v>
      </c>
      <c r="N87" s="12">
        <f t="shared" si="34"/>
        <v>38.999999990919605</v>
      </c>
      <c r="O87" s="12"/>
      <c r="P87" s="12"/>
      <c r="Q87" s="44"/>
      <c r="R87" s="44"/>
      <c r="S87" s="70">
        <f t="shared" si="35"/>
        <v>1</v>
      </c>
      <c r="T87" s="2" t="str">
        <f t="shared" si="28"/>
        <v>Southbound</v>
      </c>
      <c r="U87" s="2">
        <f>COUNTIFS(Variables!$M$2:$M$19,IF(T87="NorthBound","&gt;=","&lt;=")&amp;Y87,Variables!$M$2:$M$19,IF(T87="NorthBound","&lt;=","&gt;=")&amp;Z87)</f>
        <v>12</v>
      </c>
      <c r="V87" s="48" t="str">
        <f t="shared" si="29"/>
        <v>https://search-rtdc-monitor-bjffxe2xuh6vdkpspy63sjmuny.us-east-1.es.amazonaws.com/_plugin/kibana/#/discover/Steve-Slow-Train-Analysis-(2080s-and-2083s)?_g=(refreshInterval:(display:Off,section:0,value:0),time:(from:'2016-06-26 13:38:34-0600',mode:absolute,to:'2016-06-26 14:20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87" s="48" t="str">
        <f t="shared" si="30"/>
        <v>N</v>
      </c>
      <c r="X87" s="48">
        <f t="shared" si="25"/>
        <v>1</v>
      </c>
      <c r="Y87" s="48">
        <f t="shared" si="33"/>
        <v>23.300599999999999</v>
      </c>
      <c r="Z87" s="48">
        <f t="shared" si="32"/>
        <v>1.38E-2</v>
      </c>
      <c r="AA87" s="48">
        <f t="shared" si="31"/>
        <v>23.286799999999999</v>
      </c>
      <c r="AB87" s="49" t="e">
        <f>VLOOKUP(A87,#REF!,8,0)</f>
        <v>#REF!</v>
      </c>
      <c r="AC87" s="49" t="e">
        <f>VLOOKUP(A87,#REF!,3,0)</f>
        <v>#REF!</v>
      </c>
    </row>
    <row r="88" spans="1:29" s="2" customFormat="1" x14ac:dyDescent="0.25">
      <c r="A88" s="43" t="s">
        <v>319</v>
      </c>
      <c r="B88" s="43">
        <v>4025</v>
      </c>
      <c r="C88" s="43" t="s">
        <v>60</v>
      </c>
      <c r="D88" s="43" t="s">
        <v>198</v>
      </c>
      <c r="E88" s="25">
        <v>42547.537476851852</v>
      </c>
      <c r="F88" s="25">
        <v>42547.538958333331</v>
      </c>
      <c r="G88" s="31">
        <v>2</v>
      </c>
      <c r="H88" s="25" t="s">
        <v>168</v>
      </c>
      <c r="I88" s="25">
        <v>42547.569560185184</v>
      </c>
      <c r="J88" s="43">
        <v>1</v>
      </c>
      <c r="K88" s="43" t="str">
        <f t="shared" si="26"/>
        <v>4025/4026</v>
      </c>
      <c r="L88" s="43" t="str">
        <f>VLOOKUP(A88,'Trips&amp;Operators'!$C$1:$E$10000,3,FALSE)</f>
        <v>RIVERA</v>
      </c>
      <c r="M88" s="11">
        <f t="shared" si="27"/>
        <v>3.0601851853134576E-2</v>
      </c>
      <c r="N88" s="12">
        <f t="shared" si="34"/>
        <v>44.06666666851379</v>
      </c>
      <c r="O88" s="12"/>
      <c r="P88" s="12"/>
      <c r="Q88" s="44"/>
      <c r="R88" s="44"/>
      <c r="S88" s="70">
        <f t="shared" si="35"/>
        <v>1</v>
      </c>
      <c r="T88" s="2" t="str">
        <f t="shared" si="28"/>
        <v>NorthBound</v>
      </c>
      <c r="U88" s="2">
        <f>COUNTIFS(Variables!$M$2:$M$19,IF(T88="NorthBound","&gt;=","&lt;=")&amp;Y88,Variables!$M$2:$M$19,IF(T88="NorthBound","&lt;=","&gt;=")&amp;Z88)</f>
        <v>12</v>
      </c>
      <c r="V88" s="48" t="str">
        <f t="shared" si="29"/>
        <v>https://search-rtdc-monitor-bjffxe2xuh6vdkpspy63sjmuny.us-east-1.es.amazonaws.com/_plugin/kibana/#/discover/Steve-Slow-Train-Analysis-(2080s-and-2083s)?_g=(refreshInterval:(display:Off,section:0,value:0),time:(from:'2016-06-26 12:52:58-0600',mode:absolute,to:'2016-06-26 13:41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88" s="48" t="str">
        <f t="shared" si="30"/>
        <v>N</v>
      </c>
      <c r="X88" s="48">
        <f t="shared" si="25"/>
        <v>1</v>
      </c>
      <c r="Y88" s="48">
        <f t="shared" si="33"/>
        <v>4.4200000000000003E-2</v>
      </c>
      <c r="Z88" s="48">
        <f t="shared" si="32"/>
        <v>23.328900000000001</v>
      </c>
      <c r="AA88" s="48">
        <f t="shared" si="31"/>
        <v>23.284700000000001</v>
      </c>
      <c r="AB88" s="49" t="e">
        <f>VLOOKUP(A88,#REF!,8,0)</f>
        <v>#REF!</v>
      </c>
      <c r="AC88" s="49" t="e">
        <f>VLOOKUP(A88,#REF!,3,0)</f>
        <v>#REF!</v>
      </c>
    </row>
    <row r="89" spans="1:29" s="2" customFormat="1" x14ac:dyDescent="0.25">
      <c r="A89" s="43" t="s">
        <v>320</v>
      </c>
      <c r="B89" s="43">
        <v>4026</v>
      </c>
      <c r="C89" s="43" t="s">
        <v>60</v>
      </c>
      <c r="D89" s="43" t="s">
        <v>114</v>
      </c>
      <c r="E89" s="25">
        <v>42547.57571759259</v>
      </c>
      <c r="F89" s="25">
        <v>42547.576655092591</v>
      </c>
      <c r="G89" s="31">
        <v>1</v>
      </c>
      <c r="H89" s="25" t="s">
        <v>145</v>
      </c>
      <c r="I89" s="25">
        <v>42547.606932870367</v>
      </c>
      <c r="J89" s="43">
        <v>1</v>
      </c>
      <c r="K89" s="43" t="str">
        <f t="shared" si="26"/>
        <v>4025/4026</v>
      </c>
      <c r="L89" s="43" t="str">
        <f>VLOOKUP(A89,'Trips&amp;Operators'!$C$1:$E$10000,3,FALSE)</f>
        <v>RIVERA</v>
      </c>
      <c r="M89" s="11">
        <f t="shared" si="27"/>
        <v>3.0277777776063886E-2</v>
      </c>
      <c r="N89" s="12">
        <f t="shared" si="34"/>
        <v>43.599999997531995</v>
      </c>
      <c r="O89" s="12"/>
      <c r="P89" s="12"/>
      <c r="Q89" s="44"/>
      <c r="R89" s="44"/>
      <c r="S89" s="70">
        <f t="shared" si="35"/>
        <v>1</v>
      </c>
      <c r="T89" s="2" t="str">
        <f t="shared" si="28"/>
        <v>Southbound</v>
      </c>
      <c r="U89" s="2">
        <f>COUNTIFS(Variables!$M$2:$M$19,IF(T89="NorthBound","&gt;=","&lt;=")&amp;Y89,Variables!$M$2:$M$19,IF(T89="NorthBound","&lt;=","&gt;=")&amp;Z89)</f>
        <v>12</v>
      </c>
      <c r="V89" s="48" t="str">
        <f t="shared" si="29"/>
        <v>https://search-rtdc-monitor-bjffxe2xuh6vdkpspy63sjmuny.us-east-1.es.amazonaws.com/_plugin/kibana/#/discover/Steve-Slow-Train-Analysis-(2080s-and-2083s)?_g=(refreshInterval:(display:Off,section:0,value:0),time:(from:'2016-06-26 13:48:02-0600',mode:absolute,to:'2016-06-26 14:34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89" s="48" t="str">
        <f t="shared" si="30"/>
        <v>N</v>
      </c>
      <c r="X89" s="48">
        <f t="shared" si="25"/>
        <v>1</v>
      </c>
      <c r="Y89" s="48">
        <f t="shared" si="33"/>
        <v>23.2986</v>
      </c>
      <c r="Z89" s="48">
        <f t="shared" si="32"/>
        <v>1.43E-2</v>
      </c>
      <c r="AA89" s="48">
        <f t="shared" si="31"/>
        <v>23.284300000000002</v>
      </c>
      <c r="AB89" s="49" t="e">
        <f>VLOOKUP(A89,#REF!,8,0)</f>
        <v>#REF!</v>
      </c>
      <c r="AC89" s="49" t="e">
        <f>VLOOKUP(A89,#REF!,3,0)</f>
        <v>#REF!</v>
      </c>
    </row>
    <row r="90" spans="1:29" s="2" customFormat="1" x14ac:dyDescent="0.25">
      <c r="A90" s="43" t="s">
        <v>321</v>
      </c>
      <c r="B90" s="43">
        <v>4020</v>
      </c>
      <c r="C90" s="43" t="s">
        <v>60</v>
      </c>
      <c r="D90" s="43" t="s">
        <v>69</v>
      </c>
      <c r="E90" s="25">
        <v>42547.546909722223</v>
      </c>
      <c r="F90" s="25">
        <v>42547.54791666667</v>
      </c>
      <c r="G90" s="31">
        <v>1</v>
      </c>
      <c r="H90" s="25" t="s">
        <v>302</v>
      </c>
      <c r="I90" s="25">
        <v>42547.5784375</v>
      </c>
      <c r="J90" s="43">
        <v>0</v>
      </c>
      <c r="K90" s="43" t="str">
        <f t="shared" si="26"/>
        <v>4019/4020</v>
      </c>
      <c r="L90" s="43" t="str">
        <f>VLOOKUP(A90,'Trips&amp;Operators'!$C$1:$E$10000,3,FALSE)</f>
        <v>BONDS</v>
      </c>
      <c r="M90" s="11">
        <f t="shared" si="27"/>
        <v>3.0520833330228925E-2</v>
      </c>
      <c r="N90" s="12">
        <f t="shared" si="34"/>
        <v>43.949999995529652</v>
      </c>
      <c r="O90" s="12"/>
      <c r="P90" s="12"/>
      <c r="Q90" s="44"/>
      <c r="R90" s="44"/>
      <c r="S90" s="70">
        <f t="shared" si="35"/>
        <v>1</v>
      </c>
      <c r="T90" s="2" t="str">
        <f t="shared" si="28"/>
        <v>NorthBound</v>
      </c>
      <c r="U90" s="2">
        <f>COUNTIFS(Variables!$M$2:$M$19,IF(T90="NorthBound","&gt;=","&lt;=")&amp;Y90,Variables!$M$2:$M$19,IF(T90="NorthBound","&lt;=","&gt;=")&amp;Z90)</f>
        <v>12</v>
      </c>
      <c r="V90" s="48" t="str">
        <f t="shared" si="29"/>
        <v>https://search-rtdc-monitor-bjffxe2xuh6vdkpspy63sjmuny.us-east-1.es.amazonaws.com/_plugin/kibana/#/discover/Steve-Slow-Train-Analysis-(2080s-and-2083s)?_g=(refreshInterval:(display:Off,section:0,value:0),time:(from:'2016-06-26 13:06:33-0600',mode:absolute,to:'2016-06-26 13:53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90" s="48" t="str">
        <f t="shared" si="30"/>
        <v>N</v>
      </c>
      <c r="X90" s="48">
        <f t="shared" si="25"/>
        <v>1</v>
      </c>
      <c r="Y90" s="48">
        <f t="shared" si="33"/>
        <v>4.5999999999999999E-2</v>
      </c>
      <c r="Z90" s="48">
        <f t="shared" si="32"/>
        <v>23.331499999999998</v>
      </c>
      <c r="AA90" s="48">
        <f t="shared" si="31"/>
        <v>23.285499999999999</v>
      </c>
      <c r="AB90" s="49" t="e">
        <f>VLOOKUP(A90,#REF!,8,0)</f>
        <v>#REF!</v>
      </c>
      <c r="AC90" s="49" t="e">
        <f>VLOOKUP(A90,#REF!,3,0)</f>
        <v>#REF!</v>
      </c>
    </row>
    <row r="91" spans="1:29" s="2" customFormat="1" x14ac:dyDescent="0.25">
      <c r="A91" s="43" t="s">
        <v>322</v>
      </c>
      <c r="B91" s="43">
        <v>4019</v>
      </c>
      <c r="C91" s="43" t="s">
        <v>60</v>
      </c>
      <c r="D91" s="43" t="s">
        <v>174</v>
      </c>
      <c r="E91" s="25">
        <v>42547.583657407406</v>
      </c>
      <c r="F91" s="25">
        <v>42547.584409722222</v>
      </c>
      <c r="G91" s="31">
        <v>1</v>
      </c>
      <c r="H91" s="25" t="s">
        <v>74</v>
      </c>
      <c r="I91" s="25">
        <v>42547.618680555555</v>
      </c>
      <c r="J91" s="43">
        <v>0</v>
      </c>
      <c r="K91" s="43" t="str">
        <f t="shared" si="26"/>
        <v>4019/4020</v>
      </c>
      <c r="L91" s="43" t="str">
        <f>VLOOKUP(A91,'Trips&amp;Operators'!$C$1:$E$10000,3,FALSE)</f>
        <v>BONDS</v>
      </c>
      <c r="M91" s="11">
        <f t="shared" si="27"/>
        <v>3.4270833333721384E-2</v>
      </c>
      <c r="N91" s="12">
        <f t="shared" si="34"/>
        <v>49.350000000558794</v>
      </c>
      <c r="O91" s="12"/>
      <c r="P91" s="12"/>
      <c r="Q91" s="44"/>
      <c r="R91" s="44"/>
      <c r="S91" s="70">
        <f t="shared" si="35"/>
        <v>1</v>
      </c>
      <c r="T91" s="2" t="str">
        <f t="shared" si="28"/>
        <v>Southbound</v>
      </c>
      <c r="U91" s="2">
        <f>COUNTIFS(Variables!$M$2:$M$19,IF(T91="NorthBound","&gt;=","&lt;=")&amp;Y91,Variables!$M$2:$M$19,IF(T91="NorthBound","&lt;=","&gt;=")&amp;Z91)</f>
        <v>12</v>
      </c>
      <c r="V91" s="48" t="str">
        <f t="shared" si="29"/>
        <v>https://search-rtdc-monitor-bjffxe2xuh6vdkpspy63sjmuny.us-east-1.es.amazonaws.com/_plugin/kibana/#/discover/Steve-Slow-Train-Analysis-(2080s-and-2083s)?_g=(refreshInterval:(display:Off,section:0,value:0),time:(from:'2016-06-26 13:59:28-0600',mode:absolute,to:'2016-06-26 14:51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91" s="48" t="str">
        <f t="shared" si="30"/>
        <v>N</v>
      </c>
      <c r="X91" s="48">
        <f t="shared" si="25"/>
        <v>1</v>
      </c>
      <c r="Y91" s="48">
        <f t="shared" si="33"/>
        <v>23.3</v>
      </c>
      <c r="Z91" s="48">
        <f t="shared" si="32"/>
        <v>1.41E-2</v>
      </c>
      <c r="AA91" s="48">
        <f t="shared" si="31"/>
        <v>23.285900000000002</v>
      </c>
      <c r="AB91" s="49" t="e">
        <f>VLOOKUP(A91,#REF!,8,0)</f>
        <v>#REF!</v>
      </c>
      <c r="AC91" s="49" t="e">
        <f>VLOOKUP(A91,#REF!,3,0)</f>
        <v>#REF!</v>
      </c>
    </row>
    <row r="92" spans="1:29" s="2" customFormat="1" x14ac:dyDescent="0.25">
      <c r="A92" s="43" t="s">
        <v>323</v>
      </c>
      <c r="B92" s="43">
        <v>4024</v>
      </c>
      <c r="C92" s="43" t="s">
        <v>60</v>
      </c>
      <c r="D92" s="43" t="s">
        <v>170</v>
      </c>
      <c r="E92" s="25">
        <v>42547.558437500003</v>
      </c>
      <c r="F92" s="25">
        <v>42547.55945601852</v>
      </c>
      <c r="G92" s="31">
        <v>1</v>
      </c>
      <c r="H92" s="25" t="s">
        <v>194</v>
      </c>
      <c r="I92" s="25">
        <v>42547.587500000001</v>
      </c>
      <c r="J92" s="43">
        <v>0</v>
      </c>
      <c r="K92" s="43" t="str">
        <f t="shared" si="26"/>
        <v>4023/4024</v>
      </c>
      <c r="L92" s="43" t="str">
        <f>VLOOKUP(A92,'Trips&amp;Operators'!$C$1:$E$10000,3,FALSE)</f>
        <v>LOCKLEAR</v>
      </c>
      <c r="M92" s="11">
        <f t="shared" si="27"/>
        <v>2.8043981481459923E-2</v>
      </c>
      <c r="N92" s="12">
        <f t="shared" si="34"/>
        <v>40.383333333302289</v>
      </c>
      <c r="O92" s="12"/>
      <c r="P92" s="12"/>
      <c r="Q92" s="44"/>
      <c r="R92" s="44"/>
      <c r="S92" s="70">
        <f t="shared" si="35"/>
        <v>1</v>
      </c>
      <c r="T92" s="2" t="str">
        <f t="shared" si="28"/>
        <v>NorthBound</v>
      </c>
      <c r="U92" s="2">
        <f>COUNTIFS(Variables!$M$2:$M$19,IF(T92="NorthBound","&gt;=","&lt;=")&amp;Y92,Variables!$M$2:$M$19,IF(T92="NorthBound","&lt;=","&gt;=")&amp;Z92)</f>
        <v>12</v>
      </c>
      <c r="V92" s="48" t="str">
        <f t="shared" si="29"/>
        <v>https://search-rtdc-monitor-bjffxe2xuh6vdkpspy63sjmuny.us-east-1.es.amazonaws.com/_plugin/kibana/#/discover/Steve-Slow-Train-Analysis-(2080s-and-2083s)?_g=(refreshInterval:(display:Off,section:0,value:0),time:(from:'2016-06-26 13:23:09-0600',mode:absolute,to:'2016-06-26 14:07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W92" s="48" t="str">
        <f t="shared" si="30"/>
        <v>N</v>
      </c>
      <c r="X92" s="48">
        <f t="shared" si="25"/>
        <v>1</v>
      </c>
      <c r="Y92" s="48">
        <f t="shared" si="33"/>
        <v>4.5100000000000001E-2</v>
      </c>
      <c r="Z92" s="48">
        <f t="shared" si="32"/>
        <v>23.330500000000001</v>
      </c>
      <c r="AA92" s="48">
        <f t="shared" si="31"/>
        <v>23.285399999999999</v>
      </c>
      <c r="AB92" s="49" t="e">
        <f>VLOOKUP(A92,#REF!,8,0)</f>
        <v>#REF!</v>
      </c>
      <c r="AC92" s="49" t="e">
        <f>VLOOKUP(A92,#REF!,3,0)</f>
        <v>#REF!</v>
      </c>
    </row>
    <row r="93" spans="1:29" s="2" customFormat="1" x14ac:dyDescent="0.25">
      <c r="A93" s="43" t="s">
        <v>324</v>
      </c>
      <c r="B93" s="43">
        <v>4023</v>
      </c>
      <c r="C93" s="43" t="s">
        <v>60</v>
      </c>
      <c r="D93" s="43" t="s">
        <v>325</v>
      </c>
      <c r="E93" s="25">
        <v>42547.60050925926</v>
      </c>
      <c r="F93" s="25">
        <v>42547.601458333331</v>
      </c>
      <c r="G93" s="31">
        <v>1</v>
      </c>
      <c r="H93" s="25" t="s">
        <v>162</v>
      </c>
      <c r="I93" s="25">
        <v>42547.630706018521</v>
      </c>
      <c r="J93" s="43">
        <v>1</v>
      </c>
      <c r="K93" s="43" t="str">
        <f t="shared" si="26"/>
        <v>4023/4024</v>
      </c>
      <c r="L93" s="43" t="str">
        <f>VLOOKUP(A93,'Trips&amp;Operators'!$C$1:$E$10000,3,FALSE)</f>
        <v>LOCKLEAR</v>
      </c>
      <c r="M93" s="11">
        <f t="shared" si="27"/>
        <v>2.9247685190057382E-2</v>
      </c>
      <c r="N93" s="12">
        <f t="shared" si="34"/>
        <v>42.11666667368263</v>
      </c>
      <c r="O93" s="12"/>
      <c r="P93" s="12"/>
      <c r="Q93" s="44"/>
      <c r="R93" s="44"/>
      <c r="S93" s="70">
        <f t="shared" si="35"/>
        <v>1</v>
      </c>
      <c r="T93" s="2" t="str">
        <f t="shared" si="28"/>
        <v>Southbound</v>
      </c>
      <c r="U93" s="2">
        <f>COUNTIFS(Variables!$M$2:$M$19,IF(T93="NorthBound","&gt;=","&lt;=")&amp;Y93,Variables!$M$2:$M$19,IF(T93="NorthBound","&lt;=","&gt;=")&amp;Z93)</f>
        <v>12</v>
      </c>
      <c r="V93" s="48" t="str">
        <f t="shared" si="29"/>
        <v>https://search-rtdc-monitor-bjffxe2xuh6vdkpspy63sjmuny.us-east-1.es.amazonaws.com/_plugin/kibana/#/discover/Steve-Slow-Train-Analysis-(2080s-and-2083s)?_g=(refreshInterval:(display:Off,section:0,value:0),time:(from:'2016-06-26 14:23:44-0600',mode:absolute,to:'2016-06-26 15:09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W93" s="48" t="str">
        <f t="shared" si="30"/>
        <v>N</v>
      </c>
      <c r="X93" s="48">
        <f t="shared" si="25"/>
        <v>1</v>
      </c>
      <c r="Y93" s="48">
        <f t="shared" si="33"/>
        <v>23.3005</v>
      </c>
      <c r="Z93" s="48">
        <f t="shared" si="32"/>
        <v>1.6899999999999998E-2</v>
      </c>
      <c r="AA93" s="48">
        <f t="shared" si="31"/>
        <v>23.2836</v>
      </c>
      <c r="AB93" s="49" t="e">
        <f>VLOOKUP(A93,#REF!,8,0)</f>
        <v>#REF!</v>
      </c>
      <c r="AC93" s="49" t="e">
        <f>VLOOKUP(A93,#REF!,3,0)</f>
        <v>#REF!</v>
      </c>
    </row>
    <row r="94" spans="1:29" s="2" customFormat="1" x14ac:dyDescent="0.25">
      <c r="A94" s="43" t="s">
        <v>331</v>
      </c>
      <c r="B94" s="43">
        <v>4042</v>
      </c>
      <c r="C94" s="43" t="s">
        <v>60</v>
      </c>
      <c r="D94" s="43" t="s">
        <v>69</v>
      </c>
      <c r="E94" s="25">
        <v>42547.575023148151</v>
      </c>
      <c r="F94" s="25">
        <v>42547.575810185182</v>
      </c>
      <c r="G94" s="31">
        <v>1</v>
      </c>
      <c r="H94" s="25" t="s">
        <v>111</v>
      </c>
      <c r="I94" s="25">
        <v>42547.60527777778</v>
      </c>
      <c r="J94" s="43">
        <v>0</v>
      </c>
      <c r="K94" s="43" t="str">
        <f t="shared" si="26"/>
        <v>4041/4042</v>
      </c>
      <c r="L94" s="43" t="str">
        <f>VLOOKUP(A94,'Trips&amp;Operators'!$C$1:$E$10000,3,FALSE)</f>
        <v>ACKERMAN</v>
      </c>
      <c r="M94" s="11">
        <f t="shared" si="27"/>
        <v>2.9467592597939074E-2</v>
      </c>
      <c r="N94" s="12">
        <f t="shared" si="34"/>
        <v>42.433333341032267</v>
      </c>
      <c r="O94" s="12"/>
      <c r="P94" s="12"/>
      <c r="Q94" s="44"/>
      <c r="R94" s="44"/>
      <c r="S94" s="70">
        <f t="shared" si="35"/>
        <v>1</v>
      </c>
      <c r="T94" s="2" t="str">
        <f t="shared" si="28"/>
        <v>NorthBound</v>
      </c>
      <c r="U94" s="2">
        <f>COUNTIFS(Variables!$M$2:$M$19,IF(T94="NorthBound","&gt;=","&lt;=")&amp;Y94,Variables!$M$2:$M$19,IF(T94="NorthBound","&lt;=","&gt;=")&amp;Z94)</f>
        <v>12</v>
      </c>
      <c r="V94" s="48" t="str">
        <f t="shared" si="29"/>
        <v>https://search-rtdc-monitor-bjffxe2xuh6vdkpspy63sjmuny.us-east-1.es.amazonaws.com/_plugin/kibana/#/discover/Steve-Slow-Train-Analysis-(2080s-and-2083s)?_g=(refreshInterval:(display:Off,section:0,value:0),time:(from:'2016-06-26 13:47:02-0600',mode:absolute,to:'2016-06-26 14:32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W94" s="48" t="str">
        <f t="shared" si="30"/>
        <v>N</v>
      </c>
      <c r="X94" s="48">
        <f>VALUE(LEFT(A94,3))-VALUE(LEFT('[1]Train Runs'!A23,3))</f>
        <v>1</v>
      </c>
      <c r="Y94" s="48">
        <f t="shared" si="33"/>
        <v>4.5999999999999999E-2</v>
      </c>
      <c r="Z94" s="48">
        <f t="shared" si="32"/>
        <v>23.331</v>
      </c>
      <c r="AA94" s="48">
        <f t="shared" si="31"/>
        <v>23.285</v>
      </c>
      <c r="AB94" s="49" t="e">
        <f>VLOOKUP(A94,#REF!,8,0)</f>
        <v>#REF!</v>
      </c>
      <c r="AC94" s="49" t="e">
        <f>VLOOKUP(A94,#REF!,3,0)</f>
        <v>#REF!</v>
      </c>
    </row>
    <row r="95" spans="1:29" s="2" customFormat="1" x14ac:dyDescent="0.25">
      <c r="A95" s="43" t="s">
        <v>341</v>
      </c>
      <c r="B95" s="43">
        <v>4041</v>
      </c>
      <c r="C95" s="43" t="s">
        <v>60</v>
      </c>
      <c r="D95" s="43" t="s">
        <v>342</v>
      </c>
      <c r="E95" s="25">
        <v>42547.608229166668</v>
      </c>
      <c r="F95" s="25">
        <v>42547.609178240738</v>
      </c>
      <c r="G95" s="31">
        <v>1</v>
      </c>
      <c r="H95" s="25" t="s">
        <v>61</v>
      </c>
      <c r="I95" s="25">
        <v>42547.641296296293</v>
      </c>
      <c r="J95" s="43">
        <v>0</v>
      </c>
      <c r="K95" s="43" t="str">
        <f t="shared" si="26"/>
        <v>4041/4042</v>
      </c>
      <c r="L95" s="43" t="str">
        <f>VLOOKUP(A95,'Trips&amp;Operators'!$C$1:$E$10000,3,FALSE)</f>
        <v>ACKERMAN</v>
      </c>
      <c r="M95" s="11">
        <f t="shared" si="27"/>
        <v>3.2118055554747116E-2</v>
      </c>
      <c r="N95" s="12">
        <f t="shared" si="34"/>
        <v>46.249999998835847</v>
      </c>
      <c r="O95" s="12"/>
      <c r="P95" s="12"/>
      <c r="Q95" s="44"/>
      <c r="R95" s="44"/>
      <c r="S95" s="70">
        <f t="shared" si="35"/>
        <v>1</v>
      </c>
      <c r="T95" s="2" t="str">
        <f t="shared" si="28"/>
        <v>Southbound</v>
      </c>
      <c r="U95" s="2">
        <f>COUNTIFS(Variables!$M$2:$M$19,IF(T95="NorthBound","&gt;=","&lt;=")&amp;Y95,Variables!$M$2:$M$19,IF(T95="NorthBound","&lt;=","&gt;=")&amp;Z95)</f>
        <v>12</v>
      </c>
      <c r="V95" s="48" t="str">
        <f t="shared" si="29"/>
        <v>https://search-rtdc-monitor-bjffxe2xuh6vdkpspy63sjmuny.us-east-1.es.amazonaws.com/_plugin/kibana/#/discover/Steve-Slow-Train-Analysis-(2080s-and-2083s)?_g=(refreshInterval:(display:Off,section:0,value:0),time:(from:'2016-06-26 14:34:51-0600',mode:absolute,to:'2016-06-26 15:24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W95" s="48" t="str">
        <f t="shared" si="30"/>
        <v>N</v>
      </c>
      <c r="X95" s="48">
        <f>VALUE(LEFT(A95,3))-VALUE(LEFT('[1]Train Runs'!A33,3))</f>
        <v>1</v>
      </c>
      <c r="Y95" s="48">
        <f t="shared" si="33"/>
        <v>23.2972</v>
      </c>
      <c r="Z95" s="48">
        <f t="shared" si="32"/>
        <v>1.4500000000000001E-2</v>
      </c>
      <c r="AA95" s="48">
        <f t="shared" si="31"/>
        <v>23.282699999999998</v>
      </c>
      <c r="AB95" s="49" t="e">
        <f>VLOOKUP(A95,#REF!,8,0)</f>
        <v>#REF!</v>
      </c>
      <c r="AC95" s="49" t="e">
        <f>VLOOKUP(A95,#REF!,3,0)</f>
        <v>#REF!</v>
      </c>
    </row>
    <row r="96" spans="1:29" s="2" customFormat="1" x14ac:dyDescent="0.25">
      <c r="A96" s="43" t="s">
        <v>353</v>
      </c>
      <c r="B96" s="43">
        <v>4007</v>
      </c>
      <c r="C96" s="43" t="s">
        <v>60</v>
      </c>
      <c r="D96" s="43" t="s">
        <v>197</v>
      </c>
      <c r="E96" s="25">
        <v>42547.583761574075</v>
      </c>
      <c r="F96" s="25">
        <v>42547.584918981483</v>
      </c>
      <c r="G96" s="31">
        <v>1</v>
      </c>
      <c r="H96" s="25" t="s">
        <v>354</v>
      </c>
      <c r="I96" s="25">
        <v>42547.612939814811</v>
      </c>
      <c r="J96" s="43">
        <v>2</v>
      </c>
      <c r="K96" s="43" t="str">
        <f t="shared" si="26"/>
        <v>4007/4008</v>
      </c>
      <c r="L96" s="43" t="str">
        <f>VLOOKUP(A96,'Trips&amp;Operators'!$C$1:$E$10000,3,FALSE)</f>
        <v>STEWART</v>
      </c>
      <c r="M96" s="11">
        <f t="shared" si="27"/>
        <v>2.8020833327900618E-2</v>
      </c>
      <c r="N96" s="12">
        <f t="shared" si="34"/>
        <v>40.34999999217689</v>
      </c>
      <c r="O96" s="12"/>
      <c r="P96" s="12"/>
      <c r="Q96" s="44"/>
      <c r="R96" s="44"/>
      <c r="S96" s="70">
        <f t="shared" si="35"/>
        <v>1</v>
      </c>
      <c r="T96" s="2" t="str">
        <f t="shared" si="28"/>
        <v>NorthBound</v>
      </c>
      <c r="U96" s="2">
        <f>COUNTIFS(Variables!$M$2:$M$19,IF(T96="NorthBound","&gt;=","&lt;=")&amp;Y96,Variables!$M$2:$M$19,IF(T96="NorthBound","&lt;=","&gt;=")&amp;Z96)</f>
        <v>12</v>
      </c>
      <c r="V96" s="48" t="str">
        <f t="shared" si="29"/>
        <v>https://search-rtdc-monitor-bjffxe2xuh6vdkpspy63sjmuny.us-east-1.es.amazonaws.com/_plugin/kibana/#/discover/Steve-Slow-Train-Analysis-(2080s-and-2083s)?_g=(refreshInterval:(display:Off,section:0,value:0),time:(from:'2016-06-26 13:59:37-0600',mode:absolute,to:'2016-06-26 14:43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W96" s="48" t="str">
        <f t="shared" si="30"/>
        <v>N</v>
      </c>
      <c r="X96" s="48">
        <f>VALUE(LEFT(A96,3))-VALUE(LEFT('[1]Train Runs'!A45,3))</f>
        <v>1</v>
      </c>
      <c r="Y96" s="48">
        <f t="shared" si="33"/>
        <v>4.6600000000000003E-2</v>
      </c>
      <c r="Z96" s="48">
        <f t="shared" si="32"/>
        <v>23.316299999999998</v>
      </c>
      <c r="AA96" s="48">
        <f t="shared" si="31"/>
        <v>23.269699999999997</v>
      </c>
      <c r="AB96" s="49" t="e">
        <f>VLOOKUP(A96,#REF!,8,0)</f>
        <v>#REF!</v>
      </c>
      <c r="AC96" s="49" t="e">
        <f>VLOOKUP(A96,#REF!,3,0)</f>
        <v>#REF!</v>
      </c>
    </row>
    <row r="97" spans="1:29" s="2" customFormat="1" x14ac:dyDescent="0.25">
      <c r="A97" s="43" t="s">
        <v>358</v>
      </c>
      <c r="B97" s="43">
        <v>4008</v>
      </c>
      <c r="C97" s="43" t="s">
        <v>60</v>
      </c>
      <c r="D97" s="43" t="s">
        <v>359</v>
      </c>
      <c r="E97" s="25">
        <v>42547.620659722219</v>
      </c>
      <c r="F97" s="25">
        <v>42547.621620370373</v>
      </c>
      <c r="G97" s="31">
        <v>1</v>
      </c>
      <c r="H97" s="25" t="s">
        <v>62</v>
      </c>
      <c r="I97" s="25">
        <v>42547.653946759259</v>
      </c>
      <c r="J97" s="43">
        <v>1</v>
      </c>
      <c r="K97" s="43" t="str">
        <f t="shared" si="26"/>
        <v>4007/4008</v>
      </c>
      <c r="L97" s="43" t="str">
        <f>VLOOKUP(A97,'Trips&amp;Operators'!$C$1:$E$10000,3,FALSE)</f>
        <v>STEWART</v>
      </c>
      <c r="M97" s="11">
        <f t="shared" si="27"/>
        <v>3.2326388885849155E-2</v>
      </c>
      <c r="N97" s="12">
        <f t="shared" si="34"/>
        <v>46.549999995622784</v>
      </c>
      <c r="O97" s="12"/>
      <c r="P97" s="12"/>
      <c r="Q97" s="44"/>
      <c r="R97" s="44"/>
      <c r="S97" s="70">
        <f t="shared" si="35"/>
        <v>1</v>
      </c>
      <c r="T97" s="2" t="str">
        <f t="shared" si="28"/>
        <v>Southbound</v>
      </c>
      <c r="U97" s="2">
        <f>COUNTIFS(Variables!$M$2:$M$19,IF(T97="NorthBound","&gt;=","&lt;=")&amp;Y97,Variables!$M$2:$M$19,IF(T97="NorthBound","&lt;=","&gt;=")&amp;Z97)</f>
        <v>12</v>
      </c>
      <c r="V97" s="48" t="str">
        <f t="shared" si="29"/>
        <v>https://search-rtdc-monitor-bjffxe2xuh6vdkpspy63sjmuny.us-east-1.es.amazonaws.com/_plugin/kibana/#/discover/Steve-Slow-Train-Analysis-(2080s-and-2083s)?_g=(refreshInterval:(display:Off,section:0,value:0),time:(from:'2016-06-26 14:52:45-0600',mode:absolute,to:'2016-06-26 15:42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W97" s="48" t="str">
        <f t="shared" si="30"/>
        <v>N</v>
      </c>
      <c r="X97" s="48">
        <f>VALUE(LEFT(A97,3))-VALUE(LEFT('[1]Train Runs'!A49,3))</f>
        <v>1</v>
      </c>
      <c r="Y97" s="48">
        <f t="shared" si="33"/>
        <v>23.281300000000002</v>
      </c>
      <c r="Z97" s="48">
        <f t="shared" si="32"/>
        <v>1.52E-2</v>
      </c>
      <c r="AA97" s="48">
        <f t="shared" si="31"/>
        <v>23.266100000000002</v>
      </c>
      <c r="AB97" s="49" t="e">
        <f>VLOOKUP(A97,#REF!,8,0)</f>
        <v>#REF!</v>
      </c>
      <c r="AC97" s="49" t="e">
        <f>VLOOKUP(A97,#REF!,3,0)</f>
        <v>#REF!</v>
      </c>
    </row>
    <row r="98" spans="1:29" s="2" customFormat="1" x14ac:dyDescent="0.25">
      <c r="A98" s="43" t="s">
        <v>360</v>
      </c>
      <c r="B98" s="43">
        <v>4038</v>
      </c>
      <c r="C98" s="43" t="s">
        <v>60</v>
      </c>
      <c r="D98" s="43" t="s">
        <v>82</v>
      </c>
      <c r="E98" s="25">
        <v>42547.591469907406</v>
      </c>
      <c r="F98" s="25">
        <v>42547.592349537037</v>
      </c>
      <c r="G98" s="31">
        <v>1</v>
      </c>
      <c r="H98" s="25" t="s">
        <v>111</v>
      </c>
      <c r="I98" s="25">
        <v>42547.620243055557</v>
      </c>
      <c r="J98" s="43">
        <v>1</v>
      </c>
      <c r="K98" s="43" t="str">
        <f t="shared" si="26"/>
        <v>4037/4038</v>
      </c>
      <c r="L98" s="43" t="str">
        <f>VLOOKUP(A98,'Trips&amp;Operators'!$C$1:$E$10000,3,FALSE)</f>
        <v>HELVIE</v>
      </c>
      <c r="M98" s="11">
        <f t="shared" si="27"/>
        <v>2.789351851970423E-2</v>
      </c>
      <c r="N98" s="12">
        <f t="shared" si="34"/>
        <v>40.166666668374091</v>
      </c>
      <c r="O98" s="12"/>
      <c r="P98" s="12"/>
      <c r="Q98" s="44"/>
      <c r="R98" s="44"/>
      <c r="S98" s="70">
        <f t="shared" si="35"/>
        <v>1</v>
      </c>
      <c r="T98" s="2" t="str">
        <f t="shared" si="28"/>
        <v>NorthBound</v>
      </c>
      <c r="U98" s="2">
        <f>COUNTIFS(Variables!$M$2:$M$19,IF(T98="NorthBound","&gt;=","&lt;=")&amp;Y98,Variables!$M$2:$M$19,IF(T98="NorthBound","&lt;=","&gt;=")&amp;Z98)</f>
        <v>12</v>
      </c>
      <c r="V98" s="48" t="str">
        <f t="shared" si="29"/>
        <v>https://search-rtdc-monitor-bjffxe2xuh6vdkpspy63sjmuny.us-east-1.es.amazonaws.com/_plugin/kibana/#/discover/Steve-Slow-Train-Analysis-(2080s-and-2083s)?_g=(refreshInterval:(display:Off,section:0,value:0),time:(from:'2016-06-26 14:10:43-0600',mode:absolute,to:'2016-06-26 14:54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W98" s="48" t="str">
        <f t="shared" si="30"/>
        <v>N</v>
      </c>
      <c r="X98" s="48">
        <f t="shared" ref="X98:X103" si="36">VALUE(LEFT(A98,3))-VALUE(LEFT(A97,3))</f>
        <v>1</v>
      </c>
      <c r="Y98" s="48">
        <f t="shared" si="33"/>
        <v>4.58E-2</v>
      </c>
      <c r="Z98" s="48">
        <f t="shared" si="32"/>
        <v>23.331</v>
      </c>
      <c r="AA98" s="48">
        <f t="shared" si="31"/>
        <v>23.2852</v>
      </c>
      <c r="AB98" s="49" t="e">
        <f>VLOOKUP(A98,#REF!,8,0)</f>
        <v>#REF!</v>
      </c>
      <c r="AC98" s="49" t="e">
        <f>VLOOKUP(A98,#REF!,3,0)</f>
        <v>#REF!</v>
      </c>
    </row>
    <row r="99" spans="1:29" s="2" customFormat="1" x14ac:dyDescent="0.25">
      <c r="A99" s="43" t="s">
        <v>361</v>
      </c>
      <c r="B99" s="43">
        <v>4037</v>
      </c>
      <c r="C99" s="43" t="s">
        <v>60</v>
      </c>
      <c r="D99" s="43" t="s">
        <v>181</v>
      </c>
      <c r="E99" s="25">
        <v>42547.628229166665</v>
      </c>
      <c r="F99" s="25">
        <v>42547.629305555558</v>
      </c>
      <c r="G99" s="31">
        <v>1</v>
      </c>
      <c r="H99" s="25" t="s">
        <v>362</v>
      </c>
      <c r="I99" s="25">
        <v>42547.649895833332</v>
      </c>
      <c r="J99" s="43">
        <v>0</v>
      </c>
      <c r="K99" s="43" t="str">
        <f t="shared" si="26"/>
        <v>4037/4038</v>
      </c>
      <c r="L99" s="43" t="str">
        <f>VLOOKUP(A99,'Trips&amp;Operators'!$C$1:$E$10000,3,FALSE)</f>
        <v>HELVIE</v>
      </c>
      <c r="M99" s="11">
        <f t="shared" si="27"/>
        <v>2.0590277774317656E-2</v>
      </c>
      <c r="N99" s="12"/>
      <c r="O99" s="12"/>
      <c r="P99" s="12">
        <f>24*60*SUM($M99:$M99)</f>
        <v>29.649999995017424</v>
      </c>
      <c r="Q99" s="44"/>
      <c r="R99" s="44" t="s">
        <v>495</v>
      </c>
      <c r="S99" s="70">
        <f>SUM(U99:U99)/12</f>
        <v>0.25</v>
      </c>
      <c r="T99" s="2" t="str">
        <f t="shared" si="28"/>
        <v>Southbound</v>
      </c>
      <c r="U99" s="2">
        <f>COUNTIFS(Variables!$M$2:$M$19,IF(T99="NorthBound","&gt;=","&lt;=")&amp;Y99,Variables!$M$2:$M$19,IF(T99="NorthBound","&lt;=","&gt;=")&amp;Z99)</f>
        <v>3</v>
      </c>
      <c r="V99" s="48" t="str">
        <f t="shared" si="29"/>
        <v>https://search-rtdc-monitor-bjffxe2xuh6vdkpspy63sjmuny.us-east-1.es.amazonaws.com/_plugin/kibana/#/discover/Steve-Slow-Train-Analysis-(2080s-and-2083s)?_g=(refreshInterval:(display:Off,section:0,value:0),time:(from:'2016-06-26 15:03:39-0600',mode:absolute,to:'2016-06-26 15:36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W99" s="48" t="str">
        <f t="shared" si="30"/>
        <v>Y</v>
      </c>
      <c r="X99" s="48">
        <f t="shared" si="36"/>
        <v>1</v>
      </c>
      <c r="Y99" s="48">
        <f t="shared" si="33"/>
        <v>23.299399999999999</v>
      </c>
      <c r="Z99" s="48">
        <f t="shared" si="32"/>
        <v>6.7013999999999996</v>
      </c>
      <c r="AA99" s="48">
        <f t="shared" si="31"/>
        <v>16.597999999999999</v>
      </c>
      <c r="AB99" s="49" t="e">
        <f>VLOOKUP(A99,#REF!,8,0)</f>
        <v>#REF!</v>
      </c>
      <c r="AC99" s="49" t="e">
        <f>VLOOKUP(A99,#REF!,3,0)</f>
        <v>#REF!</v>
      </c>
    </row>
    <row r="100" spans="1:29" s="2" customFormat="1" x14ac:dyDescent="0.25">
      <c r="A100" s="43" t="s">
        <v>363</v>
      </c>
      <c r="B100" s="43">
        <v>4018</v>
      </c>
      <c r="C100" s="43" t="s">
        <v>60</v>
      </c>
      <c r="D100" s="43" t="s">
        <v>246</v>
      </c>
      <c r="E100" s="25">
        <v>42547.598958333336</v>
      </c>
      <c r="F100" s="25">
        <v>42547.600231481483</v>
      </c>
      <c r="G100" s="31">
        <v>1</v>
      </c>
      <c r="H100" s="25" t="s">
        <v>160</v>
      </c>
      <c r="I100" s="25">
        <v>42547.630393518521</v>
      </c>
      <c r="J100" s="43">
        <v>0</v>
      </c>
      <c r="K100" s="43" t="str">
        <f t="shared" si="26"/>
        <v>4017/4018</v>
      </c>
      <c r="L100" s="43" t="str">
        <f>VLOOKUP(A100,'Trips&amp;Operators'!$C$1:$E$10000,3,FALSE)</f>
        <v>WEBSTER</v>
      </c>
      <c r="M100" s="11">
        <f t="shared" si="27"/>
        <v>3.0162037037371192E-2</v>
      </c>
      <c r="N100" s="12">
        <f t="shared" ref="N100:N109" si="37">24*60*SUM($M100:$M100)</f>
        <v>43.433333333814517</v>
      </c>
      <c r="O100" s="12"/>
      <c r="P100" s="12"/>
      <c r="Q100" s="44"/>
      <c r="R100" s="44"/>
      <c r="S100" s="70">
        <f>SUM(U100:U100)/12</f>
        <v>1</v>
      </c>
      <c r="T100" s="2" t="str">
        <f t="shared" si="28"/>
        <v>NorthBound</v>
      </c>
      <c r="U100" s="2">
        <f>COUNTIFS(Variables!$M$2:$M$19,IF(T100="NorthBound","&gt;=","&lt;=")&amp;Y100,Variables!$M$2:$M$19,IF(T100="NorthBound","&lt;=","&gt;=")&amp;Z100)</f>
        <v>12</v>
      </c>
      <c r="V100" s="48" t="str">
        <f t="shared" si="29"/>
        <v>https://search-rtdc-monitor-bjffxe2xuh6vdkpspy63sjmuny.us-east-1.es.amazonaws.com/_plugin/kibana/#/discover/Steve-Slow-Train-Analysis-(2080s-and-2083s)?_g=(refreshInterval:(display:Off,section:0,value:0),time:(from:'2016-06-26 14:21:30-0600',mode:absolute,to:'2016-06-26 15:08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100" s="48" t="str">
        <f t="shared" si="30"/>
        <v>N</v>
      </c>
      <c r="X100" s="48">
        <f t="shared" si="36"/>
        <v>1</v>
      </c>
      <c r="Y100" s="48">
        <f t="shared" si="33"/>
        <v>4.8899999999999999E-2</v>
      </c>
      <c r="Z100" s="48">
        <f t="shared" si="32"/>
        <v>23.3293</v>
      </c>
      <c r="AA100" s="48">
        <f t="shared" si="31"/>
        <v>23.2804</v>
      </c>
      <c r="AB100" s="49" t="e">
        <f>VLOOKUP(A100,#REF!,8,0)</f>
        <v>#REF!</v>
      </c>
      <c r="AC100" s="49" t="e">
        <f>VLOOKUP(A100,#REF!,3,0)</f>
        <v>#REF!</v>
      </c>
    </row>
    <row r="101" spans="1:29" s="2" customFormat="1" x14ac:dyDescent="0.25">
      <c r="A101" s="43" t="s">
        <v>364</v>
      </c>
      <c r="B101" s="43">
        <v>4017</v>
      </c>
      <c r="C101" s="43" t="s">
        <v>60</v>
      </c>
      <c r="D101" s="43" t="s">
        <v>156</v>
      </c>
      <c r="E101" s="25">
        <v>42547.637083333335</v>
      </c>
      <c r="F101" s="25">
        <v>42547.638055555559</v>
      </c>
      <c r="G101" s="31">
        <v>1</v>
      </c>
      <c r="H101" s="25" t="s">
        <v>74</v>
      </c>
      <c r="I101" s="25">
        <v>42547.675069444442</v>
      </c>
      <c r="J101" s="43">
        <v>0</v>
      </c>
      <c r="K101" s="43" t="str">
        <f t="shared" si="26"/>
        <v>4017/4018</v>
      </c>
      <c r="L101" s="43" t="str">
        <f>VLOOKUP(A101,'Trips&amp;Operators'!$C$1:$E$10000,3,FALSE)</f>
        <v>WEBSTER</v>
      </c>
      <c r="M101" s="11">
        <f t="shared" si="27"/>
        <v>3.7013888882938772E-2</v>
      </c>
      <c r="N101" s="12">
        <f t="shared" si="37"/>
        <v>53.299999991431832</v>
      </c>
      <c r="O101" s="12"/>
      <c r="P101" s="12"/>
      <c r="Q101" s="44"/>
      <c r="R101" s="44"/>
      <c r="S101" s="70">
        <f t="shared" ref="S101:S122" si="38">SUM(U101:U101)/12</f>
        <v>1</v>
      </c>
      <c r="T101" s="2" t="str">
        <f t="shared" si="28"/>
        <v>Southbound</v>
      </c>
      <c r="U101" s="2">
        <f>COUNTIFS(Variables!$M$2:$M$19,IF(T101="NorthBound","&gt;=","&lt;=")&amp;Y101,Variables!$M$2:$M$19,IF(T101="NorthBound","&lt;=","&gt;=")&amp;Z101)</f>
        <v>12</v>
      </c>
      <c r="V101" s="48" t="str">
        <f t="shared" si="29"/>
        <v>https://search-rtdc-monitor-bjffxe2xuh6vdkpspy63sjmuny.us-east-1.es.amazonaws.com/_plugin/kibana/#/discover/Steve-Slow-Train-Analysis-(2080s-and-2083s)?_g=(refreshInterval:(display:Off,section:0,value:0),time:(from:'2016-06-26 15:16:24-0600',mode:absolute,to:'2016-06-26 16:13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101" s="48" t="str">
        <f t="shared" si="30"/>
        <v>N</v>
      </c>
      <c r="X101" s="48">
        <f t="shared" si="36"/>
        <v>1</v>
      </c>
      <c r="Y101" s="48">
        <f t="shared" si="33"/>
        <v>23.296900000000001</v>
      </c>
      <c r="Z101" s="48">
        <f t="shared" si="32"/>
        <v>1.41E-2</v>
      </c>
      <c r="AA101" s="48">
        <f t="shared" si="31"/>
        <v>23.282800000000002</v>
      </c>
      <c r="AB101" s="49" t="e">
        <f>VLOOKUP(A101,#REF!,8,0)</f>
        <v>#REF!</v>
      </c>
      <c r="AC101" s="49" t="e">
        <f>VLOOKUP(A101,#REF!,3,0)</f>
        <v>#REF!</v>
      </c>
    </row>
    <row r="102" spans="1:29" s="2" customFormat="1" x14ac:dyDescent="0.25">
      <c r="A102" s="43" t="s">
        <v>365</v>
      </c>
      <c r="B102" s="43">
        <v>4025</v>
      </c>
      <c r="C102" s="43" t="s">
        <v>60</v>
      </c>
      <c r="D102" s="43" t="s">
        <v>236</v>
      </c>
      <c r="E102" s="25">
        <v>42547.610555555555</v>
      </c>
      <c r="F102" s="25">
        <v>42547.611574074072</v>
      </c>
      <c r="G102" s="31">
        <v>1</v>
      </c>
      <c r="H102" s="25" t="s">
        <v>302</v>
      </c>
      <c r="I102" s="25">
        <v>42547.643599537034</v>
      </c>
      <c r="J102" s="43">
        <v>0</v>
      </c>
      <c r="K102" s="43" t="str">
        <f t="shared" si="26"/>
        <v>4025/4026</v>
      </c>
      <c r="L102" s="43" t="str">
        <f>VLOOKUP(A102,'Trips&amp;Operators'!$C$1:$E$10000,3,FALSE)</f>
        <v>RIVERA</v>
      </c>
      <c r="M102" s="11">
        <f t="shared" si="27"/>
        <v>3.202546296233777E-2</v>
      </c>
      <c r="N102" s="12">
        <f t="shared" si="37"/>
        <v>46.116666665766388</v>
      </c>
      <c r="O102" s="12"/>
      <c r="P102" s="12"/>
      <c r="Q102" s="44"/>
      <c r="R102" s="44"/>
      <c r="S102" s="70">
        <f t="shared" si="38"/>
        <v>1</v>
      </c>
      <c r="T102" s="2" t="str">
        <f t="shared" si="28"/>
        <v>NorthBound</v>
      </c>
      <c r="U102" s="2">
        <f>COUNTIFS(Variables!$M$2:$M$19,IF(T102="NorthBound","&gt;=","&lt;=")&amp;Y102,Variables!$M$2:$M$19,IF(T102="NorthBound","&lt;=","&gt;=")&amp;Z102)</f>
        <v>12</v>
      </c>
      <c r="V102" s="48" t="str">
        <f t="shared" si="29"/>
        <v>https://search-rtdc-monitor-bjffxe2xuh6vdkpspy63sjmuny.us-east-1.es.amazonaws.com/_plugin/kibana/#/discover/Steve-Slow-Train-Analysis-(2080s-and-2083s)?_g=(refreshInterval:(display:Off,section:0,value:0),time:(from:'2016-06-26 14:38:12-0600',mode:absolute,to:'2016-06-26 15:27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102" s="48" t="str">
        <f t="shared" si="30"/>
        <v>N</v>
      </c>
      <c r="X102" s="48">
        <f t="shared" si="36"/>
        <v>1</v>
      </c>
      <c r="Y102" s="48">
        <f t="shared" si="33"/>
        <v>4.3799999999999999E-2</v>
      </c>
      <c r="Z102" s="48">
        <f t="shared" si="32"/>
        <v>23.331499999999998</v>
      </c>
      <c r="AA102" s="48">
        <f t="shared" si="31"/>
        <v>23.287699999999997</v>
      </c>
      <c r="AB102" s="49" t="e">
        <f>VLOOKUP(A102,#REF!,8,0)</f>
        <v>#REF!</v>
      </c>
      <c r="AC102" s="49" t="e">
        <f>VLOOKUP(A102,#REF!,3,0)</f>
        <v>#REF!</v>
      </c>
    </row>
    <row r="103" spans="1:29" s="2" customFormat="1" x14ac:dyDescent="0.25">
      <c r="A103" s="43" t="s">
        <v>366</v>
      </c>
      <c r="B103" s="43">
        <v>4026</v>
      </c>
      <c r="C103" s="43" t="s">
        <v>60</v>
      </c>
      <c r="D103" s="43" t="s">
        <v>174</v>
      </c>
      <c r="E103" s="25">
        <v>42547.650451388887</v>
      </c>
      <c r="F103" s="25">
        <v>42547.651412037034</v>
      </c>
      <c r="G103" s="31">
        <v>1</v>
      </c>
      <c r="H103" s="25" t="s">
        <v>195</v>
      </c>
      <c r="I103" s="25">
        <v>42547.683020833334</v>
      </c>
      <c r="J103" s="43">
        <v>0</v>
      </c>
      <c r="K103" s="43" t="str">
        <f t="shared" si="26"/>
        <v>4025/4026</v>
      </c>
      <c r="L103" s="43" t="str">
        <f>VLOOKUP(A103,'Trips&amp;Operators'!$C$1:$E$10000,3,FALSE)</f>
        <v>RIVERA</v>
      </c>
      <c r="M103" s="11">
        <f t="shared" si="27"/>
        <v>3.160879630013369E-2</v>
      </c>
      <c r="N103" s="12">
        <f t="shared" si="37"/>
        <v>45.516666672192514</v>
      </c>
      <c r="O103" s="12"/>
      <c r="P103" s="12"/>
      <c r="Q103" s="44"/>
      <c r="R103" s="44"/>
      <c r="S103" s="70">
        <f t="shared" si="38"/>
        <v>1</v>
      </c>
      <c r="T103" s="2" t="str">
        <f t="shared" si="28"/>
        <v>Southbound</v>
      </c>
      <c r="U103" s="2">
        <f>COUNTIFS(Variables!$M$2:$M$19,IF(T103="NorthBound","&gt;=","&lt;=")&amp;Y103,Variables!$M$2:$M$19,IF(T103="NorthBound","&lt;=","&gt;=")&amp;Z103)</f>
        <v>12</v>
      </c>
      <c r="V103" s="48" t="str">
        <f t="shared" si="29"/>
        <v>https://search-rtdc-monitor-bjffxe2xuh6vdkpspy63sjmuny.us-east-1.es.amazonaws.com/_plugin/kibana/#/discover/Steve-Slow-Train-Analysis-(2080s-and-2083s)?_g=(refreshInterval:(display:Off,section:0,value:0),time:(from:'2016-06-26 15:35:39-0600',mode:absolute,to:'2016-06-26 16:24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103" s="48" t="str">
        <f t="shared" si="30"/>
        <v>N</v>
      </c>
      <c r="X103" s="48">
        <f t="shared" si="36"/>
        <v>1</v>
      </c>
      <c r="Y103" s="48">
        <f t="shared" si="33"/>
        <v>23.3</v>
      </c>
      <c r="Z103" s="48">
        <f t="shared" si="32"/>
        <v>1.38E-2</v>
      </c>
      <c r="AA103" s="48">
        <f t="shared" si="31"/>
        <v>23.286200000000001</v>
      </c>
      <c r="AB103" s="49" t="e">
        <f>VLOOKUP(A103,#REF!,8,0)</f>
        <v>#REF!</v>
      </c>
      <c r="AC103" s="49" t="e">
        <f>VLOOKUP(A103,#REF!,3,0)</f>
        <v>#REF!</v>
      </c>
    </row>
    <row r="104" spans="1:29" s="2" customFormat="1" x14ac:dyDescent="0.25">
      <c r="A104" s="43" t="s">
        <v>368</v>
      </c>
      <c r="B104" s="43">
        <v>4020</v>
      </c>
      <c r="C104" s="43" t="s">
        <v>60</v>
      </c>
      <c r="D104" s="43" t="s">
        <v>170</v>
      </c>
      <c r="E104" s="25">
        <v>42547.621203703704</v>
      </c>
      <c r="F104" s="25">
        <v>42547.622141203705</v>
      </c>
      <c r="G104" s="25">
        <v>1</v>
      </c>
      <c r="H104" s="25" t="s">
        <v>369</v>
      </c>
      <c r="I104" s="25">
        <v>42547.653599537036</v>
      </c>
      <c r="J104" s="43">
        <v>0</v>
      </c>
      <c r="K104" s="43" t="str">
        <f t="shared" si="26"/>
        <v>4019/4020</v>
      </c>
      <c r="L104" s="43" t="str">
        <f>VLOOKUP(A104,'Trips&amp;Operators'!$C$1:$E$10000,3,FALSE)</f>
        <v>BONDS</v>
      </c>
      <c r="M104" s="11">
        <f t="shared" si="27"/>
        <v>3.145833333110204E-2</v>
      </c>
      <c r="N104" s="12">
        <f t="shared" si="37"/>
        <v>45.299999996786937</v>
      </c>
      <c r="O104" s="12"/>
      <c r="P104" s="12"/>
      <c r="Q104" s="44"/>
      <c r="R104" s="44"/>
      <c r="S104" s="70">
        <f t="shared" si="38"/>
        <v>1</v>
      </c>
      <c r="T104" s="2" t="str">
        <f t="shared" si="28"/>
        <v>NorthBound</v>
      </c>
      <c r="U104" s="2">
        <f>COUNTIFS(Variables!$M$2:$M$19,IF(T104="NorthBound","&gt;=","&lt;=")&amp;Y104,Variables!$M$2:$M$19,IF(T104="NorthBound","&lt;=","&gt;=")&amp;Z104)</f>
        <v>12</v>
      </c>
      <c r="V104" s="48" t="str">
        <f t="shared" si="29"/>
        <v>https://search-rtdc-monitor-bjffxe2xuh6vdkpspy63sjmuny.us-east-1.es.amazonaws.com/_plugin/kibana/#/discover/Steve-Slow-Train-Analysis-(2080s-and-2083s)?_g=(refreshInterval:(display:Off,section:0,value:0),time:(from:'2016-06-26 14:53:32-0600',mode:absolute,to:'2016-06-26 15:42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104" s="48" t="str">
        <f t="shared" si="30"/>
        <v>N</v>
      </c>
      <c r="X104" s="48">
        <f>VALUE(LEFT(A104,3))-VALUE(LEFT('[1]Train Runs'!A51,3))</f>
        <v>1</v>
      </c>
      <c r="Y104" s="48">
        <f t="shared" si="33"/>
        <v>4.5100000000000001E-2</v>
      </c>
      <c r="Z104" s="48">
        <f t="shared" si="32"/>
        <v>23.332599999999999</v>
      </c>
      <c r="AA104" s="48">
        <f t="shared" si="31"/>
        <v>23.287499999999998</v>
      </c>
      <c r="AB104" s="49" t="e">
        <f>VLOOKUP(A104,#REF!,8,0)</f>
        <v>#REF!</v>
      </c>
      <c r="AC104" s="49" t="e">
        <f>VLOOKUP(A104,#REF!,3,0)</f>
        <v>#REF!</v>
      </c>
    </row>
    <row r="105" spans="1:29" s="2" customFormat="1" x14ac:dyDescent="0.25">
      <c r="A105" s="43" t="s">
        <v>370</v>
      </c>
      <c r="B105" s="43">
        <v>4019</v>
      </c>
      <c r="C105" s="43" t="s">
        <v>60</v>
      </c>
      <c r="D105" s="43" t="s">
        <v>371</v>
      </c>
      <c r="E105" s="25">
        <v>42547.658703703702</v>
      </c>
      <c r="F105" s="25">
        <v>42547.65966435185</v>
      </c>
      <c r="G105" s="25">
        <v>1</v>
      </c>
      <c r="H105" s="25" t="s">
        <v>145</v>
      </c>
      <c r="I105" s="25">
        <v>42547.694212962961</v>
      </c>
      <c r="J105" s="43">
        <v>2</v>
      </c>
      <c r="K105" s="43" t="str">
        <f t="shared" si="26"/>
        <v>4019/4020</v>
      </c>
      <c r="L105" s="43" t="str">
        <f>VLOOKUP(A105,'Trips&amp;Operators'!$C$1:$E$10000,3,FALSE)</f>
        <v>BONDS</v>
      </c>
      <c r="M105" s="11">
        <f t="shared" si="27"/>
        <v>3.4548611110949423E-2</v>
      </c>
      <c r="N105" s="12">
        <f t="shared" si="37"/>
        <v>49.749999999767169</v>
      </c>
      <c r="O105" s="12"/>
      <c r="P105" s="12"/>
      <c r="Q105" s="44"/>
      <c r="R105" s="44"/>
      <c r="S105" s="70">
        <f t="shared" si="38"/>
        <v>1</v>
      </c>
      <c r="T105" s="2" t="str">
        <f t="shared" si="28"/>
        <v>Southbound</v>
      </c>
      <c r="U105" s="2">
        <f>COUNTIFS(Variables!$M$2:$M$19,IF(T105="NorthBound","&gt;=","&lt;=")&amp;Y105,Variables!$M$2:$M$19,IF(T105="NorthBound","&lt;=","&gt;=")&amp;Z105)</f>
        <v>12</v>
      </c>
      <c r="V105" s="48" t="str">
        <f t="shared" si="29"/>
        <v>https://search-rtdc-monitor-bjffxe2xuh6vdkpspy63sjmuny.us-east-1.es.amazonaws.com/_plugin/kibana/#/discover/Steve-Slow-Train-Analysis-(2080s-and-2083s)?_g=(refreshInterval:(display:Off,section:0,value:0),time:(from:'2016-06-26 15:47:32-0600',mode:absolute,to:'2016-06-26 16:40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105" s="48" t="str">
        <f t="shared" si="30"/>
        <v>N</v>
      </c>
      <c r="X105" s="48">
        <f t="shared" ref="X105:X146" si="39">VALUE(LEFT(A105,3))-VALUE(LEFT(A104,3))</f>
        <v>1</v>
      </c>
      <c r="Y105" s="48">
        <f t="shared" si="33"/>
        <v>23.300899999999999</v>
      </c>
      <c r="Z105" s="48">
        <f t="shared" si="32"/>
        <v>1.43E-2</v>
      </c>
      <c r="AA105" s="48">
        <f t="shared" si="31"/>
        <v>23.2866</v>
      </c>
      <c r="AB105" s="49" t="e">
        <f>VLOOKUP(A105,#REF!,8,0)</f>
        <v>#REF!</v>
      </c>
      <c r="AC105" s="49" t="e">
        <f>VLOOKUP(A105,#REF!,3,0)</f>
        <v>#REF!</v>
      </c>
    </row>
    <row r="106" spans="1:29" s="2" customFormat="1" x14ac:dyDescent="0.25">
      <c r="A106" s="43" t="s">
        <v>372</v>
      </c>
      <c r="B106" s="43">
        <v>4024</v>
      </c>
      <c r="C106" s="43" t="s">
        <v>60</v>
      </c>
      <c r="D106" s="43" t="s">
        <v>178</v>
      </c>
      <c r="E106" s="25">
        <v>42547.631874999999</v>
      </c>
      <c r="F106" s="25">
        <v>42547.632835648146</v>
      </c>
      <c r="G106" s="25">
        <v>1</v>
      </c>
      <c r="H106" s="25" t="s">
        <v>373</v>
      </c>
      <c r="I106" s="25">
        <v>42547.661631944444</v>
      </c>
      <c r="J106" s="43">
        <v>1</v>
      </c>
      <c r="K106" s="43" t="str">
        <f t="shared" si="26"/>
        <v>4023/4024</v>
      </c>
      <c r="L106" s="43" t="str">
        <f>VLOOKUP(A106,'Trips&amp;Operators'!$C$1:$E$10000,3,FALSE)</f>
        <v>LOCKLEAR</v>
      </c>
      <c r="M106" s="11">
        <f t="shared" si="27"/>
        <v>2.8796296297514345E-2</v>
      </c>
      <c r="N106" s="12">
        <f t="shared" si="37"/>
        <v>41.466666668420658</v>
      </c>
      <c r="O106" s="12"/>
      <c r="P106" s="12"/>
      <c r="Q106" s="44"/>
      <c r="R106" s="44"/>
      <c r="S106" s="70">
        <f t="shared" si="38"/>
        <v>1</v>
      </c>
      <c r="T106" s="2" t="str">
        <f t="shared" si="28"/>
        <v>NorthBound</v>
      </c>
      <c r="U106" s="2">
        <f>COUNTIFS(Variables!$M$2:$M$19,IF(T106="NorthBound","&gt;=","&lt;=")&amp;Y106,Variables!$M$2:$M$19,IF(T106="NorthBound","&lt;=","&gt;=")&amp;Z106)</f>
        <v>12</v>
      </c>
      <c r="V106" s="48" t="str">
        <f t="shared" si="29"/>
        <v>https://search-rtdc-monitor-bjffxe2xuh6vdkpspy63sjmuny.us-east-1.es.amazonaws.com/_plugin/kibana/#/discover/Steve-Slow-Train-Analysis-(2080s-and-2083s)?_g=(refreshInterval:(display:Off,section:0,value:0),time:(from:'2016-06-26 15:08:54-0600',mode:absolute,to:'2016-06-26 15:53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W106" s="48" t="str">
        <f t="shared" si="30"/>
        <v>N</v>
      </c>
      <c r="X106" s="48">
        <f t="shared" si="39"/>
        <v>1</v>
      </c>
      <c r="Y106" s="48">
        <f t="shared" si="33"/>
        <v>4.7800000000000002E-2</v>
      </c>
      <c r="Z106" s="48">
        <f t="shared" si="32"/>
        <v>23.3338</v>
      </c>
      <c r="AA106" s="48">
        <f t="shared" si="31"/>
        <v>23.286000000000001</v>
      </c>
      <c r="AB106" s="49" t="e">
        <f>VLOOKUP(A106,#REF!,8,0)</f>
        <v>#REF!</v>
      </c>
      <c r="AC106" s="49" t="e">
        <f>VLOOKUP(A106,#REF!,3,0)</f>
        <v>#REF!</v>
      </c>
    </row>
    <row r="107" spans="1:29" s="2" customFormat="1" x14ac:dyDescent="0.25">
      <c r="A107" s="43" t="s">
        <v>374</v>
      </c>
      <c r="B107" s="43">
        <v>4023</v>
      </c>
      <c r="C107" s="43" t="s">
        <v>60</v>
      </c>
      <c r="D107" s="43" t="s">
        <v>375</v>
      </c>
      <c r="E107" s="25">
        <v>42547.670937499999</v>
      </c>
      <c r="F107" s="25">
        <v>42547.672592592593</v>
      </c>
      <c r="G107" s="25">
        <v>2</v>
      </c>
      <c r="H107" s="25" t="s">
        <v>91</v>
      </c>
      <c r="I107" s="25">
        <v>42547.702407407407</v>
      </c>
      <c r="J107" s="43">
        <v>0</v>
      </c>
      <c r="K107" s="43" t="str">
        <f t="shared" si="26"/>
        <v>4023/4024</v>
      </c>
      <c r="L107" s="43" t="str">
        <f>VLOOKUP(A107,'Trips&amp;Operators'!$C$1:$E$10000,3,FALSE)</f>
        <v>LOCKLEAR</v>
      </c>
      <c r="M107" s="11">
        <f t="shared" si="27"/>
        <v>2.9814814814017154E-2</v>
      </c>
      <c r="N107" s="12">
        <f t="shared" si="37"/>
        <v>42.933333332184702</v>
      </c>
      <c r="O107" s="12"/>
      <c r="P107" s="12"/>
      <c r="Q107" s="44"/>
      <c r="R107" s="44"/>
      <c r="S107" s="70">
        <f t="shared" si="38"/>
        <v>1</v>
      </c>
      <c r="T107" s="2" t="str">
        <f t="shared" si="28"/>
        <v>Southbound</v>
      </c>
      <c r="U107" s="2">
        <f>COUNTIFS(Variables!$M$2:$M$19,IF(T107="NorthBound","&gt;=","&lt;=")&amp;Y107,Variables!$M$2:$M$19,IF(T107="NorthBound","&lt;=","&gt;=")&amp;Z107)</f>
        <v>12</v>
      </c>
      <c r="V107" s="48" t="str">
        <f t="shared" si="29"/>
        <v>https://search-rtdc-monitor-bjffxe2xuh6vdkpspy63sjmuny.us-east-1.es.amazonaws.com/_plugin/kibana/#/discover/Steve-Slow-Train-Analysis-(2080s-and-2083s)?_g=(refreshInterval:(display:Off,section:0,value:0),time:(from:'2016-06-26 16:05:09-0600',mode:absolute,to:'2016-06-26 16:52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W107" s="48" t="str">
        <f t="shared" si="30"/>
        <v>N</v>
      </c>
      <c r="X107" s="48">
        <f t="shared" si="39"/>
        <v>1</v>
      </c>
      <c r="Y107" s="48">
        <f t="shared" si="33"/>
        <v>23.3017</v>
      </c>
      <c r="Z107" s="48">
        <f t="shared" si="32"/>
        <v>1.61E-2</v>
      </c>
      <c r="AA107" s="48">
        <f t="shared" si="31"/>
        <v>23.285599999999999</v>
      </c>
      <c r="AB107" s="49" t="e">
        <f>VLOOKUP(A107,#REF!,8,0)</f>
        <v>#REF!</v>
      </c>
      <c r="AC107" s="49" t="e">
        <f>VLOOKUP(A107,#REF!,3,0)</f>
        <v>#REF!</v>
      </c>
    </row>
    <row r="108" spans="1:29" s="2" customFormat="1" x14ac:dyDescent="0.25">
      <c r="A108" s="43" t="s">
        <v>376</v>
      </c>
      <c r="B108" s="43">
        <v>4042</v>
      </c>
      <c r="C108" s="43" t="s">
        <v>60</v>
      </c>
      <c r="D108" s="43" t="s">
        <v>69</v>
      </c>
      <c r="E108" s="25">
        <v>42547.644375000003</v>
      </c>
      <c r="F108" s="25">
        <v>42547.645312499997</v>
      </c>
      <c r="G108" s="25">
        <v>1</v>
      </c>
      <c r="H108" s="25" t="s">
        <v>175</v>
      </c>
      <c r="I108" s="25">
        <v>42547.672372685185</v>
      </c>
      <c r="J108" s="43">
        <v>0</v>
      </c>
      <c r="K108" s="43" t="str">
        <f t="shared" si="26"/>
        <v>4041/4042</v>
      </c>
      <c r="L108" s="43" t="str">
        <f>VLOOKUP(A108,'Trips&amp;Operators'!$C$1:$E$10000,3,FALSE)</f>
        <v>ACKERMAN</v>
      </c>
      <c r="M108" s="11">
        <f t="shared" si="27"/>
        <v>2.7060185188020114E-2</v>
      </c>
      <c r="N108" s="12">
        <f t="shared" si="37"/>
        <v>38.966666670748964</v>
      </c>
      <c r="O108" s="12"/>
      <c r="P108" s="12"/>
      <c r="Q108" s="44"/>
      <c r="R108" s="44"/>
      <c r="S108" s="70">
        <f t="shared" si="38"/>
        <v>1</v>
      </c>
      <c r="T108" s="2" t="str">
        <f t="shared" si="28"/>
        <v>NorthBound</v>
      </c>
      <c r="U108" s="2">
        <f>COUNTIFS(Variables!$M$2:$M$19,IF(T108="NorthBound","&gt;=","&lt;=")&amp;Y108,Variables!$M$2:$M$19,IF(T108="NorthBound","&lt;=","&gt;=")&amp;Z108)</f>
        <v>12</v>
      </c>
      <c r="V108" s="48" t="str">
        <f t="shared" si="29"/>
        <v>https://search-rtdc-monitor-bjffxe2xuh6vdkpspy63sjmuny.us-east-1.es.amazonaws.com/_plugin/kibana/#/discover/Steve-Slow-Train-Analysis-(2080s-and-2083s)?_g=(refreshInterval:(display:Off,section:0,value:0),time:(from:'2016-06-26 15:26:54-0600',mode:absolute,to:'2016-06-26 16:09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W108" s="48" t="str">
        <f t="shared" si="30"/>
        <v>N</v>
      </c>
      <c r="X108" s="48">
        <f t="shared" si="39"/>
        <v>1</v>
      </c>
      <c r="Y108" s="48">
        <f t="shared" si="33"/>
        <v>4.5999999999999999E-2</v>
      </c>
      <c r="Z108" s="48">
        <f t="shared" si="32"/>
        <v>23.331199999999999</v>
      </c>
      <c r="AA108" s="48">
        <f t="shared" si="31"/>
        <v>23.2852</v>
      </c>
      <c r="AB108" s="49" t="e">
        <f>VLOOKUP(A108,#REF!,8,0)</f>
        <v>#REF!</v>
      </c>
      <c r="AC108" s="49" t="e">
        <f>VLOOKUP(A108,#REF!,3,0)</f>
        <v>#REF!</v>
      </c>
    </row>
    <row r="109" spans="1:29" s="2" customFormat="1" x14ac:dyDescent="0.25">
      <c r="A109" s="43" t="s">
        <v>377</v>
      </c>
      <c r="B109" s="43">
        <v>4041</v>
      </c>
      <c r="C109" s="43" t="s">
        <v>60</v>
      </c>
      <c r="D109" s="43" t="s">
        <v>169</v>
      </c>
      <c r="E109" s="25">
        <v>42547.680590277778</v>
      </c>
      <c r="F109" s="25">
        <v>42547.681759259256</v>
      </c>
      <c r="G109" s="25">
        <v>1</v>
      </c>
      <c r="H109" s="25" t="s">
        <v>145</v>
      </c>
      <c r="I109" s="25">
        <v>42547.713842592595</v>
      </c>
      <c r="J109" s="43">
        <v>0</v>
      </c>
      <c r="K109" s="43" t="str">
        <f t="shared" ref="K109:K138" si="40">IF(ISEVEN(B109),(B109-1)&amp;"/"&amp;B109,B109&amp;"/"&amp;(B109+1))</f>
        <v>4041/4042</v>
      </c>
      <c r="L109" s="43" t="str">
        <f>VLOOKUP(A109,'Trips&amp;Operators'!$C$1:$E$10000,3,FALSE)</f>
        <v>ACKERMAN</v>
      </c>
      <c r="M109" s="11">
        <f t="shared" ref="M109:M138" si="41">I109-F109</f>
        <v>3.2083333338960074E-2</v>
      </c>
      <c r="N109" s="12">
        <f t="shared" si="37"/>
        <v>46.200000008102506</v>
      </c>
      <c r="O109" s="12"/>
      <c r="P109" s="12"/>
      <c r="Q109" s="44"/>
      <c r="R109" s="44"/>
      <c r="S109" s="70">
        <f t="shared" si="38"/>
        <v>1</v>
      </c>
      <c r="T109" s="2" t="str">
        <f t="shared" ref="T109:T138" si="42">IF(ISEVEN(LEFT(A109,3)),"Southbound","NorthBound")</f>
        <v>Southbound</v>
      </c>
      <c r="U109" s="2">
        <f>COUNTIFS(Variables!$M$2:$M$19,IF(T109="NorthBound","&gt;=","&lt;=")&amp;Y109,Variables!$M$2:$M$19,IF(T109="NorthBound","&lt;=","&gt;=")&amp;Z109)</f>
        <v>12</v>
      </c>
      <c r="V109" s="48" t="str">
        <f t="shared" ref="V109:V138" si="43">"https://search-rtdc-monitor-bjffxe2xuh6vdkpspy63sjmuny.us-east-1.es.amazonaws.com/_plugin/kibana/#/discover/Steve-Slow-Train-Analysis-(2080s-and-2083s)?_g=(refreshInterval:(display:Off,section:0,value:0),time:(from:'"&amp;TEXT(E109-1/24/60,"yyyy-MM-DD hh:mm:ss")&amp;"-0600',mode:absolute,to:'"&amp;TEXT(I109+1/24/60,"yyyy-MM-DD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109&amp;"%22')),sort:!(Time,asc))"</f>
        <v>https://search-rtdc-monitor-bjffxe2xuh6vdkpspy63sjmuny.us-east-1.es.amazonaws.com/_plugin/kibana/#/discover/Steve-Slow-Train-Analysis-(2080s-and-2083s)?_g=(refreshInterval:(display:Off,section:0,value:0),time:(from:'2016-06-26 16:19:03-0600',mode:absolute,to:'2016-06-26 17:08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W109" s="48" t="str">
        <f t="shared" ref="W109:W138" si="44">IF(AA109&lt;23,"Y","N")</f>
        <v>N</v>
      </c>
      <c r="X109" s="48">
        <f t="shared" si="39"/>
        <v>1</v>
      </c>
      <c r="Y109" s="48">
        <f t="shared" si="33"/>
        <v>23.298999999999999</v>
      </c>
      <c r="Z109" s="48">
        <f t="shared" si="32"/>
        <v>1.43E-2</v>
      </c>
      <c r="AA109" s="48">
        <f t="shared" ref="AA109:AA138" si="45">ABS(Z109-Y109)</f>
        <v>23.284700000000001</v>
      </c>
      <c r="AB109" s="49" t="e">
        <f>VLOOKUP(A109,#REF!,8,0)</f>
        <v>#REF!</v>
      </c>
      <c r="AC109" s="49" t="e">
        <f>VLOOKUP(A109,#REF!,3,0)</f>
        <v>#REF!</v>
      </c>
    </row>
    <row r="110" spans="1:29" s="2" customFormat="1" x14ac:dyDescent="0.25">
      <c r="A110" s="43" t="s">
        <v>378</v>
      </c>
      <c r="B110" s="43">
        <v>4007</v>
      </c>
      <c r="C110" s="43" t="s">
        <v>60</v>
      </c>
      <c r="D110" s="43" t="s">
        <v>69</v>
      </c>
      <c r="E110" s="25">
        <v>42547.655868055554</v>
      </c>
      <c r="F110" s="25">
        <v>42547.657685185186</v>
      </c>
      <c r="G110" s="25">
        <v>2</v>
      </c>
      <c r="H110" s="25" t="s">
        <v>379</v>
      </c>
      <c r="I110" s="25">
        <v>42547.688692129632</v>
      </c>
      <c r="J110" s="43">
        <v>5</v>
      </c>
      <c r="K110" s="43" t="str">
        <f t="shared" si="40"/>
        <v>4007/4008</v>
      </c>
      <c r="L110" s="43" t="str">
        <f>VLOOKUP(A110,'Trips&amp;Operators'!$C$1:$E$10000,3,FALSE)</f>
        <v>STEWART</v>
      </c>
      <c r="M110" s="11">
        <f t="shared" si="41"/>
        <v>3.1006944445834961E-2</v>
      </c>
      <c r="N110" s="12">
        <f>24*60*SUM($M110:$M110)</f>
        <v>44.650000002002344</v>
      </c>
      <c r="O110" s="12"/>
      <c r="P110" s="12"/>
      <c r="Q110" s="44"/>
      <c r="R110" s="44"/>
      <c r="S110" s="70">
        <f t="shared" si="38"/>
        <v>1</v>
      </c>
      <c r="T110" s="2" t="str">
        <f t="shared" si="42"/>
        <v>NorthBound</v>
      </c>
      <c r="U110" s="2">
        <f>COUNTIFS(Variables!$M$2:$M$19,IF(T110="NorthBound","&gt;=","&lt;=")&amp;Y110,Variables!$M$2:$M$19,IF(T110="NorthBound","&lt;=","&gt;=")&amp;Z110)</f>
        <v>12</v>
      </c>
      <c r="V110" s="48" t="str">
        <f t="shared" si="43"/>
        <v>https://search-rtdc-monitor-bjffxe2xuh6vdkpspy63sjmuny.us-east-1.es.amazonaws.com/_plugin/kibana/#/discover/Steve-Slow-Train-Analysis-(2080s-and-2083s)?_g=(refreshInterval:(display:Off,section:0,value:0),time:(from:'2016-06-26 15:43:27-0600',mode:absolute,to:'2016-06-26 16:32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W110" s="48" t="str">
        <f t="shared" si="44"/>
        <v>N</v>
      </c>
      <c r="X110" s="48">
        <f t="shared" si="39"/>
        <v>1</v>
      </c>
      <c r="Y110" s="48">
        <f t="shared" si="33"/>
        <v>4.5999999999999999E-2</v>
      </c>
      <c r="Z110" s="48">
        <v>23.3217</v>
      </c>
      <c r="AA110" s="48">
        <f t="shared" si="45"/>
        <v>23.275700000000001</v>
      </c>
      <c r="AB110" s="49" t="e">
        <f>VLOOKUP(A110,#REF!,8,0)</f>
        <v>#REF!</v>
      </c>
      <c r="AC110" s="49" t="e">
        <f>VLOOKUP(A110,#REF!,3,0)</f>
        <v>#REF!</v>
      </c>
    </row>
    <row r="111" spans="1:29" s="2" customFormat="1" x14ac:dyDescent="0.25">
      <c r="A111" s="43" t="s">
        <v>380</v>
      </c>
      <c r="B111" s="43">
        <v>4008</v>
      </c>
      <c r="C111" s="43" t="s">
        <v>60</v>
      </c>
      <c r="D111" s="43" t="s">
        <v>381</v>
      </c>
      <c r="E111" s="25">
        <v>42547.692731481482</v>
      </c>
      <c r="F111" s="25">
        <v>42547.694305555553</v>
      </c>
      <c r="G111" s="25">
        <v>2</v>
      </c>
      <c r="H111" s="25" t="s">
        <v>104</v>
      </c>
      <c r="I111" s="25">
        <v>42547.727106481485</v>
      </c>
      <c r="J111" s="43">
        <v>0</v>
      </c>
      <c r="K111" s="43" t="str">
        <f t="shared" si="40"/>
        <v>4007/4008</v>
      </c>
      <c r="L111" s="43" t="str">
        <f>VLOOKUP(A111,'Trips&amp;Operators'!$C$1:$E$10000,3,FALSE)</f>
        <v>STEWART</v>
      </c>
      <c r="M111" s="11">
        <f t="shared" si="41"/>
        <v>3.2800925931951497E-2</v>
      </c>
      <c r="N111" s="12">
        <f t="shared" ref="N111:N120" si="46">24*60*SUM($M111:$M111)</f>
        <v>47.233333342010155</v>
      </c>
      <c r="O111" s="12"/>
      <c r="P111" s="12"/>
      <c r="Q111" s="44"/>
      <c r="R111" s="44"/>
      <c r="S111" s="70">
        <f t="shared" si="38"/>
        <v>1</v>
      </c>
      <c r="T111" s="2" t="str">
        <f t="shared" si="42"/>
        <v>Southbound</v>
      </c>
      <c r="U111" s="2">
        <f>COUNTIFS(Variables!$M$2:$M$19,IF(T111="NorthBound","&gt;=","&lt;=")&amp;Y111,Variables!$M$2:$M$19,IF(T111="NorthBound","&lt;=","&gt;=")&amp;Z111)</f>
        <v>12</v>
      </c>
      <c r="V111" s="48" t="str">
        <f t="shared" si="43"/>
        <v>https://search-rtdc-monitor-bjffxe2xuh6vdkpspy63sjmuny.us-east-1.es.amazonaws.com/_plugin/kibana/#/discover/Steve-Slow-Train-Analysis-(2080s-and-2083s)?_g=(refreshInterval:(display:Off,section:0,value:0),time:(from:'2016-06-26 16:36:32-0600',mode:absolute,to:'2016-06-26 17:28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W111" s="48" t="str">
        <f t="shared" si="44"/>
        <v>N</v>
      </c>
      <c r="X111" s="48">
        <f t="shared" si="39"/>
        <v>1</v>
      </c>
      <c r="Y111" s="48">
        <f t="shared" ref="Y111:Y140" si="47">RIGHT(D111,LEN(D111)-4)/10000</f>
        <v>23.289400000000001</v>
      </c>
      <c r="Z111" s="48">
        <f t="shared" si="32"/>
        <v>1.6299999999999999E-2</v>
      </c>
      <c r="AA111" s="48">
        <f t="shared" si="45"/>
        <v>23.273099999999999</v>
      </c>
      <c r="AB111" s="49" t="e">
        <f>VLOOKUP(A111,#REF!,8,0)</f>
        <v>#REF!</v>
      </c>
      <c r="AC111" s="49" t="e">
        <f>VLOOKUP(A111,#REF!,3,0)</f>
        <v>#REF!</v>
      </c>
    </row>
    <row r="112" spans="1:29" s="2" customFormat="1" x14ac:dyDescent="0.25">
      <c r="A112" s="43" t="s">
        <v>382</v>
      </c>
      <c r="B112" s="43">
        <v>4011</v>
      </c>
      <c r="C112" s="43" t="s">
        <v>60</v>
      </c>
      <c r="D112" s="43" t="s">
        <v>178</v>
      </c>
      <c r="E112" s="25">
        <v>42547.661631944444</v>
      </c>
      <c r="F112" s="25">
        <v>42547.665196759262</v>
      </c>
      <c r="G112" s="25">
        <v>5</v>
      </c>
      <c r="H112" s="25" t="s">
        <v>97</v>
      </c>
      <c r="I112" s="25">
        <v>42547.694502314815</v>
      </c>
      <c r="J112" s="43">
        <v>0</v>
      </c>
      <c r="K112" s="43" t="str">
        <f t="shared" si="40"/>
        <v>4011/4012</v>
      </c>
      <c r="L112" s="43" t="str">
        <f>VLOOKUP(A112,'Trips&amp;Operators'!$C$1:$E$10000,3,FALSE)</f>
        <v>DE LA ROSA</v>
      </c>
      <c r="M112" s="11">
        <f t="shared" si="41"/>
        <v>2.9305555552127771E-2</v>
      </c>
      <c r="N112" s="12">
        <f t="shared" si="46"/>
        <v>42.19999999506399</v>
      </c>
      <c r="O112" s="12"/>
      <c r="P112" s="12"/>
      <c r="Q112" s="44"/>
      <c r="R112" s="44"/>
      <c r="S112" s="70">
        <f t="shared" si="38"/>
        <v>1</v>
      </c>
      <c r="T112" s="2" t="str">
        <f t="shared" si="42"/>
        <v>NorthBound</v>
      </c>
      <c r="U112" s="2">
        <f>COUNTIFS(Variables!$M$2:$M$19,IF(T112="NorthBound","&gt;=","&lt;=")&amp;Y112,Variables!$M$2:$M$19,IF(T112="NorthBound","&lt;=","&gt;=")&amp;Z112)</f>
        <v>12</v>
      </c>
      <c r="V112" s="48" t="str">
        <f t="shared" si="43"/>
        <v>https://search-rtdc-monitor-bjffxe2xuh6vdkpspy63sjmuny.us-east-1.es.amazonaws.com/_plugin/kibana/#/discover/Steve-Slow-Train-Analysis-(2080s-and-2083s)?_g=(refreshInterval:(display:Off,section:0,value:0),time:(from:'2016-06-26 15:51:45-0600',mode:absolute,to:'2016-06-26 16:41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112" s="48" t="str">
        <f t="shared" si="44"/>
        <v>N</v>
      </c>
      <c r="X112" s="48">
        <f t="shared" si="39"/>
        <v>1</v>
      </c>
      <c r="Y112" s="48">
        <f t="shared" si="47"/>
        <v>4.7800000000000002E-2</v>
      </c>
      <c r="Z112" s="48">
        <f t="shared" si="32"/>
        <v>23.329499999999999</v>
      </c>
      <c r="AA112" s="48">
        <f t="shared" si="45"/>
        <v>23.281700000000001</v>
      </c>
      <c r="AB112" s="49" t="e">
        <f>VLOOKUP(A112,#REF!,8,0)</f>
        <v>#REF!</v>
      </c>
      <c r="AC112" s="49" t="e">
        <f>VLOOKUP(A112,#REF!,3,0)</f>
        <v>#REF!</v>
      </c>
    </row>
    <row r="113" spans="1:29" s="2" customFormat="1" x14ac:dyDescent="0.25">
      <c r="A113" s="43" t="s">
        <v>383</v>
      </c>
      <c r="B113" s="43">
        <v>4012</v>
      </c>
      <c r="C113" s="43" t="s">
        <v>60</v>
      </c>
      <c r="D113" s="43" t="s">
        <v>179</v>
      </c>
      <c r="E113" s="25">
        <v>42547.701516203706</v>
      </c>
      <c r="F113" s="25">
        <v>42547.702974537038</v>
      </c>
      <c r="G113" s="25">
        <v>2</v>
      </c>
      <c r="H113" s="25" t="s">
        <v>75</v>
      </c>
      <c r="I113" s="25">
        <v>42547.732858796298</v>
      </c>
      <c r="J113" s="43">
        <v>0</v>
      </c>
      <c r="K113" s="43" t="str">
        <f t="shared" si="40"/>
        <v>4011/4012</v>
      </c>
      <c r="L113" s="43" t="str">
        <f>VLOOKUP(A113,'Trips&amp;Operators'!$C$1:$E$10000,3,FALSE)</f>
        <v>DE LA ROSA</v>
      </c>
      <c r="M113" s="11">
        <f t="shared" si="41"/>
        <v>2.9884259260143153E-2</v>
      </c>
      <c r="N113" s="12">
        <f t="shared" si="46"/>
        <v>43.033333334606141</v>
      </c>
      <c r="O113" s="12"/>
      <c r="P113" s="12"/>
      <c r="Q113" s="44"/>
      <c r="R113" s="44"/>
      <c r="S113" s="70">
        <f t="shared" si="38"/>
        <v>1</v>
      </c>
      <c r="T113" s="2" t="str">
        <f t="shared" si="42"/>
        <v>Southbound</v>
      </c>
      <c r="U113" s="2">
        <f>COUNTIFS(Variables!$M$2:$M$19,IF(T113="NorthBound","&gt;=","&lt;=")&amp;Y113,Variables!$M$2:$M$19,IF(T113="NorthBound","&lt;=","&gt;=")&amp;Z113)</f>
        <v>12</v>
      </c>
      <c r="V113" s="48" t="str">
        <f t="shared" si="43"/>
        <v>https://search-rtdc-monitor-bjffxe2xuh6vdkpspy63sjmuny.us-east-1.es.amazonaws.com/_plugin/kibana/#/discover/Steve-Slow-Train-Analysis-(2080s-and-2083s)?_g=(refreshInterval:(display:Off,section:0,value:0),time:(from:'2016-06-26 16:49:11-0600',mode:absolute,to:'2016-06-26 17:36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113" s="48" t="str">
        <f t="shared" si="44"/>
        <v>N</v>
      </c>
      <c r="X113" s="48">
        <f t="shared" si="39"/>
        <v>1</v>
      </c>
      <c r="Y113" s="48">
        <f t="shared" si="47"/>
        <v>23.298400000000001</v>
      </c>
      <c r="Z113" s="48">
        <f t="shared" si="32"/>
        <v>1.49E-2</v>
      </c>
      <c r="AA113" s="48">
        <f t="shared" si="45"/>
        <v>23.2835</v>
      </c>
      <c r="AB113" s="49" t="e">
        <f>VLOOKUP(A113,#REF!,8,0)</f>
        <v>#REF!</v>
      </c>
      <c r="AC113" s="49" t="e">
        <f>VLOOKUP(A113,#REF!,3,0)</f>
        <v>#REF!</v>
      </c>
    </row>
    <row r="114" spans="1:29" s="2" customFormat="1" x14ac:dyDescent="0.25">
      <c r="A114" s="43" t="s">
        <v>384</v>
      </c>
      <c r="B114" s="43">
        <v>4018</v>
      </c>
      <c r="C114" s="43" t="s">
        <v>60</v>
      </c>
      <c r="D114" s="43" t="s">
        <v>385</v>
      </c>
      <c r="E114" s="25">
        <v>42547.676412037035</v>
      </c>
      <c r="F114" s="25">
        <v>42547.677048611113</v>
      </c>
      <c r="G114" s="25">
        <v>0</v>
      </c>
      <c r="H114" s="25" t="s">
        <v>105</v>
      </c>
      <c r="I114" s="25">
        <v>42547.705000000002</v>
      </c>
      <c r="J114" s="43">
        <v>1</v>
      </c>
      <c r="K114" s="43" t="str">
        <f t="shared" si="40"/>
        <v>4017/4018</v>
      </c>
      <c r="L114" s="43" t="str">
        <f>VLOOKUP(A114,'Trips&amp;Operators'!$C$1:$E$10000,3,FALSE)</f>
        <v>WEBSTER</v>
      </c>
      <c r="M114" s="11">
        <f t="shared" si="41"/>
        <v>2.7951388889050577E-2</v>
      </c>
      <c r="N114" s="12">
        <f t="shared" si="46"/>
        <v>40.250000000232831</v>
      </c>
      <c r="O114" s="12"/>
      <c r="P114" s="12"/>
      <c r="Q114" s="44"/>
      <c r="R114" s="44"/>
      <c r="S114" s="70">
        <f t="shared" si="38"/>
        <v>1</v>
      </c>
      <c r="T114" s="2" t="str">
        <f t="shared" si="42"/>
        <v>NorthBound</v>
      </c>
      <c r="U114" s="2">
        <f>COUNTIFS(Variables!$M$2:$M$19,IF(T114="NorthBound","&gt;=","&lt;=")&amp;Y114,Variables!$M$2:$M$19,IF(T114="NorthBound","&lt;=","&gt;=")&amp;Z114)</f>
        <v>12</v>
      </c>
      <c r="V114" s="48" t="str">
        <f t="shared" si="43"/>
        <v>https://search-rtdc-monitor-bjffxe2xuh6vdkpspy63sjmuny.us-east-1.es.amazonaws.com/_plugin/kibana/#/discover/Steve-Slow-Train-Analysis-(2080s-and-2083s)?_g=(refreshInterval:(display:Off,section:0,value:0),time:(from:'2016-06-26 16:13:02-0600',mode:absolute,to:'2016-06-26 16:56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114" s="48" t="str">
        <f t="shared" si="44"/>
        <v>N</v>
      </c>
      <c r="X114" s="48">
        <f t="shared" si="39"/>
        <v>1</v>
      </c>
      <c r="Y114" s="48">
        <f t="shared" si="47"/>
        <v>4.3499999999999997E-2</v>
      </c>
      <c r="Z114" s="48">
        <f t="shared" si="32"/>
        <v>23.3291</v>
      </c>
      <c r="AA114" s="48">
        <f t="shared" si="45"/>
        <v>23.285599999999999</v>
      </c>
      <c r="AB114" s="49" t="e">
        <f>VLOOKUP(A114,#REF!,8,0)</f>
        <v>#REF!</v>
      </c>
      <c r="AC114" s="49" t="e">
        <f>VLOOKUP(A114,#REF!,3,0)</f>
        <v>#REF!</v>
      </c>
    </row>
    <row r="115" spans="1:29" s="2" customFormat="1" x14ac:dyDescent="0.25">
      <c r="A115" s="43" t="s">
        <v>386</v>
      </c>
      <c r="B115" s="43">
        <v>4017</v>
      </c>
      <c r="C115" s="43" t="s">
        <v>60</v>
      </c>
      <c r="D115" s="43" t="s">
        <v>205</v>
      </c>
      <c r="E115" s="25">
        <v>42547.710682870369</v>
      </c>
      <c r="F115" s="25">
        <v>42547.711678240739</v>
      </c>
      <c r="G115" s="25">
        <v>1</v>
      </c>
      <c r="H115" s="25" t="s">
        <v>162</v>
      </c>
      <c r="I115" s="25">
        <v>42547.744131944448</v>
      </c>
      <c r="J115" s="43">
        <v>0</v>
      </c>
      <c r="K115" s="43" t="str">
        <f t="shared" si="40"/>
        <v>4017/4018</v>
      </c>
      <c r="L115" s="43" t="str">
        <f>VLOOKUP(A115,'Trips&amp;Operators'!$C$1:$E$10000,3,FALSE)</f>
        <v>WEBSTER</v>
      </c>
      <c r="M115" s="11">
        <f t="shared" si="41"/>
        <v>3.2453703708597459E-2</v>
      </c>
      <c r="N115" s="12">
        <f t="shared" si="46"/>
        <v>46.733333340380341</v>
      </c>
      <c r="O115" s="12"/>
      <c r="P115" s="12"/>
      <c r="Q115" s="44"/>
      <c r="R115" s="44"/>
      <c r="S115" s="70">
        <f t="shared" si="38"/>
        <v>1</v>
      </c>
      <c r="T115" s="2" t="str">
        <f t="shared" si="42"/>
        <v>Southbound</v>
      </c>
      <c r="U115" s="2">
        <f>COUNTIFS(Variables!$M$2:$M$19,IF(T115="NorthBound","&gt;=","&lt;=")&amp;Y115,Variables!$M$2:$M$19,IF(T115="NorthBound","&lt;=","&gt;=")&amp;Z115)</f>
        <v>12</v>
      </c>
      <c r="V115" s="48" t="str">
        <f t="shared" si="43"/>
        <v>https://search-rtdc-monitor-bjffxe2xuh6vdkpspy63sjmuny.us-east-1.es.amazonaws.com/_plugin/kibana/#/discover/Steve-Slow-Train-Analysis-(2080s-and-2083s)?_g=(refreshInterval:(display:Off,section:0,value:0),time:(from:'2016-06-26 17:02:23-0600',mode:absolute,to:'2016-06-26 17:52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115" s="48" t="str">
        <f t="shared" si="44"/>
        <v>N</v>
      </c>
      <c r="X115" s="48">
        <f t="shared" si="39"/>
        <v>1</v>
      </c>
      <c r="Y115" s="48">
        <f t="shared" si="47"/>
        <v>23.299099999999999</v>
      </c>
      <c r="Z115" s="48">
        <f t="shared" si="32"/>
        <v>1.6899999999999998E-2</v>
      </c>
      <c r="AA115" s="48">
        <f t="shared" si="45"/>
        <v>23.2822</v>
      </c>
      <c r="AB115" s="49" t="e">
        <f>VLOOKUP(A115,#REF!,8,0)</f>
        <v>#REF!</v>
      </c>
      <c r="AC115" s="49" t="e">
        <f>VLOOKUP(A115,#REF!,3,0)</f>
        <v>#REF!</v>
      </c>
    </row>
    <row r="116" spans="1:29" s="2" customFormat="1" x14ac:dyDescent="0.25">
      <c r="A116" s="43" t="s">
        <v>387</v>
      </c>
      <c r="B116" s="43">
        <v>4025</v>
      </c>
      <c r="C116" s="43" t="s">
        <v>60</v>
      </c>
      <c r="D116" s="43" t="s">
        <v>107</v>
      </c>
      <c r="E116" s="25">
        <v>42547.684398148151</v>
      </c>
      <c r="F116" s="25">
        <v>42547.68540509259</v>
      </c>
      <c r="G116" s="25">
        <v>1</v>
      </c>
      <c r="H116" s="25" t="s">
        <v>388</v>
      </c>
      <c r="I116" s="25">
        <v>42547.71361111111</v>
      </c>
      <c r="J116" s="43">
        <v>0</v>
      </c>
      <c r="K116" s="43" t="str">
        <f t="shared" si="40"/>
        <v>4025/4026</v>
      </c>
      <c r="L116" s="43" t="str">
        <f>VLOOKUP(A116,'Trips&amp;Operators'!$C$1:$E$10000,3,FALSE)</f>
        <v>RIVERA</v>
      </c>
      <c r="M116" s="11">
        <f t="shared" si="41"/>
        <v>2.8206018519995268E-2</v>
      </c>
      <c r="N116" s="12">
        <f t="shared" si="46"/>
        <v>40.616666668793187</v>
      </c>
      <c r="O116" s="12"/>
      <c r="P116" s="12"/>
      <c r="Q116" s="44"/>
      <c r="R116" s="44"/>
      <c r="S116" s="70">
        <f t="shared" si="38"/>
        <v>1</v>
      </c>
      <c r="T116" s="2" t="str">
        <f t="shared" si="42"/>
        <v>NorthBound</v>
      </c>
      <c r="U116" s="2">
        <f>COUNTIFS(Variables!$M$2:$M$19,IF(T116="NorthBound","&gt;=","&lt;=")&amp;Y116,Variables!$M$2:$M$19,IF(T116="NorthBound","&lt;=","&gt;=")&amp;Z116)</f>
        <v>12</v>
      </c>
      <c r="V116" s="48" t="str">
        <f t="shared" si="43"/>
        <v>https://search-rtdc-monitor-bjffxe2xuh6vdkpspy63sjmuny.us-east-1.es.amazonaws.com/_plugin/kibana/#/discover/Steve-Slow-Train-Analysis-(2080s-and-2083s)?_g=(refreshInterval:(display:Off,section:0,value:0),time:(from:'2016-06-26 16:24:32-0600',mode:absolute,to:'2016-06-26 17:08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116" s="48" t="str">
        <f t="shared" si="44"/>
        <v>N</v>
      </c>
      <c r="X116" s="48">
        <f t="shared" si="39"/>
        <v>1</v>
      </c>
      <c r="Y116" s="48">
        <f t="shared" si="47"/>
        <v>4.5499999999999999E-2</v>
      </c>
      <c r="Z116" s="48">
        <f t="shared" si="32"/>
        <v>23.331600000000002</v>
      </c>
      <c r="AA116" s="48">
        <f t="shared" si="45"/>
        <v>23.286100000000001</v>
      </c>
      <c r="AB116" s="49" t="e">
        <f>VLOOKUP(A116,#REF!,8,0)</f>
        <v>#REF!</v>
      </c>
      <c r="AC116" s="49" t="e">
        <f>VLOOKUP(A116,#REF!,3,0)</f>
        <v>#REF!</v>
      </c>
    </row>
    <row r="117" spans="1:29" s="2" customFormat="1" x14ac:dyDescent="0.25">
      <c r="A117" s="43" t="s">
        <v>389</v>
      </c>
      <c r="B117" s="43">
        <v>4026</v>
      </c>
      <c r="C117" s="43" t="s">
        <v>60</v>
      </c>
      <c r="D117" s="43" t="s">
        <v>133</v>
      </c>
      <c r="E117" s="25">
        <v>42547.720532407409</v>
      </c>
      <c r="F117" s="25">
        <v>42547.721539351849</v>
      </c>
      <c r="G117" s="25">
        <v>1</v>
      </c>
      <c r="H117" s="25" t="s">
        <v>68</v>
      </c>
      <c r="I117" s="25">
        <v>42547.755104166667</v>
      </c>
      <c r="J117" s="43">
        <v>0</v>
      </c>
      <c r="K117" s="43" t="str">
        <f t="shared" si="40"/>
        <v>4025/4026</v>
      </c>
      <c r="L117" s="43" t="str">
        <f>VLOOKUP(A117,'Trips&amp;Operators'!$C$1:$E$10000,3,FALSE)</f>
        <v>RIVERA</v>
      </c>
      <c r="M117" s="11">
        <f t="shared" si="41"/>
        <v>3.3564814817509614E-2</v>
      </c>
      <c r="N117" s="12">
        <f t="shared" si="46"/>
        <v>48.333333337213844</v>
      </c>
      <c r="O117" s="12"/>
      <c r="P117" s="12"/>
      <c r="Q117" s="44"/>
      <c r="R117" s="44"/>
      <c r="S117" s="70">
        <f t="shared" si="38"/>
        <v>1</v>
      </c>
      <c r="T117" s="2" t="str">
        <f t="shared" si="42"/>
        <v>Southbound</v>
      </c>
      <c r="U117" s="2">
        <f>COUNTIFS(Variables!$M$2:$M$19,IF(T117="NorthBound","&gt;=","&lt;=")&amp;Y117,Variables!$M$2:$M$19,IF(T117="NorthBound","&lt;=","&gt;=")&amp;Z117)</f>
        <v>12</v>
      </c>
      <c r="V117" s="48" t="str">
        <f t="shared" si="43"/>
        <v>https://search-rtdc-monitor-bjffxe2xuh6vdkpspy63sjmuny.us-east-1.es.amazonaws.com/_plugin/kibana/#/discover/Steve-Slow-Train-Analysis-(2080s-and-2083s)?_g=(refreshInterval:(display:Off,section:0,value:0),time:(from:'2016-06-26 17:16:34-0600',mode:absolute,to:'2016-06-26 18:08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117" s="48" t="str">
        <f t="shared" si="44"/>
        <v>N</v>
      </c>
      <c r="X117" s="48">
        <f t="shared" si="39"/>
        <v>1</v>
      </c>
      <c r="Y117" s="48">
        <f t="shared" si="47"/>
        <v>23.298200000000001</v>
      </c>
      <c r="Z117" s="48">
        <f t="shared" si="32"/>
        <v>1.6E-2</v>
      </c>
      <c r="AA117" s="48">
        <f t="shared" si="45"/>
        <v>23.282200000000003</v>
      </c>
      <c r="AB117" s="49" t="e">
        <f>VLOOKUP(A117,#REF!,8,0)</f>
        <v>#REF!</v>
      </c>
      <c r="AC117" s="49" t="e">
        <f>VLOOKUP(A117,#REF!,3,0)</f>
        <v>#REF!</v>
      </c>
    </row>
    <row r="118" spans="1:29" s="2" customFormat="1" x14ac:dyDescent="0.25">
      <c r="A118" s="43" t="s">
        <v>390</v>
      </c>
      <c r="B118" s="43">
        <v>4020</v>
      </c>
      <c r="C118" s="43" t="s">
        <v>60</v>
      </c>
      <c r="D118" s="43" t="s">
        <v>161</v>
      </c>
      <c r="E118" s="25">
        <v>42547.695393518516</v>
      </c>
      <c r="F118" s="25">
        <v>42547.696319444447</v>
      </c>
      <c r="G118" s="25">
        <v>1</v>
      </c>
      <c r="H118" s="25" t="s">
        <v>391</v>
      </c>
      <c r="I118" s="25">
        <v>42547.731203703705</v>
      </c>
      <c r="J118" s="43">
        <v>0</v>
      </c>
      <c r="K118" s="43" t="str">
        <f t="shared" si="40"/>
        <v>4019/4020</v>
      </c>
      <c r="L118" s="43" t="str">
        <f>VLOOKUP(A118,'Trips&amp;Operators'!$C$1:$E$10000,3,FALSE)</f>
        <v>BONDS</v>
      </c>
      <c r="M118" s="11">
        <f t="shared" si="41"/>
        <v>3.4884259257523809E-2</v>
      </c>
      <c r="N118" s="12">
        <f t="shared" si="46"/>
        <v>50.233333330834284</v>
      </c>
      <c r="O118" s="12"/>
      <c r="P118" s="12"/>
      <c r="Q118" s="44"/>
      <c r="R118" s="44"/>
      <c r="S118" s="70">
        <f t="shared" si="38"/>
        <v>1</v>
      </c>
      <c r="T118" s="2" t="str">
        <f t="shared" si="42"/>
        <v>NorthBound</v>
      </c>
      <c r="U118" s="2">
        <f>COUNTIFS(Variables!$M$2:$M$19,IF(T118="NorthBound","&gt;=","&lt;=")&amp;Y118,Variables!$M$2:$M$19,IF(T118="NorthBound","&lt;=","&gt;=")&amp;Z118)</f>
        <v>12</v>
      </c>
      <c r="V118" s="48" t="str">
        <f t="shared" si="43"/>
        <v>https://search-rtdc-monitor-bjffxe2xuh6vdkpspy63sjmuny.us-east-1.es.amazonaws.com/_plugin/kibana/#/discover/Steve-Slow-Train-Analysis-(2080s-and-2083s)?_g=(refreshInterval:(display:Off,section:0,value:0),time:(from:'2016-06-26 16:40:22-0600',mode:absolute,to:'2016-06-26 17:33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118" s="48" t="str">
        <f t="shared" si="44"/>
        <v>N</v>
      </c>
      <c r="X118" s="48">
        <f t="shared" si="39"/>
        <v>1</v>
      </c>
      <c r="Y118" s="48">
        <f t="shared" si="47"/>
        <v>4.8000000000000001E-2</v>
      </c>
      <c r="Z118" s="48">
        <f t="shared" si="32"/>
        <v>23.333100000000002</v>
      </c>
      <c r="AA118" s="48">
        <f t="shared" si="45"/>
        <v>23.285100000000003</v>
      </c>
      <c r="AB118" s="49" t="e">
        <f>VLOOKUP(A118,#REF!,8,0)</f>
        <v>#REF!</v>
      </c>
      <c r="AC118" s="49" t="e">
        <f>VLOOKUP(A118,#REF!,3,0)</f>
        <v>#REF!</v>
      </c>
    </row>
    <row r="119" spans="1:29" x14ac:dyDescent="0.25">
      <c r="A119" s="43" t="s">
        <v>392</v>
      </c>
      <c r="B119" s="43">
        <v>4019</v>
      </c>
      <c r="C119" s="43" t="s">
        <v>60</v>
      </c>
      <c r="D119" s="43" t="s">
        <v>393</v>
      </c>
      <c r="E119" s="25">
        <v>42547.734710648147</v>
      </c>
      <c r="F119" s="25">
        <v>42547.735509259262</v>
      </c>
      <c r="G119" s="25">
        <v>1</v>
      </c>
      <c r="H119" s="25" t="s">
        <v>67</v>
      </c>
      <c r="I119" s="25">
        <v>42547.765231481484</v>
      </c>
      <c r="J119" s="43">
        <v>0</v>
      </c>
      <c r="K119" s="43" t="str">
        <f t="shared" si="40"/>
        <v>4019/4020</v>
      </c>
      <c r="L119" s="43" t="str">
        <f>VLOOKUP(A119,'Trips&amp;Operators'!$C$1:$E$10000,3,FALSE)</f>
        <v>BONDS</v>
      </c>
      <c r="M119" s="11">
        <f t="shared" si="41"/>
        <v>2.9722222221607808E-2</v>
      </c>
      <c r="N119" s="12">
        <f t="shared" si="46"/>
        <v>42.799999999115244</v>
      </c>
      <c r="O119" s="12"/>
      <c r="P119" s="12"/>
      <c r="Q119" s="44"/>
      <c r="R119" s="44"/>
      <c r="S119" s="70">
        <f t="shared" si="38"/>
        <v>1</v>
      </c>
      <c r="T119" s="2" t="str">
        <f t="shared" si="42"/>
        <v>Southbound</v>
      </c>
      <c r="U119" s="2">
        <f>COUNTIFS(Variables!$M$2:$M$19,IF(T119="NorthBound","&gt;=","&lt;=")&amp;Y119,Variables!$M$2:$M$19,IF(T119="NorthBound","&lt;=","&gt;=")&amp;Z119)</f>
        <v>12</v>
      </c>
      <c r="V119" s="48" t="str">
        <f t="shared" si="43"/>
        <v>https://search-rtdc-monitor-bjffxe2xuh6vdkpspy63sjmuny.us-east-1.es.amazonaws.com/_plugin/kibana/#/discover/Steve-Slow-Train-Analysis-(2080s-and-2083s)?_g=(refreshInterval:(display:Off,section:0,value:0),time:(from:'2016-06-26 17:36:59-0600',mode:absolute,to:'2016-06-26 18:22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119" s="48" t="str">
        <f t="shared" si="44"/>
        <v>N</v>
      </c>
      <c r="X119" s="48">
        <f t="shared" si="39"/>
        <v>1</v>
      </c>
      <c r="Y119" s="48">
        <f t="shared" si="47"/>
        <v>23.302499999999998</v>
      </c>
      <c r="Z119" s="48">
        <f t="shared" si="32"/>
        <v>1.47E-2</v>
      </c>
      <c r="AA119" s="48">
        <f t="shared" si="45"/>
        <v>23.287799999999997</v>
      </c>
      <c r="AB119" s="49" t="e">
        <f>VLOOKUP(A119,#REF!,8,0)</f>
        <v>#REF!</v>
      </c>
      <c r="AC119" s="49" t="e">
        <f>VLOOKUP(A119,#REF!,3,0)</f>
        <v>#REF!</v>
      </c>
    </row>
    <row r="120" spans="1:29" x14ac:dyDescent="0.25">
      <c r="A120" s="43" t="s">
        <v>394</v>
      </c>
      <c r="B120" s="43">
        <v>4024</v>
      </c>
      <c r="C120" s="43" t="s">
        <v>60</v>
      </c>
      <c r="D120" s="43" t="s">
        <v>108</v>
      </c>
      <c r="E120" s="25">
        <v>42547.705127314817</v>
      </c>
      <c r="F120" s="25">
        <v>42547.70857638889</v>
      </c>
      <c r="G120" s="25">
        <v>4</v>
      </c>
      <c r="H120" s="25" t="s">
        <v>177</v>
      </c>
      <c r="I120" s="25">
        <v>42547.734201388892</v>
      </c>
      <c r="J120" s="43">
        <v>0</v>
      </c>
      <c r="K120" s="43" t="str">
        <f t="shared" si="40"/>
        <v>4023/4024</v>
      </c>
      <c r="L120" s="43" t="str">
        <f>VLOOKUP(A120,'Trips&amp;Operators'!$C$1:$E$10000,3,FALSE)</f>
        <v>LOCKLEAR</v>
      </c>
      <c r="M120" s="11">
        <f t="shared" si="41"/>
        <v>2.5625000002037268E-2</v>
      </c>
      <c r="N120" s="12">
        <f t="shared" si="46"/>
        <v>36.900000002933666</v>
      </c>
      <c r="O120" s="12"/>
      <c r="P120" s="12"/>
      <c r="Q120" s="44"/>
      <c r="R120" s="44"/>
      <c r="S120" s="70">
        <f t="shared" si="38"/>
        <v>1</v>
      </c>
      <c r="T120" s="2" t="str">
        <f t="shared" si="42"/>
        <v>NorthBound</v>
      </c>
      <c r="U120" s="2">
        <f>COUNTIFS(Variables!$M$2:$M$19,IF(T120="NorthBound","&gt;=","&lt;=")&amp;Y120,Variables!$M$2:$M$19,IF(T120="NorthBound","&lt;=","&gt;=")&amp;Z120)</f>
        <v>12</v>
      </c>
      <c r="V120" s="48" t="str">
        <f t="shared" si="43"/>
        <v>https://search-rtdc-monitor-bjffxe2xuh6vdkpspy63sjmuny.us-east-1.es.amazonaws.com/_plugin/kibana/#/discover/Steve-Slow-Train-Analysis-(2080s-and-2083s)?_g=(refreshInterval:(display:Off,section:0,value:0),time:(from:'2016-06-26 16:54:23-0600',mode:absolute,to:'2016-06-26 17:38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W120" s="48" t="str">
        <f t="shared" si="44"/>
        <v>N</v>
      </c>
      <c r="X120" s="48">
        <f t="shared" si="39"/>
        <v>1</v>
      </c>
      <c r="Y120" s="48">
        <f t="shared" si="47"/>
        <v>4.6699999999999998E-2</v>
      </c>
      <c r="Z120" s="48">
        <f t="shared" si="32"/>
        <v>23.332799999999999</v>
      </c>
      <c r="AA120" s="48">
        <f t="shared" si="45"/>
        <v>23.286099999999998</v>
      </c>
      <c r="AB120" s="49" t="e">
        <f>VLOOKUP(A120,#REF!,8,0)</f>
        <v>#REF!</v>
      </c>
      <c r="AC120" s="49" t="e">
        <f>VLOOKUP(A120,#REF!,3,0)</f>
        <v>#REF!</v>
      </c>
    </row>
    <row r="121" spans="1:29" x14ac:dyDescent="0.25">
      <c r="A121" s="43" t="s">
        <v>396</v>
      </c>
      <c r="B121" s="43">
        <v>4042</v>
      </c>
      <c r="C121" s="43" t="s">
        <v>60</v>
      </c>
      <c r="D121" s="43" t="s">
        <v>170</v>
      </c>
      <c r="E121" s="25">
        <v>42547.716331018521</v>
      </c>
      <c r="F121" s="25">
        <v>42547.717650462961</v>
      </c>
      <c r="G121" s="25">
        <v>1</v>
      </c>
      <c r="H121" s="25" t="s">
        <v>397</v>
      </c>
      <c r="I121" s="25">
        <v>42547.746921296297</v>
      </c>
      <c r="J121" s="43">
        <v>0</v>
      </c>
      <c r="K121" s="43" t="str">
        <f t="shared" si="40"/>
        <v>4041/4042</v>
      </c>
      <c r="L121" s="43" t="str">
        <f>VLOOKUP(A121,'Trips&amp;Operators'!$C$1:$E$10000,3,FALSE)</f>
        <v>COOLAHAN</v>
      </c>
      <c r="M121" s="11">
        <f t="shared" si="41"/>
        <v>2.9270833336340729E-2</v>
      </c>
      <c r="N121" s="12">
        <f>24*60*SUM($M121:$M121)</f>
        <v>42.15000000433065</v>
      </c>
      <c r="O121" s="12"/>
      <c r="P121" s="12"/>
      <c r="Q121" s="44"/>
      <c r="R121" s="44"/>
      <c r="S121" s="70">
        <f t="shared" si="38"/>
        <v>1</v>
      </c>
      <c r="T121" s="2" t="str">
        <f t="shared" si="42"/>
        <v>NorthBound</v>
      </c>
      <c r="U121" s="2">
        <f>COUNTIFS(Variables!$M$2:$M$19,IF(T121="NorthBound","&gt;=","&lt;=")&amp;Y121,Variables!$M$2:$M$19,IF(T121="NorthBound","&lt;=","&gt;=")&amp;Z121)</f>
        <v>12</v>
      </c>
      <c r="V121" s="48" t="str">
        <f t="shared" si="43"/>
        <v>https://search-rtdc-monitor-bjffxe2xuh6vdkpspy63sjmuny.us-east-1.es.amazonaws.com/_plugin/kibana/#/discover/Steve-Slow-Train-Analysis-(2080s-and-2083s)?_g=(refreshInterval:(display:Off,section:0,value:0),time:(from:'2016-06-26 17:10:31-0600',mode:absolute,to:'2016-06-26 17:56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W121" s="48" t="str">
        <f t="shared" si="44"/>
        <v>N</v>
      </c>
      <c r="X121" s="48">
        <f t="shared" si="39"/>
        <v>2</v>
      </c>
      <c r="Y121" s="48">
        <f t="shared" si="47"/>
        <v>4.5100000000000001E-2</v>
      </c>
      <c r="Z121" s="48">
        <f t="shared" si="32"/>
        <v>23.332100000000001</v>
      </c>
      <c r="AA121" s="48">
        <f t="shared" si="45"/>
        <v>23.286999999999999</v>
      </c>
      <c r="AB121" s="49" t="e">
        <f>VLOOKUP(A121,#REF!,8,0)</f>
        <v>#REF!</v>
      </c>
      <c r="AC121" s="49" t="e">
        <f>VLOOKUP(A121,#REF!,3,0)</f>
        <v>#REF!</v>
      </c>
    </row>
    <row r="122" spans="1:29" x14ac:dyDescent="0.25">
      <c r="A122" s="43" t="s">
        <v>398</v>
      </c>
      <c r="B122" s="43">
        <v>4041</v>
      </c>
      <c r="C122" s="43" t="s">
        <v>60</v>
      </c>
      <c r="D122" s="43" t="s">
        <v>174</v>
      </c>
      <c r="E122" s="25">
        <v>42547.753888888888</v>
      </c>
      <c r="F122" s="25">
        <v>42547.755254629628</v>
      </c>
      <c r="G122" s="25">
        <v>1</v>
      </c>
      <c r="H122" s="25" t="s">
        <v>399</v>
      </c>
      <c r="I122" s="25">
        <v>42547.786365740743</v>
      </c>
      <c r="J122" s="43">
        <v>0</v>
      </c>
      <c r="K122" s="43" t="str">
        <f t="shared" si="40"/>
        <v>4041/4042</v>
      </c>
      <c r="L122" s="43" t="str">
        <f>VLOOKUP(A122,'Trips&amp;Operators'!$C$1:$E$10000,3,FALSE)</f>
        <v>COOLAHAN</v>
      </c>
      <c r="M122" s="11">
        <f t="shared" si="41"/>
        <v>3.1111111115023959E-2</v>
      </c>
      <c r="N122" s="12">
        <f>24*60*SUM($M122:$M122)</f>
        <v>44.800000005634502</v>
      </c>
      <c r="O122" s="12"/>
      <c r="P122" s="12"/>
      <c r="Q122" s="44"/>
      <c r="R122" s="44"/>
      <c r="S122" s="70">
        <f t="shared" si="38"/>
        <v>1</v>
      </c>
      <c r="T122" s="2" t="str">
        <f t="shared" si="42"/>
        <v>Southbound</v>
      </c>
      <c r="U122" s="2">
        <f>COUNTIFS(Variables!$M$2:$M$19,IF(T122="NorthBound","&gt;=","&lt;=")&amp;Y122,Variables!$M$2:$M$19,IF(T122="NorthBound","&lt;=","&gt;=")&amp;Z122)</f>
        <v>12</v>
      </c>
      <c r="V122" s="48" t="str">
        <f t="shared" si="43"/>
        <v>https://search-rtdc-monitor-bjffxe2xuh6vdkpspy63sjmuny.us-east-1.es.amazonaws.com/_plugin/kibana/#/discover/Steve-Slow-Train-Analysis-(2080s-and-2083s)?_g=(refreshInterval:(display:Off,section:0,value:0),time:(from:'2016-06-26 18:04:36-0600',mode:absolute,to:'2016-06-26 18:53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W122" s="48" t="str">
        <f t="shared" si="44"/>
        <v>N</v>
      </c>
      <c r="X122" s="48">
        <f t="shared" si="39"/>
        <v>1</v>
      </c>
      <c r="Y122" s="48">
        <f t="shared" si="47"/>
        <v>23.3</v>
      </c>
      <c r="Z122" s="48">
        <f t="shared" si="32"/>
        <v>8.3000000000000001E-3</v>
      </c>
      <c r="AA122" s="48">
        <f t="shared" si="45"/>
        <v>23.291700000000002</v>
      </c>
      <c r="AB122" s="49" t="e">
        <f>VLOOKUP(A122,#REF!,8,0)</f>
        <v>#REF!</v>
      </c>
      <c r="AC122" s="49" t="e">
        <f>VLOOKUP(A122,#REF!,3,0)</f>
        <v>#REF!</v>
      </c>
    </row>
    <row r="123" spans="1:29" x14ac:dyDescent="0.25">
      <c r="A123" s="43" t="s">
        <v>400</v>
      </c>
      <c r="B123" s="43">
        <v>4007</v>
      </c>
      <c r="C123" s="43" t="s">
        <v>60</v>
      </c>
      <c r="D123" s="43" t="s">
        <v>240</v>
      </c>
      <c r="E123" s="25">
        <v>42547.730300925927</v>
      </c>
      <c r="F123" s="25">
        <v>42547.731469907405</v>
      </c>
      <c r="G123" s="25">
        <v>1</v>
      </c>
      <c r="H123" s="25" t="s">
        <v>379</v>
      </c>
      <c r="I123" s="25">
        <v>42547.734317129631</v>
      </c>
      <c r="J123" s="43">
        <v>0</v>
      </c>
      <c r="K123" s="43" t="str">
        <f t="shared" si="40"/>
        <v>4007/4008</v>
      </c>
      <c r="L123" s="43" t="str">
        <f>VLOOKUP(A123,'Trips&amp;Operators'!$C$1:$E$10000,3,FALSE)</f>
        <v>STEWART</v>
      </c>
      <c r="M123" s="11">
        <f t="shared" si="41"/>
        <v>2.8472222256823443E-3</v>
      </c>
      <c r="N123" s="12"/>
      <c r="O123" s="12"/>
      <c r="P123" s="12">
        <f>24*60*SUM($M123:$M124)</f>
        <v>39.583333334885538</v>
      </c>
      <c r="Q123" s="44"/>
      <c r="R123" s="44" t="s">
        <v>496</v>
      </c>
      <c r="S123" s="70">
        <f>SUM(U123:U124)/12</f>
        <v>1</v>
      </c>
      <c r="T123" s="2" t="str">
        <f t="shared" si="42"/>
        <v>NorthBound</v>
      </c>
      <c r="U123" s="2">
        <f>COUNTIFS(Variables!$M$2:$M$19,IF(T123="NorthBound","&gt;=","&lt;=")&amp;Y123,Variables!$M$2:$M$19,IF(T123="NorthBound","&lt;=","&gt;=")&amp;Z123)</f>
        <v>0</v>
      </c>
      <c r="V123" s="48" t="str">
        <f t="shared" si="43"/>
        <v>https://search-rtdc-monitor-bjffxe2xuh6vdkpspy63sjmuny.us-east-1.es.amazonaws.com/_plugin/kibana/#/discover/Steve-Slow-Train-Analysis-(2080s-and-2083s)?_g=(refreshInterval:(display:Off,section:0,value:0),time:(from:'2016-06-26 17:30:38-0600',mode:absolute,to:'2016-06-26 17:38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W123" s="48" t="str">
        <f t="shared" si="44"/>
        <v>Y</v>
      </c>
      <c r="X123" s="48">
        <f t="shared" si="39"/>
        <v>1</v>
      </c>
      <c r="Y123" s="48">
        <f t="shared" si="47"/>
        <v>4.8800000000000003E-2</v>
      </c>
      <c r="Z123" s="48">
        <f t="shared" si="32"/>
        <v>0.19339999999999999</v>
      </c>
      <c r="AA123" s="48">
        <f t="shared" si="45"/>
        <v>0.14459999999999998</v>
      </c>
      <c r="AB123" s="49" t="e">
        <f>VLOOKUP(A123,#REF!,8,0)</f>
        <v>#REF!</v>
      </c>
      <c r="AC123" s="49" t="e">
        <f>VLOOKUP(A123,#REF!,3,0)</f>
        <v>#REF!</v>
      </c>
    </row>
    <row r="124" spans="1:29" x14ac:dyDescent="0.25">
      <c r="A124" s="43" t="s">
        <v>400</v>
      </c>
      <c r="B124" s="43">
        <v>4007</v>
      </c>
      <c r="C124" s="43" t="s">
        <v>60</v>
      </c>
      <c r="D124" s="43" t="s">
        <v>401</v>
      </c>
      <c r="E124" s="25">
        <v>42547.738344907404</v>
      </c>
      <c r="F124" s="25">
        <v>42547.73945601852</v>
      </c>
      <c r="G124" s="25">
        <v>1</v>
      </c>
      <c r="H124" s="25" t="s">
        <v>100</v>
      </c>
      <c r="I124" s="25">
        <v>42547.764097222222</v>
      </c>
      <c r="J124" s="43">
        <v>0</v>
      </c>
      <c r="K124" s="43" t="str">
        <f t="shared" si="40"/>
        <v>4007/4008</v>
      </c>
      <c r="L124" s="43" t="str">
        <f>VLOOKUP(A124,'Trips&amp;Operators'!$C$1:$E$10000,3,FALSE)</f>
        <v>STEWART</v>
      </c>
      <c r="M124" s="11">
        <f t="shared" si="41"/>
        <v>2.4641203701321501E-2</v>
      </c>
      <c r="N124" s="12"/>
      <c r="O124" s="12"/>
      <c r="P124" s="12"/>
      <c r="Q124" s="44"/>
      <c r="R124" s="44"/>
      <c r="S124" s="70"/>
      <c r="T124" s="2" t="str">
        <f t="shared" si="42"/>
        <v>NorthBound</v>
      </c>
      <c r="U124" s="2">
        <f>COUNTIFS(Variables!$M$2:$M$19,IF(T124="NorthBound","&gt;=","&lt;=")&amp;Y124,Variables!$M$2:$M$19,IF(T124="NorthBound","&lt;=","&gt;=")&amp;Z124)</f>
        <v>12</v>
      </c>
      <c r="V124" s="48" t="str">
        <f t="shared" si="43"/>
        <v>https://search-rtdc-monitor-bjffxe2xuh6vdkpspy63sjmuny.us-east-1.es.amazonaws.com/_plugin/kibana/#/discover/Steve-Slow-Train-Analysis-(2080s-and-2083s)?_g=(refreshInterval:(display:Off,section:0,value:0),time:(from:'2016-06-26 17:42:13-0600',mode:absolute,to:'2016-06-26 18:21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W124" s="48" t="str">
        <f t="shared" si="44"/>
        <v>Y</v>
      </c>
      <c r="X124" s="48">
        <f t="shared" si="39"/>
        <v>0</v>
      </c>
      <c r="Y124" s="48">
        <f t="shared" si="47"/>
        <v>1.9121999999999999</v>
      </c>
      <c r="Z124" s="48">
        <f t="shared" si="32"/>
        <v>23.329699999999999</v>
      </c>
      <c r="AA124" s="48">
        <f t="shared" si="45"/>
        <v>21.4175</v>
      </c>
      <c r="AB124" s="49" t="e">
        <f>VLOOKUP(A124,#REF!,8,0)</f>
        <v>#REF!</v>
      </c>
      <c r="AC124" s="49" t="e">
        <f>VLOOKUP(A124,#REF!,3,0)</f>
        <v>#REF!</v>
      </c>
    </row>
    <row r="125" spans="1:29" x14ac:dyDescent="0.25">
      <c r="A125" s="43" t="s">
        <v>402</v>
      </c>
      <c r="B125" s="43">
        <v>4008</v>
      </c>
      <c r="C125" s="43" t="s">
        <v>60</v>
      </c>
      <c r="D125" s="43" t="s">
        <v>403</v>
      </c>
      <c r="E125" s="25">
        <v>42547.767129629632</v>
      </c>
      <c r="F125" s="25">
        <v>42547.768587962964</v>
      </c>
      <c r="G125" s="25">
        <v>2</v>
      </c>
      <c r="H125" s="25" t="s">
        <v>404</v>
      </c>
      <c r="I125" s="25">
        <v>42547.797083333331</v>
      </c>
      <c r="J125" s="43">
        <v>1</v>
      </c>
      <c r="K125" s="43" t="str">
        <f t="shared" si="40"/>
        <v>4007/4008</v>
      </c>
      <c r="L125" s="43" t="str">
        <f>VLOOKUP(A125,'Trips&amp;Operators'!$C$1:$E$10000,3,FALSE)</f>
        <v>STEWART</v>
      </c>
      <c r="M125" s="11">
        <f t="shared" si="41"/>
        <v>2.8495370366727002E-2</v>
      </c>
      <c r="N125" s="12">
        <f>24*60*SUM($M125:$M125)</f>
        <v>41.033333328086883</v>
      </c>
      <c r="O125" s="12"/>
      <c r="P125" s="12"/>
      <c r="Q125" s="44"/>
      <c r="R125" s="44"/>
      <c r="S125" s="70">
        <f>SUM(U125:U125)/12</f>
        <v>1</v>
      </c>
      <c r="T125" s="2" t="str">
        <f t="shared" si="42"/>
        <v>Southbound</v>
      </c>
      <c r="U125" s="2">
        <f>COUNTIFS(Variables!$M$2:$M$19,IF(T125="NorthBound","&gt;=","&lt;=")&amp;Y125,Variables!$M$2:$M$19,IF(T125="NorthBound","&lt;=","&gt;=")&amp;Z125)</f>
        <v>12</v>
      </c>
      <c r="V125" s="48" t="str">
        <f t="shared" si="43"/>
        <v>https://search-rtdc-monitor-bjffxe2xuh6vdkpspy63sjmuny.us-east-1.es.amazonaws.com/_plugin/kibana/#/discover/Steve-Slow-Train-Analysis-(2080s-and-2083s)?_g=(refreshInterval:(display:Off,section:0,value:0),time:(from:'2016-06-26 18:23:40-0600',mode:absolute,to:'2016-06-26 19:08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W125" s="48" t="str">
        <f t="shared" si="44"/>
        <v>N</v>
      </c>
      <c r="X125" s="48">
        <f t="shared" si="39"/>
        <v>1</v>
      </c>
      <c r="Y125" s="48">
        <f t="shared" si="47"/>
        <v>23.295000000000002</v>
      </c>
      <c r="Z125" s="48">
        <f t="shared" si="32"/>
        <v>4.1300000000000003E-2</v>
      </c>
      <c r="AA125" s="48">
        <f t="shared" si="45"/>
        <v>23.253700000000002</v>
      </c>
      <c r="AB125" s="49" t="e">
        <f>VLOOKUP(A125,#REF!,8,0)</f>
        <v>#REF!</v>
      </c>
      <c r="AC125" s="49" t="e">
        <f>VLOOKUP(A125,#REF!,3,0)</f>
        <v>#REF!</v>
      </c>
    </row>
    <row r="126" spans="1:29" x14ac:dyDescent="0.25">
      <c r="A126" s="43" t="s">
        <v>405</v>
      </c>
      <c r="B126" s="43">
        <v>4011</v>
      </c>
      <c r="C126" s="43" t="s">
        <v>60</v>
      </c>
      <c r="D126" s="43" t="s">
        <v>107</v>
      </c>
      <c r="E126" s="25">
        <v>42547.738067129627</v>
      </c>
      <c r="F126" s="25">
        <v>42547.739884259259</v>
      </c>
      <c r="G126" s="25">
        <v>2</v>
      </c>
      <c r="H126" s="25" t="s">
        <v>157</v>
      </c>
      <c r="I126" s="25">
        <v>42547.767500000002</v>
      </c>
      <c r="J126" s="43">
        <v>1</v>
      </c>
      <c r="K126" s="43" t="str">
        <f t="shared" si="40"/>
        <v>4011/4012</v>
      </c>
      <c r="L126" s="43" t="str">
        <f>VLOOKUP(A126,'Trips&amp;Operators'!$C$1:$E$10000,3,FALSE)</f>
        <v>CHANDLER</v>
      </c>
      <c r="M126" s="11">
        <f t="shared" si="41"/>
        <v>2.7615740742476191E-2</v>
      </c>
      <c r="N126" s="12">
        <f>24*60*SUM($M126:$M126)</f>
        <v>39.766666669165716</v>
      </c>
      <c r="O126" s="12"/>
      <c r="P126" s="12"/>
      <c r="Q126" s="44"/>
      <c r="R126" s="44"/>
      <c r="S126" s="70">
        <f>SUM(U126:U126)/12</f>
        <v>1</v>
      </c>
      <c r="T126" s="2" t="str">
        <f t="shared" si="42"/>
        <v>NorthBound</v>
      </c>
      <c r="U126" s="2">
        <f>COUNTIFS(Variables!$M$2:$M$19,IF(T126="NorthBound","&gt;=","&lt;=")&amp;Y126,Variables!$M$2:$M$19,IF(T126="NorthBound","&lt;=","&gt;=")&amp;Z126)</f>
        <v>12</v>
      </c>
      <c r="V126" s="48" t="str">
        <f t="shared" si="43"/>
        <v>https://search-rtdc-monitor-bjffxe2xuh6vdkpspy63sjmuny.us-east-1.es.amazonaws.com/_plugin/kibana/#/discover/Steve-Slow-Train-Analysis-(2080s-and-2083s)?_g=(refreshInterval:(display:Off,section:0,value:0),time:(from:'2016-06-26 17:41:49-0600',mode:absolute,to:'2016-06-26 18:26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126" s="48" t="str">
        <f t="shared" si="44"/>
        <v>N</v>
      </c>
      <c r="X126" s="48">
        <f t="shared" si="39"/>
        <v>1</v>
      </c>
      <c r="Y126" s="48">
        <f t="shared" si="47"/>
        <v>4.5499999999999999E-2</v>
      </c>
      <c r="Z126" s="48">
        <f t="shared" si="32"/>
        <v>23.33</v>
      </c>
      <c r="AA126" s="48">
        <f t="shared" si="45"/>
        <v>23.284499999999998</v>
      </c>
      <c r="AB126" s="49" t="e">
        <f>VLOOKUP(A126,#REF!,8,0)</f>
        <v>#REF!</v>
      </c>
      <c r="AC126" s="49" t="e">
        <f>VLOOKUP(A126,#REF!,3,0)</f>
        <v>#REF!</v>
      </c>
    </row>
    <row r="127" spans="1:29" x14ac:dyDescent="0.25">
      <c r="A127" s="43" t="s">
        <v>406</v>
      </c>
      <c r="B127" s="43">
        <v>4012</v>
      </c>
      <c r="C127" s="43" t="s">
        <v>60</v>
      </c>
      <c r="D127" s="43" t="s">
        <v>407</v>
      </c>
      <c r="E127" s="25">
        <v>42547.777326388888</v>
      </c>
      <c r="F127" s="25">
        <v>42547.778668981482</v>
      </c>
      <c r="G127" s="25">
        <v>1</v>
      </c>
      <c r="H127" s="25" t="s">
        <v>91</v>
      </c>
      <c r="I127" s="25">
        <v>42547.806805555556</v>
      </c>
      <c r="J127" s="43">
        <v>0</v>
      </c>
      <c r="K127" s="43" t="str">
        <f t="shared" si="40"/>
        <v>4011/4012</v>
      </c>
      <c r="L127" s="43" t="str">
        <f>VLOOKUP(A127,'Trips&amp;Operators'!$C$1:$E$10000,3,FALSE)</f>
        <v>CHANDLER</v>
      </c>
      <c r="M127" s="11">
        <f t="shared" si="41"/>
        <v>2.8136574073869269E-2</v>
      </c>
      <c r="N127" s="12">
        <f>24*60*SUM($M127:$M127)</f>
        <v>40.516666666371748</v>
      </c>
      <c r="O127" s="12"/>
      <c r="P127" s="12"/>
      <c r="Q127" s="44"/>
      <c r="R127" s="44"/>
      <c r="S127" s="70">
        <f>SUM(U127:U127)/12</f>
        <v>1</v>
      </c>
      <c r="T127" s="2" t="str">
        <f t="shared" si="42"/>
        <v>Southbound</v>
      </c>
      <c r="U127" s="2">
        <f>COUNTIFS(Variables!$M$2:$M$19,IF(T127="NorthBound","&gt;=","&lt;=")&amp;Y127,Variables!$M$2:$M$19,IF(T127="NorthBound","&lt;=","&gt;=")&amp;Z127)</f>
        <v>12</v>
      </c>
      <c r="V127" s="48" t="str">
        <f t="shared" si="43"/>
        <v>https://search-rtdc-monitor-bjffxe2xuh6vdkpspy63sjmuny.us-east-1.es.amazonaws.com/_plugin/kibana/#/discover/Steve-Slow-Train-Analysis-(2080s-and-2083s)?_g=(refreshInterval:(display:Off,section:0,value:0),time:(from:'2016-06-26 18:38:21-0600',mode:absolute,to:'2016-06-26 19:22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127" s="48" t="str">
        <f t="shared" si="44"/>
        <v>N</v>
      </c>
      <c r="X127" s="48">
        <f t="shared" si="39"/>
        <v>1</v>
      </c>
      <c r="Y127" s="48">
        <f t="shared" si="47"/>
        <v>23.298100000000002</v>
      </c>
      <c r="Z127" s="48">
        <f t="shared" si="32"/>
        <v>1.61E-2</v>
      </c>
      <c r="AA127" s="48">
        <f t="shared" si="45"/>
        <v>23.282</v>
      </c>
      <c r="AB127" s="49" t="e">
        <f>VLOOKUP(A127,#REF!,8,0)</f>
        <v>#REF!</v>
      </c>
      <c r="AC127" s="49" t="e">
        <f>VLOOKUP(A127,#REF!,3,0)</f>
        <v>#REF!</v>
      </c>
    </row>
    <row r="128" spans="1:29" x14ac:dyDescent="0.25">
      <c r="A128" s="43" t="s">
        <v>408</v>
      </c>
      <c r="B128" s="43">
        <v>4018</v>
      </c>
      <c r="C128" s="43" t="s">
        <v>60</v>
      </c>
      <c r="D128" s="43" t="s">
        <v>301</v>
      </c>
      <c r="E128" s="25">
        <v>42547.747002314813</v>
      </c>
      <c r="F128" s="25">
        <v>42547.748136574075</v>
      </c>
      <c r="G128" s="25">
        <v>1</v>
      </c>
      <c r="H128" s="25" t="s">
        <v>409</v>
      </c>
      <c r="I128" s="25">
        <v>42547.775949074072</v>
      </c>
      <c r="J128" s="43">
        <v>0</v>
      </c>
      <c r="K128" s="43" t="str">
        <f t="shared" si="40"/>
        <v>4017/4018</v>
      </c>
      <c r="L128" s="43" t="str">
        <f>VLOOKUP(A128,'Trips&amp;Operators'!$C$1:$E$10000,3,FALSE)</f>
        <v>WEBSTER</v>
      </c>
      <c r="M128" s="11">
        <f t="shared" si="41"/>
        <v>2.7812499996798579E-2</v>
      </c>
      <c r="N128" s="12">
        <f>24*60*SUM($M128:$M128)</f>
        <v>40.049999995389953</v>
      </c>
      <c r="O128" s="12"/>
      <c r="P128" s="12"/>
      <c r="Q128" s="44"/>
      <c r="R128" s="44"/>
      <c r="S128" s="70">
        <f>SUM(U128:U128)/12</f>
        <v>1</v>
      </c>
      <c r="T128" s="2" t="str">
        <f t="shared" si="42"/>
        <v>NorthBound</v>
      </c>
      <c r="U128" s="2">
        <f>COUNTIFS(Variables!$M$2:$M$19,IF(T128="NorthBound","&gt;=","&lt;=")&amp;Y128,Variables!$M$2:$M$19,IF(T128="NorthBound","&lt;=","&gt;=")&amp;Z128)</f>
        <v>12</v>
      </c>
      <c r="V128" s="48" t="str">
        <f t="shared" si="43"/>
        <v>https://search-rtdc-monitor-bjffxe2xuh6vdkpspy63sjmuny.us-east-1.es.amazonaws.com/_plugin/kibana/#/discover/Steve-Slow-Train-Analysis-(2080s-and-2083s)?_g=(refreshInterval:(display:Off,section:0,value:0),time:(from:'2016-06-26 17:54:41-0600',mode:absolute,to:'2016-06-26 18:38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128" s="48" t="str">
        <f t="shared" si="44"/>
        <v>N</v>
      </c>
      <c r="X128" s="48">
        <f t="shared" si="39"/>
        <v>1</v>
      </c>
      <c r="Y128" s="48">
        <f t="shared" si="47"/>
        <v>4.6199999999999998E-2</v>
      </c>
      <c r="Z128" s="48">
        <f t="shared" si="32"/>
        <v>23.330300000000001</v>
      </c>
      <c r="AA128" s="48">
        <f t="shared" si="45"/>
        <v>23.284100000000002</v>
      </c>
      <c r="AB128" s="49" t="e">
        <f>VLOOKUP(A128,#REF!,8,0)</f>
        <v>#REF!</v>
      </c>
      <c r="AC128" s="49" t="e">
        <f>VLOOKUP(A128,#REF!,3,0)</f>
        <v>#REF!</v>
      </c>
    </row>
    <row r="129" spans="1:29" x14ac:dyDescent="0.25">
      <c r="A129" s="43" t="s">
        <v>410</v>
      </c>
      <c r="B129" s="43">
        <v>4017</v>
      </c>
      <c r="C129" s="43" t="s">
        <v>60</v>
      </c>
      <c r="D129" s="43" t="s">
        <v>85</v>
      </c>
      <c r="E129" s="25">
        <v>42547.786539351851</v>
      </c>
      <c r="F129" s="25">
        <v>42547.787349537037</v>
      </c>
      <c r="G129" s="25">
        <v>1</v>
      </c>
      <c r="H129" s="25" t="s">
        <v>411</v>
      </c>
      <c r="I129" s="25">
        <v>42547.818564814814</v>
      </c>
      <c r="J129" s="43">
        <v>2</v>
      </c>
      <c r="K129" s="43" t="str">
        <f t="shared" si="40"/>
        <v>4017/4018</v>
      </c>
      <c r="L129" s="43" t="str">
        <f>VLOOKUP(A129,'Trips&amp;Operators'!$C$1:$E$10000,3,FALSE)</f>
        <v>WEBSTER</v>
      </c>
      <c r="M129" s="11">
        <f t="shared" si="41"/>
        <v>3.1215277776937E-2</v>
      </c>
      <c r="N129" s="12">
        <f>24*60*SUM($M129:$M129)</f>
        <v>44.949999998789281</v>
      </c>
      <c r="O129" s="12"/>
      <c r="P129" s="12"/>
      <c r="Q129" s="44"/>
      <c r="R129" s="44" t="s">
        <v>497</v>
      </c>
      <c r="S129" s="70">
        <f t="shared" ref="S129:S155" si="48">SUM(U129:U129)/12</f>
        <v>1</v>
      </c>
      <c r="T129" s="2" t="str">
        <f t="shared" si="42"/>
        <v>Southbound</v>
      </c>
      <c r="U129" s="2">
        <f>COUNTIFS(Variables!$M$2:$M$19,IF(T129="NorthBound","&gt;=","&lt;=")&amp;Y129,Variables!$M$2:$M$19,IF(T129="NorthBound","&lt;=","&gt;=")&amp;Z129)</f>
        <v>12</v>
      </c>
      <c r="V129" s="48" t="str">
        <f t="shared" si="43"/>
        <v>https://search-rtdc-monitor-bjffxe2xuh6vdkpspy63sjmuny.us-east-1.es.amazonaws.com/_plugin/kibana/#/discover/Steve-Slow-Train-Analysis-(2080s-and-2083s)?_g=(refreshInterval:(display:Off,section:0,value:0),time:(from:'2016-06-26 18:51:37-0600',mode:absolute,to:'2016-06-26 19:39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129" s="48" t="str">
        <f t="shared" si="44"/>
        <v>N</v>
      </c>
      <c r="X129" s="48">
        <f t="shared" si="39"/>
        <v>1</v>
      </c>
      <c r="Y129" s="48">
        <f t="shared" si="47"/>
        <v>23.297499999999999</v>
      </c>
      <c r="Z129" s="48">
        <f t="shared" si="32"/>
        <v>3.78E-2</v>
      </c>
      <c r="AA129" s="48">
        <f t="shared" si="45"/>
        <v>23.259699999999999</v>
      </c>
      <c r="AB129" s="49" t="e">
        <f>VLOOKUP(A129,#REF!,8,0)</f>
        <v>#REF!</v>
      </c>
      <c r="AC129" s="49" t="e">
        <f>VLOOKUP(A129,#REF!,3,0)</f>
        <v>#REF!</v>
      </c>
    </row>
    <row r="130" spans="1:29" x14ac:dyDescent="0.25">
      <c r="A130" s="43" t="s">
        <v>412</v>
      </c>
      <c r="B130" s="43">
        <v>4025</v>
      </c>
      <c r="C130" s="43" t="s">
        <v>60</v>
      </c>
      <c r="D130" s="43" t="s">
        <v>86</v>
      </c>
      <c r="E130" s="25">
        <v>42547.759328703702</v>
      </c>
      <c r="F130" s="25">
        <v>42547.761365740742</v>
      </c>
      <c r="G130" s="25">
        <v>2</v>
      </c>
      <c r="H130" s="25" t="s">
        <v>413</v>
      </c>
      <c r="I130" s="25">
        <v>42547.787291666667</v>
      </c>
      <c r="J130" s="43">
        <v>0</v>
      </c>
      <c r="K130" s="43" t="str">
        <f t="shared" si="40"/>
        <v>4025/4026</v>
      </c>
      <c r="L130" s="43" t="str">
        <f>VLOOKUP(A130,'Trips&amp;Operators'!$C$1:$E$10000,3,FALSE)</f>
        <v>BRUDER</v>
      </c>
      <c r="M130" s="11">
        <f t="shared" si="41"/>
        <v>2.5925925925548654E-2</v>
      </c>
      <c r="N130" s="12">
        <f t="shared" ref="N130:N155" si="49">24*60*SUM($M130:$M130)</f>
        <v>37.333333332790062</v>
      </c>
      <c r="O130" s="12"/>
      <c r="P130" s="12"/>
      <c r="Q130" s="44"/>
      <c r="R130" s="44"/>
      <c r="S130" s="70">
        <f t="shared" si="48"/>
        <v>1</v>
      </c>
      <c r="T130" s="2" t="str">
        <f t="shared" si="42"/>
        <v>NorthBound</v>
      </c>
      <c r="U130" s="2">
        <f>COUNTIFS(Variables!$M$2:$M$19,IF(T130="NorthBound","&gt;=","&lt;=")&amp;Y130,Variables!$M$2:$M$19,IF(T130="NorthBound","&lt;=","&gt;=")&amp;Z130)</f>
        <v>12</v>
      </c>
      <c r="V130" s="48" t="str">
        <f t="shared" si="43"/>
        <v>https://search-rtdc-monitor-bjffxe2xuh6vdkpspy63sjmuny.us-east-1.es.amazonaws.com/_plugin/kibana/#/discover/Steve-Slow-Train-Analysis-(2080s-and-2083s)?_g=(refreshInterval:(display:Off,section:0,value:0),time:(from:'2016-06-26 18:12:26-0600',mode:absolute,to:'2016-06-26 18:54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130" s="48" t="str">
        <f t="shared" si="44"/>
        <v>N</v>
      </c>
      <c r="X130" s="48">
        <f t="shared" si="39"/>
        <v>1</v>
      </c>
      <c r="Y130" s="48">
        <f t="shared" si="47"/>
        <v>4.6399999999999997E-2</v>
      </c>
      <c r="Z130" s="48">
        <f t="shared" si="32"/>
        <v>23.3306</v>
      </c>
      <c r="AA130" s="48">
        <f t="shared" si="45"/>
        <v>23.284200000000002</v>
      </c>
      <c r="AB130" s="49" t="e">
        <f>VLOOKUP(A130,#REF!,8,0)</f>
        <v>#REF!</v>
      </c>
      <c r="AC130" s="49" t="e">
        <f>VLOOKUP(A130,#REF!,3,0)</f>
        <v>#REF!</v>
      </c>
    </row>
    <row r="131" spans="1:29" x14ac:dyDescent="0.25">
      <c r="A131" s="43" t="s">
        <v>414</v>
      </c>
      <c r="B131" s="43">
        <v>4026</v>
      </c>
      <c r="C131" s="43" t="s">
        <v>60</v>
      </c>
      <c r="D131" s="43" t="s">
        <v>205</v>
      </c>
      <c r="E131" s="25">
        <v>42547.79314814815</v>
      </c>
      <c r="F131" s="25">
        <v>42547.794583333336</v>
      </c>
      <c r="G131" s="25">
        <v>2</v>
      </c>
      <c r="H131" s="25" t="s">
        <v>172</v>
      </c>
      <c r="I131" s="25">
        <v>42547.826018518521</v>
      </c>
      <c r="J131" s="43">
        <v>0</v>
      </c>
      <c r="K131" s="43" t="str">
        <f t="shared" si="40"/>
        <v>4025/4026</v>
      </c>
      <c r="L131" s="43" t="str">
        <f>VLOOKUP(A131,'Trips&amp;Operators'!$C$1:$E$10000,3,FALSE)</f>
        <v>BRUDER</v>
      </c>
      <c r="M131" s="11">
        <f t="shared" si="41"/>
        <v>3.1435185184818693E-2</v>
      </c>
      <c r="N131" s="12">
        <f t="shared" si="49"/>
        <v>45.266666666138917</v>
      </c>
      <c r="O131" s="12"/>
      <c r="P131" s="12"/>
      <c r="Q131" s="44"/>
      <c r="R131" s="44"/>
      <c r="S131" s="70">
        <f t="shared" si="48"/>
        <v>1</v>
      </c>
      <c r="T131" s="2" t="str">
        <f t="shared" si="42"/>
        <v>Southbound</v>
      </c>
      <c r="U131" s="2">
        <f>COUNTIFS(Variables!$M$2:$M$19,IF(T131="NorthBound","&gt;=","&lt;=")&amp;Y131,Variables!$M$2:$M$19,IF(T131="NorthBound","&lt;=","&gt;=")&amp;Z131)</f>
        <v>12</v>
      </c>
      <c r="V131" s="48" t="str">
        <f t="shared" si="43"/>
        <v>https://search-rtdc-monitor-bjffxe2xuh6vdkpspy63sjmuny.us-east-1.es.amazonaws.com/_plugin/kibana/#/discover/Steve-Slow-Train-Analysis-(2080s-and-2083s)?_g=(refreshInterval:(display:Off,section:0,value:0),time:(from:'2016-06-26 19:01:08-0600',mode:absolute,to:'2016-06-26 19:50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131" s="48" t="str">
        <f t="shared" si="44"/>
        <v>N</v>
      </c>
      <c r="X131" s="48">
        <f t="shared" si="39"/>
        <v>1</v>
      </c>
      <c r="Y131" s="48">
        <f t="shared" si="47"/>
        <v>23.299099999999999</v>
      </c>
      <c r="Z131" s="48">
        <f t="shared" si="32"/>
        <v>2.23E-2</v>
      </c>
      <c r="AA131" s="48">
        <f t="shared" si="45"/>
        <v>23.276799999999998</v>
      </c>
      <c r="AB131" s="49" t="e">
        <f>VLOOKUP(A131,#REF!,8,0)</f>
        <v>#REF!</v>
      </c>
      <c r="AC131" s="49" t="e">
        <f>VLOOKUP(A131,#REF!,3,0)</f>
        <v>#REF!</v>
      </c>
    </row>
    <row r="132" spans="1:29" x14ac:dyDescent="0.25">
      <c r="A132" s="43" t="s">
        <v>415</v>
      </c>
      <c r="B132" s="43">
        <v>4020</v>
      </c>
      <c r="C132" s="43" t="s">
        <v>60</v>
      </c>
      <c r="D132" s="43" t="s">
        <v>295</v>
      </c>
      <c r="E132" s="25">
        <v>42547.767604166664</v>
      </c>
      <c r="F132" s="25">
        <v>42547.768773148149</v>
      </c>
      <c r="G132" s="25">
        <v>1</v>
      </c>
      <c r="H132" s="25" t="s">
        <v>200</v>
      </c>
      <c r="I132" s="25">
        <v>42547.79855324074</v>
      </c>
      <c r="J132" s="43">
        <v>0</v>
      </c>
      <c r="K132" s="43" t="str">
        <f t="shared" si="40"/>
        <v>4019/4020</v>
      </c>
      <c r="L132" s="43" t="str">
        <f>VLOOKUP(A132,'Trips&amp;Operators'!$C$1:$E$10000,3,FALSE)</f>
        <v>BARTLETT</v>
      </c>
      <c r="M132" s="11">
        <f t="shared" si="41"/>
        <v>2.9780092590954155E-2</v>
      </c>
      <c r="N132" s="12">
        <f t="shared" si="49"/>
        <v>42.883333330973983</v>
      </c>
      <c r="O132" s="12"/>
      <c r="P132" s="12"/>
      <c r="Q132" s="44"/>
      <c r="R132" s="44"/>
      <c r="S132" s="70">
        <f t="shared" si="48"/>
        <v>1</v>
      </c>
      <c r="T132" s="2" t="str">
        <f t="shared" si="42"/>
        <v>NorthBound</v>
      </c>
      <c r="U132" s="2">
        <f>COUNTIFS(Variables!$M$2:$M$19,IF(T132="NorthBound","&gt;=","&lt;=")&amp;Y132,Variables!$M$2:$M$19,IF(T132="NorthBound","&lt;=","&gt;=")&amp;Z132)</f>
        <v>12</v>
      </c>
      <c r="V132" s="48" t="str">
        <f t="shared" si="43"/>
        <v>https://search-rtdc-monitor-bjffxe2xuh6vdkpspy63sjmuny.us-east-1.es.amazonaws.com/_plugin/kibana/#/discover/Steve-Slow-Train-Analysis-(2080s-and-2083s)?_g=(refreshInterval:(display:Off,section:0,value:0),time:(from:'2016-06-26 18:24:21-0600',mode:absolute,to:'2016-06-26 19:10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132" s="48" t="str">
        <f t="shared" si="44"/>
        <v>N</v>
      </c>
      <c r="X132" s="48">
        <f t="shared" si="39"/>
        <v>1</v>
      </c>
      <c r="Y132" s="48">
        <f t="shared" si="47"/>
        <v>4.4900000000000002E-2</v>
      </c>
      <c r="Z132" s="48">
        <f t="shared" si="32"/>
        <v>23.331099999999999</v>
      </c>
      <c r="AA132" s="48">
        <f t="shared" si="45"/>
        <v>23.286200000000001</v>
      </c>
      <c r="AB132" s="49" t="e">
        <f>VLOOKUP(A132,#REF!,8,0)</f>
        <v>#REF!</v>
      </c>
      <c r="AC132" s="49" t="e">
        <f>VLOOKUP(A132,#REF!,3,0)</f>
        <v>#REF!</v>
      </c>
    </row>
    <row r="133" spans="1:29" x14ac:dyDescent="0.25">
      <c r="A133" s="43" t="s">
        <v>416</v>
      </c>
      <c r="B133" s="43">
        <v>4019</v>
      </c>
      <c r="C133" s="43" t="s">
        <v>60</v>
      </c>
      <c r="D133" s="43" t="s">
        <v>133</v>
      </c>
      <c r="E133" s="25">
        <v>42547.805300925924</v>
      </c>
      <c r="F133" s="25">
        <v>42547.807233796295</v>
      </c>
      <c r="G133" s="25">
        <v>2</v>
      </c>
      <c r="H133" s="25" t="s">
        <v>113</v>
      </c>
      <c r="I133" s="25">
        <v>42547.837696759256</v>
      </c>
      <c r="J133" s="43">
        <v>0</v>
      </c>
      <c r="K133" s="43" t="str">
        <f t="shared" si="40"/>
        <v>4019/4020</v>
      </c>
      <c r="L133" s="43" t="str">
        <f>VLOOKUP(A133,'Trips&amp;Operators'!$C$1:$E$10000,3,FALSE)</f>
        <v>BARTLETT</v>
      </c>
      <c r="M133" s="11">
        <f t="shared" si="41"/>
        <v>3.0462962960882578E-2</v>
      </c>
      <c r="N133" s="12">
        <f t="shared" si="49"/>
        <v>43.866666663670912</v>
      </c>
      <c r="O133" s="12"/>
      <c r="P133" s="12"/>
      <c r="Q133" s="44"/>
      <c r="R133" s="44"/>
      <c r="S133" s="70">
        <f t="shared" si="48"/>
        <v>1</v>
      </c>
      <c r="T133" s="2" t="str">
        <f t="shared" si="42"/>
        <v>Southbound</v>
      </c>
      <c r="U133" s="2">
        <f>COUNTIFS(Variables!$M$2:$M$19,IF(T133="NorthBound","&gt;=","&lt;=")&amp;Y133,Variables!$M$2:$M$19,IF(T133="NorthBound","&lt;=","&gt;=")&amp;Z133)</f>
        <v>12</v>
      </c>
      <c r="V133" s="48" t="str">
        <f t="shared" si="43"/>
        <v>https://search-rtdc-monitor-bjffxe2xuh6vdkpspy63sjmuny.us-east-1.es.amazonaws.com/_plugin/kibana/#/discover/Steve-Slow-Train-Analysis-(2080s-and-2083s)?_g=(refreshInterval:(display:Off,section:0,value:0),time:(from:'2016-06-26 19:18:38-0600',mode:absolute,to:'2016-06-26 20:07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133" s="48" t="str">
        <f t="shared" si="44"/>
        <v>N</v>
      </c>
      <c r="X133" s="48">
        <f t="shared" si="39"/>
        <v>1</v>
      </c>
      <c r="Y133" s="48">
        <f t="shared" si="47"/>
        <v>23.298200000000001</v>
      </c>
      <c r="Z133" s="48">
        <f t="shared" si="32"/>
        <v>1.4999999999999999E-2</v>
      </c>
      <c r="AA133" s="48">
        <f t="shared" si="45"/>
        <v>23.283200000000001</v>
      </c>
      <c r="AB133" s="49" t="e">
        <f>VLOOKUP(A133,#REF!,8,0)</f>
        <v>#REF!</v>
      </c>
      <c r="AC133" s="49" t="e">
        <f>VLOOKUP(A133,#REF!,3,0)</f>
        <v>#REF!</v>
      </c>
    </row>
    <row r="134" spans="1:29" x14ac:dyDescent="0.25">
      <c r="A134" s="43" t="s">
        <v>417</v>
      </c>
      <c r="B134" s="43">
        <v>4038</v>
      </c>
      <c r="C134" s="43" t="s">
        <v>60</v>
      </c>
      <c r="D134" s="43" t="s">
        <v>236</v>
      </c>
      <c r="E134" s="25">
        <v>42547.789166666669</v>
      </c>
      <c r="F134" s="25">
        <v>42547.79042824074</v>
      </c>
      <c r="G134" s="25">
        <v>1</v>
      </c>
      <c r="H134" s="25" t="s">
        <v>100</v>
      </c>
      <c r="I134" s="25">
        <v>42547.818379629629</v>
      </c>
      <c r="J134" s="43">
        <v>0</v>
      </c>
      <c r="K134" s="43" t="str">
        <f t="shared" si="40"/>
        <v>4037/4038</v>
      </c>
      <c r="L134" s="43" t="str">
        <f>VLOOKUP(A134,'Trips&amp;Operators'!$C$1:$E$10000,3,FALSE)</f>
        <v>COOLAHAN</v>
      </c>
      <c r="M134" s="11">
        <f t="shared" si="41"/>
        <v>2.7951388889050577E-2</v>
      </c>
      <c r="N134" s="12">
        <f t="shared" si="49"/>
        <v>40.250000000232831</v>
      </c>
      <c r="O134" s="12"/>
      <c r="P134" s="12"/>
      <c r="Q134" s="44"/>
      <c r="R134" s="44"/>
      <c r="S134" s="70">
        <f t="shared" si="48"/>
        <v>1</v>
      </c>
      <c r="T134" s="2" t="str">
        <f t="shared" si="42"/>
        <v>NorthBound</v>
      </c>
      <c r="U134" s="2">
        <f>COUNTIFS(Variables!$M$2:$M$19,IF(T134="NorthBound","&gt;=","&lt;=")&amp;Y134,Variables!$M$2:$M$19,IF(T134="NorthBound","&lt;=","&gt;=")&amp;Z134)</f>
        <v>12</v>
      </c>
      <c r="V134" s="48" t="str">
        <f t="shared" si="43"/>
        <v>https://search-rtdc-monitor-bjffxe2xuh6vdkpspy63sjmuny.us-east-1.es.amazonaws.com/_plugin/kibana/#/discover/Steve-Slow-Train-Analysis-(2080s-and-2083s)?_g=(refreshInterval:(display:Off,section:0,value:0),time:(from:'2016-06-26 18:55:24-0600',mode:absolute,to:'2016-06-26 19:39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W134" s="48" t="str">
        <f t="shared" si="44"/>
        <v>N</v>
      </c>
      <c r="X134" s="48">
        <f t="shared" si="39"/>
        <v>1</v>
      </c>
      <c r="Y134" s="48">
        <f t="shared" si="47"/>
        <v>4.3799999999999999E-2</v>
      </c>
      <c r="Z134" s="48">
        <f t="shared" si="32"/>
        <v>23.329699999999999</v>
      </c>
      <c r="AA134" s="48">
        <f t="shared" si="45"/>
        <v>23.285899999999998</v>
      </c>
      <c r="AB134" s="49" t="e">
        <f>VLOOKUP(A134,#REF!,8,0)</f>
        <v>#REF!</v>
      </c>
      <c r="AC134" s="49" t="e">
        <f>VLOOKUP(A134,#REF!,3,0)</f>
        <v>#REF!</v>
      </c>
    </row>
    <row r="135" spans="1:29" x14ac:dyDescent="0.25">
      <c r="A135" s="43" t="s">
        <v>418</v>
      </c>
      <c r="B135" s="43">
        <v>4037</v>
      </c>
      <c r="C135" s="43" t="s">
        <v>60</v>
      </c>
      <c r="D135" s="43" t="s">
        <v>71</v>
      </c>
      <c r="E135" s="25">
        <v>42547.826539351852</v>
      </c>
      <c r="F135" s="25">
        <v>42547.829050925924</v>
      </c>
      <c r="G135" s="25">
        <v>3</v>
      </c>
      <c r="H135" s="25" t="s">
        <v>199</v>
      </c>
      <c r="I135" s="25">
        <v>42547.859548611108</v>
      </c>
      <c r="J135" s="43">
        <v>0</v>
      </c>
      <c r="K135" s="43" t="str">
        <f t="shared" si="40"/>
        <v>4037/4038</v>
      </c>
      <c r="L135" s="43" t="str">
        <f>VLOOKUP(A135,'Trips&amp;Operators'!$C$1:$E$10000,3,FALSE)</f>
        <v>COOLAHAN</v>
      </c>
      <c r="M135" s="11">
        <f t="shared" si="41"/>
        <v>3.0497685183945578E-2</v>
      </c>
      <c r="N135" s="12">
        <f t="shared" si="49"/>
        <v>43.916666664881632</v>
      </c>
      <c r="O135" s="12"/>
      <c r="P135" s="12"/>
      <c r="Q135" s="44"/>
      <c r="R135" s="44"/>
      <c r="S135" s="70">
        <f t="shared" si="48"/>
        <v>1</v>
      </c>
      <c r="T135" s="2" t="str">
        <f t="shared" si="42"/>
        <v>Southbound</v>
      </c>
      <c r="U135" s="2">
        <f>COUNTIFS(Variables!$M$2:$M$19,IF(T135="NorthBound","&gt;=","&lt;=")&amp;Y135,Variables!$M$2:$M$19,IF(T135="NorthBound","&lt;=","&gt;=")&amp;Z135)</f>
        <v>12</v>
      </c>
      <c r="V135" s="48" t="str">
        <f t="shared" si="43"/>
        <v>https://search-rtdc-monitor-bjffxe2xuh6vdkpspy63sjmuny.us-east-1.es.amazonaws.com/_plugin/kibana/#/discover/Steve-Slow-Train-Analysis-(2080s-and-2083s)?_g=(refreshInterval:(display:Off,section:0,value:0),time:(from:'2016-06-26 19:49:13-0600',mode:absolute,to:'2016-06-26 20:38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W135" s="48" t="str">
        <f t="shared" si="44"/>
        <v>N</v>
      </c>
      <c r="X135" s="48">
        <f t="shared" si="39"/>
        <v>1</v>
      </c>
      <c r="Y135" s="48">
        <f t="shared" si="47"/>
        <v>23.297699999999999</v>
      </c>
      <c r="Z135" s="48">
        <f t="shared" si="32"/>
        <v>1.6500000000000001E-2</v>
      </c>
      <c r="AA135" s="48">
        <f t="shared" si="45"/>
        <v>23.281199999999998</v>
      </c>
      <c r="AB135" s="49" t="e">
        <f>VLOOKUP(A135,#REF!,8,0)</f>
        <v>#REF!</v>
      </c>
      <c r="AC135" s="49" t="e">
        <f>VLOOKUP(A135,#REF!,3,0)</f>
        <v>#REF!</v>
      </c>
    </row>
    <row r="136" spans="1:29" x14ac:dyDescent="0.25">
      <c r="A136" s="43" t="s">
        <v>419</v>
      </c>
      <c r="B136" s="43">
        <v>4011</v>
      </c>
      <c r="C136" s="43" t="s">
        <v>60</v>
      </c>
      <c r="D136" s="43" t="s">
        <v>78</v>
      </c>
      <c r="E136" s="25">
        <v>42547.809918981482</v>
      </c>
      <c r="F136" s="25">
        <v>42547.811076388891</v>
      </c>
      <c r="G136" s="25">
        <v>1</v>
      </c>
      <c r="H136" s="25" t="s">
        <v>420</v>
      </c>
      <c r="I136" s="25">
        <v>42547.838831018518</v>
      </c>
      <c r="J136" s="43">
        <v>0</v>
      </c>
      <c r="K136" s="43" t="str">
        <f t="shared" si="40"/>
        <v>4011/4012</v>
      </c>
      <c r="L136" s="43" t="str">
        <f>VLOOKUP(A136,'Trips&amp;Operators'!$C$1:$E$10000,3,FALSE)</f>
        <v>CHANDLER</v>
      </c>
      <c r="M136" s="11">
        <f t="shared" si="41"/>
        <v>2.7754629627452232E-2</v>
      </c>
      <c r="N136" s="12">
        <f t="shared" si="49"/>
        <v>39.966666663531214</v>
      </c>
      <c r="O136" s="12"/>
      <c r="P136" s="12"/>
      <c r="Q136" s="44"/>
      <c r="R136" s="44"/>
      <c r="S136" s="70">
        <f t="shared" si="48"/>
        <v>1</v>
      </c>
      <c r="T136" s="2" t="str">
        <f t="shared" si="42"/>
        <v>NorthBound</v>
      </c>
      <c r="U136" s="2">
        <f>COUNTIFS(Variables!$M$2:$M$19,IF(T136="NorthBound","&gt;=","&lt;=")&amp;Y136,Variables!$M$2:$M$19,IF(T136="NorthBound","&lt;=","&gt;=")&amp;Z136)</f>
        <v>12</v>
      </c>
      <c r="V136" s="48" t="str">
        <f t="shared" si="43"/>
        <v>https://search-rtdc-monitor-bjffxe2xuh6vdkpspy63sjmuny.us-east-1.es.amazonaws.com/_plugin/kibana/#/discover/Steve-Slow-Train-Analysis-(2080s-and-2083s)?_g=(refreshInterval:(display:Off,section:0,value:0),time:(from:'2016-06-26 19:25:17-0600',mode:absolute,to:'2016-06-26 20:08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136" s="48" t="str">
        <f t="shared" si="44"/>
        <v>N</v>
      </c>
      <c r="X136" s="48">
        <f t="shared" si="39"/>
        <v>1</v>
      </c>
      <c r="Y136" s="48">
        <f t="shared" si="47"/>
        <v>4.53E-2</v>
      </c>
      <c r="Z136" s="48">
        <f t="shared" si="32"/>
        <v>23.330100000000002</v>
      </c>
      <c r="AA136" s="48">
        <f t="shared" si="45"/>
        <v>23.284800000000001</v>
      </c>
      <c r="AB136" s="49" t="e">
        <f>VLOOKUP(A136,#REF!,8,0)</f>
        <v>#REF!</v>
      </c>
      <c r="AC136" s="49" t="e">
        <f>VLOOKUP(A136,#REF!,3,0)</f>
        <v>#REF!</v>
      </c>
    </row>
    <row r="137" spans="1:29" x14ac:dyDescent="0.25">
      <c r="A137" s="43" t="s">
        <v>421</v>
      </c>
      <c r="B137" s="43">
        <v>4012</v>
      </c>
      <c r="C137" s="43" t="s">
        <v>60</v>
      </c>
      <c r="D137" s="43" t="s">
        <v>171</v>
      </c>
      <c r="E137" s="25">
        <v>42547.849988425929</v>
      </c>
      <c r="F137" s="25">
        <v>42547.85119212963</v>
      </c>
      <c r="G137" s="25">
        <v>1</v>
      </c>
      <c r="H137" s="25" t="s">
        <v>104</v>
      </c>
      <c r="I137" s="25">
        <v>42547.878981481481</v>
      </c>
      <c r="J137" s="43">
        <v>0</v>
      </c>
      <c r="K137" s="43" t="str">
        <f t="shared" si="40"/>
        <v>4011/4012</v>
      </c>
      <c r="L137" s="43" t="str">
        <f>VLOOKUP(A137,'Trips&amp;Operators'!$C$1:$E$10000,3,FALSE)</f>
        <v>CHANDLER</v>
      </c>
      <c r="M137" s="11">
        <f t="shared" si="41"/>
        <v>2.7789351850515231E-2</v>
      </c>
      <c r="N137" s="12">
        <f t="shared" si="49"/>
        <v>40.016666664741933</v>
      </c>
      <c r="O137" s="12"/>
      <c r="P137" s="12"/>
      <c r="Q137" s="44"/>
      <c r="R137" s="44"/>
      <c r="S137" s="70">
        <f t="shared" si="48"/>
        <v>1</v>
      </c>
      <c r="T137" s="2" t="str">
        <f t="shared" si="42"/>
        <v>Southbound</v>
      </c>
      <c r="U137" s="2">
        <f>COUNTIFS(Variables!$M$2:$M$19,IF(T137="NorthBound","&gt;=","&lt;=")&amp;Y137,Variables!$M$2:$M$19,IF(T137="NorthBound","&lt;=","&gt;=")&amp;Z137)</f>
        <v>12</v>
      </c>
      <c r="V137" s="48" t="str">
        <f t="shared" si="43"/>
        <v>https://search-rtdc-monitor-bjffxe2xuh6vdkpspy63sjmuny.us-east-1.es.amazonaws.com/_plugin/kibana/#/discover/Steve-Slow-Train-Analysis-(2080s-and-2083s)?_g=(refreshInterval:(display:Off,section:0,value:0),time:(from:'2016-06-26 20:22:59-0600',mode:absolute,to:'2016-06-26 21:06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137" s="48" t="str">
        <f t="shared" si="44"/>
        <v>N</v>
      </c>
      <c r="X137" s="48">
        <f t="shared" si="39"/>
        <v>1</v>
      </c>
      <c r="Y137" s="48">
        <f t="shared" si="47"/>
        <v>23.2973</v>
      </c>
      <c r="Z137" s="48">
        <f t="shared" si="32"/>
        <v>1.6299999999999999E-2</v>
      </c>
      <c r="AA137" s="48">
        <f t="shared" si="45"/>
        <v>23.280999999999999</v>
      </c>
      <c r="AB137" s="49" t="e">
        <f>VLOOKUP(A137,#REF!,8,0)</f>
        <v>#REF!</v>
      </c>
      <c r="AC137" s="49" t="e">
        <f>VLOOKUP(A137,#REF!,3,0)</f>
        <v>#REF!</v>
      </c>
    </row>
    <row r="138" spans="1:29" x14ac:dyDescent="0.25">
      <c r="A138" s="43" t="s">
        <v>422</v>
      </c>
      <c r="B138" s="43">
        <v>4025</v>
      </c>
      <c r="C138" s="43" t="s">
        <v>60</v>
      </c>
      <c r="D138" s="43" t="s">
        <v>423</v>
      </c>
      <c r="E138" s="25">
        <v>42547.828738425924</v>
      </c>
      <c r="F138" s="25">
        <v>42547.829942129632</v>
      </c>
      <c r="G138" s="25">
        <v>1</v>
      </c>
      <c r="H138" s="25" t="s">
        <v>413</v>
      </c>
      <c r="I138" s="25">
        <v>42547.86</v>
      </c>
      <c r="J138" s="43">
        <v>0</v>
      </c>
      <c r="K138" s="43" t="str">
        <f t="shared" si="40"/>
        <v>4025/4026</v>
      </c>
      <c r="L138" s="43" t="str">
        <f>VLOOKUP(A138,'Trips&amp;Operators'!$C$1:$E$10000,3,FALSE)</f>
        <v>BRUDER</v>
      </c>
      <c r="M138" s="11">
        <f t="shared" si="41"/>
        <v>3.0057870368182193E-2</v>
      </c>
      <c r="N138" s="12">
        <f t="shared" si="49"/>
        <v>43.283333330182359</v>
      </c>
      <c r="O138" s="12"/>
      <c r="P138" s="12"/>
      <c r="Q138" s="44"/>
      <c r="R138" s="44"/>
      <c r="S138" s="70">
        <f t="shared" si="48"/>
        <v>1</v>
      </c>
      <c r="T138" s="2" t="str">
        <f t="shared" si="42"/>
        <v>NorthBound</v>
      </c>
      <c r="U138" s="2">
        <f>COUNTIFS(Variables!$M$2:$M$19,IF(T138="NorthBound","&gt;=","&lt;=")&amp;Y138,Variables!$M$2:$M$19,IF(T138="NorthBound","&lt;=","&gt;=")&amp;Z138)</f>
        <v>12</v>
      </c>
      <c r="V138" s="48" t="str">
        <f t="shared" si="43"/>
        <v>https://search-rtdc-monitor-bjffxe2xuh6vdkpspy63sjmuny.us-east-1.es.amazonaws.com/_plugin/kibana/#/discover/Steve-Slow-Train-Analysis-(2080s-and-2083s)?_g=(refreshInterval:(display:Off,section:0,value:0),time:(from:'2016-06-26 19:52:23-0600',mode:absolute,to:'2016-06-26 20:39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138" s="48" t="str">
        <f t="shared" si="44"/>
        <v>N</v>
      </c>
      <c r="X138" s="48">
        <f t="shared" si="39"/>
        <v>1</v>
      </c>
      <c r="Y138" s="48">
        <f t="shared" si="47"/>
        <v>5.2400000000000002E-2</v>
      </c>
      <c r="Z138" s="48">
        <f t="shared" si="32"/>
        <v>23.3306</v>
      </c>
      <c r="AA138" s="48">
        <f t="shared" si="45"/>
        <v>23.278200000000002</v>
      </c>
      <c r="AB138" s="49" t="e">
        <f>VLOOKUP(A138,#REF!,8,0)</f>
        <v>#REF!</v>
      </c>
      <c r="AC138" s="49" t="e">
        <f>VLOOKUP(A138,#REF!,3,0)</f>
        <v>#REF!</v>
      </c>
    </row>
    <row r="139" spans="1:29" x14ac:dyDescent="0.25">
      <c r="A139" s="43" t="s">
        <v>424</v>
      </c>
      <c r="B139" s="43">
        <v>4026</v>
      </c>
      <c r="C139" s="43" t="s">
        <v>60</v>
      </c>
      <c r="D139" s="43" t="s">
        <v>158</v>
      </c>
      <c r="E139" s="25">
        <v>42547.865972222222</v>
      </c>
      <c r="F139" s="25">
        <v>42547.867256944446</v>
      </c>
      <c r="G139" s="25">
        <v>1</v>
      </c>
      <c r="H139" s="25" t="s">
        <v>425</v>
      </c>
      <c r="I139" s="25">
        <v>42547.901469907411</v>
      </c>
      <c r="J139" s="43">
        <v>1</v>
      </c>
      <c r="K139" s="43" t="str">
        <f t="shared" ref="K139:K155" si="50">IF(ISEVEN(B139),(B139-1)&amp;"/"&amp;B139,B139&amp;"/"&amp;(B139+1))</f>
        <v>4025/4026</v>
      </c>
      <c r="L139" s="43" t="str">
        <f>VLOOKUP(A139,'Trips&amp;Operators'!$C$1:$E$10000,3,FALSE)</f>
        <v>BRUDER</v>
      </c>
      <c r="M139" s="11">
        <f t="shared" ref="M139:M155" si="51">I139-F139</f>
        <v>3.4212962964375038E-2</v>
      </c>
      <c r="N139" s="12">
        <f t="shared" si="49"/>
        <v>49.266666668700054</v>
      </c>
      <c r="O139" s="12"/>
      <c r="P139" s="12"/>
      <c r="Q139" s="44"/>
      <c r="R139" s="44"/>
      <c r="S139" s="70">
        <f t="shared" si="48"/>
        <v>1</v>
      </c>
      <c r="T139" s="2" t="str">
        <f t="shared" ref="T139:T155" si="52">IF(ISEVEN(LEFT(A139,3)),"Southbound","NorthBound")</f>
        <v>Southbound</v>
      </c>
      <c r="U139" s="2">
        <f>COUNTIFS(Variables!$M$2:$M$19,IF(T139="NorthBound","&gt;=","&lt;=")&amp;Y139,Variables!$M$2:$M$19,IF(T139="NorthBound","&lt;=","&gt;=")&amp;Z139)</f>
        <v>12</v>
      </c>
      <c r="V139" s="48" t="str">
        <f t="shared" ref="V139:V155" si="53">"https://search-rtdc-monitor-bjffxe2xuh6vdkpspy63sjmuny.us-east-1.es.amazonaws.com/_plugin/kibana/#/discover/Steve-Slow-Train-Analysis-(2080s-and-2083s)?_g=(refreshInterval:(display:Off,section:0,value:0),time:(from:'"&amp;TEXT(E139-1/24/60,"yyyy-MM-DD hh:mm:ss")&amp;"-0600',mode:absolute,to:'"&amp;TEXT(I139+1/24/60,"yyyy-MM-DD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139&amp;"%22')),sort:!(Time,asc))"</f>
        <v>https://search-rtdc-monitor-bjffxe2xuh6vdkpspy63sjmuny.us-east-1.es.amazonaws.com/_plugin/kibana/#/discover/Steve-Slow-Train-Analysis-(2080s-and-2083s)?_g=(refreshInterval:(display:Off,section:0,value:0),time:(from:'2016-06-26 20:46:00-0600',mode:absolute,to:'2016-06-26 21:39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139" s="48" t="str">
        <f t="shared" ref="W139:W155" si="54">IF(AA139&lt;23,"Y","N")</f>
        <v>N</v>
      </c>
      <c r="X139" s="48">
        <f t="shared" si="39"/>
        <v>1</v>
      </c>
      <c r="Y139" s="48">
        <f t="shared" si="47"/>
        <v>23.298500000000001</v>
      </c>
      <c r="Z139" s="48">
        <f t="shared" si="32"/>
        <v>2.1600000000000001E-2</v>
      </c>
      <c r="AA139" s="48">
        <f t="shared" ref="AA139:AA155" si="55">ABS(Z139-Y139)</f>
        <v>23.276900000000001</v>
      </c>
      <c r="AB139" s="49" t="e">
        <f>VLOOKUP(A139,#REF!,8,0)</f>
        <v>#REF!</v>
      </c>
      <c r="AC139" s="49" t="e">
        <f>VLOOKUP(A139,#REF!,3,0)</f>
        <v>#REF!</v>
      </c>
    </row>
    <row r="140" spans="1:29" x14ac:dyDescent="0.25">
      <c r="A140" s="43" t="s">
        <v>426</v>
      </c>
      <c r="B140" s="43">
        <v>4020</v>
      </c>
      <c r="C140" s="43" t="s">
        <v>60</v>
      </c>
      <c r="D140" s="43" t="s">
        <v>69</v>
      </c>
      <c r="E140" s="25">
        <v>42547.848333333335</v>
      </c>
      <c r="F140" s="25">
        <v>42547.850185185183</v>
      </c>
      <c r="G140" s="25">
        <v>2</v>
      </c>
      <c r="H140" s="25" t="s">
        <v>427</v>
      </c>
      <c r="I140" s="25">
        <v>42547.881122685183</v>
      </c>
      <c r="J140" s="43">
        <v>0</v>
      </c>
      <c r="K140" s="43" t="str">
        <f t="shared" si="50"/>
        <v>4019/4020</v>
      </c>
      <c r="L140" s="43" t="str">
        <f>VLOOKUP(A140,'Trips&amp;Operators'!$C$1:$E$10000,3,FALSE)</f>
        <v>BARTLETT</v>
      </c>
      <c r="M140" s="11">
        <f t="shared" si="51"/>
        <v>3.0937499999708962E-2</v>
      </c>
      <c r="N140" s="12">
        <f t="shared" si="49"/>
        <v>44.549999999580905</v>
      </c>
      <c r="O140" s="12"/>
      <c r="P140" s="12"/>
      <c r="Q140" s="44"/>
      <c r="R140" s="44"/>
      <c r="S140" s="70">
        <f t="shared" si="48"/>
        <v>1</v>
      </c>
      <c r="T140" s="2" t="str">
        <f t="shared" si="52"/>
        <v>NorthBound</v>
      </c>
      <c r="U140" s="2">
        <f>COUNTIFS(Variables!$M$2:$M$19,IF(T140="NorthBound","&gt;=","&lt;=")&amp;Y140,Variables!$M$2:$M$19,IF(T140="NorthBound","&lt;=","&gt;=")&amp;Z140)</f>
        <v>12</v>
      </c>
      <c r="V140" s="48" t="str">
        <f t="shared" si="53"/>
        <v>https://search-rtdc-monitor-bjffxe2xuh6vdkpspy63sjmuny.us-east-1.es.amazonaws.com/_plugin/kibana/#/discover/Steve-Slow-Train-Analysis-(2080s-and-2083s)?_g=(refreshInterval:(display:Off,section:0,value:0),time:(from:'2016-06-26 20:20:36-0600',mode:absolute,to:'2016-06-26 21:09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140" s="48" t="str">
        <f t="shared" si="54"/>
        <v>N</v>
      </c>
      <c r="X140" s="48">
        <f t="shared" si="39"/>
        <v>1</v>
      </c>
      <c r="Y140" s="48">
        <f t="shared" si="47"/>
        <v>4.5999999999999999E-2</v>
      </c>
      <c r="Z140" s="48">
        <f t="shared" ref="Z140:Z155" si="56">RIGHT(H140,LEN(H140)-4)/10000</f>
        <v>23.3309</v>
      </c>
      <c r="AA140" s="48">
        <f t="shared" si="55"/>
        <v>23.2849</v>
      </c>
      <c r="AB140" s="49" t="e">
        <f>VLOOKUP(A140,#REF!,8,0)</f>
        <v>#REF!</v>
      </c>
      <c r="AC140" s="49" t="e">
        <f>VLOOKUP(A140,#REF!,3,0)</f>
        <v>#REF!</v>
      </c>
    </row>
    <row r="141" spans="1:29" x14ac:dyDescent="0.25">
      <c r="A141" s="43" t="s">
        <v>428</v>
      </c>
      <c r="B141" s="43">
        <v>4019</v>
      </c>
      <c r="C141" s="43" t="s">
        <v>60</v>
      </c>
      <c r="D141" s="43" t="s">
        <v>179</v>
      </c>
      <c r="E141" s="25">
        <v>42547.889421296299</v>
      </c>
      <c r="F141" s="25">
        <v>42547.890856481485</v>
      </c>
      <c r="G141" s="25">
        <v>2</v>
      </c>
      <c r="H141" s="25" t="s">
        <v>103</v>
      </c>
      <c r="I141" s="25">
        <v>42547.923773148148</v>
      </c>
      <c r="J141" s="43">
        <v>0</v>
      </c>
      <c r="K141" s="43" t="str">
        <f t="shared" si="50"/>
        <v>4019/4020</v>
      </c>
      <c r="L141" s="43" t="str">
        <f>VLOOKUP(A141,'Trips&amp;Operators'!$C$1:$E$10000,3,FALSE)</f>
        <v>BARTLETT</v>
      </c>
      <c r="M141" s="11">
        <f t="shared" si="51"/>
        <v>3.2916666663368233E-2</v>
      </c>
      <c r="N141" s="12">
        <f t="shared" si="49"/>
        <v>47.399999995250255</v>
      </c>
      <c r="O141" s="12"/>
      <c r="P141" s="12"/>
      <c r="Q141" s="44"/>
      <c r="R141" s="44"/>
      <c r="S141" s="70">
        <f t="shared" si="48"/>
        <v>1</v>
      </c>
      <c r="T141" s="2" t="str">
        <f t="shared" si="52"/>
        <v>Southbound</v>
      </c>
      <c r="U141" s="2">
        <f>COUNTIFS(Variables!$M$2:$M$19,IF(T141="NorthBound","&gt;=","&lt;=")&amp;Y141,Variables!$M$2:$M$19,IF(T141="NorthBound","&lt;=","&gt;=")&amp;Z141)</f>
        <v>12</v>
      </c>
      <c r="V141" s="48" t="str">
        <f t="shared" si="53"/>
        <v>https://search-rtdc-monitor-bjffxe2xuh6vdkpspy63sjmuny.us-east-1.es.amazonaws.com/_plugin/kibana/#/discover/Steve-Slow-Train-Analysis-(2080s-and-2083s)?_g=(refreshInterval:(display:Off,section:0,value:0),time:(from:'2016-06-26 21:19:46-0600',mode:absolute,to:'2016-06-26 22:11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141" s="48" t="str">
        <f t="shared" si="54"/>
        <v>N</v>
      </c>
      <c r="X141" s="48">
        <f t="shared" si="39"/>
        <v>1</v>
      </c>
      <c r="Y141" s="48">
        <f t="shared" ref="Y141:Y155" si="57">RIGHT(D141,LEN(D141)-4)/10000</f>
        <v>23.298400000000001</v>
      </c>
      <c r="Z141" s="48">
        <f t="shared" si="56"/>
        <v>1.7000000000000001E-2</v>
      </c>
      <c r="AA141" s="48">
        <f t="shared" si="55"/>
        <v>23.281400000000001</v>
      </c>
      <c r="AB141" s="49" t="e">
        <f>VLOOKUP(A141,#REF!,8,0)</f>
        <v>#REF!</v>
      </c>
      <c r="AC141" s="49" t="e">
        <f>VLOOKUP(A141,#REF!,3,0)</f>
        <v>#REF!</v>
      </c>
    </row>
    <row r="142" spans="1:29" x14ac:dyDescent="0.25">
      <c r="A142" s="43" t="s">
        <v>429</v>
      </c>
      <c r="B142" s="43">
        <v>4038</v>
      </c>
      <c r="C142" s="43" t="s">
        <v>60</v>
      </c>
      <c r="D142" s="43" t="s">
        <v>143</v>
      </c>
      <c r="E142" s="25">
        <v>42547.872407407405</v>
      </c>
      <c r="F142" s="25">
        <v>42547.875347222223</v>
      </c>
      <c r="G142" s="25">
        <v>4</v>
      </c>
      <c r="H142" s="25" t="s">
        <v>180</v>
      </c>
      <c r="I142" s="25">
        <v>42547.901724537034</v>
      </c>
      <c r="J142" s="43">
        <v>0</v>
      </c>
      <c r="K142" s="43" t="str">
        <f t="shared" si="50"/>
        <v>4037/4038</v>
      </c>
      <c r="L142" s="43" t="str">
        <f>VLOOKUP(A142,'Trips&amp;Operators'!$C$1:$E$10000,3,FALSE)</f>
        <v>COOLAHAN</v>
      </c>
      <c r="M142" s="11">
        <f t="shared" si="51"/>
        <v>2.6377314810815733E-2</v>
      </c>
      <c r="N142" s="12">
        <f t="shared" si="49"/>
        <v>37.983333327574655</v>
      </c>
      <c r="O142" s="12"/>
      <c r="P142" s="12"/>
      <c r="Q142" s="44"/>
      <c r="R142" s="44"/>
      <c r="S142" s="70">
        <f t="shared" si="48"/>
        <v>1</v>
      </c>
      <c r="T142" s="2" t="str">
        <f t="shared" si="52"/>
        <v>NorthBound</v>
      </c>
      <c r="U142" s="2">
        <f>COUNTIFS(Variables!$M$2:$M$19,IF(T142="NorthBound","&gt;=","&lt;=")&amp;Y142,Variables!$M$2:$M$19,IF(T142="NorthBound","&lt;=","&gt;=")&amp;Z142)</f>
        <v>12</v>
      </c>
      <c r="V142" s="48" t="str">
        <f t="shared" si="53"/>
        <v>https://search-rtdc-monitor-bjffxe2xuh6vdkpspy63sjmuny.us-east-1.es.amazonaws.com/_plugin/kibana/#/discover/Steve-Slow-Train-Analysis-(2080s-and-2083s)?_g=(refreshInterval:(display:Off,section:0,value:0),time:(from:'2016-06-26 20:55:16-0600',mode:absolute,to:'2016-06-26 21:39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W142" s="48" t="str">
        <f t="shared" si="54"/>
        <v>N</v>
      </c>
      <c r="X142" s="48">
        <f t="shared" si="39"/>
        <v>1</v>
      </c>
      <c r="Y142" s="48">
        <f t="shared" si="57"/>
        <v>4.7100000000000003E-2</v>
      </c>
      <c r="Z142" s="48">
        <f t="shared" si="56"/>
        <v>23.3276</v>
      </c>
      <c r="AA142" s="48">
        <f t="shared" si="55"/>
        <v>23.2805</v>
      </c>
      <c r="AB142" s="49" t="e">
        <f>VLOOKUP(A142,#REF!,8,0)</f>
        <v>#REF!</v>
      </c>
      <c r="AC142" s="49" t="e">
        <f>VLOOKUP(A142,#REF!,3,0)</f>
        <v>#REF!</v>
      </c>
    </row>
    <row r="143" spans="1:29" x14ac:dyDescent="0.25">
      <c r="A143" s="43" t="s">
        <v>430</v>
      </c>
      <c r="B143" s="43">
        <v>4037</v>
      </c>
      <c r="C143" s="43" t="s">
        <v>60</v>
      </c>
      <c r="D143" s="43" t="s">
        <v>165</v>
      </c>
      <c r="E143" s="25">
        <v>42547.909212962964</v>
      </c>
      <c r="F143" s="25">
        <v>42547.91034722222</v>
      </c>
      <c r="G143" s="25">
        <v>1</v>
      </c>
      <c r="H143" s="25" t="s">
        <v>145</v>
      </c>
      <c r="I143" s="25">
        <v>42547.944236111114</v>
      </c>
      <c r="J143" s="43">
        <v>0</v>
      </c>
      <c r="K143" s="43" t="str">
        <f t="shared" si="50"/>
        <v>4037/4038</v>
      </c>
      <c r="L143" s="43" t="str">
        <f>VLOOKUP(A143,'Trips&amp;Operators'!$C$1:$E$10000,3,FALSE)</f>
        <v>COOLAHAN</v>
      </c>
      <c r="M143" s="11">
        <f t="shared" si="51"/>
        <v>3.3888888894580305E-2</v>
      </c>
      <c r="N143" s="12">
        <f t="shared" si="49"/>
        <v>48.800000008195639</v>
      </c>
      <c r="O143" s="12"/>
      <c r="P143" s="12"/>
      <c r="Q143" s="44"/>
      <c r="R143" s="44"/>
      <c r="S143" s="70">
        <f t="shared" si="48"/>
        <v>1</v>
      </c>
      <c r="T143" s="2" t="str">
        <f t="shared" si="52"/>
        <v>Southbound</v>
      </c>
      <c r="U143" s="2">
        <f>COUNTIFS(Variables!$M$2:$M$19,IF(T143="NorthBound","&gt;=","&lt;=")&amp;Y143,Variables!$M$2:$M$19,IF(T143="NorthBound","&lt;=","&gt;=")&amp;Z143)</f>
        <v>12</v>
      </c>
      <c r="V143" s="48" t="str">
        <f t="shared" si="53"/>
        <v>https://search-rtdc-monitor-bjffxe2xuh6vdkpspy63sjmuny.us-east-1.es.amazonaws.com/_plugin/kibana/#/discover/Steve-Slow-Train-Analysis-(2080s-and-2083s)?_g=(refreshInterval:(display:Off,section:0,value:0),time:(from:'2016-06-26 21:48:16-0600',mode:absolute,to:'2016-06-26 22:40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W143" s="48" t="str">
        <f t="shared" si="54"/>
        <v>N</v>
      </c>
      <c r="X143" s="48">
        <f t="shared" si="39"/>
        <v>1</v>
      </c>
      <c r="Y143" s="48">
        <f t="shared" si="57"/>
        <v>23.297000000000001</v>
      </c>
      <c r="Z143" s="48">
        <f t="shared" si="56"/>
        <v>1.43E-2</v>
      </c>
      <c r="AA143" s="48">
        <f t="shared" si="55"/>
        <v>23.282700000000002</v>
      </c>
      <c r="AB143" s="49" t="e">
        <f>VLOOKUP(A143,#REF!,8,0)</f>
        <v>#REF!</v>
      </c>
      <c r="AC143" s="49" t="e">
        <f>VLOOKUP(A143,#REF!,3,0)</f>
        <v>#REF!</v>
      </c>
    </row>
    <row r="144" spans="1:29" x14ac:dyDescent="0.25">
      <c r="A144" s="43" t="s">
        <v>431</v>
      </c>
      <c r="B144" s="43">
        <v>4011</v>
      </c>
      <c r="C144" s="43" t="s">
        <v>60</v>
      </c>
      <c r="D144" s="43" t="s">
        <v>69</v>
      </c>
      <c r="E144" s="25">
        <v>42547.892256944448</v>
      </c>
      <c r="F144" s="25">
        <v>42547.893530092595</v>
      </c>
      <c r="G144" s="25">
        <v>1</v>
      </c>
      <c r="H144" s="25" t="s">
        <v>160</v>
      </c>
      <c r="I144" s="25">
        <v>42547.924618055556</v>
      </c>
      <c r="J144" s="43">
        <v>1</v>
      </c>
      <c r="K144" s="43" t="str">
        <f t="shared" si="50"/>
        <v>4011/4012</v>
      </c>
      <c r="L144" s="43" t="str">
        <f>VLOOKUP(A144,'Trips&amp;Operators'!$C$1:$E$10000,3,FALSE)</f>
        <v>CHANDLER</v>
      </c>
      <c r="M144" s="11">
        <f t="shared" si="51"/>
        <v>3.1087962961464655E-2</v>
      </c>
      <c r="N144" s="12">
        <f t="shared" si="49"/>
        <v>44.766666664509103</v>
      </c>
      <c r="O144" s="12"/>
      <c r="P144" s="12"/>
      <c r="Q144" s="44"/>
      <c r="R144" s="44"/>
      <c r="S144" s="70">
        <f t="shared" si="48"/>
        <v>1</v>
      </c>
      <c r="T144" s="2" t="str">
        <f t="shared" si="52"/>
        <v>NorthBound</v>
      </c>
      <c r="U144" s="2">
        <f>COUNTIFS(Variables!$M$2:$M$19,IF(T144="NorthBound","&gt;=","&lt;=")&amp;Y144,Variables!$M$2:$M$19,IF(T144="NorthBound","&lt;=","&gt;=")&amp;Z144)</f>
        <v>12</v>
      </c>
      <c r="V144" s="48" t="str">
        <f t="shared" si="53"/>
        <v>https://search-rtdc-monitor-bjffxe2xuh6vdkpspy63sjmuny.us-east-1.es.amazonaws.com/_plugin/kibana/#/discover/Steve-Slow-Train-Analysis-(2080s-and-2083s)?_g=(refreshInterval:(display:Off,section:0,value:0),time:(from:'2016-06-26 21:23:51-0600',mode:absolute,to:'2016-06-26 22:12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144" s="48" t="str">
        <f t="shared" si="54"/>
        <v>N</v>
      </c>
      <c r="X144" s="48">
        <f t="shared" si="39"/>
        <v>1</v>
      </c>
      <c r="Y144" s="48">
        <f t="shared" si="57"/>
        <v>4.5999999999999999E-2</v>
      </c>
      <c r="Z144" s="48">
        <f t="shared" si="56"/>
        <v>23.3293</v>
      </c>
      <c r="AA144" s="48">
        <f t="shared" si="55"/>
        <v>23.283300000000001</v>
      </c>
      <c r="AB144" s="49" t="e">
        <f>VLOOKUP(A144,#REF!,8,0)</f>
        <v>#REF!</v>
      </c>
      <c r="AC144" s="49" t="e">
        <f>VLOOKUP(A144,#REF!,3,0)</f>
        <v>#REF!</v>
      </c>
    </row>
    <row r="145" spans="1:29" x14ac:dyDescent="0.25">
      <c r="A145" s="43" t="s">
        <v>432</v>
      </c>
      <c r="B145" s="43">
        <v>4012</v>
      </c>
      <c r="C145" s="43" t="s">
        <v>60</v>
      </c>
      <c r="D145" s="43" t="s">
        <v>171</v>
      </c>
      <c r="E145" s="25">
        <v>42547.932847222219</v>
      </c>
      <c r="F145" s="25">
        <v>42547.933923611112</v>
      </c>
      <c r="G145" s="25">
        <v>1</v>
      </c>
      <c r="H145" s="25" t="s">
        <v>103</v>
      </c>
      <c r="I145" s="25">
        <v>42547.962777777779</v>
      </c>
      <c r="J145" s="43">
        <v>0</v>
      </c>
      <c r="K145" s="43" t="str">
        <f t="shared" si="50"/>
        <v>4011/4012</v>
      </c>
      <c r="L145" s="43" t="str">
        <f>VLOOKUP(A145,'Trips&amp;Operators'!$C$1:$E$10000,3,FALSE)</f>
        <v>CHANDLER</v>
      </c>
      <c r="M145" s="11">
        <f t="shared" si="51"/>
        <v>2.8854166666860692E-2</v>
      </c>
      <c r="N145" s="12">
        <f t="shared" si="49"/>
        <v>41.550000000279397</v>
      </c>
      <c r="O145" s="12"/>
      <c r="P145" s="12"/>
      <c r="Q145" s="44"/>
      <c r="R145" s="44"/>
      <c r="S145" s="70">
        <f t="shared" si="48"/>
        <v>1</v>
      </c>
      <c r="T145" s="2" t="str">
        <f t="shared" si="52"/>
        <v>Southbound</v>
      </c>
      <c r="U145" s="2">
        <f>COUNTIFS(Variables!$M$2:$M$19,IF(T145="NorthBound","&gt;=","&lt;=")&amp;Y145,Variables!$M$2:$M$19,IF(T145="NorthBound","&lt;=","&gt;=")&amp;Z145)</f>
        <v>12</v>
      </c>
      <c r="V145" s="48" t="str">
        <f t="shared" si="53"/>
        <v>https://search-rtdc-monitor-bjffxe2xuh6vdkpspy63sjmuny.us-east-1.es.amazonaws.com/_plugin/kibana/#/discover/Steve-Slow-Train-Analysis-(2080s-and-2083s)?_g=(refreshInterval:(display:Off,section:0,value:0),time:(from:'2016-06-26 22:22:18-0600',mode:absolute,to:'2016-06-26 23:07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145" s="48" t="str">
        <f t="shared" si="54"/>
        <v>N</v>
      </c>
      <c r="X145" s="48">
        <f t="shared" si="39"/>
        <v>1</v>
      </c>
      <c r="Y145" s="48">
        <f t="shared" si="57"/>
        <v>23.2973</v>
      </c>
      <c r="Z145" s="48">
        <f t="shared" si="56"/>
        <v>1.7000000000000001E-2</v>
      </c>
      <c r="AA145" s="48">
        <f t="shared" si="55"/>
        <v>23.2803</v>
      </c>
      <c r="AB145" s="49" t="e">
        <f>VLOOKUP(A145,#REF!,8,0)</f>
        <v>#REF!</v>
      </c>
      <c r="AC145" s="49" t="e">
        <f>VLOOKUP(A145,#REF!,3,0)</f>
        <v>#REF!</v>
      </c>
    </row>
    <row r="146" spans="1:29" x14ac:dyDescent="0.25">
      <c r="A146" s="43" t="s">
        <v>433</v>
      </c>
      <c r="B146" s="43">
        <v>4025</v>
      </c>
      <c r="C146" s="43" t="s">
        <v>60</v>
      </c>
      <c r="D146" s="43" t="s">
        <v>434</v>
      </c>
      <c r="E146" s="25">
        <v>42547.908854166664</v>
      </c>
      <c r="F146" s="25">
        <v>42547.910324074073</v>
      </c>
      <c r="G146" s="25">
        <v>2</v>
      </c>
      <c r="H146" s="25" t="s">
        <v>105</v>
      </c>
      <c r="I146" s="25">
        <v>42547.943124999998</v>
      </c>
      <c r="J146" s="43">
        <v>0</v>
      </c>
      <c r="K146" s="43" t="str">
        <f t="shared" si="50"/>
        <v>4025/4026</v>
      </c>
      <c r="L146" s="43" t="str">
        <f>VLOOKUP(A146,'Trips&amp;Operators'!$C$1:$E$10000,3,FALSE)</f>
        <v>BRUDER</v>
      </c>
      <c r="M146" s="11">
        <f t="shared" si="51"/>
        <v>3.2800925924675539E-2</v>
      </c>
      <c r="N146" s="12">
        <f t="shared" si="49"/>
        <v>47.233333331532776</v>
      </c>
      <c r="O146" s="12"/>
      <c r="P146" s="12"/>
      <c r="Q146" s="44"/>
      <c r="R146" s="44"/>
      <c r="S146" s="70">
        <f t="shared" si="48"/>
        <v>1</v>
      </c>
      <c r="T146" s="2" t="str">
        <f t="shared" si="52"/>
        <v>NorthBound</v>
      </c>
      <c r="U146" s="2">
        <f>COUNTIFS(Variables!$M$2:$M$19,IF(T146="NorthBound","&gt;=","&lt;=")&amp;Y146,Variables!$M$2:$M$19,IF(T146="NorthBound","&lt;=","&gt;=")&amp;Z146)</f>
        <v>12</v>
      </c>
      <c r="V146" s="48" t="str">
        <f t="shared" si="53"/>
        <v>https://search-rtdc-monitor-bjffxe2xuh6vdkpspy63sjmuny.us-east-1.es.amazonaws.com/_plugin/kibana/#/discover/Steve-Slow-Train-Analysis-(2080s-and-2083s)?_g=(refreshInterval:(display:Off,section:0,value:0),time:(from:'2016-06-26 21:47:45-0600',mode:absolute,to:'2016-06-26 22:39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146" s="48" t="str">
        <f t="shared" si="54"/>
        <v>N</v>
      </c>
      <c r="X146" s="48">
        <f t="shared" si="39"/>
        <v>1</v>
      </c>
      <c r="Y146" s="48">
        <f t="shared" si="57"/>
        <v>5.33E-2</v>
      </c>
      <c r="Z146" s="48">
        <f t="shared" si="56"/>
        <v>23.3291</v>
      </c>
      <c r="AA146" s="48">
        <f t="shared" si="55"/>
        <v>23.2758</v>
      </c>
      <c r="AB146" s="49" t="e">
        <f>VLOOKUP(A146,#REF!,8,0)</f>
        <v>#REF!</v>
      </c>
      <c r="AC146" s="49" t="e">
        <f>VLOOKUP(A146,#REF!,3,0)</f>
        <v>#REF!</v>
      </c>
    </row>
    <row r="147" spans="1:29" x14ac:dyDescent="0.25">
      <c r="A147" s="43" t="s">
        <v>435</v>
      </c>
      <c r="B147" s="43">
        <v>4026</v>
      </c>
      <c r="C147" s="43" t="s">
        <v>60</v>
      </c>
      <c r="D147" s="43" t="s">
        <v>171</v>
      </c>
      <c r="E147" s="25">
        <v>42547.950914351852</v>
      </c>
      <c r="F147" s="25">
        <v>42547.95212962963</v>
      </c>
      <c r="G147" s="25">
        <v>1</v>
      </c>
      <c r="H147" s="25" t="s">
        <v>436</v>
      </c>
      <c r="I147" s="25">
        <v>42547.987696759257</v>
      </c>
      <c r="J147" s="43">
        <v>2</v>
      </c>
      <c r="K147" s="43" t="str">
        <f t="shared" si="50"/>
        <v>4025/4026</v>
      </c>
      <c r="L147" s="43" t="str">
        <f>VLOOKUP(A147,'Trips&amp;Operators'!$C$1:$E$10000,3,FALSE)</f>
        <v>BRUDER</v>
      </c>
      <c r="M147" s="11">
        <f t="shared" si="51"/>
        <v>3.5567129627452232E-2</v>
      </c>
      <c r="N147" s="12">
        <f t="shared" si="49"/>
        <v>51.216666663531214</v>
      </c>
      <c r="O147" s="12"/>
      <c r="P147" s="12"/>
      <c r="Q147" s="44"/>
      <c r="R147" s="44"/>
      <c r="S147" s="70">
        <f t="shared" si="48"/>
        <v>1</v>
      </c>
      <c r="T147" s="2" t="str">
        <f t="shared" si="52"/>
        <v>Southbound</v>
      </c>
      <c r="U147" s="2">
        <f>COUNTIFS(Variables!$M$2:$M$19,IF(T147="NorthBound","&gt;=","&lt;=")&amp;Y147,Variables!$M$2:$M$19,IF(T147="NorthBound","&lt;=","&gt;=")&amp;Z147)</f>
        <v>12</v>
      </c>
      <c r="V147" s="48" t="str">
        <f t="shared" si="53"/>
        <v>https://search-rtdc-monitor-bjffxe2xuh6vdkpspy63sjmuny.us-east-1.es.amazonaws.com/_plugin/kibana/#/discover/Steve-Slow-Train-Analysis-(2080s-and-2083s)?_g=(refreshInterval:(display:Off,section:0,value:0),time:(from:'2016-06-26 22:48:19-0600',mode:absolute,to:'2016-06-26 23:43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147" s="48" t="str">
        <f t="shared" si="54"/>
        <v>N</v>
      </c>
      <c r="X147" s="48">
        <f t="shared" ref="X147:X149" si="58">VALUE(LEFT(A147,3))-VALUE(LEFT(A146,3))</f>
        <v>1</v>
      </c>
      <c r="Y147" s="48">
        <f t="shared" si="57"/>
        <v>23.2973</v>
      </c>
      <c r="Z147" s="48">
        <f t="shared" si="56"/>
        <v>2.1999999999999999E-2</v>
      </c>
      <c r="AA147" s="48">
        <f t="shared" si="55"/>
        <v>23.275300000000001</v>
      </c>
      <c r="AB147" s="49" t="e">
        <f>VLOOKUP(A147,#REF!,8,0)</f>
        <v>#REF!</v>
      </c>
      <c r="AC147" s="49" t="e">
        <f>VLOOKUP(A147,#REF!,3,0)</f>
        <v>#REF!</v>
      </c>
    </row>
    <row r="148" spans="1:29" x14ac:dyDescent="0.25">
      <c r="A148" s="43" t="s">
        <v>437</v>
      </c>
      <c r="B148" s="43">
        <v>4019</v>
      </c>
      <c r="C148" s="43" t="s">
        <v>60</v>
      </c>
      <c r="D148" s="43" t="s">
        <v>144</v>
      </c>
      <c r="E148" s="25">
        <v>42547.971863425926</v>
      </c>
      <c r="F148" s="25">
        <v>42547.974641203706</v>
      </c>
      <c r="G148" s="25">
        <v>4</v>
      </c>
      <c r="H148" s="25" t="s">
        <v>438</v>
      </c>
      <c r="I148" s="25">
        <v>42548.005798611113</v>
      </c>
      <c r="J148" s="43">
        <v>0</v>
      </c>
      <c r="K148" s="43" t="str">
        <f t="shared" si="50"/>
        <v>4019/4020</v>
      </c>
      <c r="L148" s="43" t="str">
        <f>VLOOKUP(A148,'Trips&amp;Operators'!$C$1:$E$10000,3,FALSE)</f>
        <v>BARTLETT</v>
      </c>
      <c r="M148" s="11">
        <f t="shared" si="51"/>
        <v>3.1157407407590654E-2</v>
      </c>
      <c r="N148" s="12">
        <f t="shared" si="49"/>
        <v>44.866666666930541</v>
      </c>
      <c r="O148" s="12"/>
      <c r="P148" s="12"/>
      <c r="Q148" s="44"/>
      <c r="R148" s="44"/>
      <c r="S148" s="70">
        <f t="shared" si="48"/>
        <v>1</v>
      </c>
      <c r="T148" s="2" t="str">
        <f t="shared" si="52"/>
        <v>Southbound</v>
      </c>
      <c r="U148" s="2">
        <f>COUNTIFS(Variables!$M$2:$M$19,IF(T148="NorthBound","&gt;=","&lt;=")&amp;Y148,Variables!$M$2:$M$19,IF(T148="NorthBound","&lt;=","&gt;=")&amp;Z148)</f>
        <v>12</v>
      </c>
      <c r="V148" s="48" t="str">
        <f t="shared" si="53"/>
        <v>https://search-rtdc-monitor-bjffxe2xuh6vdkpspy63sjmuny.us-east-1.es.amazonaws.com/_plugin/kibana/#/discover/Steve-Slow-Train-Analysis-(2080s-and-2083s)?_g=(refreshInterval:(display:Off,section:0,value:0),time:(from:'2016-06-26 23:18:29-0600',mode:absolute,to:'2016-06-27 00:09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148" s="48" t="str">
        <f t="shared" si="54"/>
        <v>N</v>
      </c>
      <c r="X148" s="48">
        <f t="shared" si="58"/>
        <v>2</v>
      </c>
      <c r="Y148" s="48">
        <f t="shared" si="57"/>
        <v>23.2974</v>
      </c>
      <c r="Z148" s="48">
        <f t="shared" si="56"/>
        <v>0.25609999999999999</v>
      </c>
      <c r="AA148" s="48">
        <f t="shared" si="55"/>
        <v>23.0413</v>
      </c>
      <c r="AB148" s="49" t="e">
        <f>VLOOKUP(A148,#REF!,8,0)</f>
        <v>#REF!</v>
      </c>
      <c r="AC148" s="49" t="e">
        <f>VLOOKUP(A148,#REF!,3,0)</f>
        <v>#REF!</v>
      </c>
    </row>
    <row r="149" spans="1:29" x14ac:dyDescent="0.25">
      <c r="A149" s="43" t="s">
        <v>439</v>
      </c>
      <c r="B149" s="43">
        <v>4038</v>
      </c>
      <c r="C149" s="43" t="s">
        <v>60</v>
      </c>
      <c r="D149" s="43" t="s">
        <v>78</v>
      </c>
      <c r="E149" s="25">
        <v>42547.955347222225</v>
      </c>
      <c r="F149" s="25">
        <v>42547.957233796296</v>
      </c>
      <c r="G149" s="25">
        <v>2</v>
      </c>
      <c r="H149" s="25" t="s">
        <v>440</v>
      </c>
      <c r="I149" s="25">
        <v>42547.985914351855</v>
      </c>
      <c r="J149" s="43">
        <v>0</v>
      </c>
      <c r="K149" s="43" t="str">
        <f t="shared" si="50"/>
        <v>4037/4038</v>
      </c>
      <c r="L149" s="43" t="str">
        <f>VLOOKUP(A149,'Trips&amp;Operators'!$C$1:$E$10000,3,FALSE)</f>
        <v>COOLAHAN</v>
      </c>
      <c r="M149" s="11">
        <f t="shared" si="51"/>
        <v>2.8680555558821652E-2</v>
      </c>
      <c r="N149" s="12">
        <f t="shared" si="49"/>
        <v>41.300000004703179</v>
      </c>
      <c r="O149" s="12"/>
      <c r="P149" s="12"/>
      <c r="Q149" s="44"/>
      <c r="R149" s="44"/>
      <c r="S149" s="70">
        <f t="shared" si="48"/>
        <v>1</v>
      </c>
      <c r="T149" s="2" t="str">
        <f t="shared" si="52"/>
        <v>NorthBound</v>
      </c>
      <c r="U149" s="2">
        <f>COUNTIFS(Variables!$M$2:$M$19,IF(T149="NorthBound","&gt;=","&lt;=")&amp;Y149,Variables!$M$2:$M$19,IF(T149="NorthBound","&lt;=","&gt;=")&amp;Z149)</f>
        <v>12</v>
      </c>
      <c r="V149" s="48" t="str">
        <f t="shared" si="53"/>
        <v>https://search-rtdc-monitor-bjffxe2xuh6vdkpspy63sjmuny.us-east-1.es.amazonaws.com/_plugin/kibana/#/discover/Steve-Slow-Train-Analysis-(2080s-and-2083s)?_g=(refreshInterval:(display:Off,section:0,value:0),time:(from:'2016-06-26 22:54:42-0600',mode:absolute,to:'2016-06-26 23:40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W149" s="48" t="str">
        <f t="shared" si="54"/>
        <v>N</v>
      </c>
      <c r="X149" s="48">
        <f t="shared" si="58"/>
        <v>1</v>
      </c>
      <c r="Y149" s="48">
        <f t="shared" si="57"/>
        <v>4.53E-2</v>
      </c>
      <c r="Z149" s="48">
        <f t="shared" si="56"/>
        <v>23.325099999999999</v>
      </c>
      <c r="AA149" s="48">
        <f t="shared" si="55"/>
        <v>23.279799999999998</v>
      </c>
      <c r="AB149" s="49" t="e">
        <f>VLOOKUP(A149,#REF!,8,0)</f>
        <v>#REF!</v>
      </c>
      <c r="AC149" s="49" t="e">
        <f>VLOOKUP(A149,#REF!,3,0)</f>
        <v>#REF!</v>
      </c>
    </row>
    <row r="150" spans="1:29" x14ac:dyDescent="0.25">
      <c r="A150" s="43" t="s">
        <v>441</v>
      </c>
      <c r="B150" s="43">
        <v>4037</v>
      </c>
      <c r="C150" s="43" t="s">
        <v>60</v>
      </c>
      <c r="D150" s="43" t="s">
        <v>442</v>
      </c>
      <c r="E150" s="25">
        <v>42547.994108796294</v>
      </c>
      <c r="F150" s="25">
        <v>42547.995335648149</v>
      </c>
      <c r="G150" s="25">
        <v>1</v>
      </c>
      <c r="H150" s="25" t="s">
        <v>164</v>
      </c>
      <c r="I150" s="25">
        <v>42548.025925925926</v>
      </c>
      <c r="J150" s="43">
        <v>1</v>
      </c>
      <c r="K150" s="43" t="str">
        <f t="shared" si="50"/>
        <v>4037/4038</v>
      </c>
      <c r="L150" s="43" t="str">
        <f>VLOOKUP(A150,'Trips&amp;Operators'!$C$1:$E$10000,3,FALSE)</f>
        <v>COOLAHAN</v>
      </c>
      <c r="M150" s="11">
        <f t="shared" si="51"/>
        <v>3.0590277776354924E-2</v>
      </c>
      <c r="N150" s="12">
        <f t="shared" si="49"/>
        <v>44.04999999795109</v>
      </c>
      <c r="O150" s="12"/>
      <c r="P150" s="12"/>
      <c r="Q150" s="44"/>
      <c r="R150" s="44"/>
      <c r="S150" s="70">
        <f t="shared" si="48"/>
        <v>1</v>
      </c>
      <c r="T150" s="2" t="str">
        <f t="shared" si="52"/>
        <v>Southbound</v>
      </c>
      <c r="U150" s="2">
        <f>COUNTIFS(Variables!$M$2:$M$19,IF(T150="NorthBound","&gt;=","&lt;=")&amp;Y150,Variables!$M$2:$M$19,IF(T150="NorthBound","&lt;=","&gt;=")&amp;Z150)</f>
        <v>12</v>
      </c>
      <c r="V150" s="48" t="str">
        <f t="shared" si="53"/>
        <v>https://search-rtdc-monitor-bjffxe2xuh6vdkpspy63sjmuny.us-east-1.es.amazonaws.com/_plugin/kibana/#/discover/Steve-Slow-Train-Analysis-(2080s-and-2083s)?_g=(refreshInterval:(display:Off,section:0,value:0),time:(from:'2016-06-26 23:50:31-0600',mode:absolute,to:'2016-06-27 00:38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W150" s="48" t="str">
        <f t="shared" si="54"/>
        <v>N</v>
      </c>
      <c r="X150" s="48">
        <f t="shared" ref="X150:X155" si="59">VALUE(LEFT(A150,3))-VALUE(LEFT(A149,3))</f>
        <v>1</v>
      </c>
      <c r="Y150" s="48">
        <f t="shared" si="57"/>
        <v>23.2943</v>
      </c>
      <c r="Z150" s="48">
        <f t="shared" si="56"/>
        <v>1.3599999999999999E-2</v>
      </c>
      <c r="AA150" s="48">
        <f t="shared" si="55"/>
        <v>23.2807</v>
      </c>
      <c r="AB150" s="49" t="e">
        <f>VLOOKUP(A150,#REF!,8,0)</f>
        <v>#REF!</v>
      </c>
      <c r="AC150" s="49" t="e">
        <f>VLOOKUP(A150,#REF!,3,0)</f>
        <v>#REF!</v>
      </c>
    </row>
    <row r="151" spans="1:29" x14ac:dyDescent="0.25">
      <c r="A151" s="43" t="s">
        <v>443</v>
      </c>
      <c r="B151" s="43">
        <v>4011</v>
      </c>
      <c r="C151" s="43" t="s">
        <v>60</v>
      </c>
      <c r="D151" s="43" t="s">
        <v>146</v>
      </c>
      <c r="E151" s="25">
        <v>42547.975925925923</v>
      </c>
      <c r="F151" s="25">
        <v>42547.977141203701</v>
      </c>
      <c r="G151" s="25">
        <v>1</v>
      </c>
      <c r="H151" s="25" t="s">
        <v>193</v>
      </c>
      <c r="I151" s="25">
        <v>42548.00640046296</v>
      </c>
      <c r="J151" s="43">
        <v>0</v>
      </c>
      <c r="K151" s="43" t="str">
        <f t="shared" si="50"/>
        <v>4011/4012</v>
      </c>
      <c r="L151" s="43" t="str">
        <f>VLOOKUP(A151,'Trips&amp;Operators'!$C$1:$E$10000,3,FALSE)</f>
        <v>CHANDLER</v>
      </c>
      <c r="M151" s="11">
        <f t="shared" si="51"/>
        <v>2.9259259259561077E-2</v>
      </c>
      <c r="N151" s="12">
        <f t="shared" si="49"/>
        <v>42.133333333767951</v>
      </c>
      <c r="O151" s="12"/>
      <c r="P151" s="12"/>
      <c r="Q151" s="44"/>
      <c r="R151" s="44"/>
      <c r="S151" s="70">
        <f t="shared" si="48"/>
        <v>1</v>
      </c>
      <c r="T151" s="2" t="str">
        <f t="shared" si="52"/>
        <v>NorthBound</v>
      </c>
      <c r="U151" s="2">
        <f>COUNTIFS(Variables!$M$2:$M$19,IF(T151="NorthBound","&gt;=","&lt;=")&amp;Y151,Variables!$M$2:$M$19,IF(T151="NorthBound","&lt;=","&gt;=")&amp;Z151)</f>
        <v>12</v>
      </c>
      <c r="V151" s="48" t="str">
        <f t="shared" si="53"/>
        <v>https://search-rtdc-monitor-bjffxe2xuh6vdkpspy63sjmuny.us-east-1.es.amazonaws.com/_plugin/kibana/#/discover/Steve-Slow-Train-Analysis-(2080s-and-2083s)?_g=(refreshInterval:(display:Off,section:0,value:0),time:(from:'2016-06-26 23:24:20-0600',mode:absolute,to:'2016-06-27 00:10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151" s="48" t="str">
        <f t="shared" si="54"/>
        <v>N</v>
      </c>
      <c r="X151" s="48">
        <f t="shared" si="59"/>
        <v>1</v>
      </c>
      <c r="Y151" s="48">
        <f t="shared" si="57"/>
        <v>4.7500000000000001E-2</v>
      </c>
      <c r="Z151" s="48">
        <f t="shared" si="56"/>
        <v>23.331399999999999</v>
      </c>
      <c r="AA151" s="48">
        <f t="shared" si="55"/>
        <v>23.283899999999999</v>
      </c>
      <c r="AB151" s="49" t="e">
        <f>VLOOKUP(A151,#REF!,8,0)</f>
        <v>#REF!</v>
      </c>
      <c r="AC151" s="49" t="e">
        <f>VLOOKUP(A151,#REF!,3,0)</f>
        <v>#REF!</v>
      </c>
    </row>
    <row r="152" spans="1:29" x14ac:dyDescent="0.25">
      <c r="A152" s="43" t="s">
        <v>444</v>
      </c>
      <c r="B152" s="43">
        <v>4012</v>
      </c>
      <c r="C152" s="43" t="s">
        <v>60</v>
      </c>
      <c r="D152" s="43" t="s">
        <v>318</v>
      </c>
      <c r="E152" s="25">
        <v>42548.016111111108</v>
      </c>
      <c r="F152" s="25">
        <v>42548.017361111109</v>
      </c>
      <c r="G152" s="25">
        <v>1</v>
      </c>
      <c r="H152" s="25" t="s">
        <v>445</v>
      </c>
      <c r="I152" s="25">
        <v>42548.045798611114</v>
      </c>
      <c r="J152" s="43">
        <v>1</v>
      </c>
      <c r="K152" s="43" t="str">
        <f t="shared" si="50"/>
        <v>4011/4012</v>
      </c>
      <c r="L152" s="43" t="e">
        <f>VLOOKUP(A152,'Trips&amp;Operators'!$C$1:$E$10000,3,FALSE)</f>
        <v>#N/A</v>
      </c>
      <c r="M152" s="11">
        <f t="shared" si="51"/>
        <v>2.8437500004656613E-2</v>
      </c>
      <c r="N152" s="12">
        <f t="shared" si="49"/>
        <v>40.950000006705523</v>
      </c>
      <c r="O152" s="12"/>
      <c r="P152" s="12"/>
      <c r="Q152" s="44"/>
      <c r="R152" s="44"/>
      <c r="S152" s="70">
        <f t="shared" si="48"/>
        <v>1</v>
      </c>
      <c r="T152" s="2" t="str">
        <f t="shared" si="52"/>
        <v>Southbound</v>
      </c>
      <c r="U152" s="2">
        <f>COUNTIFS(Variables!$M$2:$M$19,IF(T152="NorthBound","&gt;=","&lt;=")&amp;Y152,Variables!$M$2:$M$19,IF(T152="NorthBound","&lt;=","&gt;=")&amp;Z152)</f>
        <v>12</v>
      </c>
      <c r="V152" s="48" t="str">
        <f t="shared" si="53"/>
        <v>https://search-rtdc-monitor-bjffxe2xuh6vdkpspy63sjmuny.us-east-1.es.amazonaws.com/_plugin/kibana/#/discover/Steve-Slow-Train-Analysis-(2080s-and-2083s)?_g=(refreshInterval:(display:Off,section:0,value:0),time:(from:'2016-06-27 00:22:12-0600',mode:absolute,to:'2016-06-27 01:06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152" s="48" t="str">
        <f t="shared" si="54"/>
        <v>N</v>
      </c>
      <c r="X152" s="48">
        <f t="shared" si="59"/>
        <v>1</v>
      </c>
      <c r="Y152" s="48">
        <f t="shared" si="57"/>
        <v>23.300599999999999</v>
      </c>
      <c r="Z152" s="48">
        <f t="shared" si="56"/>
        <v>1.7600000000000001E-2</v>
      </c>
      <c r="AA152" s="48">
        <f t="shared" si="55"/>
        <v>23.282999999999998</v>
      </c>
      <c r="AB152" s="49" t="e">
        <f>VLOOKUP(A152,#REF!,8,0)</f>
        <v>#REF!</v>
      </c>
      <c r="AC152" s="49" t="e">
        <f>VLOOKUP(A152,#REF!,3,0)</f>
        <v>#REF!</v>
      </c>
    </row>
    <row r="153" spans="1:29" x14ac:dyDescent="0.25">
      <c r="A153" s="43" t="s">
        <v>446</v>
      </c>
      <c r="B153" s="43">
        <v>4025</v>
      </c>
      <c r="C153" s="43" t="s">
        <v>60</v>
      </c>
      <c r="D153" s="43" t="s">
        <v>447</v>
      </c>
      <c r="E153" s="25">
        <v>42547.991666666669</v>
      </c>
      <c r="F153" s="25">
        <v>42547.992615740739</v>
      </c>
      <c r="G153" s="25">
        <v>1</v>
      </c>
      <c r="H153" s="25" t="s">
        <v>232</v>
      </c>
      <c r="I153" s="25">
        <v>42548.026365740741</v>
      </c>
      <c r="J153" s="43">
        <v>0</v>
      </c>
      <c r="K153" s="43" t="str">
        <f t="shared" si="50"/>
        <v>4025/4026</v>
      </c>
      <c r="L153" s="43" t="str">
        <f>VLOOKUP(A153,'Trips&amp;Operators'!$C$1:$E$10000,3,FALSE)</f>
        <v>BRUDER</v>
      </c>
      <c r="M153" s="11">
        <f t="shared" si="51"/>
        <v>3.3750000002328306E-2</v>
      </c>
      <c r="N153" s="12">
        <f t="shared" si="49"/>
        <v>48.600000003352761</v>
      </c>
      <c r="O153" s="12"/>
      <c r="P153" s="12"/>
      <c r="Q153" s="44"/>
      <c r="R153" s="44"/>
      <c r="S153" s="70">
        <f t="shared" si="48"/>
        <v>1</v>
      </c>
      <c r="T153" s="2" t="str">
        <f t="shared" si="52"/>
        <v>NorthBound</v>
      </c>
      <c r="U153" s="2">
        <f>COUNTIFS(Variables!$M$2:$M$19,IF(T153="NorthBound","&gt;=","&lt;=")&amp;Y153,Variables!$M$2:$M$19,IF(T153="NorthBound","&lt;=","&gt;=")&amp;Z153)</f>
        <v>12</v>
      </c>
      <c r="V153" s="48" t="str">
        <f t="shared" si="53"/>
        <v>https://search-rtdc-monitor-bjffxe2xuh6vdkpspy63sjmuny.us-east-1.es.amazonaws.com/_plugin/kibana/#/discover/Steve-Slow-Train-Analysis-(2080s-and-2083s)?_g=(refreshInterval:(display:Off,section:0,value:0),time:(from:'2016-06-26 23:47:00-0600',mode:absolute,to:'2016-06-27 00:38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153" s="48" t="str">
        <f t="shared" si="54"/>
        <v>N</v>
      </c>
      <c r="X153" s="48">
        <f t="shared" si="59"/>
        <v>1</v>
      </c>
      <c r="Y153" s="48">
        <f t="shared" si="57"/>
        <v>5.1999999999999998E-2</v>
      </c>
      <c r="Z153" s="48">
        <f t="shared" si="56"/>
        <v>23.329799999999999</v>
      </c>
      <c r="AA153" s="48">
        <f t="shared" si="55"/>
        <v>23.277799999999999</v>
      </c>
      <c r="AB153" s="49" t="e">
        <f>VLOOKUP(A153,#REF!,8,0)</f>
        <v>#REF!</v>
      </c>
      <c r="AC153" s="49" t="e">
        <f>VLOOKUP(A153,#REF!,3,0)</f>
        <v>#REF!</v>
      </c>
    </row>
    <row r="154" spans="1:29" x14ac:dyDescent="0.25">
      <c r="A154" s="43" t="s">
        <v>448</v>
      </c>
      <c r="B154" s="43">
        <v>4026</v>
      </c>
      <c r="C154" s="43" t="s">
        <v>60</v>
      </c>
      <c r="D154" s="43" t="s">
        <v>158</v>
      </c>
      <c r="E154" s="25">
        <v>42548.030972222223</v>
      </c>
      <c r="F154" s="25">
        <v>42548.03224537037</v>
      </c>
      <c r="G154" s="25">
        <v>1</v>
      </c>
      <c r="H154" s="25" t="s">
        <v>449</v>
      </c>
      <c r="I154" s="25">
        <v>42548.066064814811</v>
      </c>
      <c r="J154" s="43">
        <v>0</v>
      </c>
      <c r="K154" s="43" t="str">
        <f t="shared" si="50"/>
        <v>4025/4026</v>
      </c>
      <c r="L154" s="43" t="e">
        <f>VLOOKUP(A154,'Trips&amp;Operators'!$C$1:$E$10000,3,FALSE)</f>
        <v>#N/A</v>
      </c>
      <c r="M154" s="11">
        <f t="shared" si="51"/>
        <v>3.3819444441178348E-2</v>
      </c>
      <c r="N154" s="12">
        <f t="shared" si="49"/>
        <v>48.699999995296821</v>
      </c>
      <c r="O154" s="12"/>
      <c r="P154" s="12"/>
      <c r="Q154" s="44"/>
      <c r="R154" s="44"/>
      <c r="S154" s="70">
        <f t="shared" si="48"/>
        <v>1</v>
      </c>
      <c r="T154" s="2" t="str">
        <f t="shared" si="52"/>
        <v>Southbound</v>
      </c>
      <c r="U154" s="2">
        <f>COUNTIFS(Variables!$M$2:$M$19,IF(T154="NorthBound","&gt;=","&lt;=")&amp;Y154,Variables!$M$2:$M$19,IF(T154="NorthBound","&lt;=","&gt;=")&amp;Z154)</f>
        <v>12</v>
      </c>
      <c r="V154" s="48" t="str">
        <f t="shared" si="53"/>
        <v>https://search-rtdc-monitor-bjffxe2xuh6vdkpspy63sjmuny.us-east-1.es.amazonaws.com/_plugin/kibana/#/discover/Steve-Slow-Train-Analysis-(2080s-and-2083s)?_g=(refreshInterval:(display:Off,section:0,value:0),time:(from:'2016-06-27 00:43:36-0600',mode:absolute,to:'2016-06-27 01:36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154" s="48" t="str">
        <f t="shared" si="54"/>
        <v>N</v>
      </c>
      <c r="X154" s="48">
        <f t="shared" si="59"/>
        <v>1</v>
      </c>
      <c r="Y154" s="48">
        <f t="shared" si="57"/>
        <v>23.298500000000001</v>
      </c>
      <c r="Z154" s="48">
        <f t="shared" si="56"/>
        <v>2.3800000000000002E-2</v>
      </c>
      <c r="AA154" s="48">
        <f t="shared" si="55"/>
        <v>23.274699999999999</v>
      </c>
      <c r="AB154" s="49" t="e">
        <f>VLOOKUP(A154,#REF!,8,0)</f>
        <v>#REF!</v>
      </c>
      <c r="AC154" s="49" t="e">
        <f>VLOOKUP(A154,#REF!,3,0)</f>
        <v>#REF!</v>
      </c>
    </row>
    <row r="155" spans="1:29" x14ac:dyDescent="0.25">
      <c r="A155" s="43" t="s">
        <v>450</v>
      </c>
      <c r="B155" s="43">
        <v>4044</v>
      </c>
      <c r="C155" s="43" t="s">
        <v>60</v>
      </c>
      <c r="D155" s="43" t="s">
        <v>173</v>
      </c>
      <c r="E155" s="25">
        <v>42548.011134259257</v>
      </c>
      <c r="F155" s="25">
        <v>42548.01326388889</v>
      </c>
      <c r="G155" s="25">
        <v>3</v>
      </c>
      <c r="H155" s="25" t="s">
        <v>175</v>
      </c>
      <c r="I155" s="25">
        <v>42548.04792824074</v>
      </c>
      <c r="J155" s="43">
        <v>0</v>
      </c>
      <c r="K155" s="43" t="str">
        <f t="shared" si="50"/>
        <v>4043/4044</v>
      </c>
      <c r="L155" s="43" t="e">
        <f>VLOOKUP(A155,'Trips&amp;Operators'!$C$1:$E$10000,3,FALSE)</f>
        <v>#N/A</v>
      </c>
      <c r="M155" s="11">
        <f t="shared" si="51"/>
        <v>3.4664351849642117E-2</v>
      </c>
      <c r="N155" s="12">
        <f t="shared" si="49"/>
        <v>49.916666663484648</v>
      </c>
      <c r="O155" s="12"/>
      <c r="P155" s="12"/>
      <c r="Q155" s="44"/>
      <c r="R155" s="44"/>
      <c r="S155" s="70">
        <f t="shared" si="48"/>
        <v>1</v>
      </c>
      <c r="T155" s="2" t="str">
        <f t="shared" si="52"/>
        <v>NorthBound</v>
      </c>
      <c r="U155" s="2">
        <f>COUNTIFS(Variables!$M$2:$M$19,IF(T155="NorthBound","&gt;=","&lt;=")&amp;Y155,Variables!$M$2:$M$19,IF(T155="NorthBound","&lt;=","&gt;=")&amp;Z155)</f>
        <v>12</v>
      </c>
      <c r="V155" s="48" t="str">
        <f t="shared" si="53"/>
        <v>https://search-rtdc-monitor-bjffxe2xuh6vdkpspy63sjmuny.us-east-1.es.amazonaws.com/_plugin/kibana/#/discover/Steve-Slow-Train-Analysis-(2080s-and-2083s)?_g=(refreshInterval:(display:Off,section:0,value:0),time:(from:'2016-06-27 00:15:02-0600',mode:absolute,to:'2016-06-27 01:10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155" s="48" t="str">
        <f t="shared" si="54"/>
        <v>N</v>
      </c>
      <c r="X155" s="48">
        <f t="shared" si="59"/>
        <v>1</v>
      </c>
      <c r="Y155" s="48">
        <f t="shared" si="57"/>
        <v>4.4400000000000002E-2</v>
      </c>
      <c r="Z155" s="48">
        <f t="shared" si="56"/>
        <v>23.331199999999999</v>
      </c>
      <c r="AA155" s="48">
        <f t="shared" si="55"/>
        <v>23.286799999999999</v>
      </c>
      <c r="AB155" s="49" t="e">
        <f>VLOOKUP(A155,#REF!,8,0)</f>
        <v>#REF!</v>
      </c>
      <c r="AC155" s="49" t="e">
        <f>VLOOKUP(A155,#REF!,3,0)</f>
        <v>#REF!</v>
      </c>
    </row>
  </sheetData>
  <autoFilter ref="A12:AC155"/>
  <sortState ref="A13:AC160">
    <sortCondition ref="A13:A160"/>
    <sortCondition ref="F13:F160"/>
  </sortState>
  <mergeCells count="4">
    <mergeCell ref="A11:P11"/>
    <mergeCell ref="I2:J2"/>
    <mergeCell ref="M2:O2"/>
    <mergeCell ref="I3:J3"/>
  </mergeCells>
  <conditionalFormatting sqref="W11:W12 W13:X1048576">
    <cfRule type="cellIs" dxfId="11" priority="69" operator="equal">
      <formula>"Y"</formula>
    </cfRule>
  </conditionalFormatting>
  <conditionalFormatting sqref="X13:X1048576">
    <cfRule type="cellIs" dxfId="10" priority="52" operator="greaterThan">
      <formula>1</formula>
    </cfRule>
  </conditionalFormatting>
  <conditionalFormatting sqref="X12:X1048576">
    <cfRule type="cellIs" dxfId="9" priority="49" operator="equal">
      <formula>0</formula>
    </cfRule>
  </conditionalFormatting>
  <conditionalFormatting sqref="A13:S155">
    <cfRule type="expression" dxfId="8" priority="45">
      <formula>$O13&gt;0</formula>
    </cfRule>
  </conditionalFormatting>
  <conditionalFormatting sqref="A13:S155">
    <cfRule type="expression" dxfId="7" priority="44">
      <formula>$P13&gt;0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3" id="{07B64F47-9FD1-48B1-84DC-90BBCF0B8697}">
            <xm:f>$N13&gt;Variables!$C$2</xm:f>
            <x14:dxf>
              <fill>
                <patternFill>
                  <bgColor theme="5" tint="0.79998168889431442"/>
                </patternFill>
              </fill>
            </x14:dxf>
          </x14:cfRule>
          <xm:sqref>A13:S155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0"/>
  <sheetViews>
    <sheetView showGridLines="0" tabSelected="1" zoomScale="85" zoomScaleNormal="85" workbookViewId="0">
      <selection activeCell="I17" sqref="I17"/>
    </sheetView>
  </sheetViews>
  <sheetFormatPr defaultRowHeight="15" x14ac:dyDescent="0.25"/>
  <cols>
    <col min="1" max="1" width="18.42578125" style="13" customWidth="1"/>
    <col min="2" max="2" width="17.5703125" style="42" customWidth="1"/>
    <col min="3" max="3" width="15.28515625" style="42" bestFit="1" customWidth="1"/>
    <col min="4" max="4" width="26.5703125" style="42" customWidth="1"/>
    <col min="5" max="5" width="30.5703125" style="42" bestFit="1" customWidth="1"/>
    <col min="6" max="6" width="7.5703125" style="42" customWidth="1"/>
    <col min="7" max="7" width="7.140625" style="42" customWidth="1"/>
    <col min="8" max="8" width="9" style="42" customWidth="1"/>
    <col min="9" max="9" width="23.85546875" style="42" bestFit="1" customWidth="1"/>
    <col min="10" max="10" width="10.85546875" style="42" customWidth="1"/>
    <col min="11" max="11" width="24" style="42" customWidth="1"/>
    <col min="12" max="12" width="13.5703125" style="42" bestFit="1" customWidth="1"/>
    <col min="13" max="13" width="6.7109375" style="42" customWidth="1"/>
    <col min="14" max="14" width="40.5703125" style="42" customWidth="1"/>
    <col min="15" max="15" width="9.140625" style="42"/>
    <col min="16" max="16" width="9.140625" style="55"/>
    <col min="17" max="16384" width="9.140625" style="42"/>
  </cols>
  <sheetData>
    <row r="1" spans="1:17" ht="15.75" thickBot="1" x14ac:dyDescent="0.3"/>
    <row r="2" spans="1:17" ht="30" x14ac:dyDescent="0.25">
      <c r="K2" s="72" t="s">
        <v>141</v>
      </c>
      <c r="L2" s="73"/>
      <c r="M2" s="74">
        <f>COUNTIF($M$7:$M$823,"=Y")</f>
        <v>4</v>
      </c>
    </row>
    <row r="3" spans="1:17" ht="15.75" thickBot="1" x14ac:dyDescent="0.3">
      <c r="K3" s="75" t="s">
        <v>142</v>
      </c>
      <c r="L3" s="76"/>
      <c r="M3" s="77">
        <f>COUNTA($M$7:$M$823)-M2</f>
        <v>60</v>
      </c>
    </row>
    <row r="5" spans="1:17" s="21" customFormat="1" ht="15" customHeight="1" x14ac:dyDescent="0.25">
      <c r="A5" s="87" t="str">
        <f>"Eagle P3 Braking Events - "&amp;TEXT(Variables!$A$2,"YYYY-mm-dd")</f>
        <v>Eagle P3 Braking Events - 2016-06-26</v>
      </c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22"/>
      <c r="P5" s="53"/>
    </row>
    <row r="6" spans="1:17" s="2" customFormat="1" ht="75" x14ac:dyDescent="0.25">
      <c r="A6" s="20" t="s">
        <v>38</v>
      </c>
      <c r="B6" s="19" t="s">
        <v>37</v>
      </c>
      <c r="C6" s="19" t="s">
        <v>36</v>
      </c>
      <c r="D6" s="19" t="s">
        <v>35</v>
      </c>
      <c r="E6" s="19" t="s">
        <v>34</v>
      </c>
      <c r="F6" s="19" t="s">
        <v>33</v>
      </c>
      <c r="G6" s="19" t="s">
        <v>32</v>
      </c>
      <c r="H6" s="19" t="s">
        <v>31</v>
      </c>
      <c r="I6" s="19" t="s">
        <v>30</v>
      </c>
      <c r="J6" s="19" t="s">
        <v>29</v>
      </c>
      <c r="K6" s="19" t="s">
        <v>28</v>
      </c>
      <c r="L6" s="19" t="s">
        <v>48</v>
      </c>
      <c r="M6" s="19" t="s">
        <v>27</v>
      </c>
      <c r="N6" s="19" t="s">
        <v>24</v>
      </c>
      <c r="P6" s="56" t="s">
        <v>72</v>
      </c>
    </row>
    <row r="7" spans="1:17" s="2" customFormat="1" x14ac:dyDescent="0.25">
      <c r="A7" s="78">
        <v>42547.643865740742</v>
      </c>
      <c r="B7" s="66" t="s">
        <v>182</v>
      </c>
      <c r="C7" s="66" t="s">
        <v>372</v>
      </c>
      <c r="D7" s="66" t="s">
        <v>50</v>
      </c>
      <c r="E7" s="66" t="s">
        <v>76</v>
      </c>
      <c r="F7" s="66">
        <v>0</v>
      </c>
      <c r="G7" s="66">
        <v>192</v>
      </c>
      <c r="H7" s="66">
        <v>57351</v>
      </c>
      <c r="I7" s="66" t="s">
        <v>77</v>
      </c>
      <c r="J7" s="66">
        <v>58117</v>
      </c>
      <c r="K7" s="66" t="s">
        <v>53</v>
      </c>
      <c r="L7" s="16" t="str">
        <f>VLOOKUP(C7,'Trips&amp;Operators'!$C$2:$E$10000,3,FALSE)</f>
        <v>LOCKLEAR</v>
      </c>
      <c r="M7" s="15" t="s">
        <v>140</v>
      </c>
      <c r="N7" s="16" t="s">
        <v>498</v>
      </c>
      <c r="O7" s="42"/>
      <c r="P7" s="54" t="str">
        <f>VLOOKUP(C7,'Train Runs'!$A$13:$V$174,22,0)</f>
        <v>https://search-rtdc-monitor-bjffxe2xuh6vdkpspy63sjmuny.us-east-1.es.amazonaws.com/_plugin/kibana/#/discover/Steve-Slow-Train-Analysis-(2080s-and-2083s)?_g=(refreshInterval:(display:Off,section:0,value:0),time:(from:'2016-06-26 15:08:54-0600',mode:absolute,to:'2016-06-26 15:53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Q7" s="14" t="str">
        <f>MID(B7,13,4)</f>
        <v>4024</v>
      </c>
    </row>
    <row r="8" spans="1:17" s="2" customFormat="1" x14ac:dyDescent="0.25">
      <c r="A8" s="78">
        <v>42547.281678240739</v>
      </c>
      <c r="B8" s="66" t="s">
        <v>102</v>
      </c>
      <c r="C8" s="66" t="s">
        <v>262</v>
      </c>
      <c r="D8" s="66" t="s">
        <v>50</v>
      </c>
      <c r="E8" s="66" t="s">
        <v>76</v>
      </c>
      <c r="F8" s="66">
        <v>0</v>
      </c>
      <c r="G8" s="66">
        <v>40</v>
      </c>
      <c r="H8" s="66">
        <v>62927</v>
      </c>
      <c r="I8" s="66" t="s">
        <v>77</v>
      </c>
      <c r="J8" s="66">
        <v>63068</v>
      </c>
      <c r="K8" s="66" t="s">
        <v>53</v>
      </c>
      <c r="L8" s="16" t="str">
        <f>VLOOKUP(C8,'Trips&amp;Operators'!$C$2:$E$10000,3,FALSE)</f>
        <v>MALAVE</v>
      </c>
      <c r="M8" s="15" t="s">
        <v>140</v>
      </c>
      <c r="N8" s="16" t="s">
        <v>498</v>
      </c>
      <c r="O8" s="42"/>
      <c r="P8" s="54" t="str">
        <f>VLOOKUP(C8,'Train Runs'!$A$13:$V$174,22,0)</f>
        <v>https://search-rtdc-monitor-bjffxe2xuh6vdkpspy63sjmuny.us-east-1.es.amazonaws.com/_plugin/kibana/#/discover/Steve-Slow-Train-Analysis-(2080s-and-2083s)?_g=(refreshInterval:(display:Off,section:0,value:0),time:(from:'2016-06-26 06:26:25-0600',mode:absolute,to:'2016-06-26 07:09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Q8" s="14" t="str">
        <f t="shared" ref="Q8:Q70" si="0">MID(B8,13,4)</f>
        <v>4042</v>
      </c>
    </row>
    <row r="9" spans="1:17" s="2" customFormat="1" x14ac:dyDescent="0.25">
      <c r="A9" s="78">
        <v>42547.437638888892</v>
      </c>
      <c r="B9" s="66" t="s">
        <v>182</v>
      </c>
      <c r="C9" s="66" t="s">
        <v>468</v>
      </c>
      <c r="D9" s="66" t="s">
        <v>50</v>
      </c>
      <c r="E9" s="66" t="s">
        <v>76</v>
      </c>
      <c r="F9" s="66">
        <v>0</v>
      </c>
      <c r="G9" s="66">
        <v>26</v>
      </c>
      <c r="H9" s="66">
        <v>63003</v>
      </c>
      <c r="I9" s="66" t="s">
        <v>77</v>
      </c>
      <c r="J9" s="66">
        <v>63068</v>
      </c>
      <c r="K9" s="66" t="s">
        <v>53</v>
      </c>
      <c r="L9" s="16" t="str">
        <f>VLOOKUP(C9,'Trips&amp;Operators'!$C$2:$E$10000,3,FALSE)</f>
        <v>MALAVE</v>
      </c>
      <c r="M9" s="15" t="s">
        <v>140</v>
      </c>
      <c r="N9" s="16" t="s">
        <v>498</v>
      </c>
      <c r="P9" s="54" t="str">
        <f>VLOOKUP(C9,'Train Runs'!$A$13:$V$174,22,0)</f>
        <v>https://search-rtdc-monitor-bjffxe2xuh6vdkpspy63sjmuny.us-east-1.es.amazonaws.com/_plugin/kibana/#/discover/Steve-Slow-Train-Analysis-(2080s-and-2083s)?_g=(refreshInterval:(display:Off,section:0,value:0),time:(from:'2016-06-26 10:10:09-0600',mode:absolute,to:'2016-06-26 10:55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Q9" s="14" t="str">
        <f t="shared" si="0"/>
        <v>4024</v>
      </c>
    </row>
    <row r="10" spans="1:17" s="2" customFormat="1" x14ac:dyDescent="0.25">
      <c r="A10" s="18">
        <v>42547.324583333335</v>
      </c>
      <c r="B10" s="17" t="s">
        <v>101</v>
      </c>
      <c r="C10" s="17" t="s">
        <v>263</v>
      </c>
      <c r="D10" s="17" t="s">
        <v>50</v>
      </c>
      <c r="E10" s="17" t="s">
        <v>76</v>
      </c>
      <c r="F10" s="17">
        <v>0</v>
      </c>
      <c r="G10" s="17">
        <v>189</v>
      </c>
      <c r="H10" s="17">
        <v>110027</v>
      </c>
      <c r="I10" s="17" t="s">
        <v>77</v>
      </c>
      <c r="J10" s="17">
        <v>109135</v>
      </c>
      <c r="K10" s="16" t="s">
        <v>54</v>
      </c>
      <c r="L10" s="16" t="str">
        <f>VLOOKUP(C10,'Trips&amp;Operators'!$C$2:$E$10000,3,FALSE)</f>
        <v>MALAVE</v>
      </c>
      <c r="M10" s="15" t="s">
        <v>140</v>
      </c>
      <c r="N10" s="16" t="s">
        <v>498</v>
      </c>
      <c r="P10" s="54" t="str">
        <f>VLOOKUP(C10,'Train Runs'!$A$13:$V$174,22,0)</f>
        <v>https://search-rtdc-monitor-bjffxe2xuh6vdkpspy63sjmuny.us-east-1.es.amazonaws.com/_plugin/kibana/#/discover/Steve-Slow-Train-Analysis-(2080s-and-2083s)?_g=(refreshInterval:(display:Off,section:0,value:0),time:(from:'2016-06-26 07:23:10-0600',mode:absolute,to:'2016-06-26 08:10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Q10" s="14" t="str">
        <f t="shared" si="0"/>
        <v>4041</v>
      </c>
    </row>
    <row r="11" spans="1:17" s="2" customFormat="1" x14ac:dyDescent="0.25">
      <c r="A11" s="78">
        <v>42547.471307870372</v>
      </c>
      <c r="B11" s="66" t="s">
        <v>183</v>
      </c>
      <c r="C11" s="66" t="s">
        <v>284</v>
      </c>
      <c r="D11" s="66" t="s">
        <v>50</v>
      </c>
      <c r="E11" s="66" t="s">
        <v>76</v>
      </c>
      <c r="F11" s="66">
        <v>0</v>
      </c>
      <c r="G11" s="66">
        <v>162</v>
      </c>
      <c r="H11" s="66">
        <v>109575</v>
      </c>
      <c r="I11" s="66" t="s">
        <v>77</v>
      </c>
      <c r="J11" s="66">
        <v>109135</v>
      </c>
      <c r="K11" s="66" t="s">
        <v>54</v>
      </c>
      <c r="L11" s="16" t="str">
        <f>VLOOKUP(C11,'Trips&amp;Operators'!$C$2:$E$10000,3,FALSE)</f>
        <v>MALAVE</v>
      </c>
      <c r="M11" s="15" t="s">
        <v>140</v>
      </c>
      <c r="N11" s="16" t="s">
        <v>498</v>
      </c>
      <c r="P11" s="54" t="str">
        <f>VLOOKUP(C11,'Train Runs'!$A$13:$V$174,22,0)</f>
        <v>https://search-rtdc-monitor-bjffxe2xuh6vdkpspy63sjmuny.us-east-1.es.amazonaws.com/_plugin/kibana/#/discover/Steve-Slow-Train-Analysis-(2080s-and-2083s)?_g=(refreshInterval:(display:Off,section:0,value:0),time:(from:'2016-06-26 10:57:52-0600',mode:absolute,to:'2016-06-26 11:45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Q11" s="14" t="str">
        <f t="shared" si="0"/>
        <v>4023</v>
      </c>
    </row>
    <row r="12" spans="1:17" s="2" customFormat="1" x14ac:dyDescent="0.25">
      <c r="A12" s="78">
        <v>42547.38685185185</v>
      </c>
      <c r="B12" s="66" t="s">
        <v>150</v>
      </c>
      <c r="C12" s="66" t="s">
        <v>456</v>
      </c>
      <c r="D12" s="66" t="s">
        <v>50</v>
      </c>
      <c r="E12" s="66" t="s">
        <v>76</v>
      </c>
      <c r="F12" s="66">
        <v>0</v>
      </c>
      <c r="G12" s="66">
        <v>303</v>
      </c>
      <c r="H12" s="66">
        <v>61322</v>
      </c>
      <c r="I12" s="66" t="s">
        <v>77</v>
      </c>
      <c r="J12" s="66">
        <v>63068</v>
      </c>
      <c r="K12" s="66" t="s">
        <v>53</v>
      </c>
      <c r="L12" s="16" t="str">
        <f>VLOOKUP(C12,'Trips&amp;Operators'!$C$2:$E$10000,3,FALSE)</f>
        <v>MAYBERRY</v>
      </c>
      <c r="M12" s="15" t="s">
        <v>140</v>
      </c>
      <c r="N12" s="16" t="s">
        <v>498</v>
      </c>
      <c r="O12" s="42"/>
      <c r="P12" s="54" t="str">
        <f>VLOOKUP(C12,'Train Runs'!$A$13:$V$174,22,0)</f>
        <v>https://search-rtdc-monitor-bjffxe2xuh6vdkpspy63sjmuny.us-east-1.es.amazonaws.com/_plugin/kibana/#/discover/Steve-Slow-Train-Analysis-(2080s-and-2083s)?_g=(refreshInterval:(display:Off,section:0,value:0),time:(from:'2016-06-26 09:00:35-0600',mode:absolute,to:'2016-06-26 09:49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Q12" s="14" t="str">
        <f t="shared" si="0"/>
        <v>4038</v>
      </c>
    </row>
    <row r="13" spans="1:17" s="2" customFormat="1" x14ac:dyDescent="0.25">
      <c r="A13" s="78">
        <v>42547.427604166667</v>
      </c>
      <c r="B13" s="66" t="s">
        <v>479</v>
      </c>
      <c r="C13" s="66" t="s">
        <v>457</v>
      </c>
      <c r="D13" s="66" t="s">
        <v>50</v>
      </c>
      <c r="E13" s="66" t="s">
        <v>76</v>
      </c>
      <c r="F13" s="66">
        <v>0</v>
      </c>
      <c r="G13" s="66">
        <v>299</v>
      </c>
      <c r="H13" s="66">
        <v>110471</v>
      </c>
      <c r="I13" s="66" t="s">
        <v>77</v>
      </c>
      <c r="J13" s="66">
        <v>109135</v>
      </c>
      <c r="K13" s="66" t="s">
        <v>54</v>
      </c>
      <c r="L13" s="16" t="str">
        <f>VLOOKUP(C13,'Trips&amp;Operators'!$C$2:$E$10000,3,FALSE)</f>
        <v>MAYBERRY</v>
      </c>
      <c r="M13" s="15" t="s">
        <v>140</v>
      </c>
      <c r="N13" s="16" t="s">
        <v>498</v>
      </c>
      <c r="O13" s="42"/>
      <c r="P13" s="54" t="str">
        <f>VLOOKUP(C13,'Train Runs'!$A$13:$V$174,22,0)</f>
        <v>https://search-rtdc-monitor-bjffxe2xuh6vdkpspy63sjmuny.us-east-1.es.amazonaws.com/_plugin/kibana/#/discover/Steve-Slow-Train-Analysis-(2080s-and-2083s)?_g=(refreshInterval:(display:Off,section:0,value:0),time:(from:'2016-06-26 09:49:17-0600',mode:absolute,to:'2016-06-26 10:40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Q13" s="14" t="str">
        <f t="shared" si="0"/>
        <v>4037</v>
      </c>
    </row>
    <row r="14" spans="1:17" s="2" customFormat="1" x14ac:dyDescent="0.25">
      <c r="A14" s="78">
        <v>42547.460300925923</v>
      </c>
      <c r="B14" s="66" t="s">
        <v>80</v>
      </c>
      <c r="C14" s="66" t="s">
        <v>467</v>
      </c>
      <c r="D14" s="66" t="s">
        <v>50</v>
      </c>
      <c r="E14" s="66" t="s">
        <v>76</v>
      </c>
      <c r="F14" s="66">
        <v>0</v>
      </c>
      <c r="G14" s="66">
        <v>159</v>
      </c>
      <c r="H14" s="66">
        <v>109523</v>
      </c>
      <c r="I14" s="66" t="s">
        <v>77</v>
      </c>
      <c r="J14" s="66">
        <v>109135</v>
      </c>
      <c r="K14" s="66" t="s">
        <v>54</v>
      </c>
      <c r="L14" s="16" t="str">
        <f>VLOOKUP(C14,'Trips&amp;Operators'!$C$2:$E$10000,3,FALSE)</f>
        <v>SANTIZO</v>
      </c>
      <c r="M14" s="15" t="s">
        <v>140</v>
      </c>
      <c r="N14" s="16" t="s">
        <v>498</v>
      </c>
      <c r="P14" s="54" t="str">
        <f>VLOOKUP(C14,'Train Runs'!$A$13:$V$174,22,0)</f>
        <v>https://search-rtdc-monitor-bjffxe2xuh6vdkpspy63sjmuny.us-east-1.es.amazonaws.com/_plugin/kibana/#/discover/Steve-Slow-Train-Analysis-(2080s-and-2083s)?_g=(refreshInterval:(display:Off,section:0,value:0),time:(from:'2016-06-26 10:39:48-0600',mode:absolute,to:'2016-06-26 11:25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Q14" s="14" t="str">
        <f t="shared" si="0"/>
        <v>4019</v>
      </c>
    </row>
    <row r="15" spans="1:17" s="2" customFormat="1" x14ac:dyDescent="0.25">
      <c r="A15" s="78">
        <v>42547.643599537034</v>
      </c>
      <c r="B15" s="66" t="s">
        <v>87</v>
      </c>
      <c r="C15" s="66" t="s">
        <v>358</v>
      </c>
      <c r="D15" s="66" t="s">
        <v>50</v>
      </c>
      <c r="E15" s="66" t="s">
        <v>76</v>
      </c>
      <c r="F15" s="66">
        <v>0</v>
      </c>
      <c r="G15" s="66">
        <v>144</v>
      </c>
      <c r="H15" s="66">
        <v>58892</v>
      </c>
      <c r="I15" s="66" t="s">
        <v>77</v>
      </c>
      <c r="J15" s="66">
        <v>58301</v>
      </c>
      <c r="K15" s="66" t="s">
        <v>54</v>
      </c>
      <c r="L15" s="16" t="str">
        <f>VLOOKUP(C15,'Trips&amp;Operators'!$C$2:$E$10000,3,FALSE)</f>
        <v>STEWART</v>
      </c>
      <c r="M15" s="15" t="s">
        <v>140</v>
      </c>
      <c r="N15" s="16" t="s">
        <v>498</v>
      </c>
      <c r="P15" s="54" t="str">
        <f>VLOOKUP(C15,'Train Runs'!$A$13:$V$174,22,0)</f>
        <v>https://search-rtdc-monitor-bjffxe2xuh6vdkpspy63sjmuny.us-east-1.es.amazonaws.com/_plugin/kibana/#/discover/Steve-Slow-Train-Analysis-(2080s-and-2083s)?_g=(refreshInterval:(display:Off,section:0,value:0),time:(from:'2016-06-26 14:52:45-0600',mode:absolute,to:'2016-06-26 15:42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Q15" s="14" t="str">
        <f t="shared" si="0"/>
        <v>4008</v>
      </c>
    </row>
    <row r="16" spans="1:17" s="2" customFormat="1" x14ac:dyDescent="0.25">
      <c r="A16" s="78">
        <v>42547.715787037036</v>
      </c>
      <c r="B16" s="66" t="s">
        <v>88</v>
      </c>
      <c r="C16" s="66" t="s">
        <v>378</v>
      </c>
      <c r="D16" s="66" t="s">
        <v>50</v>
      </c>
      <c r="E16" s="66" t="s">
        <v>76</v>
      </c>
      <c r="F16" s="66">
        <v>0</v>
      </c>
      <c r="G16" s="66">
        <v>75</v>
      </c>
      <c r="H16" s="66">
        <v>64056</v>
      </c>
      <c r="I16" s="66" t="s">
        <v>77</v>
      </c>
      <c r="J16" s="66">
        <v>63309</v>
      </c>
      <c r="K16" s="66" t="s">
        <v>54</v>
      </c>
      <c r="L16" s="16" t="str">
        <f>VLOOKUP(C16,'Trips&amp;Operators'!$C$2:$E$10000,3,FALSE)</f>
        <v>STEWART</v>
      </c>
      <c r="M16" s="15" t="s">
        <v>140</v>
      </c>
      <c r="N16" s="16" t="s">
        <v>498</v>
      </c>
      <c r="P16" s="54" t="str">
        <f>VLOOKUP(C16,'Train Runs'!$A$13:$V$174,22,0)</f>
        <v>https://search-rtdc-monitor-bjffxe2xuh6vdkpspy63sjmuny.us-east-1.es.amazonaws.com/_plugin/kibana/#/discover/Steve-Slow-Train-Analysis-(2080s-and-2083s)?_g=(refreshInterval:(display:Off,section:0,value:0),time:(from:'2016-06-26 15:43:27-0600',mode:absolute,to:'2016-06-26 16:32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Q16" s="14" t="str">
        <f t="shared" si="0"/>
        <v>4007</v>
      </c>
    </row>
    <row r="17" spans="1:17" s="2" customFormat="1" x14ac:dyDescent="0.25">
      <c r="A17" s="78">
        <v>42547.717222222222</v>
      </c>
      <c r="B17" s="66" t="s">
        <v>88</v>
      </c>
      <c r="C17" s="66" t="s">
        <v>378</v>
      </c>
      <c r="D17" s="66" t="s">
        <v>55</v>
      </c>
      <c r="E17" s="66" t="s">
        <v>76</v>
      </c>
      <c r="F17" s="66">
        <v>0</v>
      </c>
      <c r="G17" s="66">
        <v>7</v>
      </c>
      <c r="H17" s="66">
        <v>63290</v>
      </c>
      <c r="I17" s="66" t="s">
        <v>77</v>
      </c>
      <c r="J17" s="66">
        <v>63309</v>
      </c>
      <c r="K17" s="66" t="s">
        <v>54</v>
      </c>
      <c r="L17" s="16" t="str">
        <f>VLOOKUP(C17,'Trips&amp;Operators'!$C$2:$E$10000,3,FALSE)</f>
        <v>STEWART</v>
      </c>
      <c r="M17" s="15" t="s">
        <v>140</v>
      </c>
      <c r="N17" s="16" t="s">
        <v>498</v>
      </c>
      <c r="P17" s="54" t="str">
        <f>VLOOKUP(C17,'Train Runs'!$A$13:$V$174,22,0)</f>
        <v>https://search-rtdc-monitor-bjffxe2xuh6vdkpspy63sjmuny.us-east-1.es.amazonaws.com/_plugin/kibana/#/discover/Steve-Slow-Train-Analysis-(2080s-and-2083s)?_g=(refreshInterval:(display:Off,section:0,value:0),time:(from:'2016-06-26 15:43:27-0600',mode:absolute,to:'2016-06-26 16:32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Q17" s="14" t="str">
        <f t="shared" si="0"/>
        <v>4007</v>
      </c>
    </row>
    <row r="18" spans="1:17" s="2" customFormat="1" x14ac:dyDescent="0.25">
      <c r="A18" s="18">
        <v>42547.311793981484</v>
      </c>
      <c r="B18" s="17" t="s">
        <v>88</v>
      </c>
      <c r="C18" s="17" t="s">
        <v>267</v>
      </c>
      <c r="D18" s="17" t="s">
        <v>55</v>
      </c>
      <c r="E18" s="17" t="s">
        <v>76</v>
      </c>
      <c r="F18" s="17">
        <v>150</v>
      </c>
      <c r="G18" s="17">
        <v>207</v>
      </c>
      <c r="H18" s="17">
        <v>109189</v>
      </c>
      <c r="I18" s="17" t="s">
        <v>77</v>
      </c>
      <c r="J18" s="17">
        <v>108954</v>
      </c>
      <c r="K18" s="16" t="s">
        <v>53</v>
      </c>
      <c r="L18" s="16" t="str">
        <f>VLOOKUP(C18,'Trips&amp;Operators'!$C$2:$E$10000,3,FALSE)</f>
        <v>CANFIELD</v>
      </c>
      <c r="M18" s="15" t="s">
        <v>140</v>
      </c>
      <c r="N18" s="16" t="s">
        <v>499</v>
      </c>
      <c r="P18" s="54" t="str">
        <f>VLOOKUP(C18,'Train Runs'!$A$13:$V$174,22,0)</f>
        <v>https://search-rtdc-monitor-bjffxe2xuh6vdkpspy63sjmuny.us-east-1.es.amazonaws.com/_plugin/kibana/#/discover/Steve-Slow-Train-Analysis-(2080s-and-2083s)?_g=(refreshInterval:(display:Off,section:0,value:0),time:(from:'2016-06-26 06:52:33-0600',mode:absolute,to:'2016-06-26 07:46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Q18" s="14" t="str">
        <f t="shared" si="0"/>
        <v>4007</v>
      </c>
    </row>
    <row r="19" spans="1:17" s="2" customFormat="1" x14ac:dyDescent="0.25">
      <c r="A19" s="78">
        <v>42547.433842592596</v>
      </c>
      <c r="B19" s="66" t="s">
        <v>182</v>
      </c>
      <c r="C19" s="66" t="s">
        <v>468</v>
      </c>
      <c r="D19" s="66" t="s">
        <v>55</v>
      </c>
      <c r="E19" s="66" t="s">
        <v>76</v>
      </c>
      <c r="F19" s="66">
        <v>540</v>
      </c>
      <c r="G19" s="66">
        <v>591</v>
      </c>
      <c r="H19" s="66">
        <v>42781</v>
      </c>
      <c r="I19" s="66" t="s">
        <v>77</v>
      </c>
      <c r="J19" s="66">
        <v>42779</v>
      </c>
      <c r="K19" s="66" t="s">
        <v>53</v>
      </c>
      <c r="L19" s="16" t="str">
        <f>VLOOKUP(C19,'Trips&amp;Operators'!$C$2:$E$10000,3,FALSE)</f>
        <v>MALAVE</v>
      </c>
      <c r="M19" s="15" t="s">
        <v>140</v>
      </c>
      <c r="N19" s="16" t="s">
        <v>499</v>
      </c>
      <c r="P19" s="54" t="str">
        <f>VLOOKUP(C19,'Train Runs'!$A$13:$V$174,22,0)</f>
        <v>https://search-rtdc-monitor-bjffxe2xuh6vdkpspy63sjmuny.us-east-1.es.amazonaws.com/_plugin/kibana/#/discover/Steve-Slow-Train-Analysis-(2080s-and-2083s)?_g=(refreshInterval:(display:Off,section:0,value:0),time:(from:'2016-06-26 10:10:09-0600',mode:absolute,to:'2016-06-26 10:55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Q19" s="14" t="str">
        <f t="shared" si="0"/>
        <v>4024</v>
      </c>
    </row>
    <row r="20" spans="1:17" s="2" customFormat="1" x14ac:dyDescent="0.25">
      <c r="A20" s="78">
        <v>42547.479062500002</v>
      </c>
      <c r="B20" s="66" t="s">
        <v>183</v>
      </c>
      <c r="C20" s="66" t="s">
        <v>284</v>
      </c>
      <c r="D20" s="66" t="s">
        <v>50</v>
      </c>
      <c r="E20" s="66" t="s">
        <v>76</v>
      </c>
      <c r="F20" s="66">
        <v>700</v>
      </c>
      <c r="G20" s="66">
        <v>781</v>
      </c>
      <c r="H20" s="66">
        <v>48514</v>
      </c>
      <c r="I20" s="66" t="s">
        <v>77</v>
      </c>
      <c r="J20" s="66">
        <v>48048</v>
      </c>
      <c r="K20" s="66" t="s">
        <v>54</v>
      </c>
      <c r="L20" s="16" t="str">
        <f>VLOOKUP(C20,'Trips&amp;Operators'!$C$2:$E$10000,3,FALSE)</f>
        <v>MALAVE</v>
      </c>
      <c r="M20" s="15" t="s">
        <v>140</v>
      </c>
      <c r="N20" s="16" t="s">
        <v>499</v>
      </c>
      <c r="P20" s="54" t="str">
        <f>VLOOKUP(C20,'Train Runs'!$A$13:$V$174,22,0)</f>
        <v>https://search-rtdc-monitor-bjffxe2xuh6vdkpspy63sjmuny.us-east-1.es.amazonaws.com/_plugin/kibana/#/discover/Steve-Slow-Train-Analysis-(2080s-and-2083s)?_g=(refreshInterval:(display:Off,section:0,value:0),time:(from:'2016-06-26 10:57:52-0600',mode:absolute,to:'2016-06-26 11:45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Q20" s="14" t="str">
        <f t="shared" si="0"/>
        <v>4023</v>
      </c>
    </row>
    <row r="21" spans="1:17" s="2" customFormat="1" x14ac:dyDescent="0.25">
      <c r="A21" s="18">
        <v>42547.556805555556</v>
      </c>
      <c r="B21" s="17" t="s">
        <v>83</v>
      </c>
      <c r="C21" s="17" t="s">
        <v>315</v>
      </c>
      <c r="D21" s="17" t="s">
        <v>50</v>
      </c>
      <c r="E21" s="17" t="s">
        <v>58</v>
      </c>
      <c r="F21" s="17">
        <v>150</v>
      </c>
      <c r="G21" s="17">
        <v>134</v>
      </c>
      <c r="H21" s="17">
        <v>231784</v>
      </c>
      <c r="I21" s="17" t="s">
        <v>59</v>
      </c>
      <c r="J21" s="17">
        <v>232107</v>
      </c>
      <c r="K21" s="16" t="s">
        <v>53</v>
      </c>
      <c r="L21" s="16" t="str">
        <f>VLOOKUP(C21,'Trips&amp;Operators'!$C$2:$E$10000,3,FALSE)</f>
        <v>WEBSTER</v>
      </c>
      <c r="M21" s="15" t="s">
        <v>140</v>
      </c>
      <c r="N21" s="16"/>
      <c r="P21" s="54" t="str">
        <f>VLOOKUP(C21,'Train Runs'!$A$13:$V$174,22,0)</f>
        <v>https://search-rtdc-monitor-bjffxe2xuh6vdkpspy63sjmuny.us-east-1.es.amazonaws.com/_plugin/kibana/#/discover/Steve-Slow-Train-Analysis-(2080s-and-2083s)?_g=(refreshInterval:(display:Off,section:0,value:0),time:(from:'2016-06-26 12:40:23-0600',mode:absolute,to:'2016-06-26 13:24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Q21" s="14" t="str">
        <f t="shared" si="0"/>
        <v>4018</v>
      </c>
    </row>
    <row r="22" spans="1:17" s="2" customFormat="1" x14ac:dyDescent="0.25">
      <c r="A22" s="18">
        <v>42547.40861111111</v>
      </c>
      <c r="B22" s="17" t="s">
        <v>81</v>
      </c>
      <c r="C22" s="17" t="s">
        <v>463</v>
      </c>
      <c r="D22" s="17" t="s">
        <v>50</v>
      </c>
      <c r="E22" s="17" t="s">
        <v>58</v>
      </c>
      <c r="F22" s="17">
        <v>200</v>
      </c>
      <c r="G22" s="17">
        <v>176</v>
      </c>
      <c r="H22" s="17">
        <v>3717</v>
      </c>
      <c r="I22" s="17" t="s">
        <v>59</v>
      </c>
      <c r="J22" s="17">
        <v>4677</v>
      </c>
      <c r="K22" s="16" t="s">
        <v>53</v>
      </c>
      <c r="L22" s="16" t="str">
        <f>VLOOKUP(C22,'Trips&amp;Operators'!$C$2:$E$10000,3,FALSE)</f>
        <v>SANTIZO</v>
      </c>
      <c r="M22" s="15" t="s">
        <v>140</v>
      </c>
      <c r="N22" s="16"/>
      <c r="P22" s="54" t="str">
        <f>VLOOKUP(C22,'Train Runs'!$A$13:$V$174,22,0)</f>
        <v>https://search-rtdc-monitor-bjffxe2xuh6vdkpspy63sjmuny.us-east-1.es.amazonaws.com/_plugin/kibana/#/discover/Steve-Slow-Train-Analysis-(2080s-and-2083s)?_g=(refreshInterval:(display:Off,section:0,value:0),time:(from:'2016-06-26 09:43:22-0600',mode:absolute,to:'2016-06-26 09:53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Q22" s="14" t="str">
        <f t="shared" si="0"/>
        <v>4020</v>
      </c>
    </row>
    <row r="23" spans="1:17" s="2" customFormat="1" x14ac:dyDescent="0.25">
      <c r="A23" s="78">
        <v>42547.483530092592</v>
      </c>
      <c r="B23" s="66" t="s">
        <v>183</v>
      </c>
      <c r="C23" s="66" t="s">
        <v>284</v>
      </c>
      <c r="D23" s="66" t="s">
        <v>50</v>
      </c>
      <c r="E23" s="66" t="s">
        <v>58</v>
      </c>
      <c r="F23" s="66">
        <v>300</v>
      </c>
      <c r="G23" s="66">
        <v>519</v>
      </c>
      <c r="H23" s="66">
        <v>24777</v>
      </c>
      <c r="I23" s="66" t="s">
        <v>59</v>
      </c>
      <c r="J23" s="66">
        <v>21848</v>
      </c>
      <c r="K23" s="66" t="s">
        <v>54</v>
      </c>
      <c r="L23" s="16" t="str">
        <f>VLOOKUP(C23,'Trips&amp;Operators'!$C$2:$E$10000,3,FALSE)</f>
        <v>MALAVE</v>
      </c>
      <c r="M23" s="15" t="s">
        <v>140</v>
      </c>
      <c r="N23" s="16"/>
      <c r="P23" s="54" t="str">
        <f>VLOOKUP(C23,'Train Runs'!$A$13:$V$174,22,0)</f>
        <v>https://search-rtdc-monitor-bjffxe2xuh6vdkpspy63sjmuny.us-east-1.es.amazonaws.com/_plugin/kibana/#/discover/Steve-Slow-Train-Analysis-(2080s-and-2083s)?_g=(refreshInterval:(display:Off,section:0,value:0),time:(from:'2016-06-26 10:57:52-0600',mode:absolute,to:'2016-06-26 11:45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Q23" s="14" t="str">
        <f t="shared" si="0"/>
        <v>4023</v>
      </c>
    </row>
    <row r="24" spans="1:17" s="2" customFormat="1" x14ac:dyDescent="0.25">
      <c r="A24" s="18">
        <v>42547.405682870369</v>
      </c>
      <c r="B24" s="17" t="s">
        <v>150</v>
      </c>
      <c r="C24" s="17" t="s">
        <v>456</v>
      </c>
      <c r="D24" s="17" t="s">
        <v>50</v>
      </c>
      <c r="E24" s="17" t="s">
        <v>58</v>
      </c>
      <c r="F24" s="17">
        <v>350</v>
      </c>
      <c r="G24" s="17">
        <v>551</v>
      </c>
      <c r="H24" s="17">
        <v>222121</v>
      </c>
      <c r="I24" s="17" t="s">
        <v>59</v>
      </c>
      <c r="J24" s="17">
        <v>224578</v>
      </c>
      <c r="K24" s="16" t="s">
        <v>53</v>
      </c>
      <c r="L24" s="16" t="str">
        <f>VLOOKUP(C24,'Trips&amp;Operators'!$C$2:$E$10000,3,FALSE)</f>
        <v>MAYBERRY</v>
      </c>
      <c r="M24" s="15" t="s">
        <v>140</v>
      </c>
      <c r="N24" s="16"/>
      <c r="P24" s="54" t="str">
        <f>VLOOKUP(C24,'Train Runs'!$A$13:$V$174,22,0)</f>
        <v>https://search-rtdc-monitor-bjffxe2xuh6vdkpspy63sjmuny.us-east-1.es.amazonaws.com/_plugin/kibana/#/discover/Steve-Slow-Train-Analysis-(2080s-and-2083s)?_g=(refreshInterval:(display:Off,section:0,value:0),time:(from:'2016-06-26 09:00:35-0600',mode:absolute,to:'2016-06-26 09:49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Q24" s="14" t="str">
        <f t="shared" si="0"/>
        <v>4038</v>
      </c>
    </row>
    <row r="25" spans="1:17" s="2" customFormat="1" x14ac:dyDescent="0.25">
      <c r="A25" s="78">
        <v>42547.59615740741</v>
      </c>
      <c r="B25" s="66" t="s">
        <v>150</v>
      </c>
      <c r="C25" s="66" t="s">
        <v>360</v>
      </c>
      <c r="D25" s="66" t="s">
        <v>50</v>
      </c>
      <c r="E25" s="66" t="s">
        <v>58</v>
      </c>
      <c r="F25" s="66">
        <v>450</v>
      </c>
      <c r="G25" s="66">
        <v>505</v>
      </c>
      <c r="H25" s="66">
        <v>10747</v>
      </c>
      <c r="I25" s="66" t="s">
        <v>59</v>
      </c>
      <c r="J25" s="66">
        <v>11201</v>
      </c>
      <c r="K25" s="66" t="s">
        <v>53</v>
      </c>
      <c r="L25" s="16" t="str">
        <f>VLOOKUP(C25,'Trips&amp;Operators'!$C$2:$E$10000,3,FALSE)</f>
        <v>HELVIE</v>
      </c>
      <c r="M25" s="15" t="s">
        <v>140</v>
      </c>
      <c r="N25" s="16"/>
      <c r="O25" s="42"/>
      <c r="P25" s="54" t="str">
        <f>VLOOKUP(C25,'Train Runs'!$A$13:$V$174,22,0)</f>
        <v>https://search-rtdc-monitor-bjffxe2xuh6vdkpspy63sjmuny.us-east-1.es.amazonaws.com/_plugin/kibana/#/discover/Steve-Slow-Train-Analysis-(2080s-and-2083s)?_g=(refreshInterval:(display:Off,section:0,value:0),time:(from:'2016-06-26 14:10:43-0600',mode:absolute,to:'2016-06-26 14:54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Q25" s="14" t="str">
        <f t="shared" si="0"/>
        <v>4038</v>
      </c>
    </row>
    <row r="26" spans="1:17" s="2" customFormat="1" x14ac:dyDescent="0.25">
      <c r="A26" s="78">
        <v>42547.607615740744</v>
      </c>
      <c r="B26" s="66" t="s">
        <v>88</v>
      </c>
      <c r="C26" s="66" t="s">
        <v>353</v>
      </c>
      <c r="D26" s="66" t="s">
        <v>50</v>
      </c>
      <c r="E26" s="66" t="s">
        <v>58</v>
      </c>
      <c r="F26" s="66">
        <v>450</v>
      </c>
      <c r="G26" s="66">
        <v>464</v>
      </c>
      <c r="H26" s="66">
        <v>189716</v>
      </c>
      <c r="I26" s="66" t="s">
        <v>59</v>
      </c>
      <c r="J26" s="66">
        <v>190834</v>
      </c>
      <c r="K26" s="66" t="s">
        <v>53</v>
      </c>
      <c r="L26" s="16" t="str">
        <f>VLOOKUP(C26,'Trips&amp;Operators'!$C$2:$E$10000,3,FALSE)</f>
        <v>STEWART</v>
      </c>
      <c r="M26" s="15" t="s">
        <v>140</v>
      </c>
      <c r="N26" s="16"/>
      <c r="O26" s="42"/>
      <c r="P26" s="54" t="str">
        <f>VLOOKUP(C26,'Train Runs'!$A$13:$V$174,22,0)</f>
        <v>https://search-rtdc-monitor-bjffxe2xuh6vdkpspy63sjmuny.us-east-1.es.amazonaws.com/_plugin/kibana/#/discover/Steve-Slow-Train-Analysis-(2080s-and-2083s)?_g=(refreshInterval:(display:Off,section:0,value:0),time:(from:'2016-06-26 13:59:37-0600',mode:absolute,to:'2016-06-26 14:43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Q26" s="14" t="str">
        <f t="shared" si="0"/>
        <v>4007</v>
      </c>
    </row>
    <row r="27" spans="1:17" s="2" customFormat="1" x14ac:dyDescent="0.25">
      <c r="A27" s="78">
        <v>42547.704606481479</v>
      </c>
      <c r="B27" s="66" t="s">
        <v>88</v>
      </c>
      <c r="C27" s="66" t="s">
        <v>378</v>
      </c>
      <c r="D27" s="66" t="s">
        <v>50</v>
      </c>
      <c r="E27" s="66" t="s">
        <v>58</v>
      </c>
      <c r="F27" s="66">
        <v>450</v>
      </c>
      <c r="G27" s="66">
        <v>411</v>
      </c>
      <c r="H27" s="66">
        <v>192137</v>
      </c>
      <c r="I27" s="66" t="s">
        <v>59</v>
      </c>
      <c r="J27" s="66">
        <v>191108</v>
      </c>
      <c r="K27" s="66" t="s">
        <v>54</v>
      </c>
      <c r="L27" s="16" t="str">
        <f>VLOOKUP(C27,'Trips&amp;Operators'!$C$2:$E$10000,3,FALSE)</f>
        <v>STEWART</v>
      </c>
      <c r="M27" s="15" t="s">
        <v>140</v>
      </c>
      <c r="N27" s="66"/>
      <c r="O27" s="42"/>
      <c r="P27" s="54" t="str">
        <f>VLOOKUP(C27,'Train Runs'!$A$13:$V$174,22,0)</f>
        <v>https://search-rtdc-monitor-bjffxe2xuh6vdkpspy63sjmuny.us-east-1.es.amazonaws.com/_plugin/kibana/#/discover/Steve-Slow-Train-Analysis-(2080s-and-2083s)?_g=(refreshInterval:(display:Off,section:0,value:0),time:(from:'2016-06-26 15:43:27-0600',mode:absolute,to:'2016-06-26 16:32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Q27" s="14" t="str">
        <f t="shared" si="0"/>
        <v>4007</v>
      </c>
    </row>
    <row r="28" spans="1:17" s="2" customFormat="1" x14ac:dyDescent="0.25">
      <c r="A28" s="78">
        <v>42547.481944444444</v>
      </c>
      <c r="B28" s="66" t="s">
        <v>83</v>
      </c>
      <c r="C28" s="66" t="s">
        <v>291</v>
      </c>
      <c r="D28" s="66" t="s">
        <v>55</v>
      </c>
      <c r="E28" s="66" t="s">
        <v>58</v>
      </c>
      <c r="F28" s="66">
        <v>700</v>
      </c>
      <c r="G28" s="66">
        <v>750</v>
      </c>
      <c r="H28" s="66">
        <v>180620</v>
      </c>
      <c r="I28" s="66" t="s">
        <v>59</v>
      </c>
      <c r="J28" s="66">
        <v>161962</v>
      </c>
      <c r="K28" s="66" t="s">
        <v>53</v>
      </c>
      <c r="L28" s="16" t="str">
        <f>VLOOKUP(C28,'Trips&amp;Operators'!$C$2:$E$10000,3,FALSE)</f>
        <v>MAYBERRY</v>
      </c>
      <c r="M28" s="15" t="s">
        <v>140</v>
      </c>
      <c r="N28" s="16"/>
      <c r="P28" s="54" t="str">
        <f>VLOOKUP(C28,'Train Runs'!$A$13:$V$174,22,0)</f>
        <v>https://search-rtdc-monitor-bjffxe2xuh6vdkpspy63sjmuny.us-east-1.es.amazonaws.com/_plugin/kibana/#/discover/Steve-Slow-Train-Analysis-(2080s-and-2083s)?_g=(refreshInterval:(display:Off,section:0,value:0),time:(from:'2016-06-26 10:54:40-0600',mode:absolute,to:'2016-06-26 11:42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Q28" s="14" t="str">
        <f t="shared" si="0"/>
        <v>4018</v>
      </c>
    </row>
    <row r="29" spans="1:17" s="2" customFormat="1" x14ac:dyDescent="0.25">
      <c r="A29" s="18">
        <v>42547.306770833333</v>
      </c>
      <c r="B29" s="17" t="s">
        <v>88</v>
      </c>
      <c r="C29" s="17" t="s">
        <v>267</v>
      </c>
      <c r="D29" s="17" t="s">
        <v>50</v>
      </c>
      <c r="E29" s="17" t="s">
        <v>56</v>
      </c>
      <c r="F29" s="17">
        <v>0</v>
      </c>
      <c r="G29" s="17">
        <v>638</v>
      </c>
      <c r="H29" s="17">
        <v>104869</v>
      </c>
      <c r="I29" s="17" t="s">
        <v>57</v>
      </c>
      <c r="J29" s="17">
        <v>107939</v>
      </c>
      <c r="K29" s="16" t="s">
        <v>53</v>
      </c>
      <c r="L29" s="16" t="str">
        <f>VLOOKUP(C29,'Trips&amp;Operators'!$C$2:$E$10000,3,FALSE)</f>
        <v>CANFIELD</v>
      </c>
      <c r="M29" s="15" t="s">
        <v>139</v>
      </c>
      <c r="N29" s="16" t="s">
        <v>502</v>
      </c>
      <c r="P29" s="54" t="str">
        <f>VLOOKUP(C29,'Train Runs'!$A$13:$V$174,22,0)</f>
        <v>https://search-rtdc-monitor-bjffxe2xuh6vdkpspy63sjmuny.us-east-1.es.amazonaws.com/_plugin/kibana/#/discover/Steve-Slow-Train-Analysis-(2080s-and-2083s)?_g=(refreshInterval:(display:Off,section:0,value:0),time:(from:'2016-06-26 06:52:33-0600',mode:absolute,to:'2016-06-26 07:46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Q29" s="14" t="str">
        <f t="shared" si="0"/>
        <v>4007</v>
      </c>
    </row>
    <row r="30" spans="1:17" s="2" customFormat="1" x14ac:dyDescent="0.25">
      <c r="A30" s="78">
        <v>42547.537442129629</v>
      </c>
      <c r="B30" s="66" t="s">
        <v>183</v>
      </c>
      <c r="C30" s="66" t="s">
        <v>303</v>
      </c>
      <c r="D30" s="66" t="s">
        <v>50</v>
      </c>
      <c r="E30" s="66" t="s">
        <v>56</v>
      </c>
      <c r="F30" s="66">
        <v>0</v>
      </c>
      <c r="G30" s="66">
        <v>338</v>
      </c>
      <c r="H30" s="66">
        <v>128735</v>
      </c>
      <c r="I30" s="66" t="s">
        <v>57</v>
      </c>
      <c r="J30" s="66">
        <v>127587</v>
      </c>
      <c r="K30" s="66" t="s">
        <v>54</v>
      </c>
      <c r="L30" s="16" t="str">
        <f>VLOOKUP(C30,'Trips&amp;Operators'!$C$2:$E$10000,3,FALSE)</f>
        <v>LOCKLEAR</v>
      </c>
      <c r="M30" s="15" t="s">
        <v>140</v>
      </c>
      <c r="N30" s="16" t="s">
        <v>500</v>
      </c>
      <c r="P30" s="54" t="str">
        <f>VLOOKUP(C30,'Train Runs'!$A$13:$V$174,22,0)</f>
        <v>https://search-rtdc-monitor-bjffxe2xuh6vdkpspy63sjmuny.us-east-1.es.amazonaws.com/_plugin/kibana/#/discover/Steve-Slow-Train-Analysis-(2080s-and-2083s)?_g=(refreshInterval:(display:Off,section:0,value:0),time:(from:'2016-06-26 12:37:59-0600',mode:absolute,to:'2016-06-26 13:19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Q30" s="14" t="str">
        <f t="shared" si="0"/>
        <v>4023</v>
      </c>
    </row>
    <row r="31" spans="1:17" s="2" customFormat="1" x14ac:dyDescent="0.25">
      <c r="A31" s="78">
        <v>42547.674722222226</v>
      </c>
      <c r="B31" s="66" t="s">
        <v>80</v>
      </c>
      <c r="C31" s="66" t="s">
        <v>370</v>
      </c>
      <c r="D31" s="66" t="s">
        <v>50</v>
      </c>
      <c r="E31" s="66" t="s">
        <v>56</v>
      </c>
      <c r="F31" s="66">
        <v>0</v>
      </c>
      <c r="G31" s="66">
        <v>116</v>
      </c>
      <c r="H31" s="66">
        <v>127960</v>
      </c>
      <c r="I31" s="66" t="s">
        <v>57</v>
      </c>
      <c r="J31" s="66">
        <v>127587</v>
      </c>
      <c r="K31" s="66" t="s">
        <v>54</v>
      </c>
      <c r="L31" s="16" t="str">
        <f>VLOOKUP(C31,'Trips&amp;Operators'!$C$2:$E$10000,3,FALSE)</f>
        <v>BONDS</v>
      </c>
      <c r="M31" s="15" t="s">
        <v>140</v>
      </c>
      <c r="N31" s="16" t="s">
        <v>500</v>
      </c>
      <c r="O31" s="42"/>
      <c r="P31" s="54" t="str">
        <f>VLOOKUP(C31,'Train Runs'!$A$13:$V$174,22,0)</f>
        <v>https://search-rtdc-monitor-bjffxe2xuh6vdkpspy63sjmuny.us-east-1.es.amazonaws.com/_plugin/kibana/#/discover/Steve-Slow-Train-Analysis-(2080s-and-2083s)?_g=(refreshInterval:(display:Off,section:0,value:0),time:(from:'2016-06-26 15:47:32-0600',mode:absolute,to:'2016-06-26 16:40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Q31" s="14" t="str">
        <f t="shared" si="0"/>
        <v>4019</v>
      </c>
    </row>
    <row r="32" spans="1:17" s="2" customFormat="1" x14ac:dyDescent="0.25">
      <c r="A32" s="78">
        <v>42547.45894675926</v>
      </c>
      <c r="B32" s="66" t="s">
        <v>184</v>
      </c>
      <c r="C32" s="66" t="s">
        <v>470</v>
      </c>
      <c r="D32" s="66" t="s">
        <v>50</v>
      </c>
      <c r="E32" s="66" t="s">
        <v>56</v>
      </c>
      <c r="F32" s="66">
        <v>0</v>
      </c>
      <c r="G32" s="66">
        <v>762</v>
      </c>
      <c r="H32" s="66">
        <v>199601</v>
      </c>
      <c r="I32" s="66" t="s">
        <v>57</v>
      </c>
      <c r="J32" s="66">
        <v>204300</v>
      </c>
      <c r="K32" s="66" t="s">
        <v>53</v>
      </c>
      <c r="L32" s="16" t="str">
        <f>VLOOKUP(C32,'Trips&amp;Operators'!$C$2:$E$10000,3,FALSE)</f>
        <v>ACKERMAN</v>
      </c>
      <c r="M32" s="15" t="s">
        <v>139</v>
      </c>
      <c r="N32" s="66" t="s">
        <v>501</v>
      </c>
      <c r="P32" s="54" t="str">
        <f>VLOOKUP(C32,'Train Runs'!$A$13:$V$174,22,0)</f>
        <v>https://search-rtdc-monitor-bjffxe2xuh6vdkpspy63sjmuny.us-east-1.es.amazonaws.com/_plugin/kibana/#/discover/Steve-Slow-Train-Analysis-(2080s-and-2083s)?_g=(refreshInterval:(display:Off,section:0,value:0),time:(from:'2016-06-26 10:13:12-0600',mode:absolute,to:'2016-06-26 11:09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Q32" s="14" t="str">
        <f t="shared" si="0"/>
        <v>4011</v>
      </c>
    </row>
    <row r="33" spans="1:17" x14ac:dyDescent="0.25">
      <c r="A33" s="78">
        <v>42547.915011574078</v>
      </c>
      <c r="B33" s="66" t="s">
        <v>184</v>
      </c>
      <c r="C33" s="66" t="s">
        <v>431</v>
      </c>
      <c r="D33" s="66" t="s">
        <v>50</v>
      </c>
      <c r="E33" s="66" t="s">
        <v>137</v>
      </c>
      <c r="F33" s="66">
        <v>0</v>
      </c>
      <c r="G33" s="66">
        <v>739</v>
      </c>
      <c r="H33" s="66">
        <v>149597</v>
      </c>
      <c r="I33" s="66" t="s">
        <v>138</v>
      </c>
      <c r="J33" s="66">
        <v>155600</v>
      </c>
      <c r="K33" s="66" t="s">
        <v>53</v>
      </c>
      <c r="L33" s="16" t="str">
        <f>VLOOKUP(C33,'Trips&amp;Operators'!$C$2:$E$10000,3,FALSE)</f>
        <v>CHANDLER</v>
      </c>
      <c r="M33" s="15" t="s">
        <v>139</v>
      </c>
      <c r="N33" s="66" t="s">
        <v>501</v>
      </c>
      <c r="P33" s="54" t="str">
        <f>VLOOKUP(C33,'Train Runs'!$A$13:$V$174,22,0)</f>
        <v>https://search-rtdc-monitor-bjffxe2xuh6vdkpspy63sjmuny.us-east-1.es.amazonaws.com/_plugin/kibana/#/discover/Steve-Slow-Train-Analysis-(2080s-and-2083s)?_g=(refreshInterval:(display:Off,section:0,value:0),time:(from:'2016-06-26 21:23:51-0600',mode:absolute,to:'2016-06-26 22:12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Q33" s="14" t="str">
        <f t="shared" si="0"/>
        <v>4011</v>
      </c>
    </row>
    <row r="34" spans="1:17" x14ac:dyDescent="0.25">
      <c r="A34" s="78">
        <v>42547.961261574077</v>
      </c>
      <c r="B34" s="66" t="s">
        <v>212</v>
      </c>
      <c r="C34" s="66" t="s">
        <v>435</v>
      </c>
      <c r="D34" s="66" t="s">
        <v>50</v>
      </c>
      <c r="E34" s="66" t="s">
        <v>137</v>
      </c>
      <c r="F34" s="66">
        <v>0</v>
      </c>
      <c r="G34" s="66">
        <v>141</v>
      </c>
      <c r="H34" s="66">
        <v>231830</v>
      </c>
      <c r="I34" s="66" t="s">
        <v>138</v>
      </c>
      <c r="J34" s="66">
        <v>231147</v>
      </c>
      <c r="K34" s="66" t="s">
        <v>54</v>
      </c>
      <c r="L34" s="16" t="str">
        <f>VLOOKUP(C34,'Trips&amp;Operators'!$C$2:$E$10000,3,FALSE)</f>
        <v>BRUDER</v>
      </c>
      <c r="M34" s="15" t="s">
        <v>139</v>
      </c>
      <c r="N34" s="66" t="s">
        <v>501</v>
      </c>
      <c r="P34" s="54" t="str">
        <f>VLOOKUP(C34,'Train Runs'!$A$13:$V$174,22,0)</f>
        <v>https://search-rtdc-monitor-bjffxe2xuh6vdkpspy63sjmuny.us-east-1.es.amazonaws.com/_plugin/kibana/#/discover/Steve-Slow-Train-Analysis-(2080s-and-2083s)?_g=(refreshInterval:(display:Off,section:0,value:0),time:(from:'2016-06-26 22:48:19-0600',mode:absolute,to:'2016-06-26 23:43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Q34" s="14" t="str">
        <f t="shared" si="0"/>
        <v>4026</v>
      </c>
    </row>
    <row r="35" spans="1:17" x14ac:dyDescent="0.25">
      <c r="A35" s="78">
        <v>42547.241354166668</v>
      </c>
      <c r="B35" s="66" t="s">
        <v>183</v>
      </c>
      <c r="C35" s="66" t="s">
        <v>233</v>
      </c>
      <c r="D35" s="66" t="s">
        <v>50</v>
      </c>
      <c r="E35" s="66" t="s">
        <v>51</v>
      </c>
      <c r="F35" s="66">
        <v>0</v>
      </c>
      <c r="G35" s="66">
        <v>42</v>
      </c>
      <c r="H35" s="66">
        <v>161</v>
      </c>
      <c r="I35" s="66" t="s">
        <v>52</v>
      </c>
      <c r="J35" s="66">
        <v>1</v>
      </c>
      <c r="K35" s="66" t="s">
        <v>54</v>
      </c>
      <c r="L35" s="16" t="str">
        <f>VLOOKUP(C35,'Trips&amp;Operators'!$C$2:$E$10000,3,FALSE)</f>
        <v>YORK</v>
      </c>
      <c r="M35" s="15" t="s">
        <v>140</v>
      </c>
      <c r="N35" s="16"/>
      <c r="O35" s="2"/>
      <c r="P35" s="54" t="str">
        <f>VLOOKUP(C35,'Train Runs'!$A$13:$V$174,22,0)</f>
        <v>https://search-rtdc-monitor-bjffxe2xuh6vdkpspy63sjmuny.us-east-1.es.amazonaws.com/_plugin/kibana/#/discover/Steve-Slow-Train-Analysis-(2080s-and-2083s)?_g=(refreshInterval:(display:Off,section:0,value:0),time:(from:'2016-06-26 04:52:22-0600',mode:absolute,to:'2016-06-26 05:48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Q35" s="14" t="str">
        <f t="shared" si="0"/>
        <v>4023</v>
      </c>
    </row>
    <row r="36" spans="1:17" x14ac:dyDescent="0.25">
      <c r="A36" s="78">
        <v>42547.264409722222</v>
      </c>
      <c r="B36" s="66" t="s">
        <v>101</v>
      </c>
      <c r="C36" s="66" t="s">
        <v>241</v>
      </c>
      <c r="D36" s="66" t="s">
        <v>50</v>
      </c>
      <c r="E36" s="66" t="s">
        <v>51</v>
      </c>
      <c r="F36" s="66">
        <v>0</v>
      </c>
      <c r="G36" s="66">
        <v>2</v>
      </c>
      <c r="H36" s="66">
        <v>123</v>
      </c>
      <c r="I36" s="66" t="s">
        <v>52</v>
      </c>
      <c r="J36" s="66">
        <v>1</v>
      </c>
      <c r="K36" s="66" t="s">
        <v>54</v>
      </c>
      <c r="L36" s="16" t="str">
        <f>VLOOKUP(C36,'Trips&amp;Operators'!$C$2:$E$10000,3,FALSE)</f>
        <v>MALAVE</v>
      </c>
      <c r="M36" s="15" t="s">
        <v>140</v>
      </c>
      <c r="N36" s="16"/>
      <c r="O36" s="2"/>
      <c r="P36" s="54" t="str">
        <f>VLOOKUP(C36,'Train Runs'!$A$13:$V$174,22,0)</f>
        <v>https://search-rtdc-monitor-bjffxe2xuh6vdkpspy63sjmuny.us-east-1.es.amazonaws.com/_plugin/kibana/#/discover/Steve-Slow-Train-Analysis-(2080s-and-2083s)?_g=(refreshInterval:(display:Off,section:0,value:0),time:(from:'2016-06-26 05:37:07-0600',mode:absolute,to:'2016-06-26 06:21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Q36" s="14" t="str">
        <f t="shared" si="0"/>
        <v>4041</v>
      </c>
    </row>
    <row r="37" spans="1:17" x14ac:dyDescent="0.25">
      <c r="A37" s="78">
        <v>42547.296134259261</v>
      </c>
      <c r="B37" s="66" t="s">
        <v>479</v>
      </c>
      <c r="C37" s="66" t="s">
        <v>250</v>
      </c>
      <c r="D37" s="66" t="s">
        <v>50</v>
      </c>
      <c r="E37" s="66" t="s">
        <v>51</v>
      </c>
      <c r="F37" s="66">
        <v>0</v>
      </c>
      <c r="G37" s="66">
        <v>72</v>
      </c>
      <c r="H37" s="66">
        <v>238</v>
      </c>
      <c r="I37" s="66" t="s">
        <v>52</v>
      </c>
      <c r="J37" s="66">
        <v>1</v>
      </c>
      <c r="K37" s="66" t="s">
        <v>54</v>
      </c>
      <c r="L37" s="16" t="str">
        <f>VLOOKUP(C37,'Trips&amp;Operators'!$C$2:$E$10000,3,FALSE)</f>
        <v>MAYBERRY</v>
      </c>
      <c r="M37" s="15" t="s">
        <v>140</v>
      </c>
      <c r="N37" s="16"/>
      <c r="O37" s="2"/>
      <c r="P37" s="54" t="str">
        <f>VLOOKUP(C37,'Train Runs'!$A$13:$V$174,22,0)</f>
        <v>https://search-rtdc-monitor-bjffxe2xuh6vdkpspy63sjmuny.us-east-1.es.amazonaws.com/_plugin/kibana/#/discover/Steve-Slow-Train-Analysis-(2080s-and-2083s)?_g=(refreshInterval:(display:Off,section:0,value:0),time:(from:'2016-06-26 06:14:02-0600',mode:absolute,to:'2016-06-26 07:08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Q37" s="14" t="str">
        <f t="shared" si="0"/>
        <v>4037</v>
      </c>
    </row>
    <row r="38" spans="1:17" x14ac:dyDescent="0.25">
      <c r="A38" s="78">
        <v>42547.373472222222</v>
      </c>
      <c r="B38" s="66" t="s">
        <v>479</v>
      </c>
      <c r="C38" s="66" t="s">
        <v>271</v>
      </c>
      <c r="D38" s="66" t="s">
        <v>50</v>
      </c>
      <c r="E38" s="66" t="s">
        <v>51</v>
      </c>
      <c r="F38" s="66">
        <v>0</v>
      </c>
      <c r="G38" s="66">
        <v>61</v>
      </c>
      <c r="H38" s="66">
        <v>229</v>
      </c>
      <c r="I38" s="66" t="s">
        <v>52</v>
      </c>
      <c r="J38" s="66">
        <v>1</v>
      </c>
      <c r="K38" s="66" t="s">
        <v>54</v>
      </c>
      <c r="L38" s="16" t="str">
        <f>VLOOKUP(C38,'Trips&amp;Operators'!$C$2:$E$10000,3,FALSE)</f>
        <v>MAYBERRY</v>
      </c>
      <c r="M38" s="15" t="s">
        <v>140</v>
      </c>
      <c r="N38" s="16"/>
      <c r="O38" s="2"/>
      <c r="P38" s="54" t="str">
        <f>VLOOKUP(C38,'Train Runs'!$A$13:$V$174,22,0)</f>
        <v>https://search-rtdc-monitor-bjffxe2xuh6vdkpspy63sjmuny.us-east-1.es.amazonaws.com/_plugin/kibana/#/discover/Steve-Slow-Train-Analysis-(2080s-and-2083s)?_g=(refreshInterval:(display:Off,section:0,value:0),time:(from:'2016-06-26 08:06:08-0600',mode:absolute,to:'2016-06-26 08:58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Q38" s="14" t="str">
        <f t="shared" si="0"/>
        <v>4037</v>
      </c>
    </row>
    <row r="39" spans="1:17" x14ac:dyDescent="0.25">
      <c r="A39" s="18">
        <v>42547.424872685187</v>
      </c>
      <c r="B39" s="17" t="s">
        <v>185</v>
      </c>
      <c r="C39" s="17" t="s">
        <v>453</v>
      </c>
      <c r="D39" s="17" t="s">
        <v>50</v>
      </c>
      <c r="E39" s="17" t="s">
        <v>51</v>
      </c>
      <c r="F39" s="17">
        <v>0</v>
      </c>
      <c r="G39" s="17">
        <v>40</v>
      </c>
      <c r="H39" s="17">
        <v>136</v>
      </c>
      <c r="I39" s="17" t="s">
        <v>52</v>
      </c>
      <c r="J39" s="17">
        <v>1</v>
      </c>
      <c r="K39" s="16" t="s">
        <v>54</v>
      </c>
      <c r="L39" s="16" t="str">
        <f>VLOOKUP(C39,'Trips&amp;Operators'!$C$2:$E$10000,3,FALSE)</f>
        <v>GEBRETEKLE</v>
      </c>
      <c r="M39" s="15" t="s">
        <v>140</v>
      </c>
      <c r="N39" s="16"/>
      <c r="O39" s="2"/>
      <c r="P39" s="54" t="str">
        <f>VLOOKUP(C39,'Train Runs'!$A$13:$V$174,22,0)</f>
        <v>https://search-rtdc-monitor-bjffxe2xuh6vdkpspy63sjmuny.us-east-1.es.amazonaws.com/_plugin/kibana/#/discover/Steve-Slow-Train-Analysis-(2080s-and-2083s)?_g=(refreshInterval:(display:Off,section:0,value:0),time:(from:'2016-06-26 09:24:04-0600',mode:absolute,to:'2016-06-26 10:13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Q39" s="14" t="str">
        <f t="shared" si="0"/>
        <v>4012</v>
      </c>
    </row>
    <row r="40" spans="1:17" x14ac:dyDescent="0.25">
      <c r="A40" s="78">
        <v>42547.475266203706</v>
      </c>
      <c r="B40" s="66" t="s">
        <v>80</v>
      </c>
      <c r="C40" s="66" t="s">
        <v>467</v>
      </c>
      <c r="D40" s="66" t="s">
        <v>50</v>
      </c>
      <c r="E40" s="66" t="s">
        <v>51</v>
      </c>
      <c r="F40" s="66">
        <v>0</v>
      </c>
      <c r="G40" s="66">
        <v>49</v>
      </c>
      <c r="H40" s="66">
        <v>163</v>
      </c>
      <c r="I40" s="66" t="s">
        <v>52</v>
      </c>
      <c r="J40" s="66">
        <v>1</v>
      </c>
      <c r="K40" s="66" t="s">
        <v>54</v>
      </c>
      <c r="L40" s="16" t="str">
        <f>VLOOKUP(C40,'Trips&amp;Operators'!$C$2:$E$10000,3,FALSE)</f>
        <v>SANTIZO</v>
      </c>
      <c r="M40" s="15" t="s">
        <v>140</v>
      </c>
      <c r="N40" s="16"/>
      <c r="O40" s="2"/>
      <c r="P40" s="54" t="str">
        <f>VLOOKUP(C40,'Train Runs'!$A$13:$V$174,22,0)</f>
        <v>https://search-rtdc-monitor-bjffxe2xuh6vdkpspy63sjmuny.us-east-1.es.amazonaws.com/_plugin/kibana/#/discover/Steve-Slow-Train-Analysis-(2080s-and-2083s)?_g=(refreshInterval:(display:Off,section:0,value:0),time:(from:'2016-06-26 10:39:48-0600',mode:absolute,to:'2016-06-26 11:25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Q40" s="14" t="str">
        <f t="shared" si="0"/>
        <v>4019</v>
      </c>
    </row>
    <row r="41" spans="1:17" x14ac:dyDescent="0.25">
      <c r="A41" s="78">
        <v>42547.488576388889</v>
      </c>
      <c r="B41" s="66" t="s">
        <v>183</v>
      </c>
      <c r="C41" s="66" t="s">
        <v>284</v>
      </c>
      <c r="D41" s="66" t="s">
        <v>50</v>
      </c>
      <c r="E41" s="66" t="s">
        <v>51</v>
      </c>
      <c r="F41" s="66">
        <v>0</v>
      </c>
      <c r="G41" s="66">
        <v>7</v>
      </c>
      <c r="H41" s="66">
        <v>132</v>
      </c>
      <c r="I41" s="66" t="s">
        <v>52</v>
      </c>
      <c r="J41" s="66">
        <v>1</v>
      </c>
      <c r="K41" s="66" t="s">
        <v>54</v>
      </c>
      <c r="L41" s="16" t="str">
        <f>VLOOKUP(C41,'Trips&amp;Operators'!$C$2:$E$10000,3,FALSE)</f>
        <v>MALAVE</v>
      </c>
      <c r="M41" s="15" t="s">
        <v>140</v>
      </c>
      <c r="N41" s="16"/>
      <c r="O41" s="2"/>
      <c r="P41" s="54" t="str">
        <f>VLOOKUP(C41,'Train Runs'!$A$13:$V$174,22,0)</f>
        <v>https://search-rtdc-monitor-bjffxe2xuh6vdkpspy63sjmuny.us-east-1.es.amazonaws.com/_plugin/kibana/#/discover/Steve-Slow-Train-Analysis-(2080s-and-2083s)?_g=(refreshInterval:(display:Off,section:0,value:0),time:(from:'2016-06-26 10:57:52-0600',mode:absolute,to:'2016-06-26 11:45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Q41" s="14" t="str">
        <f t="shared" si="0"/>
        <v>4023</v>
      </c>
    </row>
    <row r="42" spans="1:17" x14ac:dyDescent="0.25">
      <c r="A42" s="78">
        <v>42547.505358796298</v>
      </c>
      <c r="B42" s="66" t="s">
        <v>87</v>
      </c>
      <c r="C42" s="66" t="s">
        <v>288</v>
      </c>
      <c r="D42" s="66" t="s">
        <v>50</v>
      </c>
      <c r="E42" s="66" t="s">
        <v>51</v>
      </c>
      <c r="F42" s="66">
        <v>0</v>
      </c>
      <c r="G42" s="66">
        <v>5</v>
      </c>
      <c r="H42" s="66">
        <v>121</v>
      </c>
      <c r="I42" s="66" t="s">
        <v>52</v>
      </c>
      <c r="J42" s="66">
        <v>1</v>
      </c>
      <c r="K42" s="66" t="s">
        <v>54</v>
      </c>
      <c r="L42" s="16" t="str">
        <f>VLOOKUP(C42,'Trips&amp;Operators'!$C$2:$E$10000,3,FALSE)</f>
        <v>GEBRETEKLE</v>
      </c>
      <c r="M42" s="15" t="s">
        <v>140</v>
      </c>
      <c r="N42" s="16"/>
      <c r="O42" s="2"/>
      <c r="P42" s="54" t="str">
        <f>VLOOKUP(C42,'Train Runs'!$A$13:$V$174,22,0)</f>
        <v>https://search-rtdc-monitor-bjffxe2xuh6vdkpspy63sjmuny.us-east-1.es.amazonaws.com/_plugin/kibana/#/discover/Steve-Slow-Train-Analysis-(2080s-and-2083s)?_g=(refreshInterval:(display:Off,section:0,value:0),time:(from:'2016-06-26 11:21:20-0600',mode:absolute,to:'2016-06-26 12:08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Q42" s="14" t="str">
        <f t="shared" si="0"/>
        <v>4008</v>
      </c>
    </row>
    <row r="43" spans="1:17" x14ac:dyDescent="0.25">
      <c r="A43" s="78">
        <v>42547.606828703705</v>
      </c>
      <c r="B43" s="66" t="s">
        <v>212</v>
      </c>
      <c r="C43" s="66" t="s">
        <v>320</v>
      </c>
      <c r="D43" s="66" t="s">
        <v>50</v>
      </c>
      <c r="E43" s="66" t="s">
        <v>51</v>
      </c>
      <c r="F43" s="66">
        <v>0</v>
      </c>
      <c r="G43" s="66">
        <v>35</v>
      </c>
      <c r="H43" s="66">
        <v>132</v>
      </c>
      <c r="I43" s="66" t="s">
        <v>52</v>
      </c>
      <c r="J43" s="66">
        <v>1</v>
      </c>
      <c r="K43" s="66" t="s">
        <v>54</v>
      </c>
      <c r="L43" s="16" t="str">
        <f>VLOOKUP(C43,'Trips&amp;Operators'!$C$2:$E$10000,3,FALSE)</f>
        <v>RIVERA</v>
      </c>
      <c r="M43" s="15" t="s">
        <v>140</v>
      </c>
      <c r="N43" s="16"/>
      <c r="O43" s="2"/>
      <c r="P43" s="54" t="str">
        <f>VLOOKUP(C43,'Train Runs'!$A$13:$V$174,22,0)</f>
        <v>https://search-rtdc-monitor-bjffxe2xuh6vdkpspy63sjmuny.us-east-1.es.amazonaws.com/_plugin/kibana/#/discover/Steve-Slow-Train-Analysis-(2080s-and-2083s)?_g=(refreshInterval:(display:Off,section:0,value:0),time:(from:'2016-06-26 13:48:02-0600',mode:absolute,to:'2016-06-26 14:34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Q43" s="14" t="str">
        <f t="shared" si="0"/>
        <v>4026</v>
      </c>
    </row>
    <row r="44" spans="1:17" x14ac:dyDescent="0.25">
      <c r="A44" s="78">
        <v>42547.630601851852</v>
      </c>
      <c r="B44" s="66" t="s">
        <v>183</v>
      </c>
      <c r="C44" s="66" t="s">
        <v>324</v>
      </c>
      <c r="D44" s="66" t="s">
        <v>50</v>
      </c>
      <c r="E44" s="66" t="s">
        <v>51</v>
      </c>
      <c r="F44" s="66">
        <v>0</v>
      </c>
      <c r="G44" s="66">
        <v>8</v>
      </c>
      <c r="H44" s="66">
        <v>149</v>
      </c>
      <c r="I44" s="66" t="s">
        <v>52</v>
      </c>
      <c r="J44" s="66">
        <v>1</v>
      </c>
      <c r="K44" s="66" t="s">
        <v>54</v>
      </c>
      <c r="L44" s="16" t="str">
        <f>VLOOKUP(C44,'Trips&amp;Operators'!$C$2:$E$10000,3,FALSE)</f>
        <v>LOCKLEAR</v>
      </c>
      <c r="M44" s="15" t="s">
        <v>140</v>
      </c>
      <c r="N44" s="16"/>
      <c r="O44" s="2"/>
      <c r="P44" s="54" t="str">
        <f>VLOOKUP(C44,'Train Runs'!$A$13:$V$174,22,0)</f>
        <v>https://search-rtdc-monitor-bjffxe2xuh6vdkpspy63sjmuny.us-east-1.es.amazonaws.com/_plugin/kibana/#/discover/Steve-Slow-Train-Analysis-(2080s-and-2083s)?_g=(refreshInterval:(display:Off,section:0,value:0),time:(from:'2016-06-26 14:23:44-0600',mode:absolute,to:'2016-06-26 15:09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Q44" s="14" t="str">
        <f t="shared" si="0"/>
        <v>4023</v>
      </c>
    </row>
    <row r="45" spans="1:17" x14ac:dyDescent="0.25">
      <c r="A45" s="78">
        <v>42547.694050925929</v>
      </c>
      <c r="B45" s="66" t="s">
        <v>80</v>
      </c>
      <c r="C45" s="66" t="s">
        <v>370</v>
      </c>
      <c r="D45" s="66" t="s">
        <v>50</v>
      </c>
      <c r="E45" s="66" t="s">
        <v>51</v>
      </c>
      <c r="F45" s="66">
        <v>0</v>
      </c>
      <c r="G45" s="66">
        <v>41</v>
      </c>
      <c r="H45" s="66">
        <v>136</v>
      </c>
      <c r="I45" s="66" t="s">
        <v>52</v>
      </c>
      <c r="J45" s="66">
        <v>1</v>
      </c>
      <c r="K45" s="66" t="s">
        <v>54</v>
      </c>
      <c r="L45" s="16" t="str">
        <f>VLOOKUP(C45,'Trips&amp;Operators'!$C$2:$E$10000,3,FALSE)</f>
        <v>BONDS</v>
      </c>
      <c r="M45" s="15" t="s">
        <v>140</v>
      </c>
      <c r="N45" s="66"/>
      <c r="P45" s="54" t="str">
        <f>VLOOKUP(C45,'Train Runs'!$A$13:$V$174,22,0)</f>
        <v>https://search-rtdc-monitor-bjffxe2xuh6vdkpspy63sjmuny.us-east-1.es.amazonaws.com/_plugin/kibana/#/discover/Steve-Slow-Train-Analysis-(2080s-and-2083s)?_g=(refreshInterval:(display:Off,section:0,value:0),time:(from:'2016-06-26 15:47:32-0600',mode:absolute,to:'2016-06-26 16:40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Q45" s="14" t="str">
        <f t="shared" si="0"/>
        <v>4019</v>
      </c>
    </row>
    <row r="46" spans="1:17" x14ac:dyDescent="0.25">
      <c r="A46" s="78">
        <v>42547.727013888885</v>
      </c>
      <c r="B46" s="66" t="s">
        <v>88</v>
      </c>
      <c r="C46" s="66" t="s">
        <v>378</v>
      </c>
      <c r="D46" s="66" t="s">
        <v>50</v>
      </c>
      <c r="E46" s="66" t="s">
        <v>51</v>
      </c>
      <c r="F46" s="66">
        <v>0</v>
      </c>
      <c r="G46" s="66">
        <v>59</v>
      </c>
      <c r="H46" s="66">
        <v>216</v>
      </c>
      <c r="I46" s="66" t="s">
        <v>52</v>
      </c>
      <c r="J46" s="66">
        <v>1</v>
      </c>
      <c r="K46" s="66" t="s">
        <v>54</v>
      </c>
      <c r="L46" s="16" t="str">
        <f>VLOOKUP(C46,'Trips&amp;Operators'!$C$2:$E$10000,3,FALSE)</f>
        <v>STEWART</v>
      </c>
      <c r="M46" s="15" t="s">
        <v>140</v>
      </c>
      <c r="N46" s="66"/>
      <c r="P46" s="54" t="str">
        <f>VLOOKUP(C46,'Train Runs'!$A$13:$V$174,22,0)</f>
        <v>https://search-rtdc-monitor-bjffxe2xuh6vdkpspy63sjmuny.us-east-1.es.amazonaws.com/_plugin/kibana/#/discover/Steve-Slow-Train-Analysis-(2080s-and-2083s)?_g=(refreshInterval:(display:Off,section:0,value:0),time:(from:'2016-06-26 15:43:27-0600',mode:absolute,to:'2016-06-26 16:32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Q46" s="14" t="str">
        <f t="shared" si="0"/>
        <v>4007</v>
      </c>
    </row>
    <row r="47" spans="1:17" x14ac:dyDescent="0.25">
      <c r="A47" s="78">
        <v>42547.796979166669</v>
      </c>
      <c r="B47" s="66" t="s">
        <v>87</v>
      </c>
      <c r="C47" s="66" t="s">
        <v>402</v>
      </c>
      <c r="D47" s="66" t="s">
        <v>50</v>
      </c>
      <c r="E47" s="66" t="s">
        <v>51</v>
      </c>
      <c r="F47" s="66">
        <v>0</v>
      </c>
      <c r="G47" s="66">
        <v>8</v>
      </c>
      <c r="H47" s="66">
        <v>387</v>
      </c>
      <c r="I47" s="66" t="s">
        <v>52</v>
      </c>
      <c r="J47" s="66">
        <v>1</v>
      </c>
      <c r="K47" s="66" t="s">
        <v>54</v>
      </c>
      <c r="L47" s="16" t="str">
        <f>VLOOKUP(C47,'Trips&amp;Operators'!$C$2:$E$10000,3,FALSE)</f>
        <v>STEWART</v>
      </c>
      <c r="M47" s="15" t="s">
        <v>140</v>
      </c>
      <c r="N47" s="66"/>
      <c r="P47" s="54" t="str">
        <f>VLOOKUP(C47,'Train Runs'!$A$13:$V$174,22,0)</f>
        <v>https://search-rtdc-monitor-bjffxe2xuh6vdkpspy63sjmuny.us-east-1.es.amazonaws.com/_plugin/kibana/#/discover/Steve-Slow-Train-Analysis-(2080s-and-2083s)?_g=(refreshInterval:(display:Off,section:0,value:0),time:(from:'2016-06-26 18:23:40-0600',mode:absolute,to:'2016-06-26 19:08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Q47" s="14" t="str">
        <f t="shared" si="0"/>
        <v>4008</v>
      </c>
    </row>
    <row r="48" spans="1:17" x14ac:dyDescent="0.25">
      <c r="A48" s="78">
        <v>42547.817037037035</v>
      </c>
      <c r="B48" s="66" t="s">
        <v>84</v>
      </c>
      <c r="C48" s="66" t="s">
        <v>410</v>
      </c>
      <c r="D48" s="66" t="s">
        <v>50</v>
      </c>
      <c r="E48" s="66" t="s">
        <v>51</v>
      </c>
      <c r="F48" s="66">
        <v>0</v>
      </c>
      <c r="G48" s="66">
        <v>9</v>
      </c>
      <c r="H48" s="66">
        <v>378</v>
      </c>
      <c r="I48" s="66" t="s">
        <v>52</v>
      </c>
      <c r="J48" s="66">
        <v>1</v>
      </c>
      <c r="K48" s="66" t="s">
        <v>54</v>
      </c>
      <c r="L48" s="16" t="str">
        <f>VLOOKUP(C48,'Trips&amp;Operators'!$C$2:$E$10000,3,FALSE)</f>
        <v>WEBSTER</v>
      </c>
      <c r="M48" s="15" t="s">
        <v>140</v>
      </c>
      <c r="N48" s="66"/>
      <c r="P48" s="54" t="str">
        <f>VLOOKUP(C48,'Train Runs'!$A$13:$V$174,22,0)</f>
        <v>https://search-rtdc-monitor-bjffxe2xuh6vdkpspy63sjmuny.us-east-1.es.amazonaws.com/_plugin/kibana/#/discover/Steve-Slow-Train-Analysis-(2080s-and-2083s)?_g=(refreshInterval:(display:Off,section:0,value:0),time:(from:'2016-06-26 18:51:37-0600',mode:absolute,to:'2016-06-26 19:39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Q48" s="14" t="str">
        <f t="shared" si="0"/>
        <v>4017</v>
      </c>
    </row>
    <row r="49" spans="1:17" x14ac:dyDescent="0.25">
      <c r="A49" s="78">
        <v>42547.818449074075</v>
      </c>
      <c r="B49" s="66" t="s">
        <v>84</v>
      </c>
      <c r="C49" s="66" t="s">
        <v>410</v>
      </c>
      <c r="D49" s="66" t="s">
        <v>50</v>
      </c>
      <c r="E49" s="66" t="s">
        <v>51</v>
      </c>
      <c r="F49" s="66">
        <v>0</v>
      </c>
      <c r="G49" s="66">
        <v>4</v>
      </c>
      <c r="H49" s="66">
        <v>349</v>
      </c>
      <c r="I49" s="66" t="s">
        <v>52</v>
      </c>
      <c r="J49" s="66">
        <v>1</v>
      </c>
      <c r="K49" s="66" t="s">
        <v>54</v>
      </c>
      <c r="L49" s="16" t="str">
        <f>VLOOKUP(C49,'Trips&amp;Operators'!$C$2:$E$10000,3,FALSE)</f>
        <v>WEBSTER</v>
      </c>
      <c r="M49" s="15" t="s">
        <v>140</v>
      </c>
      <c r="N49" s="66"/>
      <c r="P49" s="54" t="str">
        <f>VLOOKUP(C49,'Train Runs'!$A$13:$V$174,22,0)</f>
        <v>https://search-rtdc-monitor-bjffxe2xuh6vdkpspy63sjmuny.us-east-1.es.amazonaws.com/_plugin/kibana/#/discover/Steve-Slow-Train-Analysis-(2080s-and-2083s)?_g=(refreshInterval:(display:Off,section:0,value:0),time:(from:'2016-06-26 18:51:37-0600',mode:absolute,to:'2016-06-26 19:39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Q49" s="14" t="str">
        <f t="shared" si="0"/>
        <v>4017</v>
      </c>
    </row>
    <row r="50" spans="1:17" x14ac:dyDescent="0.25">
      <c r="A50" s="78">
        <v>42547.900879629633</v>
      </c>
      <c r="B50" s="66" t="s">
        <v>212</v>
      </c>
      <c r="C50" s="66" t="s">
        <v>424</v>
      </c>
      <c r="D50" s="66" t="s">
        <v>50</v>
      </c>
      <c r="E50" s="66" t="s">
        <v>51</v>
      </c>
      <c r="F50" s="66">
        <v>0</v>
      </c>
      <c r="G50" s="66">
        <v>4</v>
      </c>
      <c r="H50" s="66">
        <v>180</v>
      </c>
      <c r="I50" s="66" t="s">
        <v>52</v>
      </c>
      <c r="J50" s="66">
        <v>1</v>
      </c>
      <c r="K50" s="66" t="s">
        <v>54</v>
      </c>
      <c r="L50" s="16" t="str">
        <f>VLOOKUP(C50,'Trips&amp;Operators'!$C$2:$E$10000,3,FALSE)</f>
        <v>BRUDER</v>
      </c>
      <c r="M50" s="15" t="s">
        <v>140</v>
      </c>
      <c r="N50" s="66"/>
      <c r="P50" s="54" t="str">
        <f>VLOOKUP(C50,'Train Runs'!$A$13:$V$174,22,0)</f>
        <v>https://search-rtdc-monitor-bjffxe2xuh6vdkpspy63sjmuny.us-east-1.es.amazonaws.com/_plugin/kibana/#/discover/Steve-Slow-Train-Analysis-(2080s-and-2083s)?_g=(refreshInterval:(display:Off,section:0,value:0),time:(from:'2016-06-26 20:46:00-0600',mode:absolute,to:'2016-06-26 21:39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Q50" s="14" t="str">
        <f t="shared" si="0"/>
        <v>4026</v>
      </c>
    </row>
    <row r="51" spans="1:17" x14ac:dyDescent="0.25">
      <c r="A51" s="78">
        <v>42547.987488425926</v>
      </c>
      <c r="B51" s="66" t="s">
        <v>212</v>
      </c>
      <c r="C51" s="66" t="s">
        <v>435</v>
      </c>
      <c r="D51" s="66" t="s">
        <v>50</v>
      </c>
      <c r="E51" s="66" t="s">
        <v>51</v>
      </c>
      <c r="F51" s="66">
        <v>0</v>
      </c>
      <c r="G51" s="66">
        <v>7</v>
      </c>
      <c r="H51" s="66">
        <v>192</v>
      </c>
      <c r="I51" s="66" t="s">
        <v>52</v>
      </c>
      <c r="J51" s="66">
        <v>1</v>
      </c>
      <c r="K51" s="66" t="s">
        <v>54</v>
      </c>
      <c r="L51" s="16" t="str">
        <f>VLOOKUP(C51,'Trips&amp;Operators'!$C$2:$E$10000,3,FALSE)</f>
        <v>BRUDER</v>
      </c>
      <c r="M51" s="15" t="s">
        <v>140</v>
      </c>
      <c r="N51" s="66"/>
      <c r="P51" s="54" t="str">
        <f>VLOOKUP(C51,'Train Runs'!$A$13:$V$174,22,0)</f>
        <v>https://search-rtdc-monitor-bjffxe2xuh6vdkpspy63sjmuny.us-east-1.es.amazonaws.com/_plugin/kibana/#/discover/Steve-Slow-Train-Analysis-(2080s-and-2083s)?_g=(refreshInterval:(display:Off,section:0,value:0),time:(from:'2016-06-26 22:48:19-0600',mode:absolute,to:'2016-06-26 23:43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Q51" s="14" t="str">
        <f t="shared" si="0"/>
        <v>4026</v>
      </c>
    </row>
    <row r="52" spans="1:17" x14ac:dyDescent="0.25">
      <c r="A52" s="78">
        <v>42548.024733796294</v>
      </c>
      <c r="B52" s="66" t="s">
        <v>479</v>
      </c>
      <c r="C52" s="66" t="s">
        <v>441</v>
      </c>
      <c r="D52" s="66" t="s">
        <v>50</v>
      </c>
      <c r="E52" s="66" t="s">
        <v>51</v>
      </c>
      <c r="F52" s="66">
        <v>0</v>
      </c>
      <c r="G52" s="66">
        <v>40</v>
      </c>
      <c r="H52" s="66">
        <v>139</v>
      </c>
      <c r="I52" s="66" t="s">
        <v>52</v>
      </c>
      <c r="J52" s="66">
        <v>1</v>
      </c>
      <c r="K52" s="66" t="s">
        <v>54</v>
      </c>
      <c r="L52" s="16" t="str">
        <f>VLOOKUP(C52,'Trips&amp;Operators'!$C$2:$E$10000,3,FALSE)</f>
        <v>COOLAHAN</v>
      </c>
      <c r="M52" s="15" t="s">
        <v>140</v>
      </c>
      <c r="N52" s="66"/>
      <c r="P52" s="54" t="str">
        <f>VLOOKUP(C52,'Train Runs'!$A$13:$V$174,22,0)</f>
        <v>https://search-rtdc-monitor-bjffxe2xuh6vdkpspy63sjmuny.us-east-1.es.amazonaws.com/_plugin/kibana/#/discover/Steve-Slow-Train-Analysis-(2080s-and-2083s)?_g=(refreshInterval:(display:Off,section:0,value:0),time:(from:'2016-06-26 23:50:31-0600',mode:absolute,to:'2016-06-27 00:38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Q52" s="14" t="str">
        <f t="shared" si="0"/>
        <v>4037</v>
      </c>
    </row>
    <row r="53" spans="1:17" x14ac:dyDescent="0.25">
      <c r="A53" s="78">
        <v>42548.045694444445</v>
      </c>
      <c r="B53" s="66" t="s">
        <v>185</v>
      </c>
      <c r="C53" s="66" t="s">
        <v>444</v>
      </c>
      <c r="D53" s="66" t="s">
        <v>50</v>
      </c>
      <c r="E53" s="66" t="s">
        <v>51</v>
      </c>
      <c r="F53" s="66">
        <v>0</v>
      </c>
      <c r="G53" s="66">
        <v>8</v>
      </c>
      <c r="H53" s="66">
        <v>139</v>
      </c>
      <c r="I53" s="66" t="s">
        <v>52</v>
      </c>
      <c r="J53" s="66">
        <v>1</v>
      </c>
      <c r="K53" s="66" t="s">
        <v>54</v>
      </c>
      <c r="L53" s="16" t="e">
        <f>VLOOKUP(C53,'Trips&amp;Operators'!$C$2:$E$10000,3,FALSE)</f>
        <v>#N/A</v>
      </c>
      <c r="M53" s="15" t="s">
        <v>140</v>
      </c>
      <c r="N53" s="66"/>
      <c r="P53" s="54" t="str">
        <f>VLOOKUP(C53,'Train Runs'!$A$13:$V$174,22,0)</f>
        <v>https://search-rtdc-monitor-bjffxe2xuh6vdkpspy63sjmuny.us-east-1.es.amazonaws.com/_plugin/kibana/#/discover/Steve-Slow-Train-Analysis-(2080s-and-2083s)?_g=(refreshInterval:(display:Off,section:0,value:0),time:(from:'2016-06-27 00:22:12-0600',mode:absolute,to:'2016-06-27 01:06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Q53" s="14" t="str">
        <f t="shared" si="0"/>
        <v>4012</v>
      </c>
    </row>
    <row r="54" spans="1:17" x14ac:dyDescent="0.25">
      <c r="A54" s="78">
        <v>42547.223634259259</v>
      </c>
      <c r="B54" s="66" t="s">
        <v>102</v>
      </c>
      <c r="C54" s="66" t="s">
        <v>239</v>
      </c>
      <c r="D54" s="66" t="s">
        <v>50</v>
      </c>
      <c r="E54" s="66" t="s">
        <v>51</v>
      </c>
      <c r="F54" s="66">
        <v>0</v>
      </c>
      <c r="G54" s="66">
        <v>3</v>
      </c>
      <c r="H54" s="66">
        <v>233331</v>
      </c>
      <c r="I54" s="66" t="s">
        <v>52</v>
      </c>
      <c r="J54" s="66">
        <v>233491</v>
      </c>
      <c r="K54" s="66" t="s">
        <v>53</v>
      </c>
      <c r="L54" s="16" t="str">
        <f>VLOOKUP(C54,'Trips&amp;Operators'!$C$2:$E$10000,3,FALSE)</f>
        <v>MALAVE</v>
      </c>
      <c r="M54" s="15" t="s">
        <v>140</v>
      </c>
      <c r="N54" s="66"/>
      <c r="O54" s="2"/>
      <c r="P54" s="54" t="str">
        <f>VLOOKUP(C54,'Train Runs'!$A$13:$V$174,22,0)</f>
        <v>https://search-rtdc-monitor-bjffxe2xuh6vdkpspy63sjmuny.us-east-1.es.amazonaws.com/_plugin/kibana/#/discover/Steve-Slow-Train-Analysis-(2080s-and-2083s)?_g=(refreshInterval:(display:Off,section:0,value:0),time:(from:'2016-06-26 04:40:09-0600',mode:absolute,to:'2016-06-26 05:23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Q54" s="14" t="str">
        <f t="shared" si="0"/>
        <v>4042</v>
      </c>
    </row>
    <row r="55" spans="1:17" x14ac:dyDescent="0.25">
      <c r="A55" s="18">
        <v>42547.255254629628</v>
      </c>
      <c r="B55" s="17" t="s">
        <v>150</v>
      </c>
      <c r="C55" s="17" t="s">
        <v>248</v>
      </c>
      <c r="D55" s="17" t="s">
        <v>50</v>
      </c>
      <c r="E55" s="17" t="s">
        <v>51</v>
      </c>
      <c r="F55" s="17">
        <v>0</v>
      </c>
      <c r="G55" s="17">
        <v>59</v>
      </c>
      <c r="H55" s="17">
        <v>233249</v>
      </c>
      <c r="I55" s="17" t="s">
        <v>52</v>
      </c>
      <c r="J55" s="17">
        <v>233491</v>
      </c>
      <c r="K55" s="16" t="s">
        <v>53</v>
      </c>
      <c r="L55" s="16" t="str">
        <f>VLOOKUP(C55,'Trips&amp;Operators'!$C$2:$E$10000,3,FALSE)</f>
        <v>MAYBERRY</v>
      </c>
      <c r="M55" s="15" t="s">
        <v>140</v>
      </c>
      <c r="N55" s="66"/>
      <c r="O55" s="2"/>
      <c r="P55" s="54" t="str">
        <f>VLOOKUP(C55,'Train Runs'!$A$13:$V$174,22,0)</f>
        <v>https://search-rtdc-monitor-bjffxe2xuh6vdkpspy63sjmuny.us-east-1.es.amazonaws.com/_plugin/kibana/#/discover/Steve-Slow-Train-Analysis-(2080s-and-2083s)?_g=(refreshInterval:(display:Off,section:0,value:0),time:(from:'2016-06-26 05:21:00-0600',mode:absolute,to:'2016-06-26 06:08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Q55" s="14" t="str">
        <f t="shared" si="0"/>
        <v>4038</v>
      </c>
    </row>
    <row r="56" spans="1:17" x14ac:dyDescent="0.25">
      <c r="A56" s="78">
        <v>42547.274710648147</v>
      </c>
      <c r="B56" s="66" t="s">
        <v>215</v>
      </c>
      <c r="C56" s="66" t="s">
        <v>256</v>
      </c>
      <c r="D56" s="66" t="s">
        <v>50</v>
      </c>
      <c r="E56" s="66" t="s">
        <v>51</v>
      </c>
      <c r="F56" s="66">
        <v>0</v>
      </c>
      <c r="G56" s="66">
        <v>8</v>
      </c>
      <c r="H56" s="66">
        <v>233326</v>
      </c>
      <c r="I56" s="66" t="s">
        <v>52</v>
      </c>
      <c r="J56" s="66">
        <v>233491</v>
      </c>
      <c r="K56" s="66" t="s">
        <v>53</v>
      </c>
      <c r="L56" s="16" t="str">
        <f>VLOOKUP(C56,'Trips&amp;Operators'!$C$2:$E$10000,3,FALSE)</f>
        <v>YORK</v>
      </c>
      <c r="M56" s="15" t="s">
        <v>140</v>
      </c>
      <c r="N56" s="66"/>
      <c r="O56" s="2"/>
      <c r="P56" s="54" t="str">
        <f>VLOOKUP(C56,'Train Runs'!$A$13:$V$174,22,0)</f>
        <v>https://search-rtdc-monitor-bjffxe2xuh6vdkpspy63sjmuny.us-east-1.es.amazonaws.com/_plugin/kibana/#/discover/Steve-Slow-Train-Analysis-(2080s-and-2083s)?_g=(refreshInterval:(display:Off,section:0,value:0),time:(from:'2016-06-26 05:56:02-0600',mode:absolute,to:'2016-06-26 06:36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Q56" s="14" t="str">
        <f t="shared" si="0"/>
        <v>4025</v>
      </c>
    </row>
    <row r="57" spans="1:17" x14ac:dyDescent="0.25">
      <c r="A57" s="18">
        <v>42547.331724537034</v>
      </c>
      <c r="B57" s="17" t="s">
        <v>150</v>
      </c>
      <c r="C57" s="17" t="s">
        <v>269</v>
      </c>
      <c r="D57" s="17" t="s">
        <v>50</v>
      </c>
      <c r="E57" s="17" t="s">
        <v>51</v>
      </c>
      <c r="F57" s="17">
        <v>0</v>
      </c>
      <c r="G57" s="17">
        <v>62</v>
      </c>
      <c r="H57" s="17">
        <v>233295</v>
      </c>
      <c r="I57" s="17" t="s">
        <v>52</v>
      </c>
      <c r="J57" s="17">
        <v>233491</v>
      </c>
      <c r="K57" s="16" t="s">
        <v>53</v>
      </c>
      <c r="L57" s="16" t="str">
        <f>VLOOKUP(C57,'Trips&amp;Operators'!$C$2:$E$10000,3,FALSE)</f>
        <v>MAYBERRY</v>
      </c>
      <c r="M57" s="15" t="s">
        <v>140</v>
      </c>
      <c r="N57" s="66"/>
      <c r="O57" s="2"/>
      <c r="P57" s="54" t="str">
        <f>VLOOKUP(C57,'Train Runs'!$A$13:$V$174,22,0)</f>
        <v>https://search-rtdc-monitor-bjffxe2xuh6vdkpspy63sjmuny.us-east-1.es.amazonaws.com/_plugin/kibana/#/discover/Steve-Slow-Train-Analysis-(2080s-and-2083s)?_g=(refreshInterval:(display:Off,section:0,value:0),time:(from:'2016-06-26 07:09:23-0600',mode:absolute,to:'2016-06-26 07:58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Q57" s="14" t="str">
        <f t="shared" si="0"/>
        <v>4038</v>
      </c>
    </row>
    <row r="58" spans="1:17" x14ac:dyDescent="0.25">
      <c r="A58" s="78">
        <v>42547.370613425926</v>
      </c>
      <c r="B58" s="66" t="s">
        <v>102</v>
      </c>
      <c r="C58" s="66" t="s">
        <v>282</v>
      </c>
      <c r="D58" s="66" t="s">
        <v>50</v>
      </c>
      <c r="E58" s="66" t="s">
        <v>51</v>
      </c>
      <c r="F58" s="66">
        <v>0</v>
      </c>
      <c r="G58" s="66">
        <v>4</v>
      </c>
      <c r="H58" s="66">
        <v>233302</v>
      </c>
      <c r="I58" s="66" t="s">
        <v>52</v>
      </c>
      <c r="J58" s="66">
        <v>233491</v>
      </c>
      <c r="K58" s="66" t="s">
        <v>53</v>
      </c>
      <c r="L58" s="16" t="str">
        <f>VLOOKUP(C58,'Trips&amp;Operators'!$C$2:$E$10000,3,FALSE)</f>
        <v>MALAVE</v>
      </c>
      <c r="M58" s="15" t="s">
        <v>140</v>
      </c>
      <c r="N58" s="66"/>
      <c r="O58" s="2"/>
      <c r="P58" s="54" t="str">
        <f>VLOOKUP(C58,'Train Runs'!$A$13:$V$174,22,0)</f>
        <v>https://search-rtdc-monitor-bjffxe2xuh6vdkpspy63sjmuny.us-east-1.es.amazonaws.com/_plugin/kibana/#/discover/Steve-Slow-Train-Analysis-(2080s-and-2083s)?_g=(refreshInterval:(display:Off,section:0,value:0),time:(from:'2016-06-26 08:12:55-0600',mode:absolute,to:'2016-06-26 08:54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Q58" s="14" t="str">
        <f t="shared" si="0"/>
        <v>4042</v>
      </c>
    </row>
    <row r="59" spans="1:17" x14ac:dyDescent="0.25">
      <c r="A59" s="78">
        <v>42547.381805555553</v>
      </c>
      <c r="B59" s="66" t="s">
        <v>184</v>
      </c>
      <c r="C59" s="66" t="s">
        <v>452</v>
      </c>
      <c r="D59" s="66" t="s">
        <v>50</v>
      </c>
      <c r="E59" s="66" t="s">
        <v>51</v>
      </c>
      <c r="F59" s="66">
        <v>0</v>
      </c>
      <c r="G59" s="66">
        <v>9</v>
      </c>
      <c r="H59" s="66">
        <v>233332</v>
      </c>
      <c r="I59" s="66" t="s">
        <v>52</v>
      </c>
      <c r="J59" s="66">
        <v>233491</v>
      </c>
      <c r="K59" s="66" t="s">
        <v>53</v>
      </c>
      <c r="L59" s="16" t="str">
        <f>VLOOKUP(C59,'Trips&amp;Operators'!$C$2:$E$10000,3,FALSE)</f>
        <v>GEBRETEKLE</v>
      </c>
      <c r="M59" s="15" t="s">
        <v>140</v>
      </c>
      <c r="N59" s="66"/>
      <c r="O59" s="2"/>
      <c r="P59" s="54" t="str">
        <f>VLOOKUP(C59,'Train Runs'!$A$13:$V$174,22,0)</f>
        <v>https://search-rtdc-monitor-bjffxe2xuh6vdkpspy63sjmuny.us-east-1.es.amazonaws.com/_plugin/kibana/#/discover/Steve-Slow-Train-Analysis-(2080s-and-2083s)?_g=(refreshInterval:(display:Off,section:0,value:0),time:(from:'2016-06-26 08:26:52-0600',mode:absolute,to:'2016-06-26 09:11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Q59" s="14" t="str">
        <f t="shared" si="0"/>
        <v>4011</v>
      </c>
    </row>
    <row r="60" spans="1:17" x14ac:dyDescent="0.25">
      <c r="A60" s="78">
        <v>42547.418391203704</v>
      </c>
      <c r="B60" s="66" t="s">
        <v>83</v>
      </c>
      <c r="C60" s="66" t="s">
        <v>458</v>
      </c>
      <c r="D60" s="66" t="s">
        <v>50</v>
      </c>
      <c r="E60" s="66" t="s">
        <v>51</v>
      </c>
      <c r="F60" s="66">
        <v>0</v>
      </c>
      <c r="G60" s="66">
        <v>6</v>
      </c>
      <c r="H60" s="66">
        <v>233327</v>
      </c>
      <c r="I60" s="66" t="s">
        <v>52</v>
      </c>
      <c r="J60" s="66">
        <v>233491</v>
      </c>
      <c r="K60" s="66" t="s">
        <v>53</v>
      </c>
      <c r="L60" s="16" t="str">
        <f>VLOOKUP(C60,'Trips&amp;Operators'!$C$2:$E$10000,3,FALSE)</f>
        <v>STURGEON</v>
      </c>
      <c r="M60" s="15" t="s">
        <v>140</v>
      </c>
      <c r="N60" s="66"/>
      <c r="O60" s="2"/>
      <c r="P60" s="54" t="str">
        <f>VLOOKUP(C60,'Train Runs'!$A$13:$V$174,22,0)</f>
        <v>https://search-rtdc-monitor-bjffxe2xuh6vdkpspy63sjmuny.us-east-1.es.amazonaws.com/_plugin/kibana/#/discover/Steve-Slow-Train-Analysis-(2080s-and-2083s)?_g=(refreshInterval:(display:Off,section:0,value:0),time:(from:'2016-06-26 09:15:46-0600',mode:absolute,to:'2016-06-26 10:03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Q60" s="14" t="str">
        <f t="shared" si="0"/>
        <v>4018</v>
      </c>
    </row>
    <row r="61" spans="1:17" x14ac:dyDescent="0.25">
      <c r="A61" s="18">
        <v>42547.441921296297</v>
      </c>
      <c r="B61" s="17" t="s">
        <v>81</v>
      </c>
      <c r="C61" s="17" t="s">
        <v>463</v>
      </c>
      <c r="D61" s="17" t="s">
        <v>50</v>
      </c>
      <c r="E61" s="17" t="s">
        <v>51</v>
      </c>
      <c r="F61" s="17">
        <v>0</v>
      </c>
      <c r="G61" s="17">
        <v>54</v>
      </c>
      <c r="H61" s="17">
        <v>233276</v>
      </c>
      <c r="I61" s="17" t="s">
        <v>52</v>
      </c>
      <c r="J61" s="17">
        <v>233491</v>
      </c>
      <c r="K61" s="16" t="s">
        <v>53</v>
      </c>
      <c r="L61" s="16" t="str">
        <f>VLOOKUP(C61,'Trips&amp;Operators'!$C$2:$E$10000,3,FALSE)</f>
        <v>SANTIZO</v>
      </c>
      <c r="M61" s="15" t="s">
        <v>140</v>
      </c>
      <c r="N61" s="66"/>
      <c r="O61" s="2"/>
      <c r="P61" s="54" t="str">
        <f>VLOOKUP(C61,'Train Runs'!$A$13:$V$174,22,0)</f>
        <v>https://search-rtdc-monitor-bjffxe2xuh6vdkpspy63sjmuny.us-east-1.es.amazonaws.com/_plugin/kibana/#/discover/Steve-Slow-Train-Analysis-(2080s-and-2083s)?_g=(refreshInterval:(display:Off,section:0,value:0),time:(from:'2016-06-26 09:43:22-0600',mode:absolute,to:'2016-06-26 09:53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Q61" s="14" t="str">
        <f t="shared" si="0"/>
        <v>4020</v>
      </c>
    </row>
    <row r="62" spans="1:17" x14ac:dyDescent="0.25">
      <c r="A62" s="78">
        <v>42547.465763888889</v>
      </c>
      <c r="B62" s="66" t="s">
        <v>88</v>
      </c>
      <c r="C62" s="66" t="s">
        <v>471</v>
      </c>
      <c r="D62" s="66" t="s">
        <v>50</v>
      </c>
      <c r="E62" s="66" t="s">
        <v>51</v>
      </c>
      <c r="F62" s="66">
        <v>0</v>
      </c>
      <c r="G62" s="66">
        <v>87</v>
      </c>
      <c r="H62" s="66">
        <v>233113</v>
      </c>
      <c r="I62" s="66" t="s">
        <v>52</v>
      </c>
      <c r="J62" s="66">
        <v>233491</v>
      </c>
      <c r="K62" s="66" t="s">
        <v>53</v>
      </c>
      <c r="L62" s="16" t="str">
        <f>VLOOKUP(C62,'Trips&amp;Operators'!$C$2:$E$10000,3,FALSE)</f>
        <v>GEBRETEKLE</v>
      </c>
      <c r="M62" s="15" t="s">
        <v>140</v>
      </c>
      <c r="N62" s="66"/>
      <c r="O62" s="2"/>
      <c r="P62" s="54" t="str">
        <f>VLOOKUP(C62,'Train Runs'!$A$13:$V$174,22,0)</f>
        <v>https://search-rtdc-monitor-bjffxe2xuh6vdkpspy63sjmuny.us-east-1.es.amazonaws.com/_plugin/kibana/#/discover/Steve-Slow-Train-Analysis-(2080s-and-2083s)?_g=(refreshInterval:(display:Off,section:0,value:0),time:(from:'2016-06-26 10:29:05-0600',mode:absolute,to:'2016-06-26 11:11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Q62" s="14" t="str">
        <f t="shared" si="0"/>
        <v>4007</v>
      </c>
    </row>
    <row r="63" spans="1:17" x14ac:dyDescent="0.25">
      <c r="A63" s="18">
        <v>42547.532430555555</v>
      </c>
      <c r="B63" s="17" t="s">
        <v>184</v>
      </c>
      <c r="C63" s="17" t="s">
        <v>304</v>
      </c>
      <c r="D63" s="17" t="s">
        <v>50</v>
      </c>
      <c r="E63" s="17" t="s">
        <v>51</v>
      </c>
      <c r="F63" s="17">
        <v>0</v>
      </c>
      <c r="G63" s="17">
        <v>79</v>
      </c>
      <c r="H63" s="17">
        <v>233193</v>
      </c>
      <c r="I63" s="17" t="s">
        <v>52</v>
      </c>
      <c r="J63" s="17">
        <v>233491</v>
      </c>
      <c r="K63" s="16" t="s">
        <v>53</v>
      </c>
      <c r="L63" s="16" t="str">
        <f>VLOOKUP(C63,'Trips&amp;Operators'!$C$2:$E$10000,3,FALSE)</f>
        <v>ACKERMAN</v>
      </c>
      <c r="M63" s="15" t="s">
        <v>140</v>
      </c>
      <c r="N63" s="66"/>
      <c r="O63" s="2"/>
      <c r="P63" s="54" t="str">
        <f>VLOOKUP(C63,'Train Runs'!$A$13:$V$174,22,0)</f>
        <v>https://search-rtdc-monitor-bjffxe2xuh6vdkpspy63sjmuny.us-east-1.es.amazonaws.com/_plugin/kibana/#/discover/Steve-Slow-Train-Analysis-(2080s-and-2083s)?_g=(refreshInterval:(display:Off,section:0,value:0),time:(from:'2016-06-26 11:53:20-0600',mode:absolute,to:'2016-06-26 12:05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Q63" s="14" t="str">
        <f t="shared" si="0"/>
        <v>4011</v>
      </c>
    </row>
    <row r="64" spans="1:17" x14ac:dyDescent="0.25">
      <c r="A64" s="78">
        <v>42547.557187500002</v>
      </c>
      <c r="B64" s="66" t="s">
        <v>83</v>
      </c>
      <c r="C64" s="66" t="s">
        <v>315</v>
      </c>
      <c r="D64" s="66" t="s">
        <v>50</v>
      </c>
      <c r="E64" s="66" t="s">
        <v>51</v>
      </c>
      <c r="F64" s="66">
        <v>0</v>
      </c>
      <c r="G64" s="66">
        <v>5</v>
      </c>
      <c r="H64" s="66">
        <v>232079</v>
      </c>
      <c r="I64" s="66" t="s">
        <v>52</v>
      </c>
      <c r="J64" s="66">
        <v>233491</v>
      </c>
      <c r="K64" s="66" t="s">
        <v>53</v>
      </c>
      <c r="L64" s="16" t="str">
        <f>VLOOKUP(C64,'Trips&amp;Operators'!$C$2:$E$10000,3,FALSE)</f>
        <v>WEBSTER</v>
      </c>
      <c r="M64" s="15" t="s">
        <v>140</v>
      </c>
      <c r="N64" s="66"/>
      <c r="O64" s="2"/>
      <c r="P64" s="54" t="str">
        <f>VLOOKUP(C64,'Train Runs'!$A$13:$V$174,22,0)</f>
        <v>https://search-rtdc-monitor-bjffxe2xuh6vdkpspy63sjmuny.us-east-1.es.amazonaws.com/_plugin/kibana/#/discover/Steve-Slow-Train-Analysis-(2080s-and-2083s)?_g=(refreshInterval:(display:Off,section:0,value:0),time:(from:'2016-06-26 12:40:23-0600',mode:absolute,to:'2016-06-26 13:24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Q64" s="14" t="str">
        <f t="shared" si="0"/>
        <v>4018</v>
      </c>
    </row>
    <row r="65" spans="1:17" x14ac:dyDescent="0.25">
      <c r="A65" s="78">
        <v>42547.557534722226</v>
      </c>
      <c r="B65" s="66" t="s">
        <v>83</v>
      </c>
      <c r="C65" s="66" t="s">
        <v>315</v>
      </c>
      <c r="D65" s="66" t="s">
        <v>50</v>
      </c>
      <c r="E65" s="66" t="s">
        <v>51</v>
      </c>
      <c r="F65" s="66">
        <v>0</v>
      </c>
      <c r="G65" s="66">
        <v>8</v>
      </c>
      <c r="H65" s="66">
        <v>232203</v>
      </c>
      <c r="I65" s="66" t="s">
        <v>52</v>
      </c>
      <c r="J65" s="66">
        <v>233491</v>
      </c>
      <c r="K65" s="66" t="s">
        <v>53</v>
      </c>
      <c r="L65" s="16" t="str">
        <f>VLOOKUP(C65,'Trips&amp;Operators'!$C$2:$E$10000,3,FALSE)</f>
        <v>WEBSTER</v>
      </c>
      <c r="M65" s="15" t="s">
        <v>140</v>
      </c>
      <c r="N65" s="66"/>
      <c r="O65" s="2"/>
      <c r="P65" s="54" t="str">
        <f>VLOOKUP(C65,'Train Runs'!$A$13:$V$174,22,0)</f>
        <v>https://search-rtdc-monitor-bjffxe2xuh6vdkpspy63sjmuny.us-east-1.es.amazonaws.com/_plugin/kibana/#/discover/Steve-Slow-Train-Analysis-(2080s-and-2083s)?_g=(refreshInterval:(display:Off,section:0,value:0),time:(from:'2016-06-26 12:40:23-0600',mode:absolute,to:'2016-06-26 13:24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Q65" s="14" t="str">
        <f t="shared" si="0"/>
        <v>4018</v>
      </c>
    </row>
    <row r="66" spans="1:17" x14ac:dyDescent="0.25">
      <c r="A66" s="18">
        <v>42547.56925925926</v>
      </c>
      <c r="B66" s="17" t="s">
        <v>215</v>
      </c>
      <c r="C66" s="17" t="s">
        <v>319</v>
      </c>
      <c r="D66" s="17" t="s">
        <v>50</v>
      </c>
      <c r="E66" s="17" t="s">
        <v>51</v>
      </c>
      <c r="F66" s="17">
        <v>0</v>
      </c>
      <c r="G66" s="17">
        <v>5</v>
      </c>
      <c r="H66" s="17">
        <v>233324</v>
      </c>
      <c r="I66" s="17" t="s">
        <v>52</v>
      </c>
      <c r="J66" s="17">
        <v>233491</v>
      </c>
      <c r="K66" s="16" t="s">
        <v>53</v>
      </c>
      <c r="L66" s="16" t="str">
        <f>VLOOKUP(C66,'Trips&amp;Operators'!$C$2:$E$10000,3,FALSE)</f>
        <v>RIVERA</v>
      </c>
      <c r="M66" s="15" t="s">
        <v>140</v>
      </c>
      <c r="N66" s="66"/>
      <c r="O66" s="2"/>
      <c r="P66" s="54" t="str">
        <f>VLOOKUP(C66,'Train Runs'!$A$13:$V$174,22,0)</f>
        <v>https://search-rtdc-monitor-bjffxe2xuh6vdkpspy63sjmuny.us-east-1.es.amazonaws.com/_plugin/kibana/#/discover/Steve-Slow-Train-Analysis-(2080s-and-2083s)?_g=(refreshInterval:(display:Off,section:0,value:0),time:(from:'2016-06-26 12:52:58-0600',mode:absolute,to:'2016-06-26 13:41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Q66" s="14" t="str">
        <f t="shared" si="0"/>
        <v>4025</v>
      </c>
    </row>
    <row r="67" spans="1:17" x14ac:dyDescent="0.25">
      <c r="A67" s="78">
        <v>42547.612581018519</v>
      </c>
      <c r="B67" s="66" t="s">
        <v>88</v>
      </c>
      <c r="C67" s="66" t="s">
        <v>353</v>
      </c>
      <c r="D67" s="66" t="s">
        <v>50</v>
      </c>
      <c r="E67" s="66" t="s">
        <v>51</v>
      </c>
      <c r="F67" s="66">
        <v>0</v>
      </c>
      <c r="G67" s="66">
        <v>104</v>
      </c>
      <c r="H67" s="66">
        <v>233069</v>
      </c>
      <c r="I67" s="66" t="s">
        <v>52</v>
      </c>
      <c r="J67" s="66">
        <v>233491</v>
      </c>
      <c r="K67" s="66" t="s">
        <v>53</v>
      </c>
      <c r="L67" s="16" t="str">
        <f>VLOOKUP(C67,'Trips&amp;Operators'!$C$2:$E$10000,3,FALSE)</f>
        <v>STEWART</v>
      </c>
      <c r="M67" s="15" t="s">
        <v>140</v>
      </c>
      <c r="N67" s="66"/>
      <c r="P67" s="54" t="str">
        <f>VLOOKUP(C67,'Train Runs'!$A$13:$V$174,22,0)</f>
        <v>https://search-rtdc-monitor-bjffxe2xuh6vdkpspy63sjmuny.us-east-1.es.amazonaws.com/_plugin/kibana/#/discover/Steve-Slow-Train-Analysis-(2080s-and-2083s)?_g=(refreshInterval:(display:Off,section:0,value:0),time:(from:'2016-06-26 13:59:37-0600',mode:absolute,to:'2016-06-26 14:43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Q67" s="14" t="str">
        <f t="shared" si="0"/>
        <v>4007</v>
      </c>
    </row>
    <row r="68" spans="1:17" x14ac:dyDescent="0.25">
      <c r="A68" s="78">
        <v>42547.688692129632</v>
      </c>
      <c r="B68" s="66" t="s">
        <v>88</v>
      </c>
      <c r="C68" s="66" t="s">
        <v>378</v>
      </c>
      <c r="D68" s="66" t="s">
        <v>50</v>
      </c>
      <c r="E68" s="66" t="s">
        <v>51</v>
      </c>
      <c r="F68" s="66">
        <v>0</v>
      </c>
      <c r="G68" s="66">
        <v>90</v>
      </c>
      <c r="H68" s="66">
        <v>233142</v>
      </c>
      <c r="I68" s="66" t="s">
        <v>52</v>
      </c>
      <c r="J68" s="66">
        <v>233491</v>
      </c>
      <c r="K68" s="66" t="s">
        <v>53</v>
      </c>
      <c r="L68" s="16" t="str">
        <f>VLOOKUP(C68,'Trips&amp;Operators'!$C$2:$E$10000,3,FALSE)</f>
        <v>STEWART</v>
      </c>
      <c r="M68" s="15" t="s">
        <v>140</v>
      </c>
      <c r="N68" s="66"/>
      <c r="P68" s="54" t="str">
        <f>VLOOKUP(C68,'Train Runs'!$A$13:$V$174,22,0)</f>
        <v>https://search-rtdc-monitor-bjffxe2xuh6vdkpspy63sjmuny.us-east-1.es.amazonaws.com/_plugin/kibana/#/discover/Steve-Slow-Train-Analysis-(2080s-and-2083s)?_g=(refreshInterval:(display:Off,section:0,value:0),time:(from:'2016-06-26 15:43:27-0600',mode:absolute,to:'2016-06-26 16:32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Q68" s="14" t="str">
        <f t="shared" si="0"/>
        <v>4007</v>
      </c>
    </row>
    <row r="69" spans="1:17" x14ac:dyDescent="0.25">
      <c r="A69" s="78">
        <v>42547.704895833333</v>
      </c>
      <c r="B69" s="66" t="s">
        <v>83</v>
      </c>
      <c r="C69" s="66" t="s">
        <v>384</v>
      </c>
      <c r="D69" s="66" t="s">
        <v>50</v>
      </c>
      <c r="E69" s="66" t="s">
        <v>51</v>
      </c>
      <c r="F69" s="66">
        <v>0</v>
      </c>
      <c r="G69" s="66">
        <v>5</v>
      </c>
      <c r="H69" s="66">
        <v>233338</v>
      </c>
      <c r="I69" s="66" t="s">
        <v>52</v>
      </c>
      <c r="J69" s="66">
        <v>233491</v>
      </c>
      <c r="K69" s="66" t="s">
        <v>53</v>
      </c>
      <c r="L69" s="16" t="str">
        <f>VLOOKUP(C69,'Trips&amp;Operators'!$C$2:$E$10000,3,FALSE)</f>
        <v>WEBSTER</v>
      </c>
      <c r="M69" s="15" t="s">
        <v>140</v>
      </c>
      <c r="N69" s="66"/>
      <c r="P69" s="54" t="str">
        <f>VLOOKUP(C69,'Train Runs'!$A$13:$V$174,22,0)</f>
        <v>https://search-rtdc-monitor-bjffxe2xuh6vdkpspy63sjmuny.us-east-1.es.amazonaws.com/_plugin/kibana/#/discover/Steve-Slow-Train-Analysis-(2080s-and-2083s)?_g=(refreshInterval:(display:Off,section:0,value:0),time:(from:'2016-06-26 16:13:02-0600',mode:absolute,to:'2016-06-26 16:56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Q69" s="14" t="str">
        <f t="shared" si="0"/>
        <v>4018</v>
      </c>
    </row>
    <row r="70" spans="1:17" x14ac:dyDescent="0.25">
      <c r="A70" s="78">
        <v>42547.767280092594</v>
      </c>
      <c r="B70" s="66" t="s">
        <v>184</v>
      </c>
      <c r="C70" s="66" t="s">
        <v>405</v>
      </c>
      <c r="D70" s="66" t="s">
        <v>50</v>
      </c>
      <c r="E70" s="66" t="s">
        <v>51</v>
      </c>
      <c r="F70" s="66">
        <v>0</v>
      </c>
      <c r="G70" s="66">
        <v>5</v>
      </c>
      <c r="H70" s="66">
        <v>233331</v>
      </c>
      <c r="I70" s="66" t="s">
        <v>52</v>
      </c>
      <c r="J70" s="66">
        <v>233491</v>
      </c>
      <c r="K70" s="66" t="s">
        <v>53</v>
      </c>
      <c r="L70" s="16" t="str">
        <f>VLOOKUP(C70,'Trips&amp;Operators'!$C$2:$E$10000,3,FALSE)</f>
        <v>CHANDLER</v>
      </c>
      <c r="M70" s="15" t="s">
        <v>140</v>
      </c>
      <c r="N70" s="66"/>
      <c r="P70" s="54" t="str">
        <f>VLOOKUP(C70,'Train Runs'!$A$13:$V$174,22,0)</f>
        <v>https://search-rtdc-monitor-bjffxe2xuh6vdkpspy63sjmuny.us-east-1.es.amazonaws.com/_plugin/kibana/#/discover/Steve-Slow-Train-Analysis-(2080s-and-2083s)?_g=(refreshInterval:(display:Off,section:0,value:0),time:(from:'2016-06-26 17:41:49-0600',mode:absolute,to:'2016-06-26 18:26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Q70" s="14" t="str">
        <f t="shared" si="0"/>
        <v>4011</v>
      </c>
    </row>
  </sheetData>
  <autoFilter ref="A6:N70"/>
  <sortState ref="A7:Q70">
    <sortCondition ref="E7:E70"/>
    <sortCondition ref="F7:F70"/>
    <sortCondition ref="J7:J70"/>
  </sortState>
  <mergeCells count="1">
    <mergeCell ref="A5:M5"/>
  </mergeCells>
  <conditionalFormatting sqref="P6 M6:N6 M21:M1048576">
    <cfRule type="cellIs" dxfId="5" priority="6" operator="equal">
      <formula>"Y"</formula>
    </cfRule>
  </conditionalFormatting>
  <conditionalFormatting sqref="A7:L7 A8:K47 L8:L20 L21:N29 L30:M31 L32:N70">
    <cfRule type="expression" dxfId="4" priority="5">
      <formula>$M7="Y"</formula>
    </cfRule>
  </conditionalFormatting>
  <conditionalFormatting sqref="M2:M3">
    <cfRule type="cellIs" dxfId="3" priority="4" operator="equal">
      <formula>"Y"</formula>
    </cfRule>
  </conditionalFormatting>
  <conditionalFormatting sqref="M7:M20">
    <cfRule type="cellIs" dxfId="2" priority="3" operator="equal">
      <formula>"Y"</formula>
    </cfRule>
  </conditionalFormatting>
  <conditionalFormatting sqref="M7:N20">
    <cfRule type="expression" dxfId="1" priority="2">
      <formula>$M7="Y"</formula>
    </cfRule>
  </conditionalFormatting>
  <conditionalFormatting sqref="N30:N31">
    <cfRule type="expression" dxfId="0" priority="1">
      <formula>$M30="Y"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2"/>
  <sheetViews>
    <sheetView workbookViewId="0">
      <selection activeCell="A6" sqref="A6"/>
    </sheetView>
  </sheetViews>
  <sheetFormatPr defaultRowHeight="15" x14ac:dyDescent="0.25"/>
  <cols>
    <col min="1" max="1" width="9.140625" customWidth="1"/>
    <col min="2" max="2" width="8" style="60" bestFit="1" customWidth="1"/>
    <col min="3" max="3" width="7.85546875" style="62" bestFit="1" customWidth="1"/>
    <col min="4" max="4" width="34.7109375" bestFit="1" customWidth="1"/>
    <col min="5" max="5" width="18.140625" bestFit="1" customWidth="1"/>
    <col min="6" max="6" width="17" bestFit="1" customWidth="1"/>
    <col min="7" max="7" width="14.140625" bestFit="1" customWidth="1"/>
  </cols>
  <sheetData>
    <row r="1" spans="1:10" s="42" customFormat="1" x14ac:dyDescent="0.25">
      <c r="A1" s="88" t="str">
        <f>"Trips that did not appear in PTC Data "&amp;TEXT(Variables!$A$2,"YYYY-mm-dd")</f>
        <v>Trips that did not appear in PTC Data 2016-06-26</v>
      </c>
      <c r="B1" s="88"/>
      <c r="C1" s="88"/>
      <c r="D1" s="88"/>
      <c r="E1" s="88"/>
    </row>
    <row r="2" spans="1:10" s="52" customFormat="1" ht="45" x14ac:dyDescent="0.25">
      <c r="A2" s="51" t="s">
        <v>94</v>
      </c>
      <c r="B2" s="63" t="s">
        <v>95</v>
      </c>
      <c r="C2" s="61" t="s">
        <v>96</v>
      </c>
      <c r="D2" s="52" t="s">
        <v>92</v>
      </c>
      <c r="E2" s="52" t="s">
        <v>93</v>
      </c>
      <c r="F2" s="52" t="s">
        <v>109</v>
      </c>
      <c r="G2" s="64" t="s">
        <v>110</v>
      </c>
    </row>
    <row r="3" spans="1:10" x14ac:dyDescent="0.25">
      <c r="A3" s="66" t="s">
        <v>452</v>
      </c>
      <c r="B3" s="66"/>
      <c r="C3" s="66"/>
      <c r="D3" s="66"/>
      <c r="E3" s="43" t="str">
        <f>VLOOKUP(A3,'Trips&amp;Operators'!$C$2:$E$10000,3,FALSE)</f>
        <v>GEBRETEKLE</v>
      </c>
      <c r="F3" s="43" t="str">
        <f>VLOOKUP(A3,'Trips&amp;Operators'!$C$1:$F$10000,4,FALSE)</f>
        <v>rtdc.l.rtdc.4011:itc</v>
      </c>
      <c r="G3" s="65">
        <f>VLOOKUP(A3,'Trips&amp;Operators'!$C$1:$H$10000,5,FALSE)</f>
        <v>42547.436412037037</v>
      </c>
      <c r="H3" s="42"/>
      <c r="I3" s="42"/>
      <c r="J3" s="42"/>
    </row>
    <row r="4" spans="1:10" x14ac:dyDescent="0.25">
      <c r="A4" s="66" t="s">
        <v>485</v>
      </c>
      <c r="B4" s="66"/>
      <c r="C4" s="66"/>
      <c r="D4" s="66"/>
      <c r="E4" s="43" t="str">
        <f>VLOOKUP(A4,'Trips&amp;Operators'!$C$2:$E$10000,3,FALSE)</f>
        <v>BARTLETT</v>
      </c>
      <c r="F4" s="43" t="str">
        <f>VLOOKUP(A4,'Trips&amp;Operators'!$C$1:$F$10000,4,FALSE)</f>
        <v>rtdc.l.rtdc.4020:itc</v>
      </c>
      <c r="G4" s="65">
        <f>VLOOKUP(A4,'Trips&amp;Operators'!$C$1:$H$10000,5,FALSE)</f>
        <v>42548.011550925927</v>
      </c>
      <c r="H4" s="42"/>
      <c r="I4" s="42"/>
      <c r="J4" s="42"/>
    </row>
    <row r="5" spans="1:10" x14ac:dyDescent="0.25">
      <c r="A5" s="66" t="s">
        <v>489</v>
      </c>
      <c r="B5" s="66"/>
      <c r="C5" s="66"/>
      <c r="D5" s="66"/>
      <c r="E5" s="43" t="e">
        <f>VLOOKUP(A5,'Trips&amp;Operators'!$C$2:$E$10000,3,FALSE)</f>
        <v>#N/A</v>
      </c>
      <c r="F5" s="43" t="e">
        <f>VLOOKUP(A5,'Trips&amp;Operators'!$C$1:$F$10000,4,FALSE)</f>
        <v>#N/A</v>
      </c>
      <c r="G5" s="65" t="e">
        <f>VLOOKUP(A5,'Trips&amp;Operators'!$C$1:$H$10000,5,FALSE)</f>
        <v>#N/A</v>
      </c>
      <c r="H5" s="42"/>
      <c r="I5" s="42"/>
      <c r="J5" s="42"/>
    </row>
    <row r="6" spans="1:10" x14ac:dyDescent="0.25">
      <c r="A6" s="66" t="s">
        <v>395</v>
      </c>
      <c r="B6" s="66"/>
      <c r="C6" s="66"/>
      <c r="D6" s="66"/>
      <c r="E6" s="43" t="str">
        <f>VLOOKUP(A6,'Trips&amp;Operators'!$C$2:$E$10000,3,FALSE)</f>
        <v>LOCKLEAR</v>
      </c>
      <c r="F6" s="43" t="str">
        <f>VLOOKUP(A6,'Trips&amp;Operators'!$C$1:$F$10000,4,FALSE)</f>
        <v>rtdc.l.rtdc.4023:itc</v>
      </c>
      <c r="G6" s="65">
        <f>VLOOKUP(A6,'Trips&amp;Operators'!$C$1:$H$10000,5,FALSE)</f>
        <v>42547.829444444447</v>
      </c>
      <c r="H6" s="42"/>
      <c r="I6" s="42"/>
      <c r="J6" s="42"/>
    </row>
    <row r="7" spans="1:10" x14ac:dyDescent="0.25">
      <c r="B7"/>
      <c r="C7"/>
      <c r="H7" s="42"/>
      <c r="I7" s="42"/>
      <c r="J7" s="42"/>
    </row>
    <row r="8" spans="1:10" x14ac:dyDescent="0.25">
      <c r="B8"/>
      <c r="C8"/>
      <c r="H8" s="42"/>
      <c r="I8" s="42"/>
      <c r="J8" s="42"/>
    </row>
    <row r="9" spans="1:10" x14ac:dyDescent="0.25">
      <c r="B9"/>
      <c r="C9"/>
      <c r="H9" s="42"/>
      <c r="I9" s="42"/>
      <c r="J9" s="42"/>
    </row>
    <row r="10" spans="1:10" x14ac:dyDescent="0.25">
      <c r="B10"/>
      <c r="C10"/>
      <c r="H10" s="42"/>
      <c r="I10" s="42"/>
      <c r="J10" s="42"/>
    </row>
    <row r="11" spans="1:10" x14ac:dyDescent="0.25">
      <c r="B11"/>
      <c r="C11"/>
      <c r="H11" s="42"/>
      <c r="I11" s="42"/>
      <c r="J11" s="42"/>
    </row>
    <row r="12" spans="1:10" x14ac:dyDescent="0.25">
      <c r="B12"/>
      <c r="C12"/>
      <c r="H12" s="42"/>
      <c r="I12" s="42"/>
      <c r="J12" s="42"/>
    </row>
    <row r="13" spans="1:10" x14ac:dyDescent="0.25">
      <c r="B13"/>
      <c r="C13"/>
      <c r="H13" s="42"/>
      <c r="I13" s="42"/>
      <c r="J13" s="42"/>
    </row>
    <row r="14" spans="1:10" x14ac:dyDescent="0.25">
      <c r="B14"/>
      <c r="C14"/>
      <c r="H14" s="42"/>
      <c r="I14" s="42"/>
      <c r="J14" s="42"/>
    </row>
    <row r="15" spans="1:10" x14ac:dyDescent="0.25">
      <c r="B15"/>
      <c r="C15"/>
      <c r="H15" s="42"/>
      <c r="I15" s="42"/>
      <c r="J15" s="42"/>
    </row>
    <row r="16" spans="1:10" x14ac:dyDescent="0.25">
      <c r="B16"/>
      <c r="C16"/>
      <c r="H16" s="42"/>
      <c r="I16" s="42"/>
      <c r="J16" s="42"/>
    </row>
    <row r="17" spans="2:10" x14ac:dyDescent="0.25">
      <c r="B17"/>
      <c r="C17"/>
      <c r="H17" s="42"/>
      <c r="I17" s="42"/>
      <c r="J17" s="42"/>
    </row>
    <row r="18" spans="2:10" x14ac:dyDescent="0.25">
      <c r="B18"/>
      <c r="C18"/>
      <c r="H18" s="42"/>
      <c r="I18" s="42"/>
      <c r="J18" s="42"/>
    </row>
    <row r="19" spans="2:10" x14ac:dyDescent="0.25">
      <c r="B19"/>
      <c r="C19"/>
      <c r="H19" s="42"/>
      <c r="I19" s="42"/>
      <c r="J19" s="42"/>
    </row>
    <row r="20" spans="2:10" x14ac:dyDescent="0.25">
      <c r="B20"/>
      <c r="C20"/>
      <c r="H20" s="42"/>
      <c r="I20" s="42"/>
      <c r="J20" s="42"/>
    </row>
    <row r="21" spans="2:10" x14ac:dyDescent="0.25">
      <c r="B21"/>
      <c r="C21"/>
      <c r="H21" s="42"/>
      <c r="I21" s="42"/>
      <c r="J21" s="42"/>
    </row>
    <row r="22" spans="2:10" x14ac:dyDescent="0.25">
      <c r="B22"/>
      <c r="C22"/>
      <c r="H22" s="42"/>
      <c r="I22" s="42"/>
      <c r="J22" s="42"/>
    </row>
    <row r="23" spans="2:10" x14ac:dyDescent="0.25">
      <c r="B23"/>
      <c r="C23"/>
      <c r="H23" s="42"/>
      <c r="I23" s="42"/>
      <c r="J23" s="42"/>
    </row>
    <row r="24" spans="2:10" x14ac:dyDescent="0.25">
      <c r="B24"/>
      <c r="C24"/>
      <c r="H24" s="42"/>
      <c r="I24" s="42"/>
      <c r="J24" s="42"/>
    </row>
    <row r="25" spans="2:10" x14ac:dyDescent="0.25">
      <c r="B25"/>
      <c r="C25"/>
      <c r="H25" s="42"/>
      <c r="I25" s="42"/>
      <c r="J25" s="42"/>
    </row>
    <row r="26" spans="2:10" x14ac:dyDescent="0.25">
      <c r="B26"/>
      <c r="C26"/>
      <c r="H26" s="42"/>
      <c r="I26" s="42"/>
      <c r="J26" s="42"/>
    </row>
    <row r="27" spans="2:10" x14ac:dyDescent="0.25">
      <c r="B27"/>
      <c r="C27"/>
      <c r="H27" s="42"/>
      <c r="I27" s="42"/>
      <c r="J27" s="42"/>
    </row>
    <row r="28" spans="2:10" x14ac:dyDescent="0.25">
      <c r="B28"/>
      <c r="C28"/>
      <c r="H28" s="42"/>
      <c r="I28" s="42"/>
      <c r="J28" s="42"/>
    </row>
    <row r="29" spans="2:10" x14ac:dyDescent="0.25">
      <c r="B29"/>
      <c r="C29"/>
      <c r="H29" s="42"/>
      <c r="I29" s="42"/>
      <c r="J29" s="42"/>
    </row>
    <row r="30" spans="2:10" x14ac:dyDescent="0.25">
      <c r="B30"/>
      <c r="C30"/>
      <c r="H30" s="42"/>
      <c r="I30" s="42"/>
      <c r="J30" s="42"/>
    </row>
    <row r="31" spans="2:10" x14ac:dyDescent="0.25">
      <c r="B31"/>
      <c r="C31"/>
      <c r="H31" s="42"/>
      <c r="I31" s="42"/>
      <c r="J31" s="42"/>
    </row>
    <row r="32" spans="2:10" x14ac:dyDescent="0.25">
      <c r="B32"/>
      <c r="C32"/>
      <c r="H32" s="42"/>
      <c r="I32" s="42"/>
      <c r="J32" s="42"/>
    </row>
    <row r="33" spans="2:10" x14ac:dyDescent="0.25">
      <c r="B33"/>
      <c r="C33"/>
      <c r="H33" s="42"/>
      <c r="I33" s="42"/>
      <c r="J33" s="42"/>
    </row>
    <row r="34" spans="2:10" x14ac:dyDescent="0.25">
      <c r="B34"/>
      <c r="C34"/>
      <c r="H34" s="42"/>
      <c r="I34" s="42"/>
      <c r="J34" s="42"/>
    </row>
    <row r="35" spans="2:10" x14ac:dyDescent="0.25">
      <c r="B35"/>
      <c r="C35"/>
      <c r="H35" s="42"/>
      <c r="I35" s="42"/>
      <c r="J35" s="42"/>
    </row>
    <row r="36" spans="2:10" x14ac:dyDescent="0.25">
      <c r="B36"/>
      <c r="C36"/>
      <c r="H36" s="42"/>
      <c r="I36" s="42"/>
      <c r="J36" s="42"/>
    </row>
    <row r="37" spans="2:10" x14ac:dyDescent="0.25">
      <c r="B37"/>
      <c r="C37"/>
      <c r="H37" s="42"/>
      <c r="I37" s="42"/>
      <c r="J37" s="42"/>
    </row>
    <row r="38" spans="2:10" x14ac:dyDescent="0.25">
      <c r="B38"/>
      <c r="C38"/>
      <c r="H38" s="42"/>
      <c r="I38" s="42"/>
      <c r="J38" s="42"/>
    </row>
    <row r="39" spans="2:10" x14ac:dyDescent="0.25">
      <c r="B39"/>
      <c r="C39"/>
      <c r="H39" s="42"/>
      <c r="I39" s="42"/>
      <c r="J39" s="42"/>
    </row>
    <row r="40" spans="2:10" x14ac:dyDescent="0.25">
      <c r="B40"/>
      <c r="C40"/>
      <c r="H40" s="42"/>
      <c r="I40" s="42"/>
      <c r="J40" s="42"/>
    </row>
    <row r="41" spans="2:10" x14ac:dyDescent="0.25">
      <c r="B41"/>
      <c r="C41"/>
      <c r="H41" s="42"/>
      <c r="I41" s="42"/>
      <c r="J41" s="42"/>
    </row>
    <row r="42" spans="2:10" x14ac:dyDescent="0.25">
      <c r="B42"/>
      <c r="C42"/>
      <c r="H42" s="42"/>
      <c r="I42" s="42"/>
      <c r="J42" s="42"/>
    </row>
    <row r="43" spans="2:10" x14ac:dyDescent="0.25">
      <c r="B43"/>
      <c r="C43"/>
      <c r="H43" s="42"/>
      <c r="I43" s="42"/>
      <c r="J43" s="42"/>
    </row>
    <row r="44" spans="2:10" x14ac:dyDescent="0.25">
      <c r="B44"/>
      <c r="C44"/>
      <c r="H44" s="42"/>
      <c r="I44" s="42"/>
      <c r="J44" s="42"/>
    </row>
    <row r="45" spans="2:10" x14ac:dyDescent="0.25">
      <c r="B45"/>
      <c r="C45"/>
      <c r="H45" s="42"/>
      <c r="I45" s="42"/>
      <c r="J45" s="42"/>
    </row>
    <row r="46" spans="2:10" x14ac:dyDescent="0.25">
      <c r="B46"/>
      <c r="C46"/>
      <c r="H46" s="42"/>
      <c r="I46" s="42"/>
      <c r="J46" s="42"/>
    </row>
    <row r="47" spans="2:10" x14ac:dyDescent="0.25">
      <c r="B47"/>
      <c r="C47"/>
      <c r="H47" s="42"/>
      <c r="I47" s="42"/>
      <c r="J47" s="42"/>
    </row>
    <row r="48" spans="2:10" x14ac:dyDescent="0.25">
      <c r="B48"/>
      <c r="C48"/>
      <c r="H48" s="42"/>
      <c r="I48" s="42"/>
      <c r="J48" s="42"/>
    </row>
    <row r="49" spans="2:10" x14ac:dyDescent="0.25">
      <c r="B49"/>
      <c r="C49"/>
      <c r="H49" s="42"/>
      <c r="I49" s="42"/>
      <c r="J49" s="42"/>
    </row>
    <row r="50" spans="2:10" x14ac:dyDescent="0.25">
      <c r="B50"/>
      <c r="C50"/>
      <c r="H50" s="42"/>
      <c r="I50" s="42"/>
      <c r="J50" s="42"/>
    </row>
    <row r="51" spans="2:10" x14ac:dyDescent="0.25">
      <c r="B51"/>
      <c r="C51"/>
      <c r="H51" s="42"/>
      <c r="I51" s="42"/>
      <c r="J51" s="42"/>
    </row>
    <row r="52" spans="2:10" x14ac:dyDescent="0.25">
      <c r="B52"/>
      <c r="C52"/>
      <c r="H52" s="42"/>
      <c r="I52" s="42"/>
      <c r="J52" s="42"/>
    </row>
    <row r="53" spans="2:10" x14ac:dyDescent="0.25">
      <c r="B53"/>
      <c r="C53"/>
      <c r="H53" s="42"/>
      <c r="I53" s="42"/>
      <c r="J53" s="42"/>
    </row>
    <row r="54" spans="2:10" x14ac:dyDescent="0.25">
      <c r="B54"/>
      <c r="C54"/>
      <c r="H54" s="42"/>
      <c r="I54" s="42"/>
      <c r="J54" s="42"/>
    </row>
    <row r="55" spans="2:10" x14ac:dyDescent="0.25">
      <c r="B55"/>
      <c r="C55"/>
      <c r="H55" s="42"/>
      <c r="I55" s="42"/>
      <c r="J55" s="42"/>
    </row>
    <row r="56" spans="2:10" x14ac:dyDescent="0.25">
      <c r="B56"/>
      <c r="C56"/>
      <c r="H56" s="42"/>
      <c r="I56" s="42"/>
      <c r="J56" s="42"/>
    </row>
    <row r="57" spans="2:10" x14ac:dyDescent="0.25">
      <c r="B57"/>
      <c r="C57"/>
      <c r="H57" s="42"/>
      <c r="I57" s="42"/>
      <c r="J57" s="42"/>
    </row>
    <row r="58" spans="2:10" x14ac:dyDescent="0.25">
      <c r="B58"/>
      <c r="C58"/>
      <c r="H58" s="42"/>
      <c r="I58" s="42"/>
      <c r="J58" s="42"/>
    </row>
    <row r="59" spans="2:10" x14ac:dyDescent="0.25">
      <c r="B59"/>
      <c r="C59"/>
      <c r="H59" s="42"/>
      <c r="I59" s="42"/>
      <c r="J59" s="42"/>
    </row>
    <row r="60" spans="2:10" x14ac:dyDescent="0.25">
      <c r="B60"/>
      <c r="C60"/>
      <c r="H60" s="42"/>
      <c r="I60" s="42"/>
      <c r="J60" s="42"/>
    </row>
    <row r="61" spans="2:10" x14ac:dyDescent="0.25">
      <c r="B61"/>
      <c r="C61"/>
      <c r="H61" s="42"/>
      <c r="I61" s="42"/>
      <c r="J61" s="42"/>
    </row>
    <row r="62" spans="2:10" x14ac:dyDescent="0.25">
      <c r="B62"/>
      <c r="C62"/>
      <c r="H62" s="42"/>
      <c r="I62" s="42"/>
      <c r="J62" s="42"/>
    </row>
    <row r="63" spans="2:10" x14ac:dyDescent="0.25">
      <c r="B63"/>
      <c r="C63"/>
      <c r="H63" s="42"/>
      <c r="I63" s="42"/>
      <c r="J63" s="42"/>
    </row>
    <row r="64" spans="2:10" x14ac:dyDescent="0.25">
      <c r="B64"/>
      <c r="C64"/>
      <c r="H64" s="42"/>
      <c r="I64" s="42"/>
      <c r="J64" s="42"/>
    </row>
    <row r="65" spans="2:10" x14ac:dyDescent="0.25">
      <c r="B65"/>
      <c r="C65"/>
      <c r="H65" s="42"/>
      <c r="I65" s="42"/>
      <c r="J65" s="42"/>
    </row>
    <row r="66" spans="2:10" x14ac:dyDescent="0.25">
      <c r="B66"/>
      <c r="C66"/>
      <c r="H66" s="42"/>
      <c r="I66" s="42"/>
      <c r="J66" s="42"/>
    </row>
    <row r="67" spans="2:10" x14ac:dyDescent="0.25">
      <c r="B67"/>
      <c r="C67"/>
      <c r="H67" s="42"/>
      <c r="I67" s="42"/>
      <c r="J67" s="42"/>
    </row>
    <row r="68" spans="2:10" x14ac:dyDescent="0.25">
      <c r="B68"/>
      <c r="C68"/>
      <c r="H68" s="42"/>
      <c r="I68" s="42"/>
      <c r="J68" s="42"/>
    </row>
    <row r="69" spans="2:10" x14ac:dyDescent="0.25">
      <c r="B69"/>
      <c r="C69"/>
      <c r="H69" s="42"/>
      <c r="I69" s="42"/>
      <c r="J69" s="42"/>
    </row>
    <row r="70" spans="2:10" x14ac:dyDescent="0.25">
      <c r="B70"/>
      <c r="C70"/>
      <c r="H70" s="42"/>
      <c r="I70" s="42"/>
      <c r="J70" s="42"/>
    </row>
    <row r="71" spans="2:10" x14ac:dyDescent="0.25">
      <c r="B71"/>
      <c r="C71"/>
      <c r="H71" s="42"/>
      <c r="I71" s="42"/>
      <c r="J71" s="42"/>
    </row>
    <row r="72" spans="2:10" x14ac:dyDescent="0.25">
      <c r="B72"/>
      <c r="C72"/>
      <c r="H72" s="42"/>
      <c r="I72" s="42"/>
      <c r="J72" s="42"/>
    </row>
    <row r="73" spans="2:10" x14ac:dyDescent="0.25">
      <c r="B73"/>
      <c r="C73"/>
      <c r="H73" s="42"/>
      <c r="I73" s="42"/>
      <c r="J73" s="42"/>
    </row>
    <row r="74" spans="2:10" x14ac:dyDescent="0.25">
      <c r="B74"/>
      <c r="C74"/>
      <c r="H74" s="42"/>
      <c r="I74" s="42"/>
      <c r="J74" s="42"/>
    </row>
    <row r="75" spans="2:10" x14ac:dyDescent="0.25">
      <c r="B75"/>
      <c r="C75"/>
      <c r="H75" s="42"/>
      <c r="I75" s="42"/>
      <c r="J75" s="42"/>
    </row>
    <row r="76" spans="2:10" x14ac:dyDescent="0.25">
      <c r="B76"/>
      <c r="C76"/>
      <c r="H76" s="42"/>
      <c r="I76" s="42"/>
      <c r="J76" s="42"/>
    </row>
    <row r="77" spans="2:10" x14ac:dyDescent="0.25">
      <c r="B77"/>
      <c r="C77"/>
      <c r="H77" s="42"/>
      <c r="I77" s="42"/>
      <c r="J77" s="42"/>
    </row>
    <row r="78" spans="2:10" x14ac:dyDescent="0.25">
      <c r="B78"/>
      <c r="C78"/>
      <c r="H78" s="42"/>
      <c r="I78" s="42"/>
      <c r="J78" s="42"/>
    </row>
    <row r="79" spans="2:10" x14ac:dyDescent="0.25">
      <c r="B79"/>
      <c r="C79"/>
      <c r="H79" s="42"/>
      <c r="I79" s="42"/>
      <c r="J79" s="42"/>
    </row>
    <row r="80" spans="2:10" x14ac:dyDescent="0.25">
      <c r="B80"/>
      <c r="C80"/>
      <c r="H80" s="42"/>
      <c r="I80" s="42"/>
      <c r="J80" s="42"/>
    </row>
    <row r="81" spans="2:10" x14ac:dyDescent="0.25">
      <c r="B81"/>
      <c r="C81"/>
      <c r="H81" s="42"/>
      <c r="I81" s="42"/>
      <c r="J81" s="42"/>
    </row>
    <row r="82" spans="2:10" x14ac:dyDescent="0.25">
      <c r="B82"/>
      <c r="C82"/>
      <c r="H82" s="42"/>
      <c r="I82" s="42"/>
      <c r="J82" s="42"/>
    </row>
    <row r="83" spans="2:10" x14ac:dyDescent="0.25">
      <c r="B83"/>
      <c r="C83"/>
      <c r="H83" s="42"/>
      <c r="I83" s="42"/>
      <c r="J83" s="42"/>
    </row>
    <row r="84" spans="2:10" x14ac:dyDescent="0.25">
      <c r="B84"/>
      <c r="C84"/>
      <c r="H84" s="42"/>
      <c r="I84" s="42"/>
      <c r="J84" s="42"/>
    </row>
    <row r="85" spans="2:10" x14ac:dyDescent="0.25">
      <c r="B85"/>
      <c r="C85"/>
      <c r="H85" s="42"/>
      <c r="I85" s="42"/>
      <c r="J85" s="42"/>
    </row>
    <row r="86" spans="2:10" x14ac:dyDescent="0.25">
      <c r="B86"/>
      <c r="C86"/>
      <c r="H86" s="42"/>
      <c r="I86" s="42"/>
      <c r="J86" s="42"/>
    </row>
    <row r="87" spans="2:10" x14ac:dyDescent="0.25">
      <c r="B87"/>
      <c r="C87"/>
      <c r="H87" s="42"/>
      <c r="I87" s="42"/>
      <c r="J87" s="42"/>
    </row>
    <row r="88" spans="2:10" x14ac:dyDescent="0.25">
      <c r="B88"/>
      <c r="C88"/>
      <c r="H88" s="42"/>
      <c r="I88" s="42"/>
      <c r="J88" s="42"/>
    </row>
    <row r="89" spans="2:10" x14ac:dyDescent="0.25">
      <c r="B89"/>
      <c r="C89"/>
      <c r="H89" s="42"/>
      <c r="I89" s="42"/>
      <c r="J89" s="42"/>
    </row>
    <row r="90" spans="2:10" x14ac:dyDescent="0.25">
      <c r="B90"/>
      <c r="C90"/>
      <c r="H90" s="42"/>
      <c r="I90" s="42"/>
      <c r="J90" s="42"/>
    </row>
    <row r="91" spans="2:10" x14ac:dyDescent="0.25">
      <c r="B91"/>
      <c r="C91"/>
      <c r="H91" s="42"/>
      <c r="I91" s="42"/>
      <c r="J91" s="42"/>
    </row>
    <row r="92" spans="2:10" x14ac:dyDescent="0.25">
      <c r="B92"/>
      <c r="C92"/>
      <c r="H92" s="42"/>
      <c r="I92" s="42"/>
      <c r="J92" s="42"/>
    </row>
    <row r="93" spans="2:10" x14ac:dyDescent="0.25">
      <c r="B93"/>
      <c r="C93"/>
      <c r="H93" s="42"/>
      <c r="I93" s="42"/>
      <c r="J93" s="42"/>
    </row>
    <row r="94" spans="2:10" x14ac:dyDescent="0.25">
      <c r="B94"/>
      <c r="C94"/>
      <c r="H94" s="42"/>
      <c r="I94" s="42"/>
      <c r="J94" s="42"/>
    </row>
    <row r="95" spans="2:10" x14ac:dyDescent="0.25">
      <c r="B95"/>
      <c r="C95"/>
      <c r="H95" s="42"/>
      <c r="I95" s="42"/>
      <c r="J95" s="42"/>
    </row>
    <row r="96" spans="2:10" x14ac:dyDescent="0.25">
      <c r="B96"/>
      <c r="C96"/>
      <c r="H96" s="42"/>
      <c r="I96" s="42"/>
      <c r="J96" s="42"/>
    </row>
    <row r="97" spans="2:10" x14ac:dyDescent="0.25">
      <c r="B97"/>
      <c r="C97"/>
      <c r="H97" s="42"/>
      <c r="I97" s="42"/>
      <c r="J97" s="42"/>
    </row>
    <row r="98" spans="2:10" x14ac:dyDescent="0.25">
      <c r="B98"/>
      <c r="C98"/>
      <c r="H98" s="42"/>
      <c r="I98" s="42"/>
      <c r="J98" s="42"/>
    </row>
    <row r="99" spans="2:10" x14ac:dyDescent="0.25">
      <c r="B99"/>
      <c r="C99"/>
      <c r="H99" s="42"/>
      <c r="I99" s="42"/>
      <c r="J99" s="42"/>
    </row>
    <row r="100" spans="2:10" x14ac:dyDescent="0.25">
      <c r="B100"/>
      <c r="C100"/>
      <c r="H100" s="42"/>
      <c r="I100" s="42"/>
      <c r="J100" s="42"/>
    </row>
    <row r="101" spans="2:10" x14ac:dyDescent="0.25">
      <c r="B101"/>
      <c r="C101"/>
      <c r="H101" s="42"/>
      <c r="I101" s="42"/>
      <c r="J101" s="42"/>
    </row>
    <row r="102" spans="2:10" x14ac:dyDescent="0.25">
      <c r="B102"/>
      <c r="C102"/>
      <c r="H102" s="42"/>
      <c r="I102" s="42"/>
      <c r="J102" s="42"/>
    </row>
    <row r="103" spans="2:10" x14ac:dyDescent="0.25">
      <c r="B103"/>
      <c r="C103"/>
      <c r="H103" s="42"/>
      <c r="I103" s="42"/>
      <c r="J103" s="42"/>
    </row>
    <row r="104" spans="2:10" x14ac:dyDescent="0.25">
      <c r="B104"/>
      <c r="C104"/>
      <c r="H104" s="42"/>
      <c r="I104" s="42"/>
      <c r="J104" s="42"/>
    </row>
    <row r="105" spans="2:10" x14ac:dyDescent="0.25">
      <c r="B105"/>
      <c r="C105"/>
      <c r="H105" s="42"/>
      <c r="I105" s="42"/>
      <c r="J105" s="42"/>
    </row>
    <row r="106" spans="2:10" x14ac:dyDescent="0.25">
      <c r="B106"/>
      <c r="C106"/>
      <c r="H106" s="42"/>
      <c r="I106" s="42"/>
      <c r="J106" s="42"/>
    </row>
    <row r="107" spans="2:10" x14ac:dyDescent="0.25">
      <c r="B107"/>
      <c r="C107"/>
      <c r="H107" s="42"/>
      <c r="I107" s="42"/>
      <c r="J107" s="42"/>
    </row>
    <row r="108" spans="2:10" x14ac:dyDescent="0.25">
      <c r="B108"/>
      <c r="C108"/>
      <c r="H108" s="42"/>
      <c r="I108" s="42"/>
      <c r="J108" s="42"/>
    </row>
    <row r="109" spans="2:10" x14ac:dyDescent="0.25">
      <c r="B109"/>
      <c r="C109"/>
      <c r="H109" s="42"/>
      <c r="I109" s="42"/>
      <c r="J109" s="42"/>
    </row>
    <row r="110" spans="2:10" x14ac:dyDescent="0.25">
      <c r="B110"/>
      <c r="C110"/>
      <c r="H110" s="42"/>
      <c r="I110" s="42"/>
      <c r="J110" s="42"/>
    </row>
    <row r="111" spans="2:10" x14ac:dyDescent="0.25">
      <c r="B111"/>
      <c r="C111"/>
      <c r="H111" s="42"/>
      <c r="I111" s="42"/>
      <c r="J111" s="42"/>
    </row>
    <row r="112" spans="2:10" x14ac:dyDescent="0.25">
      <c r="B112"/>
      <c r="C112"/>
      <c r="H112" s="42"/>
      <c r="I112" s="42"/>
      <c r="J112" s="42"/>
    </row>
    <row r="113" spans="2:10" x14ac:dyDescent="0.25">
      <c r="B113"/>
      <c r="C113"/>
      <c r="H113" s="42"/>
      <c r="I113" s="42"/>
      <c r="J113" s="42"/>
    </row>
    <row r="114" spans="2:10" x14ac:dyDescent="0.25">
      <c r="B114"/>
      <c r="C114"/>
      <c r="H114" s="42"/>
      <c r="I114" s="42"/>
      <c r="J114" s="42"/>
    </row>
    <row r="115" spans="2:10" x14ac:dyDescent="0.25">
      <c r="B115"/>
      <c r="C115"/>
      <c r="H115" s="42"/>
      <c r="I115" s="42"/>
      <c r="J115" s="42"/>
    </row>
    <row r="116" spans="2:10" x14ac:dyDescent="0.25">
      <c r="B116"/>
      <c r="C116"/>
      <c r="H116" s="42"/>
      <c r="I116" s="42"/>
      <c r="J116" s="42"/>
    </row>
    <row r="117" spans="2:10" x14ac:dyDescent="0.25">
      <c r="B117"/>
      <c r="C117"/>
      <c r="H117" s="42"/>
      <c r="I117" s="42"/>
      <c r="J117" s="42"/>
    </row>
    <row r="118" spans="2:10" x14ac:dyDescent="0.25">
      <c r="B118"/>
      <c r="C118"/>
      <c r="H118" s="42"/>
      <c r="I118" s="42"/>
      <c r="J118" s="42"/>
    </row>
    <row r="119" spans="2:10" x14ac:dyDescent="0.25">
      <c r="B119"/>
      <c r="C119"/>
      <c r="H119" s="42"/>
      <c r="I119" s="42"/>
      <c r="J119" s="42"/>
    </row>
    <row r="120" spans="2:10" x14ac:dyDescent="0.25">
      <c r="B120"/>
      <c r="C120"/>
      <c r="H120" s="42"/>
      <c r="I120" s="42"/>
      <c r="J120" s="42"/>
    </row>
    <row r="121" spans="2:10" x14ac:dyDescent="0.25">
      <c r="B121"/>
      <c r="C121"/>
      <c r="H121" s="42"/>
      <c r="I121" s="42"/>
      <c r="J121" s="42"/>
    </row>
    <row r="122" spans="2:10" x14ac:dyDescent="0.25">
      <c r="B122"/>
      <c r="C122"/>
      <c r="H122" s="42"/>
      <c r="I122" s="42"/>
      <c r="J122" s="42"/>
    </row>
    <row r="123" spans="2:10" x14ac:dyDescent="0.25">
      <c r="B123"/>
      <c r="C123"/>
      <c r="H123" s="42"/>
      <c r="I123" s="42"/>
      <c r="J123" s="42"/>
    </row>
    <row r="124" spans="2:10" x14ac:dyDescent="0.25">
      <c r="B124"/>
      <c r="C124"/>
      <c r="H124" s="42"/>
      <c r="I124" s="42"/>
      <c r="J124" s="42"/>
    </row>
    <row r="125" spans="2:10" x14ac:dyDescent="0.25">
      <c r="B125"/>
      <c r="C125"/>
      <c r="H125" s="42"/>
      <c r="I125" s="42"/>
      <c r="J125" s="42"/>
    </row>
    <row r="126" spans="2:10" x14ac:dyDescent="0.25">
      <c r="B126"/>
      <c r="C126"/>
      <c r="H126" s="42"/>
      <c r="I126" s="42"/>
      <c r="J126" s="42"/>
    </row>
    <row r="127" spans="2:10" x14ac:dyDescent="0.25">
      <c r="B127"/>
      <c r="C127"/>
      <c r="H127" s="42"/>
      <c r="I127" s="42"/>
      <c r="J127" s="42"/>
    </row>
    <row r="128" spans="2:10" x14ac:dyDescent="0.25">
      <c r="B128"/>
      <c r="C128"/>
      <c r="H128" s="42"/>
      <c r="I128" s="42"/>
      <c r="J128" s="42"/>
    </row>
    <row r="129" spans="2:10" x14ac:dyDescent="0.25">
      <c r="B129"/>
      <c r="C129"/>
      <c r="H129" s="42"/>
      <c r="I129" s="42"/>
      <c r="J129" s="42"/>
    </row>
    <row r="130" spans="2:10" x14ac:dyDescent="0.25">
      <c r="B130"/>
      <c r="C130"/>
      <c r="H130" s="42"/>
      <c r="I130" s="42"/>
      <c r="J130" s="42"/>
    </row>
    <row r="131" spans="2:10" x14ac:dyDescent="0.25">
      <c r="B131"/>
      <c r="C131"/>
      <c r="H131" s="42"/>
      <c r="I131" s="42"/>
      <c r="J131" s="42"/>
    </row>
    <row r="132" spans="2:10" x14ac:dyDescent="0.25">
      <c r="H132" s="42"/>
      <c r="I132" s="42"/>
      <c r="J132" s="42"/>
    </row>
  </sheetData>
  <autoFilter ref="A2:G2">
    <sortState ref="A3:G6">
      <sortCondition ref="A2"/>
    </sortState>
  </autoFilter>
  <mergeCells count="1">
    <mergeCell ref="A1:E1"/>
  </mergeCell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G235"/>
  <sheetViews>
    <sheetView workbookViewId="0">
      <selection sqref="A1:XFD1048576"/>
    </sheetView>
  </sheetViews>
  <sheetFormatPr defaultRowHeight="15" x14ac:dyDescent="0.25"/>
  <cols>
    <col min="1" max="1" width="18.28515625" style="13" bestFit="1" customWidth="1"/>
    <col min="2" max="2" width="17" bestFit="1" customWidth="1"/>
    <col min="3" max="3" width="10.140625" bestFit="1" customWidth="1"/>
    <col min="4" max="4" width="8" bestFit="1" customWidth="1"/>
    <col min="5" max="5" width="12.140625" bestFit="1" customWidth="1"/>
    <col min="6" max="6" width="17" style="42" bestFit="1" customWidth="1"/>
    <col min="7" max="7" width="18.28515625" style="13" bestFit="1" customWidth="1"/>
  </cols>
  <sheetData>
    <row r="1" spans="1:7" s="42" customFormat="1" x14ac:dyDescent="0.25">
      <c r="A1" s="13">
        <v>42547.119537037041</v>
      </c>
      <c r="B1" s="42" t="s">
        <v>213</v>
      </c>
      <c r="C1" s="42" t="s">
        <v>210</v>
      </c>
      <c r="D1" s="42">
        <v>1820000</v>
      </c>
      <c r="E1" s="42" t="s">
        <v>136</v>
      </c>
      <c r="F1" s="42" t="s">
        <v>213</v>
      </c>
      <c r="G1" s="13">
        <v>42547.119537037041</v>
      </c>
    </row>
    <row r="2" spans="1:7" x14ac:dyDescent="0.25">
      <c r="A2" s="13">
        <v>42547.331122685187</v>
      </c>
      <c r="B2" s="42" t="s">
        <v>89</v>
      </c>
      <c r="C2" s="42" t="s">
        <v>327</v>
      </c>
      <c r="D2" s="42">
        <v>1500000</v>
      </c>
      <c r="E2" s="42" t="s">
        <v>90</v>
      </c>
      <c r="F2" s="42" t="s">
        <v>89</v>
      </c>
      <c r="G2" s="13">
        <v>42547.331122685187</v>
      </c>
    </row>
    <row r="3" spans="1:7" x14ac:dyDescent="0.25">
      <c r="A3" s="13">
        <v>42547.666493055556</v>
      </c>
      <c r="B3" s="42" t="s">
        <v>88</v>
      </c>
      <c r="C3" s="42" t="s">
        <v>353</v>
      </c>
      <c r="D3" s="42">
        <v>880000</v>
      </c>
      <c r="E3" s="42" t="s">
        <v>148</v>
      </c>
      <c r="F3" s="42" t="s">
        <v>88</v>
      </c>
      <c r="G3" s="13">
        <v>42547.666493055556</v>
      </c>
    </row>
    <row r="4" spans="1:7" x14ac:dyDescent="0.25">
      <c r="A4" s="13">
        <v>42547.932858796295</v>
      </c>
      <c r="B4" s="42" t="s">
        <v>81</v>
      </c>
      <c r="C4" s="42" t="s">
        <v>426</v>
      </c>
      <c r="D4" s="42">
        <v>1280000</v>
      </c>
      <c r="E4" s="42" t="s">
        <v>481</v>
      </c>
      <c r="F4" s="42" t="s">
        <v>81</v>
      </c>
      <c r="G4" s="13">
        <v>42547.932858796295</v>
      </c>
    </row>
    <row r="5" spans="1:7" x14ac:dyDescent="0.25">
      <c r="A5" s="13">
        <v>42547.258379629631</v>
      </c>
      <c r="B5" s="42" t="s">
        <v>215</v>
      </c>
      <c r="C5" s="42" t="s">
        <v>230</v>
      </c>
      <c r="D5" s="42">
        <v>1830000</v>
      </c>
      <c r="E5" s="42" t="s">
        <v>149</v>
      </c>
      <c r="F5" s="42" t="s">
        <v>215</v>
      </c>
      <c r="G5" s="13">
        <v>42547.258379629631</v>
      </c>
    </row>
    <row r="6" spans="1:7" x14ac:dyDescent="0.25">
      <c r="A6" s="13">
        <v>42547.370879629627</v>
      </c>
      <c r="B6" s="42" t="s">
        <v>88</v>
      </c>
      <c r="C6" s="42" t="s">
        <v>267</v>
      </c>
      <c r="D6" s="42">
        <v>1840000</v>
      </c>
      <c r="E6" s="42" t="s">
        <v>151</v>
      </c>
      <c r="F6" s="42" t="s">
        <v>88</v>
      </c>
      <c r="G6" s="13">
        <v>42547.370879629627</v>
      </c>
    </row>
    <row r="7" spans="1:7" x14ac:dyDescent="0.25">
      <c r="A7" s="13">
        <v>42547.413530092592</v>
      </c>
      <c r="B7" s="42" t="s">
        <v>89</v>
      </c>
      <c r="C7" s="42" t="s">
        <v>330</v>
      </c>
      <c r="D7" s="42">
        <v>1500000</v>
      </c>
      <c r="E7" s="42" t="s">
        <v>90</v>
      </c>
      <c r="F7" s="42" t="s">
        <v>89</v>
      </c>
      <c r="G7" s="13">
        <v>42547.413530092592</v>
      </c>
    </row>
    <row r="8" spans="1:7" x14ac:dyDescent="0.25">
      <c r="A8" s="13">
        <v>42547.561493055553</v>
      </c>
      <c r="B8" s="42" t="s">
        <v>81</v>
      </c>
      <c r="C8" s="42" t="s">
        <v>297</v>
      </c>
      <c r="D8" s="42">
        <v>940000</v>
      </c>
      <c r="E8" s="42" t="s">
        <v>482</v>
      </c>
      <c r="F8" s="42" t="s">
        <v>81</v>
      </c>
      <c r="G8" s="13">
        <v>42547.561493055553</v>
      </c>
    </row>
    <row r="9" spans="1:7" ht="15.75" thickBot="1" x14ac:dyDescent="0.3">
      <c r="A9" s="57">
        <v>42547.572777777779</v>
      </c>
      <c r="B9" s="42" t="s">
        <v>84</v>
      </c>
      <c r="C9" s="42" t="s">
        <v>292</v>
      </c>
      <c r="D9" s="42">
        <v>1520000</v>
      </c>
      <c r="E9" s="42" t="s">
        <v>147</v>
      </c>
      <c r="F9" s="42" t="s">
        <v>84</v>
      </c>
      <c r="G9" s="57">
        <v>42547.572777777779</v>
      </c>
    </row>
    <row r="10" spans="1:7" x14ac:dyDescent="0.25">
      <c r="A10" s="13">
        <v>42547.57984953704</v>
      </c>
      <c r="B10" s="42" t="s">
        <v>184</v>
      </c>
      <c r="C10" s="42" t="s">
        <v>304</v>
      </c>
      <c r="D10" s="42">
        <v>1260000</v>
      </c>
      <c r="E10" s="42" t="s">
        <v>218</v>
      </c>
      <c r="F10" s="42" t="s">
        <v>184</v>
      </c>
      <c r="G10" s="13">
        <v>42547.57984953704</v>
      </c>
    </row>
    <row r="11" spans="1:7" x14ac:dyDescent="0.25">
      <c r="A11" s="13">
        <v>42547.973229166666</v>
      </c>
      <c r="B11" s="42" t="s">
        <v>80</v>
      </c>
      <c r="C11" s="42" t="s">
        <v>428</v>
      </c>
      <c r="D11" s="42">
        <v>1280000</v>
      </c>
      <c r="E11" s="42" t="s">
        <v>481</v>
      </c>
      <c r="F11" s="42" t="s">
        <v>80</v>
      </c>
      <c r="G11" s="13">
        <v>42547.973229166666</v>
      </c>
    </row>
    <row r="12" spans="1:7" x14ac:dyDescent="0.25">
      <c r="A12" s="13">
        <v>42548.056296296294</v>
      </c>
      <c r="B12" s="42" t="s">
        <v>80</v>
      </c>
      <c r="C12" s="42" t="s">
        <v>437</v>
      </c>
      <c r="D12" s="42">
        <v>1280000</v>
      </c>
      <c r="E12" s="42" t="s">
        <v>481</v>
      </c>
      <c r="F12" s="42" t="s">
        <v>80</v>
      </c>
      <c r="G12" s="13">
        <v>42548.056296296294</v>
      </c>
    </row>
    <row r="13" spans="1:7" x14ac:dyDescent="0.25">
      <c r="A13" s="13">
        <v>42547.956122685187</v>
      </c>
      <c r="B13" s="42" t="s">
        <v>150</v>
      </c>
      <c r="C13" s="42" t="s">
        <v>429</v>
      </c>
      <c r="D13" s="42">
        <v>1290000</v>
      </c>
      <c r="E13" s="42" t="s">
        <v>483</v>
      </c>
      <c r="F13" s="42" t="s">
        <v>150</v>
      </c>
      <c r="G13" s="13">
        <v>42547.956122685187</v>
      </c>
    </row>
    <row r="14" spans="1:7" x14ac:dyDescent="0.25">
      <c r="A14" s="13">
        <v>42547.371331018519</v>
      </c>
      <c r="B14" s="42" t="s">
        <v>80</v>
      </c>
      <c r="C14" s="42" t="s">
        <v>261</v>
      </c>
      <c r="D14" s="42">
        <v>1360000</v>
      </c>
      <c r="E14" s="42" t="s">
        <v>221</v>
      </c>
      <c r="F14" s="42" t="s">
        <v>80</v>
      </c>
      <c r="G14" s="13">
        <v>42547.371331018519</v>
      </c>
    </row>
    <row r="15" spans="1:7" x14ac:dyDescent="0.25">
      <c r="A15" s="13">
        <v>42547.846053240741</v>
      </c>
      <c r="B15" s="42" t="s">
        <v>89</v>
      </c>
      <c r="C15" s="42" t="s">
        <v>348</v>
      </c>
      <c r="D15" s="42">
        <v>1750000</v>
      </c>
      <c r="E15" s="42" t="s">
        <v>484</v>
      </c>
      <c r="F15" s="42" t="s">
        <v>89</v>
      </c>
      <c r="G15" s="13">
        <v>42547.846053240741</v>
      </c>
    </row>
    <row r="16" spans="1:7" x14ac:dyDescent="0.25">
      <c r="A16" s="13">
        <v>42547.46943287037</v>
      </c>
      <c r="B16" s="42" t="s">
        <v>83</v>
      </c>
      <c r="C16" s="42" t="s">
        <v>458</v>
      </c>
      <c r="D16" s="42">
        <v>1480000</v>
      </c>
      <c r="E16" s="42" t="s">
        <v>186</v>
      </c>
      <c r="F16" s="42" t="s">
        <v>83</v>
      </c>
      <c r="G16" s="13">
        <v>42547.46943287037</v>
      </c>
    </row>
    <row r="17" spans="1:7" x14ac:dyDescent="0.25">
      <c r="A17" s="13">
        <v>42547.766006944446</v>
      </c>
      <c r="B17" s="42" t="s">
        <v>89</v>
      </c>
      <c r="C17" s="42" t="s">
        <v>344</v>
      </c>
      <c r="D17" s="42">
        <v>1750000</v>
      </c>
      <c r="E17" s="42" t="s">
        <v>484</v>
      </c>
      <c r="F17" s="42" t="s">
        <v>89</v>
      </c>
      <c r="G17" s="13">
        <v>42547.766006944446</v>
      </c>
    </row>
    <row r="18" spans="1:7" x14ac:dyDescent="0.25">
      <c r="A18" s="13">
        <v>42547.652569444443</v>
      </c>
      <c r="B18" s="42" t="s">
        <v>70</v>
      </c>
      <c r="C18" s="42" t="s">
        <v>337</v>
      </c>
      <c r="D18" s="42">
        <v>1500000</v>
      </c>
      <c r="E18" s="42" t="s">
        <v>90</v>
      </c>
      <c r="F18" s="42" t="s">
        <v>70</v>
      </c>
      <c r="G18" s="13">
        <v>42547.652569444443</v>
      </c>
    </row>
    <row r="19" spans="1:7" x14ac:dyDescent="0.25">
      <c r="A19" s="13">
        <v>42547.720173611109</v>
      </c>
      <c r="B19" s="42" t="s">
        <v>89</v>
      </c>
      <c r="C19" s="42" t="s">
        <v>340</v>
      </c>
      <c r="D19" s="42">
        <v>1750000</v>
      </c>
      <c r="E19" s="42" t="s">
        <v>484</v>
      </c>
      <c r="F19" s="42" t="s">
        <v>89</v>
      </c>
      <c r="G19" s="13">
        <v>42547.720173611109</v>
      </c>
    </row>
    <row r="20" spans="1:7" x14ac:dyDescent="0.25">
      <c r="A20" s="13">
        <v>42547.651956018519</v>
      </c>
      <c r="B20" s="42" t="s">
        <v>84</v>
      </c>
      <c r="C20" s="42" t="s">
        <v>317</v>
      </c>
      <c r="D20" s="42">
        <v>950000</v>
      </c>
      <c r="E20" s="42" t="s">
        <v>187</v>
      </c>
      <c r="F20" s="42" t="s">
        <v>84</v>
      </c>
      <c r="G20" s="13">
        <v>42547.651956018519</v>
      </c>
    </row>
    <row r="21" spans="1:7" x14ac:dyDescent="0.25">
      <c r="A21" s="13">
        <v>42547.621354166666</v>
      </c>
      <c r="B21" s="42" t="s">
        <v>215</v>
      </c>
      <c r="C21" s="42" t="s">
        <v>319</v>
      </c>
      <c r="D21" s="42">
        <v>1470000</v>
      </c>
      <c r="E21" s="42" t="s">
        <v>188</v>
      </c>
      <c r="F21" s="42" t="s">
        <v>215</v>
      </c>
      <c r="G21" s="13">
        <v>42547.621354166666</v>
      </c>
    </row>
    <row r="22" spans="1:7" x14ac:dyDescent="0.25">
      <c r="A22" s="59">
        <v>42547.93377314815</v>
      </c>
      <c r="B22" s="42" t="s">
        <v>185</v>
      </c>
      <c r="C22" s="42" t="s">
        <v>421</v>
      </c>
      <c r="D22" s="42">
        <v>1800000</v>
      </c>
      <c r="E22" s="42" t="s">
        <v>190</v>
      </c>
      <c r="F22" s="42" t="s">
        <v>185</v>
      </c>
      <c r="G22" s="59">
        <v>42547.93377314815</v>
      </c>
    </row>
    <row r="23" spans="1:7" x14ac:dyDescent="0.25">
      <c r="A23" s="13">
        <v>42547.391574074078</v>
      </c>
      <c r="B23" s="42" t="s">
        <v>83</v>
      </c>
      <c r="C23" s="42" t="s">
        <v>273</v>
      </c>
      <c r="D23" s="42">
        <v>1480000</v>
      </c>
      <c r="E23" s="42" t="s">
        <v>186</v>
      </c>
      <c r="F23" s="42" t="s">
        <v>83</v>
      </c>
      <c r="G23" s="13">
        <v>42547.391574074078</v>
      </c>
    </row>
    <row r="24" spans="1:7" x14ac:dyDescent="0.25">
      <c r="A24" s="13">
        <v>42547.988356481481</v>
      </c>
      <c r="B24" s="42" t="s">
        <v>89</v>
      </c>
      <c r="C24" s="42" t="s">
        <v>356</v>
      </c>
      <c r="D24" s="42">
        <v>1750000</v>
      </c>
      <c r="E24" s="42" t="s">
        <v>484</v>
      </c>
      <c r="F24" s="42" t="s">
        <v>89</v>
      </c>
      <c r="G24" s="13">
        <v>42547.988356481481</v>
      </c>
    </row>
    <row r="25" spans="1:7" x14ac:dyDescent="0.25">
      <c r="A25" s="13">
        <v>42547.358472222222</v>
      </c>
      <c r="B25" s="42" t="s">
        <v>70</v>
      </c>
      <c r="C25" s="42" t="s">
        <v>328</v>
      </c>
      <c r="D25" s="42">
        <v>1500000</v>
      </c>
      <c r="E25" s="42" t="s">
        <v>90</v>
      </c>
      <c r="F25" s="42" t="s">
        <v>70</v>
      </c>
      <c r="G25" s="13">
        <v>42547.358472222222</v>
      </c>
    </row>
    <row r="26" spans="1:7" x14ac:dyDescent="0.25">
      <c r="A26" s="13">
        <v>42547.289421296293</v>
      </c>
      <c r="B26" s="42" t="s">
        <v>184</v>
      </c>
      <c r="C26" s="42" t="s">
        <v>242</v>
      </c>
      <c r="D26" s="42">
        <v>1100000</v>
      </c>
      <c r="E26" s="42" t="s">
        <v>220</v>
      </c>
      <c r="F26" s="42" t="s">
        <v>184</v>
      </c>
      <c r="G26" s="13">
        <v>42547.289421296293</v>
      </c>
    </row>
    <row r="27" spans="1:7" x14ac:dyDescent="0.25">
      <c r="A27" s="13">
        <v>42547.316562499997</v>
      </c>
      <c r="B27" s="42" t="s">
        <v>83</v>
      </c>
      <c r="C27" s="42" t="s">
        <v>253</v>
      </c>
      <c r="D27" s="42">
        <v>1480000</v>
      </c>
      <c r="E27" s="42" t="s">
        <v>186</v>
      </c>
      <c r="F27" s="42" t="s">
        <v>83</v>
      </c>
      <c r="G27" s="13">
        <v>42547.316562499997</v>
      </c>
    </row>
    <row r="28" spans="1:7" x14ac:dyDescent="0.25">
      <c r="A28" s="13">
        <v>42547.352662037039</v>
      </c>
      <c r="B28" s="42" t="s">
        <v>102</v>
      </c>
      <c r="C28" s="42" t="s">
        <v>262</v>
      </c>
      <c r="D28" s="42">
        <v>1310000</v>
      </c>
      <c r="E28" s="42" t="s">
        <v>153</v>
      </c>
      <c r="F28" s="42" t="s">
        <v>102</v>
      </c>
      <c r="G28" s="13">
        <v>42547.352662037039</v>
      </c>
    </row>
    <row r="29" spans="1:7" x14ac:dyDescent="0.25">
      <c r="A29" s="13">
        <v>42547.804270833331</v>
      </c>
      <c r="B29" s="42" t="s">
        <v>212</v>
      </c>
      <c r="C29" s="42" t="s">
        <v>389</v>
      </c>
      <c r="D29" s="42">
        <v>1470000</v>
      </c>
      <c r="E29" s="42" t="s">
        <v>188</v>
      </c>
      <c r="F29" s="42" t="s">
        <v>212</v>
      </c>
      <c r="G29" s="13">
        <v>42547.804270833331</v>
      </c>
    </row>
    <row r="30" spans="1:7" x14ac:dyDescent="0.25">
      <c r="A30" s="13">
        <v>42547.720949074072</v>
      </c>
      <c r="B30" s="42" t="s">
        <v>84</v>
      </c>
      <c r="C30" s="42" t="s">
        <v>364</v>
      </c>
      <c r="D30" s="42">
        <v>950000</v>
      </c>
      <c r="E30" s="42" t="s">
        <v>187</v>
      </c>
      <c r="F30" s="42" t="s">
        <v>84</v>
      </c>
      <c r="G30" s="13">
        <v>42547.720949074072</v>
      </c>
    </row>
    <row r="31" spans="1:7" x14ac:dyDescent="0.25">
      <c r="A31" s="13">
        <v>42547.800347222219</v>
      </c>
      <c r="B31" s="42" t="s">
        <v>102</v>
      </c>
      <c r="C31" s="42" t="s">
        <v>396</v>
      </c>
      <c r="D31" s="42">
        <v>1290000</v>
      </c>
      <c r="E31" s="42" t="s">
        <v>483</v>
      </c>
      <c r="F31" s="42" t="s">
        <v>102</v>
      </c>
      <c r="G31" s="13">
        <v>42547.800347222219</v>
      </c>
    </row>
    <row r="32" spans="1:7" x14ac:dyDescent="0.25">
      <c r="A32" s="13">
        <v>42548.011550925927</v>
      </c>
      <c r="B32" s="42" t="s">
        <v>81</v>
      </c>
      <c r="C32" s="42" t="s">
        <v>485</v>
      </c>
      <c r="D32" s="42">
        <v>1280000</v>
      </c>
      <c r="E32" s="42" t="s">
        <v>481</v>
      </c>
      <c r="F32" s="42" t="s">
        <v>81</v>
      </c>
      <c r="G32" s="13">
        <v>42548.011550925927</v>
      </c>
    </row>
    <row r="33" spans="1:7" x14ac:dyDescent="0.25">
      <c r="A33" s="13">
        <v>42547.704861111109</v>
      </c>
      <c r="B33" s="42" t="s">
        <v>81</v>
      </c>
      <c r="C33" s="42" t="s">
        <v>368</v>
      </c>
      <c r="D33" s="42">
        <v>940000</v>
      </c>
      <c r="E33" s="42" t="s">
        <v>482</v>
      </c>
      <c r="F33" s="42" t="s">
        <v>81</v>
      </c>
      <c r="G33" s="13">
        <v>42547.704861111109</v>
      </c>
    </row>
    <row r="34" spans="1:7" x14ac:dyDescent="0.25">
      <c r="A34" s="13">
        <v>42547.318495370368</v>
      </c>
      <c r="B34" s="42" t="s">
        <v>101</v>
      </c>
      <c r="C34" s="42" t="s">
        <v>241</v>
      </c>
      <c r="D34" s="42">
        <v>1310000</v>
      </c>
      <c r="E34" s="42" t="s">
        <v>153</v>
      </c>
      <c r="F34" s="42" t="s">
        <v>101</v>
      </c>
      <c r="G34" s="13">
        <v>42547.318495370368</v>
      </c>
    </row>
    <row r="35" spans="1:7" x14ac:dyDescent="0.25">
      <c r="A35" s="13">
        <v>42547.682870370372</v>
      </c>
      <c r="B35" s="42" t="s">
        <v>83</v>
      </c>
      <c r="C35" s="42" t="s">
        <v>363</v>
      </c>
      <c r="D35" s="42">
        <v>950000</v>
      </c>
      <c r="E35" s="42" t="s">
        <v>187</v>
      </c>
      <c r="F35" s="42" t="s">
        <v>83</v>
      </c>
      <c r="G35" s="13">
        <v>42547.682870370372</v>
      </c>
    </row>
    <row r="36" spans="1:7" x14ac:dyDescent="0.25">
      <c r="A36" s="13">
        <v>42547.470312500001</v>
      </c>
      <c r="B36" s="42" t="s">
        <v>83</v>
      </c>
      <c r="C36" s="42" t="s">
        <v>458</v>
      </c>
      <c r="D36" s="42">
        <v>1480000</v>
      </c>
      <c r="E36" s="42" t="s">
        <v>186</v>
      </c>
      <c r="F36" s="42" t="s">
        <v>83</v>
      </c>
      <c r="G36" s="13">
        <v>42547.470312500001</v>
      </c>
    </row>
    <row r="37" spans="1:7" x14ac:dyDescent="0.25">
      <c r="A37" s="13">
        <v>42547.510509259257</v>
      </c>
      <c r="B37" s="42" t="s">
        <v>184</v>
      </c>
      <c r="C37" s="42" t="s">
        <v>470</v>
      </c>
      <c r="D37" s="42">
        <v>1260000</v>
      </c>
      <c r="E37" s="42" t="s">
        <v>218</v>
      </c>
      <c r="F37" s="42" t="s">
        <v>184</v>
      </c>
      <c r="G37" s="13">
        <v>42547.510509259257</v>
      </c>
    </row>
    <row r="38" spans="1:7" x14ac:dyDescent="0.25">
      <c r="A38" s="13">
        <v>42547.476087962961</v>
      </c>
      <c r="B38" s="42" t="s">
        <v>185</v>
      </c>
      <c r="C38" s="42" t="s">
        <v>453</v>
      </c>
      <c r="D38" s="42">
        <v>1100000</v>
      </c>
      <c r="E38" s="42" t="s">
        <v>220</v>
      </c>
      <c r="F38" s="42" t="s">
        <v>185</v>
      </c>
      <c r="G38" s="13">
        <v>42547.476087962961</v>
      </c>
    </row>
    <row r="39" spans="1:7" x14ac:dyDescent="0.25">
      <c r="A39" s="13">
        <v>42547.465127314812</v>
      </c>
      <c r="B39" s="42" t="s">
        <v>101</v>
      </c>
      <c r="C39" s="42" t="s">
        <v>486</v>
      </c>
      <c r="D39" s="42">
        <v>1310000</v>
      </c>
      <c r="E39" s="42" t="s">
        <v>153</v>
      </c>
      <c r="F39" s="42" t="s">
        <v>101</v>
      </c>
      <c r="G39" s="13">
        <v>42547.465127314812</v>
      </c>
    </row>
    <row r="40" spans="1:7" x14ac:dyDescent="0.25">
      <c r="A40" s="13">
        <v>42547.620023148149</v>
      </c>
      <c r="B40" s="58" t="s">
        <v>215</v>
      </c>
      <c r="C40" s="42" t="s">
        <v>319</v>
      </c>
      <c r="D40" s="42">
        <v>1470000</v>
      </c>
      <c r="E40" s="42" t="s">
        <v>188</v>
      </c>
      <c r="F40" s="58" t="s">
        <v>215</v>
      </c>
      <c r="G40" s="13">
        <v>42547.620023148149</v>
      </c>
    </row>
    <row r="41" spans="1:7" x14ac:dyDescent="0.25">
      <c r="A41" s="13">
        <v>42547.902071759258</v>
      </c>
      <c r="B41" s="42" t="s">
        <v>70</v>
      </c>
      <c r="C41" s="42" t="s">
        <v>351</v>
      </c>
      <c r="D41" s="42">
        <v>1750000</v>
      </c>
      <c r="E41" s="42" t="s">
        <v>484</v>
      </c>
      <c r="F41" s="42" t="s">
        <v>70</v>
      </c>
      <c r="G41" s="13">
        <v>42547.902071759258</v>
      </c>
    </row>
    <row r="42" spans="1:7" x14ac:dyDescent="0.25">
      <c r="A42" s="13">
        <v>42547.652962962966</v>
      </c>
      <c r="B42" s="42" t="s">
        <v>84</v>
      </c>
      <c r="C42" s="42" t="s">
        <v>317</v>
      </c>
      <c r="D42" s="42">
        <v>950000</v>
      </c>
      <c r="E42" s="42" t="s">
        <v>187</v>
      </c>
      <c r="F42" s="42" t="s">
        <v>84</v>
      </c>
      <c r="G42" s="13">
        <v>42547.652962962966</v>
      </c>
    </row>
    <row r="43" spans="1:7" x14ac:dyDescent="0.25">
      <c r="A43" s="13">
        <v>42547.859398148146</v>
      </c>
      <c r="B43" s="42" t="s">
        <v>70</v>
      </c>
      <c r="C43" s="42" t="s">
        <v>349</v>
      </c>
      <c r="D43" s="42">
        <v>1750000</v>
      </c>
      <c r="E43" s="42" t="s">
        <v>484</v>
      </c>
      <c r="F43" s="42" t="s">
        <v>70</v>
      </c>
      <c r="G43" s="13">
        <v>42547.859398148146</v>
      </c>
    </row>
    <row r="44" spans="1:7" x14ac:dyDescent="0.25">
      <c r="A44" s="13">
        <v>42547.785543981481</v>
      </c>
      <c r="B44" s="42" t="s">
        <v>185</v>
      </c>
      <c r="C44" s="42" t="s">
        <v>383</v>
      </c>
      <c r="D44" s="42">
        <v>1780000</v>
      </c>
      <c r="E44" s="42" t="s">
        <v>487</v>
      </c>
      <c r="F44" s="42" t="s">
        <v>185</v>
      </c>
      <c r="G44" s="13">
        <v>42547.785543981481</v>
      </c>
    </row>
    <row r="45" spans="1:7" x14ac:dyDescent="0.25">
      <c r="A45" s="13">
        <v>42547.843321759261</v>
      </c>
      <c r="B45" s="42" t="s">
        <v>215</v>
      </c>
      <c r="C45" s="42" t="s">
        <v>412</v>
      </c>
      <c r="D45" s="42">
        <v>1770000</v>
      </c>
      <c r="E45" s="42" t="s">
        <v>154</v>
      </c>
      <c r="F45" s="42" t="s">
        <v>215</v>
      </c>
      <c r="G45" s="13">
        <v>42547.843321759261</v>
      </c>
    </row>
    <row r="46" spans="1:7" x14ac:dyDescent="0.25">
      <c r="A46" s="13">
        <v>42547.893784722219</v>
      </c>
      <c r="B46" s="42" t="s">
        <v>184</v>
      </c>
      <c r="C46" s="42" t="s">
        <v>419</v>
      </c>
      <c r="D46" s="42">
        <v>1800000</v>
      </c>
      <c r="E46" s="42" t="s">
        <v>190</v>
      </c>
      <c r="F46" s="42" t="s">
        <v>184</v>
      </c>
      <c r="G46" s="13">
        <v>42547.893784722219</v>
      </c>
    </row>
    <row r="47" spans="1:7" x14ac:dyDescent="0.25">
      <c r="A47" s="13">
        <v>42547.760081018518</v>
      </c>
      <c r="B47" s="42" t="s">
        <v>83</v>
      </c>
      <c r="C47" s="42" t="s">
        <v>384</v>
      </c>
      <c r="D47" s="42">
        <v>950000</v>
      </c>
      <c r="E47" s="42" t="s">
        <v>187</v>
      </c>
      <c r="F47" s="42" t="s">
        <v>83</v>
      </c>
      <c r="G47" s="13">
        <v>42547.760081018518</v>
      </c>
    </row>
    <row r="48" spans="1:7" x14ac:dyDescent="0.25">
      <c r="A48" s="13">
        <v>42547.926261574074</v>
      </c>
      <c r="B48" s="42" t="s">
        <v>89</v>
      </c>
      <c r="C48" s="42" t="s">
        <v>352</v>
      </c>
      <c r="D48" s="42">
        <v>1750000</v>
      </c>
      <c r="E48" s="42" t="s">
        <v>484</v>
      </c>
      <c r="F48" s="42" t="s">
        <v>89</v>
      </c>
      <c r="G48" s="13">
        <v>42547.926261574074</v>
      </c>
    </row>
    <row r="49" spans="1:7" x14ac:dyDescent="0.25">
      <c r="A49" s="13">
        <v>42547.747141203705</v>
      </c>
      <c r="B49" s="42" t="s">
        <v>184</v>
      </c>
      <c r="C49" s="42" t="s">
        <v>382</v>
      </c>
      <c r="D49" s="42">
        <v>1780000</v>
      </c>
      <c r="E49" s="42" t="s">
        <v>487</v>
      </c>
      <c r="F49" s="42" t="s">
        <v>184</v>
      </c>
      <c r="G49" s="13">
        <v>42547.747141203705</v>
      </c>
    </row>
    <row r="50" spans="1:7" x14ac:dyDescent="0.25">
      <c r="A50" s="13">
        <v>42548.034930555557</v>
      </c>
      <c r="B50" s="42" t="s">
        <v>212</v>
      </c>
      <c r="C50" s="42" t="s">
        <v>435</v>
      </c>
      <c r="D50" s="42">
        <v>1770000</v>
      </c>
      <c r="E50" s="42" t="s">
        <v>154</v>
      </c>
      <c r="F50" s="42" t="s">
        <v>212</v>
      </c>
      <c r="G50" s="13">
        <v>42548.034930555557</v>
      </c>
    </row>
    <row r="51" spans="1:7" x14ac:dyDescent="0.25">
      <c r="A51" s="13">
        <v>42547.602951388886</v>
      </c>
      <c r="B51" s="42" t="s">
        <v>150</v>
      </c>
      <c r="C51" s="42" t="s">
        <v>313</v>
      </c>
      <c r="D51" s="42">
        <v>1540000</v>
      </c>
      <c r="E51" s="42" t="s">
        <v>219</v>
      </c>
      <c r="F51" s="42" t="s">
        <v>150</v>
      </c>
      <c r="G51" s="13">
        <v>42547.602951388886</v>
      </c>
    </row>
    <row r="52" spans="1:7" x14ac:dyDescent="0.25">
      <c r="A52" s="13">
        <v>42547.422037037039</v>
      </c>
      <c r="B52" s="42" t="s">
        <v>479</v>
      </c>
      <c r="C52" s="42" t="s">
        <v>271</v>
      </c>
      <c r="D52" s="42">
        <v>1520000</v>
      </c>
      <c r="E52" s="42" t="s">
        <v>147</v>
      </c>
      <c r="F52" s="42" t="s">
        <v>479</v>
      </c>
      <c r="G52" s="13">
        <v>42547.422037037039</v>
      </c>
    </row>
    <row r="53" spans="1:7" x14ac:dyDescent="0.25">
      <c r="A53" s="13">
        <v>42547.564618055556</v>
      </c>
      <c r="B53" s="42" t="s">
        <v>479</v>
      </c>
      <c r="C53" s="42" t="s">
        <v>290</v>
      </c>
      <c r="D53" s="42">
        <v>1540000</v>
      </c>
      <c r="E53" s="42" t="s">
        <v>219</v>
      </c>
      <c r="F53" s="42" t="s">
        <v>479</v>
      </c>
      <c r="G53" s="13">
        <v>42547.564618055556</v>
      </c>
    </row>
    <row r="54" spans="1:7" x14ac:dyDescent="0.25">
      <c r="A54" s="13">
        <v>42547.47446759259</v>
      </c>
      <c r="B54" s="42" t="s">
        <v>215</v>
      </c>
      <c r="C54" s="42" t="s">
        <v>461</v>
      </c>
      <c r="D54" s="42">
        <v>1830000</v>
      </c>
      <c r="E54" s="42" t="s">
        <v>149</v>
      </c>
      <c r="F54" s="42" t="s">
        <v>215</v>
      </c>
      <c r="G54" s="13">
        <v>42547.47446759259</v>
      </c>
    </row>
    <row r="55" spans="1:7" x14ac:dyDescent="0.25">
      <c r="A55" s="13">
        <v>42547.549004629633</v>
      </c>
      <c r="B55" s="42" t="s">
        <v>215</v>
      </c>
      <c r="C55" s="42" t="s">
        <v>294</v>
      </c>
      <c r="D55" s="42">
        <v>1470000</v>
      </c>
      <c r="E55" s="42" t="s">
        <v>188</v>
      </c>
      <c r="F55" s="42" t="s">
        <v>215</v>
      </c>
      <c r="G55" s="13">
        <v>42547.549004629633</v>
      </c>
    </row>
    <row r="56" spans="1:7" x14ac:dyDescent="0.25">
      <c r="A56" s="13">
        <v>42547.592256944445</v>
      </c>
      <c r="B56" s="42" t="s">
        <v>184</v>
      </c>
      <c r="C56" s="42" t="s">
        <v>304</v>
      </c>
      <c r="D56" s="42">
        <v>1260000</v>
      </c>
      <c r="E56" s="42" t="s">
        <v>218</v>
      </c>
      <c r="F56" s="42" t="s">
        <v>184</v>
      </c>
      <c r="G56" s="13">
        <v>42547.592256944445</v>
      </c>
    </row>
    <row r="57" spans="1:7" x14ac:dyDescent="0.25">
      <c r="A57" s="13">
        <v>42547.549340277779</v>
      </c>
      <c r="B57" s="42" t="s">
        <v>185</v>
      </c>
      <c r="C57" s="42" t="s">
        <v>286</v>
      </c>
      <c r="D57" s="42">
        <v>1260000</v>
      </c>
      <c r="E57" s="42" t="s">
        <v>218</v>
      </c>
      <c r="F57" s="42" t="s">
        <v>185</v>
      </c>
      <c r="G57" s="13">
        <v>42547.549340277779</v>
      </c>
    </row>
    <row r="58" spans="1:7" x14ac:dyDescent="0.25">
      <c r="A58" s="13">
        <v>42547.734340277777</v>
      </c>
      <c r="B58" s="42" t="s">
        <v>212</v>
      </c>
      <c r="C58" s="42" t="s">
        <v>366</v>
      </c>
      <c r="D58" s="42">
        <v>1470000</v>
      </c>
      <c r="E58" s="42" t="s">
        <v>188</v>
      </c>
      <c r="F58" s="42" t="s">
        <v>212</v>
      </c>
      <c r="G58" s="13">
        <v>42547.734340277777</v>
      </c>
    </row>
    <row r="59" spans="1:7" x14ac:dyDescent="0.25">
      <c r="A59" s="13">
        <v>42547.998391203706</v>
      </c>
      <c r="B59" s="42" t="s">
        <v>70</v>
      </c>
      <c r="C59" s="42" t="s">
        <v>357</v>
      </c>
      <c r="D59" s="42">
        <v>1750000</v>
      </c>
      <c r="E59" s="42" t="s">
        <v>484</v>
      </c>
      <c r="F59" s="42" t="s">
        <v>70</v>
      </c>
      <c r="G59" s="13">
        <v>42547.998391203706</v>
      </c>
    </row>
    <row r="60" spans="1:7" x14ac:dyDescent="0.25">
      <c r="A60" s="13">
        <v>42547.507685185185</v>
      </c>
      <c r="B60" s="42" t="s">
        <v>212</v>
      </c>
      <c r="C60" s="42" t="s">
        <v>462</v>
      </c>
      <c r="D60" s="42">
        <v>1830000</v>
      </c>
      <c r="E60" s="42" t="s">
        <v>149</v>
      </c>
      <c r="F60" s="42" t="s">
        <v>212</v>
      </c>
      <c r="G60" s="13">
        <v>42547.507685185185</v>
      </c>
    </row>
    <row r="61" spans="1:7" x14ac:dyDescent="0.25">
      <c r="A61" s="13">
        <v>42547.740312499998</v>
      </c>
      <c r="B61" s="42" t="s">
        <v>88</v>
      </c>
      <c r="C61" s="42" t="s">
        <v>378</v>
      </c>
      <c r="D61" s="42">
        <v>880000</v>
      </c>
      <c r="E61" s="42" t="s">
        <v>148</v>
      </c>
      <c r="F61" s="42" t="s">
        <v>88</v>
      </c>
      <c r="G61" s="13">
        <v>42547.740312499998</v>
      </c>
    </row>
    <row r="62" spans="1:7" x14ac:dyDescent="0.25">
      <c r="A62" s="13">
        <v>42547.537870370368</v>
      </c>
      <c r="B62" s="42" t="s">
        <v>83</v>
      </c>
      <c r="C62" s="42" t="s">
        <v>291</v>
      </c>
      <c r="D62" s="42">
        <v>1520000</v>
      </c>
      <c r="E62" s="42" t="s">
        <v>147</v>
      </c>
      <c r="F62" s="42" t="s">
        <v>83</v>
      </c>
      <c r="G62" s="13">
        <v>42547.537870370368</v>
      </c>
    </row>
    <row r="63" spans="1:7" x14ac:dyDescent="0.25">
      <c r="A63" s="13">
        <v>42547.70349537037</v>
      </c>
      <c r="B63" s="42" t="s">
        <v>81</v>
      </c>
      <c r="C63" s="42" t="s">
        <v>368</v>
      </c>
      <c r="D63" s="42">
        <v>940000</v>
      </c>
      <c r="E63" s="42" t="s">
        <v>482</v>
      </c>
      <c r="F63" s="42" t="s">
        <v>81</v>
      </c>
      <c r="G63" s="13">
        <v>42547.70349537037</v>
      </c>
    </row>
    <row r="64" spans="1:7" x14ac:dyDescent="0.25">
      <c r="A64" s="59">
        <v>42547.629374999997</v>
      </c>
      <c r="B64" s="42" t="s">
        <v>81</v>
      </c>
      <c r="C64" s="42" t="s">
        <v>321</v>
      </c>
      <c r="D64" s="42">
        <v>940000</v>
      </c>
      <c r="E64" s="42" t="s">
        <v>482</v>
      </c>
      <c r="F64" s="42" t="s">
        <v>81</v>
      </c>
      <c r="G64" s="59">
        <v>42547.629374999997</v>
      </c>
    </row>
    <row r="65" spans="1:7" x14ac:dyDescent="0.25">
      <c r="A65" s="13">
        <v>42547.69326388889</v>
      </c>
      <c r="B65" s="42" t="s">
        <v>70</v>
      </c>
      <c r="C65" s="42" t="s">
        <v>339</v>
      </c>
      <c r="D65" s="42">
        <v>1750000</v>
      </c>
      <c r="E65" s="42" t="s">
        <v>484</v>
      </c>
      <c r="F65" s="42" t="s">
        <v>70</v>
      </c>
      <c r="G65" s="13">
        <v>42547.69326388889</v>
      </c>
    </row>
    <row r="66" spans="1:7" x14ac:dyDescent="0.25">
      <c r="A66" s="13">
        <v>42547.704375000001</v>
      </c>
      <c r="B66" s="42" t="s">
        <v>87</v>
      </c>
      <c r="C66" s="42" t="s">
        <v>358</v>
      </c>
      <c r="D66" s="42">
        <v>880000</v>
      </c>
      <c r="E66" s="42" t="s">
        <v>148</v>
      </c>
      <c r="F66" s="42" t="s">
        <v>87</v>
      </c>
      <c r="G66" s="13">
        <v>42547.704375000001</v>
      </c>
    </row>
    <row r="67" spans="1:7" x14ac:dyDescent="0.25">
      <c r="A67" s="13">
        <v>42547.542141203703</v>
      </c>
      <c r="B67" s="42" t="s">
        <v>183</v>
      </c>
      <c r="C67" s="42" t="s">
        <v>284</v>
      </c>
      <c r="D67" s="42">
        <v>1310000</v>
      </c>
      <c r="E67" s="42" t="s">
        <v>153</v>
      </c>
      <c r="F67" s="42" t="s">
        <v>183</v>
      </c>
      <c r="G67" s="13">
        <v>42547.542141203703</v>
      </c>
    </row>
    <row r="68" spans="1:7" x14ac:dyDescent="0.25">
      <c r="A68" s="13">
        <v>42547.83084490741</v>
      </c>
      <c r="B68" s="42" t="s">
        <v>83</v>
      </c>
      <c r="C68" s="42" t="s">
        <v>408</v>
      </c>
      <c r="D68" s="42">
        <v>950000</v>
      </c>
      <c r="E68" s="42" t="s">
        <v>187</v>
      </c>
      <c r="F68" s="42" t="s">
        <v>83</v>
      </c>
      <c r="G68" s="13">
        <v>42547.83084490741</v>
      </c>
    </row>
    <row r="69" spans="1:7" x14ac:dyDescent="0.25">
      <c r="A69" s="13">
        <v>42547.505648148152</v>
      </c>
      <c r="B69" s="42" t="s">
        <v>84</v>
      </c>
      <c r="C69" s="42" t="s">
        <v>459</v>
      </c>
      <c r="D69" s="42">
        <v>1480000</v>
      </c>
      <c r="E69" s="42" t="s">
        <v>186</v>
      </c>
      <c r="F69" s="42" t="s">
        <v>84</v>
      </c>
      <c r="G69" s="13">
        <v>42547.505648148152</v>
      </c>
    </row>
    <row r="70" spans="1:7" x14ac:dyDescent="0.25">
      <c r="A70" s="13">
        <v>42547.867222222223</v>
      </c>
      <c r="B70" s="42" t="s">
        <v>84</v>
      </c>
      <c r="C70" s="42" t="s">
        <v>410</v>
      </c>
      <c r="D70" s="42">
        <v>950000</v>
      </c>
      <c r="E70" s="42" t="s">
        <v>187</v>
      </c>
      <c r="F70" s="42" t="s">
        <v>84</v>
      </c>
      <c r="G70" s="13">
        <v>42547.867222222223</v>
      </c>
    </row>
    <row r="71" spans="1:7" x14ac:dyDescent="0.25">
      <c r="A71" s="13">
        <v>42547.498483796298</v>
      </c>
      <c r="B71" s="42" t="s">
        <v>89</v>
      </c>
      <c r="C71" s="42" t="s">
        <v>477</v>
      </c>
      <c r="D71" s="42">
        <v>1500000</v>
      </c>
      <c r="E71" s="42" t="s">
        <v>90</v>
      </c>
      <c r="F71" s="42" t="s">
        <v>89</v>
      </c>
      <c r="G71" s="13">
        <v>42547.498483796298</v>
      </c>
    </row>
    <row r="72" spans="1:7" x14ac:dyDescent="0.25">
      <c r="A72" s="13">
        <v>42547.442118055558</v>
      </c>
      <c r="B72" s="42" t="s">
        <v>70</v>
      </c>
      <c r="C72" s="42" t="s">
        <v>474</v>
      </c>
      <c r="D72" s="42">
        <v>1500000</v>
      </c>
      <c r="E72" s="42" t="s">
        <v>90</v>
      </c>
      <c r="F72" s="42" t="s">
        <v>70</v>
      </c>
      <c r="G72" s="13">
        <v>42547.442118055558</v>
      </c>
    </row>
    <row r="73" spans="1:7" x14ac:dyDescent="0.25">
      <c r="A73" s="13">
        <v>42547.499027777776</v>
      </c>
      <c r="B73" s="42" t="s">
        <v>81</v>
      </c>
      <c r="C73" s="42" t="s">
        <v>463</v>
      </c>
      <c r="D73" s="42">
        <v>1360000</v>
      </c>
      <c r="E73" s="42" t="s">
        <v>221</v>
      </c>
      <c r="F73" s="42" t="s">
        <v>81</v>
      </c>
      <c r="G73" s="13">
        <v>42547.499027777776</v>
      </c>
    </row>
    <row r="74" spans="1:7" x14ac:dyDescent="0.25">
      <c r="A74" s="13">
        <v>42547.562581018516</v>
      </c>
      <c r="B74" s="42" t="s">
        <v>81</v>
      </c>
      <c r="C74" s="42" t="s">
        <v>297</v>
      </c>
      <c r="D74" s="42">
        <v>940000</v>
      </c>
      <c r="E74" s="42" t="s">
        <v>482</v>
      </c>
      <c r="F74" s="42" t="s">
        <v>81</v>
      </c>
      <c r="G74" s="13">
        <v>42547.562581018516</v>
      </c>
    </row>
    <row r="75" spans="1:7" x14ac:dyDescent="0.25">
      <c r="A75" s="13">
        <v>42547.911006944443</v>
      </c>
      <c r="B75" s="42" t="s">
        <v>479</v>
      </c>
      <c r="C75" s="42" t="s">
        <v>418</v>
      </c>
      <c r="D75" s="42">
        <v>1290000</v>
      </c>
      <c r="E75" s="42" t="s">
        <v>483</v>
      </c>
      <c r="F75" s="42" t="s">
        <v>479</v>
      </c>
      <c r="G75" s="13">
        <v>42547.911006944443</v>
      </c>
    </row>
    <row r="76" spans="1:7" x14ac:dyDescent="0.25">
      <c r="A76" s="13">
        <v>42547.573784722219</v>
      </c>
      <c r="B76" s="42" t="s">
        <v>84</v>
      </c>
      <c r="C76" s="42" t="s">
        <v>292</v>
      </c>
      <c r="D76" s="42">
        <v>1520000</v>
      </c>
      <c r="E76" s="42" t="s">
        <v>147</v>
      </c>
      <c r="F76" s="42" t="s">
        <v>84</v>
      </c>
      <c r="G76" s="13">
        <v>42547.573784722219</v>
      </c>
    </row>
    <row r="77" spans="1:7" x14ac:dyDescent="0.25">
      <c r="A77" s="13">
        <v>42547.814050925925</v>
      </c>
      <c r="B77" s="42" t="s">
        <v>88</v>
      </c>
      <c r="C77" s="42" t="s">
        <v>400</v>
      </c>
      <c r="D77" s="42">
        <v>880000</v>
      </c>
      <c r="E77" s="42" t="s">
        <v>148</v>
      </c>
      <c r="F77" s="42" t="s">
        <v>88</v>
      </c>
      <c r="G77" s="13">
        <v>42547.814050925925</v>
      </c>
    </row>
    <row r="78" spans="1:7" x14ac:dyDescent="0.25">
      <c r="A78" s="13">
        <v>42547.684212962966</v>
      </c>
      <c r="B78" s="42" t="s">
        <v>183</v>
      </c>
      <c r="C78" s="42" t="s">
        <v>324</v>
      </c>
      <c r="D78" s="42">
        <v>1120000</v>
      </c>
      <c r="E78" s="42" t="s">
        <v>189</v>
      </c>
      <c r="F78" s="42" t="s">
        <v>183</v>
      </c>
      <c r="G78" s="13">
        <v>42547.684212962966</v>
      </c>
    </row>
    <row r="79" spans="1:7" x14ac:dyDescent="0.25">
      <c r="A79" s="13">
        <v>42547.762615740743</v>
      </c>
      <c r="B79" s="42" t="s">
        <v>89</v>
      </c>
      <c r="C79" s="42" t="s">
        <v>344</v>
      </c>
      <c r="D79" s="42">
        <v>1750000</v>
      </c>
      <c r="E79" s="42" t="s">
        <v>484</v>
      </c>
      <c r="F79" s="42" t="s">
        <v>89</v>
      </c>
      <c r="G79" s="13">
        <v>42547.762615740743</v>
      </c>
    </row>
    <row r="80" spans="1:7" x14ac:dyDescent="0.25">
      <c r="A80" s="13">
        <v>42547.851504629631</v>
      </c>
      <c r="B80" s="42" t="s">
        <v>81</v>
      </c>
      <c r="C80" s="42" t="s">
        <v>415</v>
      </c>
      <c r="D80" s="42">
        <v>1280000</v>
      </c>
      <c r="E80" s="42" t="s">
        <v>481</v>
      </c>
      <c r="F80" s="42" t="s">
        <v>81</v>
      </c>
      <c r="G80" s="13">
        <v>42547.851504629631</v>
      </c>
    </row>
    <row r="81" spans="1:7" x14ac:dyDescent="0.25">
      <c r="A81" s="13">
        <v>42547.667326388888</v>
      </c>
      <c r="B81" s="42" t="s">
        <v>80</v>
      </c>
      <c r="C81" s="42" t="s">
        <v>322</v>
      </c>
      <c r="D81" s="42">
        <v>940000</v>
      </c>
      <c r="E81" s="42" t="s">
        <v>482</v>
      </c>
      <c r="F81" s="42" t="s">
        <v>80</v>
      </c>
      <c r="G81" s="13">
        <v>42547.667326388888</v>
      </c>
    </row>
    <row r="82" spans="1:7" x14ac:dyDescent="0.25">
      <c r="A82" s="13">
        <v>42547.401261574072</v>
      </c>
      <c r="B82" s="42" t="s">
        <v>185</v>
      </c>
      <c r="C82" s="42" t="s">
        <v>266</v>
      </c>
      <c r="D82" s="42">
        <v>1100000</v>
      </c>
      <c r="E82" s="42" t="s">
        <v>220</v>
      </c>
      <c r="F82" s="42" t="s">
        <v>185</v>
      </c>
      <c r="G82" s="13">
        <v>42547.401261574072</v>
      </c>
    </row>
    <row r="83" spans="1:7" x14ac:dyDescent="0.25">
      <c r="A83" s="13">
        <v>42547.777766203704</v>
      </c>
      <c r="B83" s="42" t="s">
        <v>70</v>
      </c>
      <c r="C83" s="42" t="s">
        <v>345</v>
      </c>
      <c r="D83" s="42">
        <v>1750000</v>
      </c>
      <c r="E83" s="42" t="s">
        <v>484</v>
      </c>
      <c r="F83" s="42" t="s">
        <v>70</v>
      </c>
      <c r="G83" s="13">
        <v>42547.777766203704</v>
      </c>
    </row>
    <row r="84" spans="1:7" x14ac:dyDescent="0.25">
      <c r="A84" s="13">
        <v>42547.539050925923</v>
      </c>
      <c r="B84" s="42" t="s">
        <v>83</v>
      </c>
      <c r="C84" s="42" t="s">
        <v>291</v>
      </c>
      <c r="D84" s="42">
        <v>1520000</v>
      </c>
      <c r="E84" s="42" t="s">
        <v>147</v>
      </c>
      <c r="F84" s="42" t="s">
        <v>83</v>
      </c>
      <c r="G84" s="13">
        <v>42547.539050925923</v>
      </c>
    </row>
    <row r="85" spans="1:7" x14ac:dyDescent="0.25">
      <c r="A85" s="13">
        <v>42547.754629629628</v>
      </c>
      <c r="B85" s="42" t="s">
        <v>183</v>
      </c>
      <c r="C85" s="42" t="s">
        <v>374</v>
      </c>
      <c r="D85" s="42">
        <v>1120000</v>
      </c>
      <c r="E85" s="42" t="s">
        <v>189</v>
      </c>
      <c r="F85" s="42" t="s">
        <v>183</v>
      </c>
      <c r="G85" s="13">
        <v>42547.754629629628</v>
      </c>
    </row>
    <row r="86" spans="1:7" x14ac:dyDescent="0.25">
      <c r="A86" s="13">
        <v>42547.623506944445</v>
      </c>
      <c r="B86" s="42" t="s">
        <v>185</v>
      </c>
      <c r="C86" s="42" t="s">
        <v>304</v>
      </c>
      <c r="D86" s="42">
        <v>1260000</v>
      </c>
      <c r="E86" s="42" t="s">
        <v>218</v>
      </c>
      <c r="F86" s="42" t="s">
        <v>185</v>
      </c>
      <c r="G86" s="13">
        <v>42547.623506944445</v>
      </c>
    </row>
    <row r="87" spans="1:7" x14ac:dyDescent="0.25">
      <c r="A87" s="13">
        <v>42547.635057870371</v>
      </c>
      <c r="B87" s="42" t="s">
        <v>479</v>
      </c>
      <c r="C87" s="42" t="s">
        <v>314</v>
      </c>
      <c r="D87" s="42">
        <v>1540000</v>
      </c>
      <c r="E87" s="42" t="s">
        <v>219</v>
      </c>
      <c r="F87" s="42" t="s">
        <v>479</v>
      </c>
      <c r="G87" s="13">
        <v>42547.635057870371</v>
      </c>
    </row>
    <row r="88" spans="1:7" x14ac:dyDescent="0.25">
      <c r="A88" s="13">
        <v>42547.634710648148</v>
      </c>
      <c r="B88" s="42" t="s">
        <v>185</v>
      </c>
      <c r="C88" s="42" t="s">
        <v>308</v>
      </c>
      <c r="D88" s="42">
        <v>1260000</v>
      </c>
      <c r="E88" s="42" t="s">
        <v>218</v>
      </c>
      <c r="F88" s="42" t="s">
        <v>185</v>
      </c>
      <c r="G88" s="13">
        <v>42547.634710648148</v>
      </c>
    </row>
    <row r="89" spans="1:7" x14ac:dyDescent="0.25">
      <c r="A89" s="13">
        <v>42547.607835648145</v>
      </c>
      <c r="B89" s="42" t="s">
        <v>70</v>
      </c>
      <c r="C89" s="42" t="s">
        <v>335</v>
      </c>
      <c r="D89" s="42">
        <v>1500000</v>
      </c>
      <c r="E89" s="42" t="s">
        <v>90</v>
      </c>
      <c r="F89" s="42" t="s">
        <v>70</v>
      </c>
      <c r="G89" s="13">
        <v>42547.607835648145</v>
      </c>
    </row>
    <row r="90" spans="1:7" x14ac:dyDescent="0.25">
      <c r="A90" s="13">
        <v>42547.949826388889</v>
      </c>
      <c r="B90" s="42" t="s">
        <v>212</v>
      </c>
      <c r="C90" s="42" t="s">
        <v>424</v>
      </c>
      <c r="D90" s="42">
        <v>1770000</v>
      </c>
      <c r="E90" s="42" t="s">
        <v>154</v>
      </c>
      <c r="F90" s="42" t="s">
        <v>212</v>
      </c>
      <c r="G90" s="13">
        <v>42547.949826388889</v>
      </c>
    </row>
    <row r="91" spans="1:7" x14ac:dyDescent="0.25">
      <c r="A91" s="13">
        <v>42547.592233796298</v>
      </c>
      <c r="B91" s="42" t="s">
        <v>88</v>
      </c>
      <c r="C91" s="42" t="s">
        <v>310</v>
      </c>
      <c r="D91" s="42">
        <v>880000</v>
      </c>
      <c r="E91" s="42" t="s">
        <v>148</v>
      </c>
      <c r="F91" s="42" t="s">
        <v>88</v>
      </c>
      <c r="G91" s="13">
        <v>42547.592233796298</v>
      </c>
    </row>
    <row r="92" spans="1:7" x14ac:dyDescent="0.25">
      <c r="A92" s="13">
        <v>42547.992777777778</v>
      </c>
      <c r="B92" s="42" t="s">
        <v>215</v>
      </c>
      <c r="C92" s="42" t="s">
        <v>433</v>
      </c>
      <c r="D92" s="42">
        <v>1770000</v>
      </c>
      <c r="E92" s="42" t="s">
        <v>154</v>
      </c>
      <c r="F92" s="42" t="s">
        <v>215</v>
      </c>
      <c r="G92" s="13">
        <v>42547.992777777778</v>
      </c>
    </row>
    <row r="93" spans="1:7" x14ac:dyDescent="0.25">
      <c r="A93" s="13">
        <v>42547.493657407409</v>
      </c>
      <c r="B93" s="42" t="s">
        <v>479</v>
      </c>
      <c r="C93" s="42" t="s">
        <v>457</v>
      </c>
      <c r="D93" s="42">
        <v>1520000</v>
      </c>
      <c r="E93" s="42" t="s">
        <v>147</v>
      </c>
      <c r="F93" s="42" t="s">
        <v>479</v>
      </c>
      <c r="G93" s="13">
        <v>42547.493657407409</v>
      </c>
    </row>
    <row r="94" spans="1:7" x14ac:dyDescent="0.25">
      <c r="A94" s="13">
        <v>42547.216597222221</v>
      </c>
      <c r="B94" s="42" t="s">
        <v>184</v>
      </c>
      <c r="C94" s="42" t="s">
        <v>222</v>
      </c>
      <c r="D94" s="42">
        <v>1840000</v>
      </c>
      <c r="E94" s="42" t="s">
        <v>151</v>
      </c>
      <c r="F94" s="42" t="s">
        <v>184</v>
      </c>
      <c r="G94" s="13">
        <v>42547.216597222221</v>
      </c>
    </row>
    <row r="95" spans="1:7" x14ac:dyDescent="0.25">
      <c r="A95" s="13">
        <v>42547.455578703702</v>
      </c>
      <c r="B95" s="42" t="s">
        <v>89</v>
      </c>
      <c r="C95" s="42" t="s">
        <v>475</v>
      </c>
      <c r="D95" s="42">
        <v>1500000</v>
      </c>
      <c r="E95" s="42" t="s">
        <v>90</v>
      </c>
      <c r="F95" s="42" t="s">
        <v>89</v>
      </c>
      <c r="G95" s="13">
        <v>42547.455578703702</v>
      </c>
    </row>
    <row r="96" spans="1:7" x14ac:dyDescent="0.25">
      <c r="A96" s="13">
        <v>42547.673564814817</v>
      </c>
      <c r="B96" s="42" t="s">
        <v>150</v>
      </c>
      <c r="C96" s="42" t="s">
        <v>360</v>
      </c>
      <c r="D96" s="42">
        <v>1540000</v>
      </c>
      <c r="E96" s="42" t="s">
        <v>219</v>
      </c>
      <c r="F96" s="42" t="s">
        <v>150</v>
      </c>
      <c r="G96" s="13">
        <v>42547.673564814817</v>
      </c>
    </row>
    <row r="97" spans="1:7" x14ac:dyDescent="0.25">
      <c r="A97" s="13">
        <v>42547.873148148145</v>
      </c>
      <c r="B97" s="42" t="s">
        <v>150</v>
      </c>
      <c r="C97" s="42" t="s">
        <v>417</v>
      </c>
      <c r="D97" s="42">
        <v>1290000</v>
      </c>
      <c r="E97" s="42" t="s">
        <v>483</v>
      </c>
      <c r="F97" s="42" t="s">
        <v>150</v>
      </c>
      <c r="G97" s="13">
        <v>42547.873148148145</v>
      </c>
    </row>
    <row r="98" spans="1:7" x14ac:dyDescent="0.25">
      <c r="A98" s="13">
        <v>42547.977951388886</v>
      </c>
      <c r="B98" s="42" t="s">
        <v>89</v>
      </c>
      <c r="C98" s="42" t="s">
        <v>356</v>
      </c>
      <c r="D98" s="42">
        <v>1750000</v>
      </c>
      <c r="E98" s="42" t="s">
        <v>484</v>
      </c>
      <c r="F98" s="42" t="s">
        <v>89</v>
      </c>
      <c r="G98" s="13">
        <v>42547.977951388886</v>
      </c>
    </row>
    <row r="99" spans="1:7" x14ac:dyDescent="0.25">
      <c r="A99" s="13">
        <v>42547.764664351853</v>
      </c>
      <c r="B99" s="42" t="s">
        <v>101</v>
      </c>
      <c r="C99" s="42" t="s">
        <v>377</v>
      </c>
      <c r="D99" s="42">
        <v>1260000</v>
      </c>
      <c r="E99" s="42" t="s">
        <v>218</v>
      </c>
      <c r="F99" s="42" t="s">
        <v>101</v>
      </c>
      <c r="G99" s="13">
        <v>42547.764664351853</v>
      </c>
    </row>
    <row r="100" spans="1:7" x14ac:dyDescent="0.25">
      <c r="A100" s="13">
        <v>42547.594814814816</v>
      </c>
      <c r="B100" s="42" t="s">
        <v>80</v>
      </c>
      <c r="C100" s="42" t="s">
        <v>299</v>
      </c>
      <c r="D100" s="42">
        <v>940000</v>
      </c>
      <c r="E100" s="42" t="s">
        <v>482</v>
      </c>
      <c r="F100" s="42" t="s">
        <v>80</v>
      </c>
      <c r="G100" s="13">
        <v>42547.594814814816</v>
      </c>
    </row>
    <row r="101" spans="1:7" x14ac:dyDescent="0.25">
      <c r="A101" s="13">
        <v>42547.630671296298</v>
      </c>
      <c r="B101" s="42" t="s">
        <v>81</v>
      </c>
      <c r="C101" s="42" t="s">
        <v>321</v>
      </c>
      <c r="D101" s="42">
        <v>940000</v>
      </c>
      <c r="E101" s="42" t="s">
        <v>482</v>
      </c>
      <c r="F101" s="42" t="s">
        <v>81</v>
      </c>
      <c r="G101" s="13">
        <v>42547.630671296298</v>
      </c>
    </row>
    <row r="102" spans="1:7" x14ac:dyDescent="0.25">
      <c r="A102" s="13">
        <v>42547.610717592594</v>
      </c>
      <c r="B102" s="42" t="s">
        <v>183</v>
      </c>
      <c r="C102" s="42" t="s">
        <v>303</v>
      </c>
      <c r="D102" s="42">
        <v>1120000</v>
      </c>
      <c r="E102" s="42" t="s">
        <v>189</v>
      </c>
      <c r="F102" s="42" t="s">
        <v>183</v>
      </c>
      <c r="G102" s="13">
        <v>42547.610717592594</v>
      </c>
    </row>
    <row r="103" spans="1:7" x14ac:dyDescent="0.25">
      <c r="A103" s="13">
        <v>42547.507037037038</v>
      </c>
      <c r="B103" s="42" t="s">
        <v>182</v>
      </c>
      <c r="C103" s="42" t="s">
        <v>468</v>
      </c>
      <c r="D103" s="42">
        <v>1310000</v>
      </c>
      <c r="E103" s="42" t="s">
        <v>153</v>
      </c>
      <c r="F103" s="42" t="s">
        <v>182</v>
      </c>
      <c r="G103" s="13">
        <v>42547.507037037038</v>
      </c>
    </row>
    <row r="104" spans="1:7" x14ac:dyDescent="0.25">
      <c r="A104" s="13">
        <v>42547.642210648148</v>
      </c>
      <c r="B104" s="42" t="s">
        <v>182</v>
      </c>
      <c r="C104" s="42" t="s">
        <v>323</v>
      </c>
      <c r="D104" s="42">
        <v>1120000</v>
      </c>
      <c r="E104" s="42" t="s">
        <v>189</v>
      </c>
      <c r="F104" s="42" t="s">
        <v>182</v>
      </c>
      <c r="G104" s="13">
        <v>42547.642210648148</v>
      </c>
    </row>
    <row r="105" spans="1:7" x14ac:dyDescent="0.25">
      <c r="A105" s="13">
        <v>42547.429768518516</v>
      </c>
      <c r="B105" s="42" t="s">
        <v>84</v>
      </c>
      <c r="C105" s="42" t="s">
        <v>275</v>
      </c>
      <c r="D105" s="42">
        <v>1480000</v>
      </c>
      <c r="E105" s="42" t="s">
        <v>186</v>
      </c>
      <c r="F105" s="42" t="s">
        <v>84</v>
      </c>
      <c r="G105" s="13">
        <v>42547.429768518516</v>
      </c>
    </row>
    <row r="106" spans="1:7" x14ac:dyDescent="0.25">
      <c r="A106" s="13">
        <v>42547.768182870372</v>
      </c>
      <c r="B106" s="42" t="s">
        <v>215</v>
      </c>
      <c r="C106" s="42" t="s">
        <v>387</v>
      </c>
      <c r="D106" s="42">
        <v>1470000</v>
      </c>
      <c r="E106" s="42" t="s">
        <v>188</v>
      </c>
      <c r="F106" s="42" t="s">
        <v>215</v>
      </c>
      <c r="G106" s="13">
        <v>42547.768182870372</v>
      </c>
    </row>
    <row r="107" spans="1:7" x14ac:dyDescent="0.25">
      <c r="A107" s="13">
        <v>42547.425428240742</v>
      </c>
      <c r="B107" s="42" t="s">
        <v>81</v>
      </c>
      <c r="C107" s="42" t="s">
        <v>280</v>
      </c>
      <c r="D107" s="42">
        <v>1360000</v>
      </c>
      <c r="E107" s="42" t="s">
        <v>221</v>
      </c>
      <c r="F107" s="42" t="s">
        <v>81</v>
      </c>
      <c r="G107" s="13">
        <v>42547.425428240742</v>
      </c>
    </row>
    <row r="108" spans="1:7" x14ac:dyDescent="0.25">
      <c r="A108" s="13">
        <v>42547.975995370369</v>
      </c>
      <c r="B108" s="42" t="s">
        <v>184</v>
      </c>
      <c r="C108" s="42" t="s">
        <v>431</v>
      </c>
      <c r="D108" s="42">
        <v>1800000</v>
      </c>
      <c r="E108" s="42" t="s">
        <v>190</v>
      </c>
      <c r="F108" s="42" t="s">
        <v>184</v>
      </c>
      <c r="G108" s="13">
        <v>42547.975995370369</v>
      </c>
    </row>
    <row r="109" spans="1:7" x14ac:dyDescent="0.25">
      <c r="A109" s="13">
        <v>42547.308969907404</v>
      </c>
      <c r="B109" s="42" t="s">
        <v>150</v>
      </c>
      <c r="C109" s="42" t="s">
        <v>248</v>
      </c>
      <c r="D109" s="42">
        <v>1520000</v>
      </c>
      <c r="E109" s="42" t="s">
        <v>147</v>
      </c>
      <c r="F109" s="42" t="s">
        <v>150</v>
      </c>
      <c r="G109" s="13">
        <v>42547.308969907404</v>
      </c>
    </row>
    <row r="110" spans="1:7" x14ac:dyDescent="0.25">
      <c r="A110" s="13">
        <v>42548.043217592596</v>
      </c>
      <c r="B110" s="42" t="s">
        <v>212</v>
      </c>
      <c r="C110" s="42" t="s">
        <v>435</v>
      </c>
      <c r="D110" s="42">
        <v>1770000</v>
      </c>
      <c r="E110" s="42" t="s">
        <v>154</v>
      </c>
      <c r="F110" s="42" t="s">
        <v>212</v>
      </c>
      <c r="G110" s="13">
        <v>42548.043217592596</v>
      </c>
    </row>
    <row r="111" spans="1:7" x14ac:dyDescent="0.25">
      <c r="A111" s="13">
        <v>42547.400196759256</v>
      </c>
      <c r="B111" s="42" t="s">
        <v>70</v>
      </c>
      <c r="C111" s="42" t="s">
        <v>329</v>
      </c>
      <c r="D111" s="42">
        <v>1500000</v>
      </c>
      <c r="E111" s="42" t="s">
        <v>90</v>
      </c>
      <c r="F111" s="42" t="s">
        <v>70</v>
      </c>
      <c r="G111" s="13">
        <v>42547.400196759256</v>
      </c>
    </row>
    <row r="112" spans="1:7" x14ac:dyDescent="0.25">
      <c r="A112" s="13">
        <v>42548.05978009259</v>
      </c>
      <c r="B112" s="42" t="s">
        <v>184</v>
      </c>
      <c r="C112" s="42" t="s">
        <v>443</v>
      </c>
      <c r="D112" s="42">
        <v>1800000</v>
      </c>
      <c r="E112" s="42" t="s">
        <v>190</v>
      </c>
      <c r="F112" s="42" t="s">
        <v>184</v>
      </c>
      <c r="G112" s="13">
        <v>42548.05978009259</v>
      </c>
    </row>
    <row r="113" spans="1:7" x14ac:dyDescent="0.25">
      <c r="A113" s="13">
        <v>42547.3594212963</v>
      </c>
      <c r="B113" s="42" t="s">
        <v>70</v>
      </c>
      <c r="C113" s="42" t="s">
        <v>328</v>
      </c>
      <c r="D113" s="42">
        <v>1500000</v>
      </c>
      <c r="E113" s="42" t="s">
        <v>90</v>
      </c>
      <c r="F113" s="42" t="s">
        <v>70</v>
      </c>
      <c r="G113" s="13">
        <v>42547.3594212963</v>
      </c>
    </row>
    <row r="114" spans="1:7" x14ac:dyDescent="0.25">
      <c r="A114" s="13">
        <v>42547.141446759262</v>
      </c>
      <c r="B114" s="42" t="s">
        <v>217</v>
      </c>
      <c r="C114" s="42" t="s">
        <v>209</v>
      </c>
      <c r="D114" s="42">
        <v>1800000</v>
      </c>
      <c r="E114" s="42" t="s">
        <v>190</v>
      </c>
      <c r="F114" s="42" t="s">
        <v>217</v>
      </c>
      <c r="G114" s="13">
        <v>42547.141446759262</v>
      </c>
    </row>
    <row r="115" spans="1:7" x14ac:dyDescent="0.25">
      <c r="A115" s="13">
        <v>42547.402638888889</v>
      </c>
      <c r="B115" s="42" t="s">
        <v>185</v>
      </c>
      <c r="C115" s="42" t="s">
        <v>266</v>
      </c>
      <c r="D115" s="42">
        <v>1100000</v>
      </c>
      <c r="E115" s="42" t="s">
        <v>220</v>
      </c>
      <c r="F115" s="42" t="s">
        <v>185</v>
      </c>
      <c r="G115" s="13">
        <v>42547.402638888889</v>
      </c>
    </row>
    <row r="116" spans="1:7" x14ac:dyDescent="0.25">
      <c r="A116" s="13">
        <v>42547.52915509259</v>
      </c>
      <c r="B116" s="42" t="s">
        <v>150</v>
      </c>
      <c r="C116" s="42" t="s">
        <v>473</v>
      </c>
      <c r="D116" s="42">
        <v>1540000</v>
      </c>
      <c r="E116" s="42" t="s">
        <v>219</v>
      </c>
      <c r="F116" s="42" t="s">
        <v>150</v>
      </c>
      <c r="G116" s="13">
        <v>42547.52915509259</v>
      </c>
    </row>
    <row r="117" spans="1:7" x14ac:dyDescent="0.25">
      <c r="A117" s="13">
        <v>42547.327118055553</v>
      </c>
      <c r="B117" s="42" t="s">
        <v>185</v>
      </c>
      <c r="C117" s="42" t="s">
        <v>244</v>
      </c>
      <c r="D117" s="42">
        <v>1100000</v>
      </c>
      <c r="E117" s="42" t="s">
        <v>220</v>
      </c>
      <c r="F117" s="42" t="s">
        <v>185</v>
      </c>
      <c r="G117" s="13">
        <v>42547.327118055553</v>
      </c>
    </row>
    <row r="118" spans="1:7" x14ac:dyDescent="0.25">
      <c r="A118" s="13">
        <v>42547.734143518515</v>
      </c>
      <c r="B118" s="42" t="s">
        <v>70</v>
      </c>
      <c r="C118" s="42" t="s">
        <v>343</v>
      </c>
      <c r="D118" s="42">
        <v>1750000</v>
      </c>
      <c r="E118" s="42" t="s">
        <v>484</v>
      </c>
      <c r="F118" s="42" t="s">
        <v>70</v>
      </c>
      <c r="G118" s="13">
        <v>42547.734143518515</v>
      </c>
    </row>
    <row r="119" spans="1:7" x14ac:dyDescent="0.25">
      <c r="A119" s="13">
        <v>42547.381655092591</v>
      </c>
      <c r="B119" s="42" t="s">
        <v>150</v>
      </c>
      <c r="C119" s="42" t="s">
        <v>269</v>
      </c>
      <c r="D119" s="42">
        <v>1520000</v>
      </c>
      <c r="E119" s="42" t="s">
        <v>147</v>
      </c>
      <c r="F119" s="42" t="s">
        <v>150</v>
      </c>
      <c r="G119" s="13">
        <v>42547.381655092591</v>
      </c>
    </row>
    <row r="120" spans="1:7" x14ac:dyDescent="0.25">
      <c r="A120" s="13">
        <v>42547.116423611114</v>
      </c>
      <c r="B120" s="42" t="s">
        <v>216</v>
      </c>
      <c r="C120" s="42" t="s">
        <v>208</v>
      </c>
      <c r="D120" s="42">
        <v>1770000</v>
      </c>
      <c r="E120" s="42" t="s">
        <v>154</v>
      </c>
      <c r="F120" s="42" t="s">
        <v>216</v>
      </c>
      <c r="G120" s="13">
        <v>42547.116423611114</v>
      </c>
    </row>
    <row r="121" spans="1:7" x14ac:dyDescent="0.25">
      <c r="A121" s="13">
        <v>42547.313402777778</v>
      </c>
      <c r="B121" s="42" t="s">
        <v>70</v>
      </c>
      <c r="C121" s="42" t="s">
        <v>326</v>
      </c>
      <c r="D121" s="42">
        <v>1500000</v>
      </c>
      <c r="E121" s="42" t="s">
        <v>90</v>
      </c>
      <c r="F121" s="42" t="s">
        <v>70</v>
      </c>
      <c r="G121" s="13">
        <v>42547.313402777778</v>
      </c>
    </row>
    <row r="122" spans="1:7" x14ac:dyDescent="0.25">
      <c r="A122" s="13">
        <v>42547.318807870368</v>
      </c>
      <c r="B122" s="58" t="s">
        <v>80</v>
      </c>
      <c r="C122" s="42" t="s">
        <v>237</v>
      </c>
      <c r="D122" s="42">
        <v>1360000</v>
      </c>
      <c r="E122" s="42" t="s">
        <v>221</v>
      </c>
      <c r="F122" s="58" t="s">
        <v>80</v>
      </c>
      <c r="G122" s="13">
        <v>42547.318807870368</v>
      </c>
    </row>
    <row r="123" spans="1:7" x14ac:dyDescent="0.25">
      <c r="A123" s="13">
        <v>42547.279004629629</v>
      </c>
      <c r="B123" s="42" t="s">
        <v>102</v>
      </c>
      <c r="C123" s="42" t="s">
        <v>239</v>
      </c>
      <c r="D123" s="42">
        <v>1310000</v>
      </c>
      <c r="E123" s="42" t="s">
        <v>153</v>
      </c>
      <c r="F123" s="42" t="s">
        <v>102</v>
      </c>
      <c r="G123" s="13">
        <v>42547.279004629629</v>
      </c>
    </row>
    <row r="124" spans="1:7" x14ac:dyDescent="0.25">
      <c r="A124" s="13">
        <v>42547.521296296298</v>
      </c>
      <c r="B124" s="42" t="s">
        <v>88</v>
      </c>
      <c r="C124" s="42" t="s">
        <v>471</v>
      </c>
      <c r="D124" s="42">
        <v>1100000</v>
      </c>
      <c r="E124" s="42" t="s">
        <v>220</v>
      </c>
      <c r="F124" s="42" t="s">
        <v>88</v>
      </c>
      <c r="G124" s="13">
        <v>42547.521296296298</v>
      </c>
    </row>
    <row r="125" spans="1:7" x14ac:dyDescent="0.25">
      <c r="A125" s="13">
        <v>42547.993310185186</v>
      </c>
      <c r="B125" s="42" t="s">
        <v>479</v>
      </c>
      <c r="C125" s="42" t="s">
        <v>430</v>
      </c>
      <c r="D125" s="42">
        <v>1290000</v>
      </c>
      <c r="E125" s="42" t="s">
        <v>483</v>
      </c>
      <c r="F125" s="42" t="s">
        <v>479</v>
      </c>
      <c r="G125" s="13">
        <v>42547.993310185186</v>
      </c>
    </row>
    <row r="126" spans="1:7" x14ac:dyDescent="0.25">
      <c r="A126" s="13">
        <v>42547.359699074077</v>
      </c>
      <c r="B126" s="42" t="s">
        <v>212</v>
      </c>
      <c r="C126" s="42" t="s">
        <v>258</v>
      </c>
      <c r="D126" s="42">
        <v>1830000</v>
      </c>
      <c r="E126" s="42" t="s">
        <v>149</v>
      </c>
      <c r="F126" s="42" t="s">
        <v>212</v>
      </c>
      <c r="G126" s="13">
        <v>42547.359699074077</v>
      </c>
    </row>
    <row r="127" spans="1:7" x14ac:dyDescent="0.25">
      <c r="A127" s="13">
        <v>42547.877152777779</v>
      </c>
      <c r="B127" s="42" t="s">
        <v>212</v>
      </c>
      <c r="C127" s="42" t="s">
        <v>414</v>
      </c>
      <c r="D127" s="42">
        <v>1770000</v>
      </c>
      <c r="E127" s="42" t="s">
        <v>154</v>
      </c>
      <c r="F127" s="42" t="s">
        <v>212</v>
      </c>
      <c r="G127" s="13">
        <v>42547.877152777779</v>
      </c>
    </row>
    <row r="128" spans="1:7" x14ac:dyDescent="0.25">
      <c r="A128" s="13">
        <v>42547.530347222222</v>
      </c>
      <c r="B128" s="42" t="s">
        <v>150</v>
      </c>
      <c r="C128" s="42" t="s">
        <v>473</v>
      </c>
      <c r="D128" s="42">
        <v>1540000</v>
      </c>
      <c r="E128" s="42" t="s">
        <v>219</v>
      </c>
      <c r="F128" s="42" t="s">
        <v>150</v>
      </c>
      <c r="G128" s="13">
        <v>42547.530347222222</v>
      </c>
    </row>
    <row r="129" spans="1:7" x14ac:dyDescent="0.25">
      <c r="A129" s="13">
        <v>42547.74255787037</v>
      </c>
      <c r="B129" s="42" t="s">
        <v>80</v>
      </c>
      <c r="C129" s="42" t="s">
        <v>370</v>
      </c>
      <c r="D129" s="42">
        <v>940000</v>
      </c>
      <c r="E129" s="42" t="s">
        <v>482</v>
      </c>
      <c r="F129" s="42" t="s">
        <v>80</v>
      </c>
      <c r="G129" s="13">
        <v>42547.74255787037</v>
      </c>
    </row>
    <row r="130" spans="1:7" x14ac:dyDescent="0.25">
      <c r="A130" s="13">
        <v>42547.609791666669</v>
      </c>
      <c r="B130" s="42" t="s">
        <v>183</v>
      </c>
      <c r="C130" s="42" t="s">
        <v>303</v>
      </c>
      <c r="D130" s="42">
        <v>1120000</v>
      </c>
      <c r="E130" s="42" t="s">
        <v>189</v>
      </c>
      <c r="F130" s="42" t="s">
        <v>183</v>
      </c>
      <c r="G130" s="13">
        <v>42547.609791666669</v>
      </c>
    </row>
    <row r="131" spans="1:7" x14ac:dyDescent="0.25">
      <c r="A131" s="13">
        <v>42547.526030092595</v>
      </c>
      <c r="B131" s="42" t="s">
        <v>70</v>
      </c>
      <c r="C131" s="42" t="s">
        <v>478</v>
      </c>
      <c r="D131" s="42">
        <v>1500000</v>
      </c>
      <c r="E131" s="42" t="s">
        <v>90</v>
      </c>
      <c r="F131" s="42" t="s">
        <v>70</v>
      </c>
      <c r="G131" s="13">
        <v>42547.526030092595</v>
      </c>
    </row>
    <row r="132" spans="1:7" x14ac:dyDescent="0.25">
      <c r="A132" s="13">
        <v>42547.703425925924</v>
      </c>
      <c r="B132" s="42" t="s">
        <v>87</v>
      </c>
      <c r="C132" s="42" t="s">
        <v>358</v>
      </c>
      <c r="D132" s="42">
        <v>880000</v>
      </c>
      <c r="E132" s="42" t="s">
        <v>148</v>
      </c>
      <c r="F132" s="42" t="s">
        <v>87</v>
      </c>
      <c r="G132" s="13">
        <v>42547.703425925924</v>
      </c>
    </row>
    <row r="133" spans="1:7" x14ac:dyDescent="0.25">
      <c r="A133" s="13">
        <v>42547.488009259258</v>
      </c>
      <c r="B133" s="42" t="s">
        <v>81</v>
      </c>
      <c r="C133" s="42" t="s">
        <v>463</v>
      </c>
      <c r="D133" s="42">
        <v>1360000</v>
      </c>
      <c r="E133" s="42" t="s">
        <v>221</v>
      </c>
      <c r="F133" s="42" t="s">
        <v>81</v>
      </c>
      <c r="G133" s="13">
        <v>42547.488009259258</v>
      </c>
    </row>
    <row r="134" spans="1:7" x14ac:dyDescent="0.25">
      <c r="A134" s="13">
        <v>42547.794606481482</v>
      </c>
      <c r="B134" s="42" t="s">
        <v>84</v>
      </c>
      <c r="C134" s="42" t="s">
        <v>386</v>
      </c>
      <c r="D134" s="42">
        <v>950000</v>
      </c>
      <c r="E134" s="42" t="s">
        <v>187</v>
      </c>
      <c r="F134" s="42" t="s">
        <v>84</v>
      </c>
      <c r="G134" s="13">
        <v>42547.794606481482</v>
      </c>
    </row>
    <row r="135" spans="1:7" x14ac:dyDescent="0.25">
      <c r="A135" s="13">
        <v>42547.452847222223</v>
      </c>
      <c r="B135" s="42" t="s">
        <v>80</v>
      </c>
      <c r="C135" s="42" t="s">
        <v>451</v>
      </c>
      <c r="D135" s="42">
        <v>1360000</v>
      </c>
      <c r="E135" s="42" t="s">
        <v>221</v>
      </c>
      <c r="F135" s="42" t="s">
        <v>80</v>
      </c>
      <c r="G135" s="13">
        <v>42547.452847222223</v>
      </c>
    </row>
    <row r="136" spans="1:7" x14ac:dyDescent="0.25">
      <c r="A136" s="13">
        <v>42547.870312500003</v>
      </c>
      <c r="B136" s="42" t="s">
        <v>84</v>
      </c>
      <c r="C136" s="42" t="s">
        <v>410</v>
      </c>
      <c r="D136" s="42">
        <v>950000</v>
      </c>
      <c r="E136" s="42" t="s">
        <v>187</v>
      </c>
      <c r="F136" s="42" t="s">
        <v>84</v>
      </c>
      <c r="G136" s="13">
        <v>42547.870312500003</v>
      </c>
    </row>
    <row r="137" spans="1:7" x14ac:dyDescent="0.25">
      <c r="A137" s="13">
        <v>42547.728159722225</v>
      </c>
      <c r="B137" s="42" t="s">
        <v>102</v>
      </c>
      <c r="C137" s="42" t="s">
        <v>376</v>
      </c>
      <c r="D137" s="42">
        <v>1260000</v>
      </c>
      <c r="E137" s="42" t="s">
        <v>218</v>
      </c>
      <c r="F137" s="42" t="s">
        <v>102</v>
      </c>
      <c r="G137" s="13">
        <v>42547.728159722225</v>
      </c>
    </row>
    <row r="138" spans="1:7" x14ac:dyDescent="0.25">
      <c r="A138" s="13">
        <v>42547.889849537038</v>
      </c>
      <c r="B138" s="42" t="s">
        <v>80</v>
      </c>
      <c r="C138" s="42" t="s">
        <v>416</v>
      </c>
      <c r="D138" s="42">
        <v>1280000</v>
      </c>
      <c r="E138" s="42" t="s">
        <v>481</v>
      </c>
      <c r="F138" s="42" t="s">
        <v>80</v>
      </c>
      <c r="G138" s="13">
        <v>42547.889849537038</v>
      </c>
    </row>
    <row r="139" spans="1:7" x14ac:dyDescent="0.25">
      <c r="A139" s="13">
        <v>42547.658750000002</v>
      </c>
      <c r="B139" s="42" t="s">
        <v>102</v>
      </c>
      <c r="C139" s="42" t="s">
        <v>331</v>
      </c>
      <c r="D139" s="42">
        <v>1260000</v>
      </c>
      <c r="E139" s="42" t="s">
        <v>218</v>
      </c>
      <c r="F139" s="42" t="s">
        <v>102</v>
      </c>
      <c r="G139" s="13">
        <v>42547.658750000002</v>
      </c>
    </row>
    <row r="140" spans="1:7" x14ac:dyDescent="0.25">
      <c r="A140" s="13">
        <v>42547.336030092592</v>
      </c>
      <c r="B140" s="42" t="s">
        <v>87</v>
      </c>
      <c r="C140" s="42" t="s">
        <v>247</v>
      </c>
      <c r="D140" s="42">
        <v>1840000</v>
      </c>
      <c r="E140" s="42" t="s">
        <v>151</v>
      </c>
      <c r="F140" s="42" t="s">
        <v>87</v>
      </c>
      <c r="G140" s="13">
        <v>42547.336030092592</v>
      </c>
    </row>
    <row r="141" spans="1:7" x14ac:dyDescent="0.25">
      <c r="A141" s="13">
        <v>42547.613217592596</v>
      </c>
      <c r="B141" s="42" t="s">
        <v>83</v>
      </c>
      <c r="C141" s="42" t="s">
        <v>315</v>
      </c>
      <c r="D141" s="42">
        <v>950000</v>
      </c>
      <c r="E141" s="42" t="s">
        <v>187</v>
      </c>
      <c r="F141" s="42" t="s">
        <v>83</v>
      </c>
      <c r="G141" s="13">
        <v>42547.613217592596</v>
      </c>
    </row>
    <row r="142" spans="1:7" x14ac:dyDescent="0.25">
      <c r="A142" s="13">
        <v>42547.550474537034</v>
      </c>
      <c r="B142" s="42" t="s">
        <v>185</v>
      </c>
      <c r="C142" s="42" t="s">
        <v>286</v>
      </c>
      <c r="D142" s="42">
        <v>1260000</v>
      </c>
      <c r="E142" s="42" t="s">
        <v>218</v>
      </c>
      <c r="F142" s="42" t="s">
        <v>185</v>
      </c>
      <c r="G142" s="13">
        <v>42547.550474537034</v>
      </c>
    </row>
    <row r="143" spans="1:7" x14ac:dyDescent="0.25">
      <c r="A143" s="13">
        <v>42547.558009259257</v>
      </c>
      <c r="B143" s="42" t="s">
        <v>87</v>
      </c>
      <c r="C143" s="42" t="s">
        <v>288</v>
      </c>
      <c r="D143" s="42">
        <v>1100000</v>
      </c>
      <c r="E143" s="42" t="s">
        <v>220</v>
      </c>
      <c r="F143" s="42" t="s">
        <v>87</v>
      </c>
      <c r="G143" s="13">
        <v>42547.558009259257</v>
      </c>
    </row>
    <row r="144" spans="1:7" x14ac:dyDescent="0.25">
      <c r="A144" s="13">
        <v>42547.593368055554</v>
      </c>
      <c r="B144" s="42" t="s">
        <v>88</v>
      </c>
      <c r="C144" s="42" t="s">
        <v>310</v>
      </c>
      <c r="D144" s="42">
        <v>880000</v>
      </c>
      <c r="E144" s="42" t="s">
        <v>148</v>
      </c>
      <c r="F144" s="42" t="s">
        <v>88</v>
      </c>
      <c r="G144" s="13">
        <v>42547.593368055554</v>
      </c>
    </row>
    <row r="145" spans="1:7" x14ac:dyDescent="0.25">
      <c r="A145" s="13">
        <v>42547.458796296298</v>
      </c>
      <c r="B145" s="42" t="s">
        <v>150</v>
      </c>
      <c r="C145" s="42" t="s">
        <v>456</v>
      </c>
      <c r="D145" s="42">
        <v>1520000</v>
      </c>
      <c r="E145" s="42" t="s">
        <v>147</v>
      </c>
      <c r="F145" s="42" t="s">
        <v>150</v>
      </c>
      <c r="G145" s="13">
        <v>42547.458796296298</v>
      </c>
    </row>
    <row r="146" spans="1:7" x14ac:dyDescent="0.25">
      <c r="A146" s="13">
        <v>42547.287511574075</v>
      </c>
      <c r="B146" s="42" t="s">
        <v>183</v>
      </c>
      <c r="C146" s="42" t="s">
        <v>233</v>
      </c>
      <c r="D146" s="42">
        <v>1830000</v>
      </c>
      <c r="E146" s="42" t="s">
        <v>149</v>
      </c>
      <c r="F146" s="42" t="s">
        <v>183</v>
      </c>
      <c r="G146" s="13">
        <v>42547.287511574075</v>
      </c>
    </row>
    <row r="147" spans="1:7" x14ac:dyDescent="0.25">
      <c r="A147" s="13">
        <v>42547.451817129629</v>
      </c>
      <c r="B147" s="42" t="s">
        <v>88</v>
      </c>
      <c r="C147" s="42" t="s">
        <v>454</v>
      </c>
      <c r="D147" s="42">
        <v>1460000</v>
      </c>
      <c r="E147" s="42" t="s">
        <v>152</v>
      </c>
      <c r="F147" s="42" t="s">
        <v>88</v>
      </c>
      <c r="G147" s="13">
        <v>42547.451817129629</v>
      </c>
    </row>
    <row r="148" spans="1:7" x14ac:dyDescent="0.25">
      <c r="A148" s="13">
        <v>42547.344456018516</v>
      </c>
      <c r="B148" s="42" t="s">
        <v>479</v>
      </c>
      <c r="C148" s="42" t="s">
        <v>250</v>
      </c>
      <c r="D148" s="42">
        <v>1520000</v>
      </c>
      <c r="E148" s="42" t="s">
        <v>147</v>
      </c>
      <c r="F148" s="42" t="s">
        <v>479</v>
      </c>
      <c r="G148" s="13">
        <v>42547.344456018516</v>
      </c>
    </row>
    <row r="149" spans="1:7" x14ac:dyDescent="0.25">
      <c r="A149" s="13">
        <v>42547.436412037037</v>
      </c>
      <c r="B149" s="42" t="s">
        <v>184</v>
      </c>
      <c r="C149" s="42" t="s">
        <v>452</v>
      </c>
      <c r="D149" s="42">
        <v>1100000</v>
      </c>
      <c r="E149" s="42" t="s">
        <v>220</v>
      </c>
      <c r="F149" s="42" t="s">
        <v>184</v>
      </c>
      <c r="G149" s="13">
        <v>42547.436412037037</v>
      </c>
    </row>
    <row r="150" spans="1:7" x14ac:dyDescent="0.25">
      <c r="A150" s="13">
        <v>42547.622384259259</v>
      </c>
      <c r="B150" s="42" t="s">
        <v>185</v>
      </c>
      <c r="C150" s="42" t="s">
        <v>304</v>
      </c>
      <c r="D150" s="42">
        <v>1260000</v>
      </c>
      <c r="E150" s="42" t="s">
        <v>218</v>
      </c>
      <c r="F150" s="42" t="s">
        <v>185</v>
      </c>
      <c r="G150" s="13">
        <v>42547.622384259259</v>
      </c>
    </row>
    <row r="151" spans="1:7" x14ac:dyDescent="0.25">
      <c r="A151" s="13">
        <v>42547.433888888889</v>
      </c>
      <c r="B151" s="42" t="s">
        <v>212</v>
      </c>
      <c r="C151" s="42" t="s">
        <v>278</v>
      </c>
      <c r="D151" s="42">
        <v>1830000</v>
      </c>
      <c r="E151" s="42" t="s">
        <v>149</v>
      </c>
      <c r="F151" s="42" t="s">
        <v>212</v>
      </c>
      <c r="G151" s="13">
        <v>42547.433888888889</v>
      </c>
    </row>
    <row r="152" spans="1:7" x14ac:dyDescent="0.25">
      <c r="A152" s="13">
        <v>42547.727037037039</v>
      </c>
      <c r="B152" s="42" t="s">
        <v>102</v>
      </c>
      <c r="C152" s="42" t="s">
        <v>376</v>
      </c>
      <c r="D152" s="42">
        <v>1260000</v>
      </c>
      <c r="E152" s="42" t="s">
        <v>218</v>
      </c>
      <c r="F152" s="42" t="s">
        <v>102</v>
      </c>
      <c r="G152" s="13">
        <v>42547.727037037039</v>
      </c>
    </row>
    <row r="153" spans="1:7" x14ac:dyDescent="0.25">
      <c r="A153" s="13">
        <v>42548.039525462962</v>
      </c>
      <c r="B153" s="42" t="s">
        <v>150</v>
      </c>
      <c r="C153" s="42" t="s">
        <v>439</v>
      </c>
      <c r="D153" s="42">
        <v>1290000</v>
      </c>
      <c r="E153" s="42" t="s">
        <v>483</v>
      </c>
      <c r="F153" s="42" t="s">
        <v>150</v>
      </c>
      <c r="G153" s="13">
        <v>42548.039525462962</v>
      </c>
    </row>
    <row r="154" spans="1:7" x14ac:dyDescent="0.25">
      <c r="A154" s="13">
        <v>42547.16138888889</v>
      </c>
      <c r="B154" s="42" t="s">
        <v>214</v>
      </c>
      <c r="C154" s="42" t="s">
        <v>211</v>
      </c>
      <c r="D154" s="42">
        <v>1820000</v>
      </c>
      <c r="E154" s="42" t="s">
        <v>136</v>
      </c>
      <c r="F154" s="42" t="s">
        <v>214</v>
      </c>
      <c r="G154" s="13">
        <v>42547.16138888889</v>
      </c>
    </row>
    <row r="155" spans="1:7" x14ac:dyDescent="0.25">
      <c r="A155" s="13">
        <v>42547.675115740742</v>
      </c>
      <c r="B155" s="42" t="s">
        <v>150</v>
      </c>
      <c r="C155" s="42" t="s">
        <v>360</v>
      </c>
      <c r="D155" s="42">
        <v>1540000</v>
      </c>
      <c r="E155" s="42" t="s">
        <v>219</v>
      </c>
      <c r="F155" s="42" t="s">
        <v>150</v>
      </c>
      <c r="G155" s="13">
        <v>42547.675115740742</v>
      </c>
    </row>
    <row r="156" spans="1:7" x14ac:dyDescent="0.25">
      <c r="A156" s="13">
        <v>42547.340787037036</v>
      </c>
      <c r="B156" s="42" t="s">
        <v>81</v>
      </c>
      <c r="C156" s="42" t="s">
        <v>259</v>
      </c>
      <c r="D156" s="42">
        <v>1360000</v>
      </c>
      <c r="E156" s="42" t="s">
        <v>221</v>
      </c>
      <c r="F156" s="42" t="s">
        <v>81</v>
      </c>
      <c r="G156" s="13">
        <v>42547.340787037036</v>
      </c>
    </row>
    <row r="157" spans="1:7" x14ac:dyDescent="0.25">
      <c r="A157" s="13">
        <v>42547.581689814811</v>
      </c>
      <c r="B157" s="42" t="s">
        <v>89</v>
      </c>
      <c r="C157" s="42" t="s">
        <v>334</v>
      </c>
      <c r="D157" s="42">
        <v>1500000</v>
      </c>
      <c r="E157" s="42" t="s">
        <v>90</v>
      </c>
      <c r="F157" s="42" t="s">
        <v>89</v>
      </c>
      <c r="G157" s="13">
        <v>42547.581689814811</v>
      </c>
    </row>
    <row r="158" spans="1:7" x14ac:dyDescent="0.25">
      <c r="A158" s="13">
        <v>42547.360092592593</v>
      </c>
      <c r="B158" s="42" t="s">
        <v>184</v>
      </c>
      <c r="C158" s="42" t="s">
        <v>265</v>
      </c>
      <c r="D158" s="42">
        <v>1100000</v>
      </c>
      <c r="E158" s="42" t="s">
        <v>220</v>
      </c>
      <c r="F158" s="42" t="s">
        <v>184</v>
      </c>
      <c r="G158" s="13">
        <v>42547.360092592593</v>
      </c>
    </row>
    <row r="159" spans="1:7" x14ac:dyDescent="0.25">
      <c r="A159" s="13">
        <v>42547.573460648149</v>
      </c>
      <c r="B159" s="42" t="s">
        <v>182</v>
      </c>
      <c r="C159" s="42" t="s">
        <v>300</v>
      </c>
      <c r="D159" s="42">
        <v>1120000</v>
      </c>
      <c r="E159" s="42" t="s">
        <v>189</v>
      </c>
      <c r="F159" s="42" t="s">
        <v>182</v>
      </c>
      <c r="G159" s="13">
        <v>42547.573460648149</v>
      </c>
    </row>
    <row r="160" spans="1:7" x14ac:dyDescent="0.25">
      <c r="A160" s="13">
        <v>42547.426053240742</v>
      </c>
      <c r="B160" s="42" t="s">
        <v>102</v>
      </c>
      <c r="C160" s="42" t="s">
        <v>282</v>
      </c>
      <c r="D160" s="42">
        <v>1310000</v>
      </c>
      <c r="E160" s="42" t="s">
        <v>153</v>
      </c>
      <c r="F160" s="42" t="s">
        <v>102</v>
      </c>
      <c r="G160" s="13">
        <v>42547.426053240742</v>
      </c>
    </row>
    <row r="161" spans="1:7" x14ac:dyDescent="0.25">
      <c r="A161" s="13">
        <v>42547.56659722222</v>
      </c>
      <c r="B161" s="42" t="s">
        <v>70</v>
      </c>
      <c r="C161" s="42" t="s">
        <v>333</v>
      </c>
      <c r="D161" s="42">
        <v>1500000</v>
      </c>
      <c r="E161" s="42" t="s">
        <v>90</v>
      </c>
      <c r="F161" s="42" t="s">
        <v>70</v>
      </c>
      <c r="G161" s="13">
        <v>42547.56659722222</v>
      </c>
    </row>
    <row r="162" spans="1:7" x14ac:dyDescent="0.25">
      <c r="A162" s="13">
        <v>42547.46565972222</v>
      </c>
      <c r="B162" s="42" t="s">
        <v>89</v>
      </c>
      <c r="C162" s="42" t="s">
        <v>475</v>
      </c>
      <c r="D162" s="42">
        <v>1500000</v>
      </c>
      <c r="E162" s="42" t="s">
        <v>90</v>
      </c>
      <c r="F162" s="42" t="s">
        <v>89</v>
      </c>
      <c r="G162" s="13">
        <v>42547.46565972222</v>
      </c>
    </row>
    <row r="163" spans="1:7" x14ac:dyDescent="0.25">
      <c r="A163" s="13">
        <v>42548.016655092593</v>
      </c>
      <c r="B163" s="42" t="s">
        <v>185</v>
      </c>
      <c r="C163" s="42" t="s">
        <v>432</v>
      </c>
      <c r="D163" s="42">
        <v>1800000</v>
      </c>
      <c r="E163" s="42" t="s">
        <v>190</v>
      </c>
      <c r="F163" s="42" t="s">
        <v>185</v>
      </c>
      <c r="G163" s="13">
        <v>42548.016655092593</v>
      </c>
    </row>
    <row r="164" spans="1:7" x14ac:dyDescent="0.25">
      <c r="A164" s="13">
        <v>42547.489548611113</v>
      </c>
      <c r="B164" s="42" t="s">
        <v>81</v>
      </c>
      <c r="C164" s="42" t="s">
        <v>463</v>
      </c>
      <c r="D164" s="42">
        <v>1360000</v>
      </c>
      <c r="E164" s="42" t="s">
        <v>221</v>
      </c>
      <c r="F164" s="42" t="s">
        <v>81</v>
      </c>
      <c r="G164" s="13">
        <v>42547.489548611113</v>
      </c>
    </row>
    <row r="165" spans="1:7" x14ac:dyDescent="0.25">
      <c r="A165" s="13">
        <v>42547.943564814814</v>
      </c>
      <c r="B165" s="42" t="s">
        <v>70</v>
      </c>
      <c r="C165" s="42" t="s">
        <v>355</v>
      </c>
      <c r="D165" s="42">
        <v>1750000</v>
      </c>
      <c r="E165" s="42" t="s">
        <v>484</v>
      </c>
      <c r="F165" s="42" t="s">
        <v>70</v>
      </c>
      <c r="G165" s="13">
        <v>42547.943564814814</v>
      </c>
    </row>
    <row r="166" spans="1:7" x14ac:dyDescent="0.25">
      <c r="A166" s="13">
        <v>42547.653217592589</v>
      </c>
      <c r="B166" s="42" t="s">
        <v>70</v>
      </c>
      <c r="C166" s="42" t="s">
        <v>337</v>
      </c>
      <c r="D166" s="42">
        <v>1500000</v>
      </c>
      <c r="E166" s="42" t="s">
        <v>90</v>
      </c>
      <c r="F166" s="42" t="s">
        <v>70</v>
      </c>
      <c r="G166" s="13">
        <v>42547.653217592589</v>
      </c>
    </row>
    <row r="167" spans="1:7" x14ac:dyDescent="0.25">
      <c r="A167" s="13">
        <v>42547.803541666668</v>
      </c>
      <c r="B167" s="42" t="s">
        <v>89</v>
      </c>
      <c r="C167" s="42" t="s">
        <v>346</v>
      </c>
      <c r="D167" s="42">
        <v>1750000</v>
      </c>
      <c r="E167" s="42" t="s">
        <v>484</v>
      </c>
      <c r="F167" s="42" t="s">
        <v>89</v>
      </c>
      <c r="G167" s="13">
        <v>42547.803541666668</v>
      </c>
    </row>
    <row r="168" spans="1:7" x14ac:dyDescent="0.25">
      <c r="A168" s="13">
        <v>42547.667453703703</v>
      </c>
      <c r="B168" s="42" t="s">
        <v>88</v>
      </c>
      <c r="C168" s="42" t="s">
        <v>353</v>
      </c>
      <c r="D168" s="42">
        <v>880000</v>
      </c>
      <c r="E168" s="42" t="s">
        <v>148</v>
      </c>
      <c r="F168" s="42" t="s">
        <v>88</v>
      </c>
      <c r="G168" s="13">
        <v>42547.667453703703</v>
      </c>
    </row>
    <row r="169" spans="1:7" x14ac:dyDescent="0.25">
      <c r="A169" s="13">
        <v>42547.62709490741</v>
      </c>
      <c r="B169" s="42" t="s">
        <v>89</v>
      </c>
      <c r="C169" s="42" t="s">
        <v>336</v>
      </c>
      <c r="D169" s="42">
        <v>1500000</v>
      </c>
      <c r="E169" s="42" t="s">
        <v>90</v>
      </c>
      <c r="F169" s="42" t="s">
        <v>89</v>
      </c>
      <c r="G169" s="13">
        <v>42547.62709490741</v>
      </c>
    </row>
    <row r="170" spans="1:7" x14ac:dyDescent="0.25">
      <c r="A170" s="13">
        <v>42547.683229166665</v>
      </c>
      <c r="B170" s="42" t="s">
        <v>183</v>
      </c>
      <c r="C170" s="42" t="s">
        <v>324</v>
      </c>
      <c r="D170" s="42">
        <v>1120000</v>
      </c>
      <c r="E170" s="42" t="s">
        <v>189</v>
      </c>
      <c r="F170" s="42" t="s">
        <v>183</v>
      </c>
      <c r="G170" s="13">
        <v>42547.683229166665</v>
      </c>
    </row>
    <row r="171" spans="1:7" x14ac:dyDescent="0.25">
      <c r="A171" s="13">
        <v>42547.776979166665</v>
      </c>
      <c r="B171" s="42" t="s">
        <v>87</v>
      </c>
      <c r="C171" s="42" t="s">
        <v>380</v>
      </c>
      <c r="D171" s="42">
        <v>880000</v>
      </c>
      <c r="E171" s="42" t="s">
        <v>148</v>
      </c>
      <c r="F171" s="42" t="s">
        <v>87</v>
      </c>
      <c r="G171" s="13">
        <v>42547.776979166665</v>
      </c>
    </row>
    <row r="172" spans="1:7" x14ac:dyDescent="0.25">
      <c r="A172" s="13">
        <v>42547.400810185187</v>
      </c>
      <c r="B172" s="42" t="s">
        <v>215</v>
      </c>
      <c r="C172" s="42" t="s">
        <v>276</v>
      </c>
      <c r="D172" s="42">
        <v>1830000</v>
      </c>
      <c r="E172" s="42" t="s">
        <v>149</v>
      </c>
      <c r="F172" s="42" t="s">
        <v>215</v>
      </c>
      <c r="G172" s="13">
        <v>42547.400810185187</v>
      </c>
    </row>
    <row r="173" spans="1:7" x14ac:dyDescent="0.25">
      <c r="A173" s="13">
        <v>42547.711898148147</v>
      </c>
      <c r="B173" s="42" t="s">
        <v>479</v>
      </c>
      <c r="C173" s="42" t="s">
        <v>361</v>
      </c>
      <c r="D173" s="42">
        <v>1540000</v>
      </c>
      <c r="E173" s="42" t="s">
        <v>219</v>
      </c>
      <c r="F173" s="42" t="s">
        <v>479</v>
      </c>
      <c r="G173" s="13">
        <v>42547.711898148147</v>
      </c>
    </row>
    <row r="174" spans="1:7" x14ac:dyDescent="0.25">
      <c r="A174" s="13">
        <v>42547.602083333331</v>
      </c>
      <c r="B174" s="42" t="s">
        <v>150</v>
      </c>
      <c r="C174" s="42" t="s">
        <v>313</v>
      </c>
      <c r="D174" s="42">
        <v>1540000</v>
      </c>
      <c r="E174" s="42" t="s">
        <v>219</v>
      </c>
      <c r="F174" s="42" t="s">
        <v>150</v>
      </c>
      <c r="G174" s="13">
        <v>42547.602083333331</v>
      </c>
    </row>
    <row r="175" spans="1:7" x14ac:dyDescent="0.25">
      <c r="A175" s="13">
        <v>42547.601041666669</v>
      </c>
      <c r="B175" s="42" t="s">
        <v>150</v>
      </c>
      <c r="C175" s="42" t="s">
        <v>313</v>
      </c>
      <c r="D175" s="42">
        <v>1540000</v>
      </c>
      <c r="E175" s="42" t="s">
        <v>219</v>
      </c>
      <c r="F175" s="42" t="s">
        <v>150</v>
      </c>
      <c r="G175" s="13">
        <v>42547.601041666669</v>
      </c>
    </row>
    <row r="176" spans="1:7" x14ac:dyDescent="0.25">
      <c r="A176" s="13">
        <v>42547.62</v>
      </c>
      <c r="B176" s="42" t="s">
        <v>185</v>
      </c>
      <c r="C176" s="42" t="s">
        <v>304</v>
      </c>
      <c r="D176" s="42">
        <v>1260000</v>
      </c>
      <c r="E176" s="42" t="s">
        <v>218</v>
      </c>
      <c r="F176" s="42" t="s">
        <v>185</v>
      </c>
      <c r="G176" s="13">
        <v>42547.62</v>
      </c>
    </row>
    <row r="177" spans="1:7" x14ac:dyDescent="0.25">
      <c r="A177" s="13">
        <v>42547.459803240738</v>
      </c>
      <c r="B177" s="42" t="s">
        <v>150</v>
      </c>
      <c r="C177" s="42" t="s">
        <v>456</v>
      </c>
      <c r="D177" s="42">
        <v>1520000</v>
      </c>
      <c r="E177" s="42" t="s">
        <v>147</v>
      </c>
      <c r="F177" s="42" t="s">
        <v>150</v>
      </c>
      <c r="G177" s="13">
        <v>42547.459803240738</v>
      </c>
    </row>
    <row r="178" spans="1:7" x14ac:dyDescent="0.25">
      <c r="A178" s="13">
        <v>42547.694305555553</v>
      </c>
      <c r="B178" s="42" t="s">
        <v>215</v>
      </c>
      <c r="C178" s="42" t="s">
        <v>365</v>
      </c>
      <c r="D178" s="42">
        <v>1470000</v>
      </c>
      <c r="E178" s="42" t="s">
        <v>188</v>
      </c>
      <c r="F178" s="42" t="s">
        <v>215</v>
      </c>
      <c r="G178" s="13">
        <v>42547.694305555553</v>
      </c>
    </row>
    <row r="179" spans="1:7" x14ac:dyDescent="0.25">
      <c r="A179" s="13">
        <v>42547.42696759259</v>
      </c>
      <c r="B179" s="42" t="s">
        <v>102</v>
      </c>
      <c r="C179" s="42" t="s">
        <v>282</v>
      </c>
      <c r="D179" s="42">
        <v>1310000</v>
      </c>
      <c r="E179" s="42" t="s">
        <v>153</v>
      </c>
      <c r="F179" s="42" t="s">
        <v>102</v>
      </c>
      <c r="G179" s="13">
        <v>42547.42696759259</v>
      </c>
    </row>
    <row r="180" spans="1:7" x14ac:dyDescent="0.25">
      <c r="A180" s="13">
        <v>42547.528715277775</v>
      </c>
      <c r="B180" s="42" t="s">
        <v>80</v>
      </c>
      <c r="C180" s="42" t="s">
        <v>467</v>
      </c>
      <c r="D180" s="42">
        <v>1360000</v>
      </c>
      <c r="E180" s="42" t="s">
        <v>221</v>
      </c>
      <c r="F180" s="42" t="s">
        <v>80</v>
      </c>
      <c r="G180" s="13">
        <v>42547.528715277775</v>
      </c>
    </row>
    <row r="181" spans="1:7" x14ac:dyDescent="0.25">
      <c r="A181" s="13">
        <v>42547.382835648146</v>
      </c>
      <c r="B181" s="42" t="s">
        <v>150</v>
      </c>
      <c r="C181" s="42" t="s">
        <v>269</v>
      </c>
      <c r="D181" s="42">
        <v>1520000</v>
      </c>
      <c r="E181" s="42" t="s">
        <v>147</v>
      </c>
      <c r="F181" s="42" t="s">
        <v>150</v>
      </c>
      <c r="G181" s="13">
        <v>42547.382835648146</v>
      </c>
    </row>
    <row r="182" spans="1:7" x14ac:dyDescent="0.25">
      <c r="A182" s="13">
        <v>42547.586550925924</v>
      </c>
      <c r="B182" s="42" t="s">
        <v>212</v>
      </c>
      <c r="C182" s="42" t="s">
        <v>296</v>
      </c>
      <c r="D182" s="42">
        <v>1470000</v>
      </c>
      <c r="E182" s="42" t="s">
        <v>188</v>
      </c>
      <c r="F182" s="42" t="s">
        <v>212</v>
      </c>
      <c r="G182" s="13">
        <v>42547.586550925924</v>
      </c>
    </row>
    <row r="183" spans="1:7" x14ac:dyDescent="0.25">
      <c r="A183" s="13">
        <v>42547.912511574075</v>
      </c>
      <c r="B183" s="42" t="s">
        <v>215</v>
      </c>
      <c r="C183" s="42" t="s">
        <v>422</v>
      </c>
      <c r="D183" s="42">
        <v>1770000</v>
      </c>
      <c r="E183" s="42" t="s">
        <v>154</v>
      </c>
      <c r="F183" s="42" t="s">
        <v>215</v>
      </c>
      <c r="G183" s="13">
        <v>42547.912511574075</v>
      </c>
    </row>
    <row r="184" spans="1:7" x14ac:dyDescent="0.25">
      <c r="A184" s="13">
        <v>42547.621562499997</v>
      </c>
      <c r="B184" s="42" t="s">
        <v>185</v>
      </c>
      <c r="C184" s="42" t="s">
        <v>304</v>
      </c>
      <c r="D184" s="42">
        <v>1260000</v>
      </c>
      <c r="E184" s="42" t="s">
        <v>218</v>
      </c>
      <c r="F184" s="42" t="s">
        <v>185</v>
      </c>
      <c r="G184" s="13">
        <v>42547.621562499997</v>
      </c>
    </row>
    <row r="185" spans="1:7" x14ac:dyDescent="0.25">
      <c r="A185" s="13">
        <v>42547.818391203706</v>
      </c>
      <c r="B185" s="42" t="s">
        <v>80</v>
      </c>
      <c r="C185" s="42" t="s">
        <v>392</v>
      </c>
      <c r="D185" s="42">
        <v>940000</v>
      </c>
      <c r="E185" s="42" t="s">
        <v>482</v>
      </c>
      <c r="F185" s="42" t="s">
        <v>80</v>
      </c>
      <c r="G185" s="13">
        <v>42547.818391203706</v>
      </c>
    </row>
    <row r="186" spans="1:7" x14ac:dyDescent="0.25">
      <c r="A186" s="13">
        <v>42547.69295138889</v>
      </c>
      <c r="B186" s="42" t="s">
        <v>215</v>
      </c>
      <c r="C186" s="42" t="s">
        <v>365</v>
      </c>
      <c r="D186" s="42">
        <v>1470000</v>
      </c>
      <c r="E186" s="42" t="s">
        <v>188</v>
      </c>
      <c r="F186" s="42" t="s">
        <v>215</v>
      </c>
      <c r="G186" s="13">
        <v>42547.69295138889</v>
      </c>
    </row>
    <row r="187" spans="1:7" x14ac:dyDescent="0.25">
      <c r="A187" s="13">
        <v>42547.485868055555</v>
      </c>
      <c r="B187" s="42" t="s">
        <v>87</v>
      </c>
      <c r="C187" s="42" t="s">
        <v>455</v>
      </c>
      <c r="D187" s="42">
        <v>1460000</v>
      </c>
      <c r="E187" s="42" t="s">
        <v>152</v>
      </c>
      <c r="F187" s="42" t="s">
        <v>87</v>
      </c>
      <c r="G187" s="13">
        <v>42547.485868055555</v>
      </c>
    </row>
    <row r="188" spans="1:7" x14ac:dyDescent="0.25">
      <c r="A188" s="13">
        <v>42547.392962962964</v>
      </c>
      <c r="B188" s="42" t="s">
        <v>83</v>
      </c>
      <c r="C188" s="42" t="s">
        <v>273</v>
      </c>
      <c r="D188" s="42">
        <v>1480000</v>
      </c>
      <c r="E188" s="42" t="s">
        <v>186</v>
      </c>
      <c r="F188" s="42" t="s">
        <v>83</v>
      </c>
      <c r="G188" s="13">
        <v>42547.392962962964</v>
      </c>
    </row>
    <row r="189" spans="1:7" x14ac:dyDescent="0.25">
      <c r="A189" s="13">
        <v>42547.483240740738</v>
      </c>
      <c r="B189" s="42" t="s">
        <v>70</v>
      </c>
      <c r="C189" s="42" t="s">
        <v>476</v>
      </c>
      <c r="D189" s="42">
        <v>1500000</v>
      </c>
      <c r="E189" s="42" t="s">
        <v>90</v>
      </c>
      <c r="F189" s="42" t="s">
        <v>70</v>
      </c>
      <c r="G189" s="13">
        <v>42547.483240740738</v>
      </c>
    </row>
    <row r="190" spans="1:7" x14ac:dyDescent="0.25">
      <c r="A190" s="13">
        <v>42547.651354166665</v>
      </c>
      <c r="B190" s="42" t="s">
        <v>70</v>
      </c>
      <c r="C190" s="42" t="s">
        <v>337</v>
      </c>
      <c r="D190" s="42">
        <v>1500000</v>
      </c>
      <c r="E190" s="42" t="s">
        <v>90</v>
      </c>
      <c r="F190" s="42" t="s">
        <v>70</v>
      </c>
      <c r="G190" s="13">
        <v>42547.651354166665</v>
      </c>
    </row>
    <row r="191" spans="1:7" x14ac:dyDescent="0.25">
      <c r="A191" s="13">
        <v>42547.409479166665</v>
      </c>
      <c r="B191" s="42" t="s">
        <v>87</v>
      </c>
      <c r="C191" s="42" t="s">
        <v>268</v>
      </c>
      <c r="D191" s="42">
        <v>1840000</v>
      </c>
      <c r="E191" s="42" t="s">
        <v>151</v>
      </c>
      <c r="F191" s="42" t="s">
        <v>87</v>
      </c>
      <c r="G191" s="13">
        <v>42547.409479166665</v>
      </c>
    </row>
    <row r="192" spans="1:7" x14ac:dyDescent="0.25">
      <c r="A192" s="13">
        <v>42547.657534722224</v>
      </c>
      <c r="B192" s="42" t="s">
        <v>102</v>
      </c>
      <c r="C192" s="42" t="s">
        <v>331</v>
      </c>
      <c r="D192" s="42">
        <v>1260000</v>
      </c>
      <c r="E192" s="42" t="s">
        <v>218</v>
      </c>
      <c r="F192" s="42" t="s">
        <v>102</v>
      </c>
      <c r="G192" s="13">
        <v>42547.657534722224</v>
      </c>
    </row>
    <row r="193" spans="1:7" x14ac:dyDescent="0.25">
      <c r="A193" s="13">
        <v>42547.83803240741</v>
      </c>
      <c r="B193" s="42" t="s">
        <v>101</v>
      </c>
      <c r="C193" s="42" t="s">
        <v>398</v>
      </c>
      <c r="D193" s="42">
        <v>1290000</v>
      </c>
      <c r="E193" s="42" t="s">
        <v>483</v>
      </c>
      <c r="F193" s="42" t="s">
        <v>101</v>
      </c>
      <c r="G193" s="13">
        <v>42547.83803240741</v>
      </c>
    </row>
    <row r="194" spans="1:7" x14ac:dyDescent="0.25">
      <c r="A194" s="13">
        <v>42547.294791666667</v>
      </c>
      <c r="B194" s="42" t="s">
        <v>88</v>
      </c>
      <c r="C194" s="42" t="s">
        <v>245</v>
      </c>
      <c r="D194" s="42">
        <v>1840000</v>
      </c>
      <c r="E194" s="42" t="s">
        <v>151</v>
      </c>
      <c r="F194" s="42" t="s">
        <v>88</v>
      </c>
      <c r="G194" s="13">
        <v>42547.294791666667</v>
      </c>
    </row>
    <row r="195" spans="1:7" x14ac:dyDescent="0.25">
      <c r="A195" s="13">
        <v>42547.829444444447</v>
      </c>
      <c r="B195" s="42" t="s">
        <v>183</v>
      </c>
      <c r="C195" s="42" t="s">
        <v>395</v>
      </c>
      <c r="D195" s="42">
        <v>1120000</v>
      </c>
      <c r="E195" s="42" t="s">
        <v>189</v>
      </c>
      <c r="F195" s="42" t="s">
        <v>183</v>
      </c>
      <c r="G195" s="13">
        <v>42547.829444444447</v>
      </c>
    </row>
    <row r="196" spans="1:7" x14ac:dyDescent="0.25">
      <c r="A196" s="13">
        <v>42547.508159722223</v>
      </c>
      <c r="B196" s="42" t="s">
        <v>182</v>
      </c>
      <c r="C196" s="42" t="s">
        <v>468</v>
      </c>
      <c r="D196" s="42">
        <v>1310000</v>
      </c>
      <c r="E196" s="42" t="s">
        <v>153</v>
      </c>
      <c r="F196" s="42" t="s">
        <v>182</v>
      </c>
      <c r="G196" s="13">
        <v>42547.508159722223</v>
      </c>
    </row>
    <row r="197" spans="1:7" x14ac:dyDescent="0.25">
      <c r="A197" s="13">
        <v>42547.82199074074</v>
      </c>
      <c r="B197" s="42" t="s">
        <v>184</v>
      </c>
      <c r="C197" s="42" t="s">
        <v>405</v>
      </c>
      <c r="D197" s="42">
        <v>1800000</v>
      </c>
      <c r="E197" s="42" t="s">
        <v>190</v>
      </c>
      <c r="F197" s="42" t="s">
        <v>184</v>
      </c>
      <c r="G197" s="13">
        <v>42547.82199074074</v>
      </c>
    </row>
    <row r="198" spans="1:7" x14ac:dyDescent="0.25">
      <c r="A198" s="13">
        <v>42547.520127314812</v>
      </c>
      <c r="B198" s="42" t="s">
        <v>88</v>
      </c>
      <c r="C198" s="42" t="s">
        <v>471</v>
      </c>
      <c r="D198" s="42">
        <v>1100000</v>
      </c>
      <c r="E198" s="42" t="s">
        <v>220</v>
      </c>
      <c r="F198" s="42" t="s">
        <v>88</v>
      </c>
      <c r="G198" s="13">
        <v>42547.520127314812</v>
      </c>
    </row>
    <row r="199" spans="1:7" x14ac:dyDescent="0.25">
      <c r="A199" s="13">
        <v>42547.554594907408</v>
      </c>
      <c r="B199" s="42" t="s">
        <v>89</v>
      </c>
      <c r="C199" s="42" t="s">
        <v>332</v>
      </c>
      <c r="D199" s="42">
        <v>1500000</v>
      </c>
      <c r="E199" s="42" t="s">
        <v>90</v>
      </c>
      <c r="F199" s="42" t="s">
        <v>89</v>
      </c>
      <c r="G199" s="13">
        <v>42547.554594907408</v>
      </c>
    </row>
    <row r="200" spans="1:7" x14ac:dyDescent="0.25">
      <c r="A200" s="13">
        <v>42547.659490740742</v>
      </c>
      <c r="B200" s="42" t="s">
        <v>212</v>
      </c>
      <c r="C200" s="42" t="s">
        <v>320</v>
      </c>
      <c r="D200" s="42">
        <v>1470000</v>
      </c>
      <c r="E200" s="42" t="s">
        <v>188</v>
      </c>
      <c r="F200" s="42" t="s">
        <v>212</v>
      </c>
      <c r="G200" s="13">
        <v>42547.659490740742</v>
      </c>
    </row>
    <row r="201" spans="1:7" x14ac:dyDescent="0.25">
      <c r="A201" s="13">
        <v>42547.475104166668</v>
      </c>
      <c r="B201" s="42" t="s">
        <v>185</v>
      </c>
      <c r="C201" s="42" t="s">
        <v>453</v>
      </c>
      <c r="D201" s="42">
        <v>1100000</v>
      </c>
      <c r="E201" s="42" t="s">
        <v>220</v>
      </c>
      <c r="F201" s="42" t="s">
        <v>185</v>
      </c>
      <c r="G201" s="13">
        <v>42547.475104166668</v>
      </c>
    </row>
    <row r="202" spans="1:7" x14ac:dyDescent="0.25">
      <c r="A202" s="59">
        <v>42547.67633101852</v>
      </c>
      <c r="B202" s="42" t="s">
        <v>89</v>
      </c>
      <c r="C202" s="42" t="s">
        <v>338</v>
      </c>
      <c r="D202" s="42">
        <v>1750000</v>
      </c>
      <c r="E202" s="42" t="s">
        <v>484</v>
      </c>
      <c r="F202" s="42" t="s">
        <v>89</v>
      </c>
      <c r="G202" s="59">
        <v>42547.67633101852</v>
      </c>
    </row>
    <row r="203" spans="1:7" x14ac:dyDescent="0.25">
      <c r="A203" s="13">
        <v>42547.473715277774</v>
      </c>
      <c r="B203" s="42" t="s">
        <v>215</v>
      </c>
      <c r="C203" s="42" t="s">
        <v>461</v>
      </c>
      <c r="D203" s="42">
        <v>1830000</v>
      </c>
      <c r="E203" s="42" t="s">
        <v>149</v>
      </c>
      <c r="F203" s="42" t="s">
        <v>215</v>
      </c>
      <c r="G203" s="13">
        <v>42547.473715277774</v>
      </c>
    </row>
    <row r="204" spans="1:7" x14ac:dyDescent="0.25">
      <c r="A204" s="13">
        <v>42547.233587962961</v>
      </c>
      <c r="B204" s="42" t="s">
        <v>150</v>
      </c>
      <c r="C204" s="42" t="s">
        <v>226</v>
      </c>
      <c r="D204" s="42">
        <v>1480000</v>
      </c>
      <c r="E204" s="42" t="s">
        <v>186</v>
      </c>
      <c r="F204" s="42" t="s">
        <v>150</v>
      </c>
      <c r="G204" s="13">
        <v>42547.233587962961</v>
      </c>
    </row>
    <row r="205" spans="1:7" x14ac:dyDescent="0.25">
      <c r="A205" s="13">
        <v>42547.39947916667</v>
      </c>
      <c r="B205" s="42" t="s">
        <v>215</v>
      </c>
      <c r="C205" s="42" t="s">
        <v>276</v>
      </c>
      <c r="D205" s="42">
        <v>1830000</v>
      </c>
      <c r="E205" s="42" t="s">
        <v>149</v>
      </c>
      <c r="F205" s="42" t="s">
        <v>215</v>
      </c>
      <c r="G205" s="13">
        <v>42547.39947916667</v>
      </c>
    </row>
    <row r="206" spans="1:7" x14ac:dyDescent="0.25">
      <c r="A206" s="13">
        <v>42547.390613425923</v>
      </c>
      <c r="B206" s="42" t="s">
        <v>83</v>
      </c>
      <c r="C206" s="42" t="s">
        <v>273</v>
      </c>
      <c r="D206" s="42">
        <v>1480000</v>
      </c>
      <c r="E206" s="42" t="s">
        <v>186</v>
      </c>
      <c r="F206" s="42" t="s">
        <v>83</v>
      </c>
      <c r="G206" s="13">
        <v>42547.390613425923</v>
      </c>
    </row>
    <row r="207" spans="1:7" x14ac:dyDescent="0.25">
      <c r="A207" s="13">
        <v>42547.861307870371</v>
      </c>
      <c r="B207" s="42" t="s">
        <v>185</v>
      </c>
      <c r="C207" s="42" t="s">
        <v>406</v>
      </c>
      <c r="D207" s="42">
        <v>1800000</v>
      </c>
      <c r="E207" s="42" t="s">
        <v>190</v>
      </c>
      <c r="F207" s="42" t="s">
        <v>185</v>
      </c>
      <c r="G207" s="13">
        <v>42547.861307870371</v>
      </c>
    </row>
    <row r="208" spans="1:7" x14ac:dyDescent="0.25">
      <c r="A208" s="13">
        <v>42547.692129629628</v>
      </c>
      <c r="B208" s="42" t="s">
        <v>101</v>
      </c>
      <c r="C208" s="42" t="s">
        <v>341</v>
      </c>
      <c r="D208" s="42">
        <v>1260000</v>
      </c>
      <c r="E208" s="42" t="s">
        <v>218</v>
      </c>
      <c r="F208" s="42" t="s">
        <v>101</v>
      </c>
      <c r="G208" s="13">
        <v>42547.692129629628</v>
      </c>
    </row>
    <row r="209" spans="1:7" x14ac:dyDescent="0.25">
      <c r="A209" s="13">
        <v>42547.7890162037</v>
      </c>
      <c r="B209" s="42" t="s">
        <v>182</v>
      </c>
      <c r="C209" s="42" t="s">
        <v>394</v>
      </c>
      <c r="D209" s="42">
        <v>1120000</v>
      </c>
      <c r="E209" s="42" t="s">
        <v>189</v>
      </c>
      <c r="F209" s="42" t="s">
        <v>182</v>
      </c>
      <c r="G209" s="13">
        <v>42547.7890162037</v>
      </c>
    </row>
    <row r="210" spans="1:7" x14ac:dyDescent="0.25">
      <c r="A210" s="13">
        <v>42547.88795138889</v>
      </c>
      <c r="B210" s="42" t="s">
        <v>89</v>
      </c>
      <c r="C210" s="42" t="s">
        <v>350</v>
      </c>
      <c r="D210" s="42">
        <v>1750000</v>
      </c>
      <c r="E210" s="42" t="s">
        <v>484</v>
      </c>
      <c r="F210" s="42" t="s">
        <v>89</v>
      </c>
      <c r="G210" s="13">
        <v>42547.88795138889</v>
      </c>
    </row>
    <row r="211" spans="1:7" x14ac:dyDescent="0.25">
      <c r="A211" s="13">
        <v>42547.632569444446</v>
      </c>
      <c r="B211" s="42" t="s">
        <v>87</v>
      </c>
      <c r="C211" s="42" t="s">
        <v>311</v>
      </c>
      <c r="D211" s="42">
        <v>880000</v>
      </c>
      <c r="E211" s="42" t="s">
        <v>148</v>
      </c>
      <c r="F211" s="42" t="s">
        <v>87</v>
      </c>
      <c r="G211" s="13">
        <v>42547.632569444446</v>
      </c>
    </row>
    <row r="212" spans="1:7" x14ac:dyDescent="0.25">
      <c r="A212" s="13">
        <v>42547.819131944445</v>
      </c>
      <c r="B212" s="42" t="s">
        <v>70</v>
      </c>
      <c r="C212" s="42" t="s">
        <v>347</v>
      </c>
      <c r="D212" s="42">
        <v>1750000</v>
      </c>
      <c r="E212" s="42" t="s">
        <v>484</v>
      </c>
      <c r="F212" s="42" t="s">
        <v>70</v>
      </c>
      <c r="G212" s="13">
        <v>42547.819131944445</v>
      </c>
    </row>
    <row r="213" spans="1:7" x14ac:dyDescent="0.25">
      <c r="A213" s="13">
        <v>42547.392164351855</v>
      </c>
      <c r="B213" s="42" t="s">
        <v>101</v>
      </c>
      <c r="C213" s="42" t="s">
        <v>263</v>
      </c>
      <c r="D213" s="42">
        <v>1310000</v>
      </c>
      <c r="E213" s="42" t="s">
        <v>153</v>
      </c>
      <c r="F213" s="42" t="s">
        <v>101</v>
      </c>
      <c r="G213" s="13">
        <v>42547.392164351855</v>
      </c>
    </row>
    <row r="214" spans="1:7" x14ac:dyDescent="0.25">
      <c r="A214" s="13">
        <v>42548.061238425929</v>
      </c>
      <c r="B214" s="42" t="s">
        <v>70</v>
      </c>
      <c r="C214" s="42" t="s">
        <v>367</v>
      </c>
      <c r="D214" s="42">
        <v>1750000</v>
      </c>
      <c r="E214" s="42" t="s">
        <v>484</v>
      </c>
      <c r="F214" s="42" t="s">
        <v>70</v>
      </c>
      <c r="G214" s="13">
        <v>42548.061238425929</v>
      </c>
    </row>
    <row r="215" spans="1:7" x14ac:dyDescent="0.25">
      <c r="A215" s="13">
        <v>42547.372060185182</v>
      </c>
      <c r="B215" s="42" t="s">
        <v>89</v>
      </c>
      <c r="C215" s="42" t="s">
        <v>480</v>
      </c>
      <c r="D215" s="42">
        <v>1500000</v>
      </c>
      <c r="E215" s="42" t="s">
        <v>90</v>
      </c>
      <c r="F215" s="42" t="s">
        <v>89</v>
      </c>
      <c r="G215" s="13">
        <v>42547.372060185182</v>
      </c>
    </row>
    <row r="216" spans="1:7" x14ac:dyDescent="0.25">
      <c r="A216" s="13">
        <v>42548.077997685185</v>
      </c>
      <c r="B216" s="42" t="s">
        <v>479</v>
      </c>
      <c r="C216" s="42" t="s">
        <v>441</v>
      </c>
      <c r="D216" s="42">
        <v>1290000</v>
      </c>
      <c r="E216" s="42" t="s">
        <v>483</v>
      </c>
      <c r="F216" s="42" t="s">
        <v>479</v>
      </c>
      <c r="G216" s="13">
        <v>42548.077997685185</v>
      </c>
    </row>
    <row r="217" spans="1:7" x14ac:dyDescent="0.25">
      <c r="A217" s="13">
        <v>42547.360335648147</v>
      </c>
      <c r="B217" s="42" t="s">
        <v>70</v>
      </c>
      <c r="C217" s="42" t="s">
        <v>328</v>
      </c>
      <c r="D217" s="42">
        <v>1500000</v>
      </c>
      <c r="E217" s="42" t="s">
        <v>90</v>
      </c>
      <c r="F217" s="42" t="s">
        <v>70</v>
      </c>
      <c r="G217" s="13">
        <v>42547.360335648147</v>
      </c>
    </row>
    <row r="218" spans="1:7" x14ac:dyDescent="0.25">
      <c r="A218" s="13">
        <v>42547.822083333333</v>
      </c>
      <c r="B218" s="42" t="s">
        <v>88</v>
      </c>
      <c r="C218" s="42" t="s">
        <v>400</v>
      </c>
      <c r="D218" s="42">
        <v>880000</v>
      </c>
      <c r="E218" s="42" t="s">
        <v>148</v>
      </c>
      <c r="F218" s="42" t="s">
        <v>88</v>
      </c>
      <c r="G218" s="13">
        <v>42547.822083333333</v>
      </c>
    </row>
    <row r="219" spans="1:7" x14ac:dyDescent="0.25">
      <c r="A219" s="13">
        <v>42547.358368055553</v>
      </c>
      <c r="B219" s="42" t="s">
        <v>102</v>
      </c>
      <c r="C219" s="42" t="s">
        <v>262</v>
      </c>
      <c r="D219" s="42">
        <v>1310000</v>
      </c>
      <c r="E219" s="42" t="s">
        <v>153</v>
      </c>
      <c r="F219" s="42" t="s">
        <v>102</v>
      </c>
      <c r="G219" s="13">
        <v>42547.358368055553</v>
      </c>
    </row>
    <row r="220" spans="1:7" x14ac:dyDescent="0.25">
      <c r="A220" s="13">
        <v>42547.843356481484</v>
      </c>
      <c r="B220" s="42" t="s">
        <v>89</v>
      </c>
      <c r="C220" s="42" t="s">
        <v>348</v>
      </c>
      <c r="D220" s="42">
        <v>1750000</v>
      </c>
      <c r="E220" s="42" t="s">
        <v>484</v>
      </c>
      <c r="F220" s="42" t="s">
        <v>89</v>
      </c>
      <c r="G220" s="13">
        <v>42547.843356481484</v>
      </c>
    </row>
    <row r="221" spans="1:7" x14ac:dyDescent="0.25">
      <c r="A221" s="13">
        <v>42547.354201388887</v>
      </c>
      <c r="B221" s="42" t="s">
        <v>84</v>
      </c>
      <c r="C221" s="42" t="s">
        <v>255</v>
      </c>
      <c r="D221" s="42">
        <v>1480000</v>
      </c>
      <c r="E221" s="42" t="s">
        <v>186</v>
      </c>
      <c r="F221" s="42" t="s">
        <v>84</v>
      </c>
      <c r="G221" s="13">
        <v>42547.354201388887</v>
      </c>
    </row>
    <row r="222" spans="1:7" x14ac:dyDescent="0.25">
      <c r="A222" s="13">
        <v>42547.85119212963</v>
      </c>
      <c r="B222" s="42" t="s">
        <v>87</v>
      </c>
      <c r="C222" s="42" t="s">
        <v>402</v>
      </c>
      <c r="D222" s="42">
        <v>880000</v>
      </c>
      <c r="E222" s="42" t="s">
        <v>148</v>
      </c>
      <c r="F222" s="42" t="s">
        <v>87</v>
      </c>
      <c r="G222" s="13">
        <v>42547.85119212963</v>
      </c>
    </row>
    <row r="223" spans="1:7" x14ac:dyDescent="0.25">
      <c r="A223" s="13">
        <v>42547.331655092596</v>
      </c>
      <c r="B223" s="42" t="s">
        <v>215</v>
      </c>
      <c r="C223" s="42" t="s">
        <v>256</v>
      </c>
      <c r="D223" s="42">
        <v>1830000</v>
      </c>
      <c r="E223" s="42" t="s">
        <v>149</v>
      </c>
      <c r="F223" s="42" t="s">
        <v>215</v>
      </c>
      <c r="G223" s="13">
        <v>42547.331655092596</v>
      </c>
    </row>
    <row r="224" spans="1:7" x14ac:dyDescent="0.25">
      <c r="A224" s="13">
        <v>42547.901412037034</v>
      </c>
      <c r="B224" t="s">
        <v>70</v>
      </c>
      <c r="C224" t="s">
        <v>350</v>
      </c>
      <c r="D224">
        <v>1750000</v>
      </c>
      <c r="E224" t="s">
        <v>484</v>
      </c>
      <c r="F224" s="42" t="s">
        <v>70</v>
      </c>
      <c r="G224" s="13">
        <v>42547.901412037034</v>
      </c>
    </row>
    <row r="225" spans="1:7" x14ac:dyDescent="0.25">
      <c r="A225" s="13">
        <v>42547.309444444443</v>
      </c>
      <c r="B225" t="s">
        <v>80</v>
      </c>
      <c r="C225" t="s">
        <v>237</v>
      </c>
      <c r="D225">
        <v>1360000</v>
      </c>
      <c r="E225" t="s">
        <v>221</v>
      </c>
      <c r="F225" s="42" t="s">
        <v>80</v>
      </c>
      <c r="G225" s="13">
        <v>42547.309444444443</v>
      </c>
    </row>
    <row r="226" spans="1:7" x14ac:dyDescent="0.25">
      <c r="A226" s="13">
        <v>42548.036053240743</v>
      </c>
      <c r="B226" t="s">
        <v>70</v>
      </c>
      <c r="C226" t="s">
        <v>488</v>
      </c>
      <c r="D226">
        <v>1750000</v>
      </c>
      <c r="E226" t="s">
        <v>484</v>
      </c>
      <c r="F226" s="42" t="s">
        <v>70</v>
      </c>
      <c r="G226" s="13">
        <v>42548.036053240743</v>
      </c>
    </row>
    <row r="227" spans="1:7" x14ac:dyDescent="0.25">
      <c r="A227" s="13">
        <v>42547.275104166663</v>
      </c>
      <c r="B227" t="s">
        <v>84</v>
      </c>
      <c r="C227" t="s">
        <v>228</v>
      </c>
      <c r="D227">
        <v>1480000</v>
      </c>
      <c r="E227" t="s">
        <v>186</v>
      </c>
      <c r="F227" s="42" t="s">
        <v>84</v>
      </c>
      <c r="G227" s="13">
        <v>42547.275104166663</v>
      </c>
    </row>
    <row r="228" spans="1:7" x14ac:dyDescent="0.25">
      <c r="A228" s="13">
        <v>42547.715578703705</v>
      </c>
      <c r="B228" t="s">
        <v>182</v>
      </c>
      <c r="C228" t="s">
        <v>372</v>
      </c>
      <c r="D228">
        <v>1120000</v>
      </c>
      <c r="E228" t="s">
        <v>189</v>
      </c>
      <c r="F228" s="42" t="s">
        <v>182</v>
      </c>
      <c r="G228" s="13">
        <v>42547.715578703705</v>
      </c>
    </row>
    <row r="229" spans="1:7" x14ac:dyDescent="0.25">
      <c r="A229" s="13">
        <v>42547.270300925928</v>
      </c>
      <c r="B229" t="s">
        <v>81</v>
      </c>
      <c r="C229" t="s">
        <v>235</v>
      </c>
      <c r="D229">
        <v>1360000</v>
      </c>
      <c r="E229" t="s">
        <v>221</v>
      </c>
      <c r="F229" s="42" t="s">
        <v>81</v>
      </c>
      <c r="G229" s="13">
        <v>42547.270300925928</v>
      </c>
    </row>
    <row r="230" spans="1:7" x14ac:dyDescent="0.25">
      <c r="A230" s="13">
        <v>42547.967222222222</v>
      </c>
      <c r="B230" t="s">
        <v>89</v>
      </c>
      <c r="C230" t="s">
        <v>356</v>
      </c>
      <c r="D230">
        <v>1750000</v>
      </c>
      <c r="E230" t="s">
        <v>484</v>
      </c>
      <c r="F230" s="42" t="s">
        <v>89</v>
      </c>
      <c r="G230" s="13">
        <v>42547.967222222222</v>
      </c>
    </row>
    <row r="231" spans="1:7" x14ac:dyDescent="0.25">
      <c r="A231" s="13">
        <v>42547.259340277778</v>
      </c>
      <c r="B231" t="s">
        <v>215</v>
      </c>
      <c r="C231" t="s">
        <v>230</v>
      </c>
      <c r="D231">
        <v>1830000</v>
      </c>
      <c r="E231" t="s">
        <v>149</v>
      </c>
      <c r="F231" s="42" t="s">
        <v>215</v>
      </c>
      <c r="G231" s="13">
        <v>42547.259340277778</v>
      </c>
    </row>
    <row r="232" spans="1:7" x14ac:dyDescent="0.25">
      <c r="A232" s="13">
        <v>42547.779074074075</v>
      </c>
      <c r="B232" t="s">
        <v>81</v>
      </c>
      <c r="C232" t="s">
        <v>390</v>
      </c>
      <c r="D232">
        <v>940000</v>
      </c>
      <c r="E232" t="s">
        <v>482</v>
      </c>
      <c r="F232" s="42" t="s">
        <v>81</v>
      </c>
      <c r="G232" s="13">
        <v>42547.779074074075</v>
      </c>
    </row>
    <row r="233" spans="1:7" x14ac:dyDescent="0.25">
      <c r="A233" s="13">
        <v>42547.25377314815</v>
      </c>
      <c r="B233" t="s">
        <v>87</v>
      </c>
      <c r="C233" t="s">
        <v>224</v>
      </c>
      <c r="D233">
        <v>1840000</v>
      </c>
      <c r="E233" t="s">
        <v>151</v>
      </c>
      <c r="F233" s="42" t="s">
        <v>87</v>
      </c>
      <c r="G233" s="13">
        <v>42547.25377314815</v>
      </c>
    </row>
    <row r="234" spans="1:7" x14ac:dyDescent="0.25">
      <c r="A234" s="13">
        <v>42548.075370370374</v>
      </c>
      <c r="B234" t="s">
        <v>215</v>
      </c>
      <c r="C234" t="s">
        <v>446</v>
      </c>
      <c r="D234">
        <v>1770000</v>
      </c>
      <c r="E234" t="s">
        <v>154</v>
      </c>
      <c r="F234" s="42" t="s">
        <v>215</v>
      </c>
      <c r="G234" s="13">
        <v>42548.075370370374</v>
      </c>
    </row>
    <row r="235" spans="1:7" x14ac:dyDescent="0.25">
      <c r="A235" s="13">
        <v>42548.029062499998</v>
      </c>
      <c r="B235" t="s">
        <v>70</v>
      </c>
      <c r="C235" t="s">
        <v>367</v>
      </c>
      <c r="D235">
        <v>1750000</v>
      </c>
      <c r="E235" t="s">
        <v>484</v>
      </c>
      <c r="F235" s="42" t="s">
        <v>70</v>
      </c>
      <c r="G235" s="13">
        <v>42548.029062499998</v>
      </c>
    </row>
  </sheetData>
  <sortState ref="A1:E291">
    <sortCondition ref="C1:C291"/>
  </sortState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M19"/>
  <sheetViews>
    <sheetView workbookViewId="0">
      <selection activeCell="A3" sqref="A3"/>
    </sheetView>
  </sheetViews>
  <sheetFormatPr defaultRowHeight="15" x14ac:dyDescent="0.25"/>
  <cols>
    <col min="1" max="1" width="32.140625" customWidth="1"/>
    <col min="3" max="3" width="24" customWidth="1"/>
    <col min="10" max="10" width="24.28515625" bestFit="1" customWidth="1"/>
    <col min="11" max="11" width="15.28515625" hidden="1" customWidth="1"/>
    <col min="12" max="12" width="13.5703125" hidden="1" customWidth="1"/>
    <col min="13" max="13" width="9" bestFit="1" customWidth="1"/>
  </cols>
  <sheetData>
    <row r="1" spans="1:13" ht="45.75" x14ac:dyDescent="0.3">
      <c r="A1" s="23" t="s">
        <v>25</v>
      </c>
      <c r="C1" s="29" t="s">
        <v>46</v>
      </c>
      <c r="J1" s="67" t="s">
        <v>118</v>
      </c>
      <c r="K1" s="67" t="s">
        <v>119</v>
      </c>
      <c r="L1" s="67" t="s">
        <v>120</v>
      </c>
      <c r="M1" s="42"/>
    </row>
    <row r="2" spans="1:13" ht="15.75" thickBot="1" x14ac:dyDescent="0.3">
      <c r="A2" s="24">
        <v>42547</v>
      </c>
      <c r="B2" s="9"/>
      <c r="C2" s="30">
        <v>50</v>
      </c>
      <c r="F2" t="s">
        <v>63</v>
      </c>
      <c r="J2" s="67" t="s">
        <v>118</v>
      </c>
      <c r="K2" s="67" t="s">
        <v>119</v>
      </c>
      <c r="L2" s="67" t="s">
        <v>120</v>
      </c>
      <c r="M2" s="42"/>
    </row>
    <row r="3" spans="1:13" x14ac:dyDescent="0.25">
      <c r="F3" t="s">
        <v>64</v>
      </c>
      <c r="J3" s="68" t="s">
        <v>121</v>
      </c>
      <c r="K3" s="69">
        <v>2.7052</v>
      </c>
      <c r="L3" s="69">
        <v>2.7349999999999999</v>
      </c>
      <c r="M3" s="42">
        <f t="shared" ref="M3:M14" si="0">AVERAGE(K3:L3)</f>
        <v>2.7201</v>
      </c>
    </row>
    <row r="4" spans="1:13" x14ac:dyDescent="0.25">
      <c r="F4" t="s">
        <v>65</v>
      </c>
      <c r="J4" s="68" t="s">
        <v>122</v>
      </c>
      <c r="K4" s="69">
        <v>3.0830000000000002</v>
      </c>
      <c r="L4" s="69">
        <v>3.097</v>
      </c>
      <c r="M4" s="42">
        <f t="shared" si="0"/>
        <v>3.09</v>
      </c>
    </row>
    <row r="5" spans="1:13" x14ac:dyDescent="0.25">
      <c r="J5" s="68" t="s">
        <v>123</v>
      </c>
      <c r="K5" s="69">
        <v>3.3136000000000001</v>
      </c>
      <c r="L5" s="69">
        <v>3.3256999999999999</v>
      </c>
      <c r="M5" s="42">
        <f t="shared" si="0"/>
        <v>3.3196500000000002</v>
      </c>
    </row>
    <row r="6" spans="1:13" x14ac:dyDescent="0.25">
      <c r="J6" s="68" t="s">
        <v>124</v>
      </c>
      <c r="K6" s="69">
        <v>4.2778999999999998</v>
      </c>
      <c r="L6" s="69">
        <v>4.2961</v>
      </c>
      <c r="M6" s="42">
        <f t="shared" si="0"/>
        <v>4.2869999999999999</v>
      </c>
    </row>
    <row r="7" spans="1:13" x14ac:dyDescent="0.25">
      <c r="J7" s="68" t="s">
        <v>125</v>
      </c>
      <c r="K7" s="69">
        <v>4.7865000000000002</v>
      </c>
      <c r="L7" s="69">
        <v>4.8048000000000002</v>
      </c>
      <c r="M7" s="42">
        <f t="shared" si="0"/>
        <v>4.7956500000000002</v>
      </c>
    </row>
    <row r="8" spans="1:13" x14ac:dyDescent="0.25">
      <c r="J8" s="68" t="s">
        <v>126</v>
      </c>
      <c r="K8" s="69">
        <v>5.3155000000000001</v>
      </c>
      <c r="L8" s="69">
        <v>5.3277000000000001</v>
      </c>
      <c r="M8" s="42">
        <f t="shared" si="0"/>
        <v>5.3216000000000001</v>
      </c>
    </row>
    <row r="9" spans="1:13" x14ac:dyDescent="0.25">
      <c r="J9" s="68" t="s">
        <v>127</v>
      </c>
      <c r="K9" s="69">
        <v>5.8117000000000001</v>
      </c>
      <c r="L9" s="69">
        <v>5.8300999999999998</v>
      </c>
      <c r="M9" s="42">
        <f t="shared" si="0"/>
        <v>5.8209</v>
      </c>
    </row>
    <row r="10" spans="1:13" x14ac:dyDescent="0.25">
      <c r="J10" s="68" t="s">
        <v>128</v>
      </c>
      <c r="K10" s="69">
        <v>5.8783000000000003</v>
      </c>
      <c r="L10" s="69">
        <v>5.8903999999999996</v>
      </c>
      <c r="M10" s="42">
        <f t="shared" si="0"/>
        <v>5.8843499999999995</v>
      </c>
    </row>
    <row r="11" spans="1:13" x14ac:dyDescent="0.25">
      <c r="J11" s="68" t="s">
        <v>129</v>
      </c>
      <c r="K11" s="69">
        <v>6.3068</v>
      </c>
      <c r="L11" s="69">
        <v>6.3308999999999997</v>
      </c>
      <c r="M11" s="42">
        <f t="shared" si="0"/>
        <v>6.3188499999999994</v>
      </c>
    </row>
    <row r="12" spans="1:13" x14ac:dyDescent="0.25">
      <c r="J12" s="68" t="s">
        <v>130</v>
      </c>
      <c r="K12" s="69">
        <v>7.8349000000000002</v>
      </c>
      <c r="L12" s="69">
        <v>7.8468999999999998</v>
      </c>
      <c r="M12" s="42">
        <f t="shared" si="0"/>
        <v>7.8408999999999995</v>
      </c>
    </row>
    <row r="13" spans="1:13" x14ac:dyDescent="0.25">
      <c r="J13" s="68" t="s">
        <v>131</v>
      </c>
      <c r="K13" s="69">
        <v>10.373799999999999</v>
      </c>
      <c r="L13" s="69">
        <v>10.38</v>
      </c>
      <c r="M13" s="42">
        <f t="shared" si="0"/>
        <v>10.376899999999999</v>
      </c>
    </row>
    <row r="14" spans="1:13" x14ac:dyDescent="0.25">
      <c r="J14" s="68" t="s">
        <v>132</v>
      </c>
      <c r="K14" s="69">
        <v>10.8954</v>
      </c>
      <c r="L14" s="69">
        <v>10.913500000000001</v>
      </c>
      <c r="M14" s="42">
        <f t="shared" si="0"/>
        <v>10.904450000000001</v>
      </c>
    </row>
    <row r="15" spans="1:13" x14ac:dyDescent="0.25">
      <c r="J15" s="68"/>
      <c r="K15" s="69"/>
      <c r="L15" s="69"/>
      <c r="M15" s="42"/>
    </row>
    <row r="16" spans="1:13" x14ac:dyDescent="0.25">
      <c r="J16" s="68"/>
      <c r="K16" s="69"/>
      <c r="L16" s="69"/>
      <c r="M16" s="42"/>
    </row>
    <row r="17" spans="10:13" x14ac:dyDescent="0.25">
      <c r="J17" s="68"/>
      <c r="K17" s="69"/>
      <c r="L17" s="69"/>
      <c r="M17" s="42"/>
    </row>
    <row r="18" spans="10:13" x14ac:dyDescent="0.25">
      <c r="J18" s="68"/>
      <c r="K18" s="69"/>
      <c r="L18" s="69"/>
      <c r="M18" s="42"/>
    </row>
    <row r="19" spans="10:13" x14ac:dyDescent="0.25">
      <c r="J19" s="68"/>
      <c r="K19" s="69"/>
      <c r="L19" s="69"/>
      <c r="M19" s="4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Train Runs</vt:lpstr>
      <vt:lpstr>Enforcements</vt:lpstr>
      <vt:lpstr>Missing Trips</vt:lpstr>
      <vt:lpstr>Trips&amp;Operators</vt:lpstr>
      <vt:lpstr>Variables</vt:lpstr>
      <vt:lpstr>'Train Runs'!Denver_Train_Runs_04122016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Whitlock, Robert;Tu, Steve</dc:creator>
  <cp:lastModifiedBy>Steve Tu</cp:lastModifiedBy>
  <dcterms:created xsi:type="dcterms:W3CDTF">2016-04-12T13:52:23Z</dcterms:created>
  <dcterms:modified xsi:type="dcterms:W3CDTF">2016-06-29T16:03:32Z</dcterms:modified>
</cp:coreProperties>
</file>