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Enforcements!$A$6:$N$59</definedName>
    <definedName name="_xlnm._FilterDatabase" localSheetId="2" hidden="1">'Missing Trips'!$A$2:$G$2</definedName>
    <definedName name="_xlnm._FilterDatabase" localSheetId="0" hidden="1">'Train Runs'!$A$12:$AC$157</definedName>
    <definedName name="_xlnm._FilterDatabase" localSheetId="3" hidden="1">'Trips&amp;Operators'!$A$1:$E$211</definedName>
    <definedName name="Denver_Train_Runs_04122016" localSheetId="0">'Train Runs'!$A$12:$J$139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1" i="1" l="1"/>
  <c r="Z101" i="1"/>
  <c r="U101" i="1"/>
  <c r="S101" i="1" s="1"/>
  <c r="N97" i="1"/>
  <c r="Y97" i="1"/>
  <c r="Y98" i="1"/>
  <c r="Z98" i="1"/>
  <c r="Y99" i="1"/>
  <c r="Z99" i="1"/>
  <c r="Y100" i="1"/>
  <c r="Z100" i="1"/>
  <c r="N73" i="1"/>
  <c r="Y73" i="1"/>
  <c r="Z73" i="1"/>
  <c r="Y74" i="1"/>
  <c r="Z74" i="1"/>
  <c r="X49" i="1"/>
  <c r="Y49" i="1"/>
  <c r="Z49" i="1"/>
  <c r="AA49" i="1"/>
  <c r="AB49" i="1"/>
  <c r="AC49" i="1"/>
  <c r="X50" i="1"/>
  <c r="Y50" i="1"/>
  <c r="Z50" i="1"/>
  <c r="AA50" i="1" s="1"/>
  <c r="AB50" i="1"/>
  <c r="AC50" i="1"/>
  <c r="X51" i="1"/>
  <c r="Y51" i="1"/>
  <c r="Z51" i="1"/>
  <c r="AA51" i="1"/>
  <c r="AB51" i="1"/>
  <c r="AC51" i="1"/>
  <c r="X52" i="1"/>
  <c r="Y52" i="1"/>
  <c r="Z52" i="1"/>
  <c r="AA52" i="1" s="1"/>
  <c r="AB52" i="1"/>
  <c r="AC52" i="1"/>
  <c r="X53" i="1"/>
  <c r="Y53" i="1"/>
  <c r="Z53" i="1"/>
  <c r="AA53" i="1"/>
  <c r="AB53" i="1"/>
  <c r="AC53" i="1"/>
  <c r="X54" i="1"/>
  <c r="Y54" i="1"/>
  <c r="Z54" i="1"/>
  <c r="AA54" i="1" s="1"/>
  <c r="AB54" i="1"/>
  <c r="AC54" i="1"/>
  <c r="X55" i="1"/>
  <c r="Y55" i="1"/>
  <c r="Z55" i="1"/>
  <c r="AA55" i="1"/>
  <c r="AB55" i="1"/>
  <c r="AC55" i="1"/>
  <c r="X145" i="1" l="1"/>
  <c r="Y145" i="1"/>
  <c r="Z145" i="1"/>
  <c r="AA145" i="1" s="1"/>
  <c r="AB145" i="1"/>
  <c r="AC145" i="1"/>
  <c r="X146" i="1"/>
  <c r="Y146" i="1"/>
  <c r="Z146" i="1"/>
  <c r="AB146" i="1"/>
  <c r="AC146" i="1"/>
  <c r="X147" i="1"/>
  <c r="Y147" i="1"/>
  <c r="Z147" i="1"/>
  <c r="AB147" i="1"/>
  <c r="AC147" i="1"/>
  <c r="X148" i="1"/>
  <c r="Y148" i="1"/>
  <c r="Z148" i="1"/>
  <c r="AB148" i="1"/>
  <c r="AC148" i="1"/>
  <c r="X149" i="1"/>
  <c r="Y149" i="1"/>
  <c r="Z149" i="1"/>
  <c r="AB149" i="1"/>
  <c r="AC149" i="1"/>
  <c r="X150" i="1"/>
  <c r="Y150" i="1"/>
  <c r="Z150" i="1"/>
  <c r="AB150" i="1"/>
  <c r="AC150" i="1"/>
  <c r="X151" i="1"/>
  <c r="Y151" i="1"/>
  <c r="Z151" i="1"/>
  <c r="AA151" i="1" s="1"/>
  <c r="AB151" i="1"/>
  <c r="AC151" i="1"/>
  <c r="V125" i="1"/>
  <c r="X125" i="1"/>
  <c r="Y125" i="1"/>
  <c r="Z125" i="1"/>
  <c r="AB125" i="1"/>
  <c r="AC125" i="1"/>
  <c r="V126" i="1"/>
  <c r="X126" i="1"/>
  <c r="Y126" i="1"/>
  <c r="Z126" i="1"/>
  <c r="AB126" i="1"/>
  <c r="AC126" i="1"/>
  <c r="V127" i="1"/>
  <c r="X127" i="1"/>
  <c r="Y127" i="1"/>
  <c r="Z127" i="1"/>
  <c r="AB127" i="1"/>
  <c r="AC127" i="1"/>
  <c r="V128" i="1"/>
  <c r="X128" i="1"/>
  <c r="Y128" i="1"/>
  <c r="Z128" i="1"/>
  <c r="AB128" i="1"/>
  <c r="AC128" i="1"/>
  <c r="V129" i="1"/>
  <c r="X129" i="1"/>
  <c r="Y129" i="1"/>
  <c r="Z129" i="1"/>
  <c r="AB129" i="1"/>
  <c r="AC129" i="1"/>
  <c r="V130" i="1"/>
  <c r="X130" i="1"/>
  <c r="Y130" i="1"/>
  <c r="Z130" i="1"/>
  <c r="AB130" i="1"/>
  <c r="AC130" i="1"/>
  <c r="V131" i="1"/>
  <c r="X131" i="1"/>
  <c r="Y131" i="1"/>
  <c r="Z131" i="1"/>
  <c r="AB131" i="1"/>
  <c r="AC131" i="1"/>
  <c r="V132" i="1"/>
  <c r="X132" i="1"/>
  <c r="Y132" i="1"/>
  <c r="Z132" i="1"/>
  <c r="AB132" i="1"/>
  <c r="AC132" i="1"/>
  <c r="X115" i="1"/>
  <c r="X116" i="1"/>
  <c r="X117" i="1"/>
  <c r="X118" i="1"/>
  <c r="X119" i="1"/>
  <c r="X120" i="1"/>
  <c r="X121" i="1"/>
  <c r="X122" i="1"/>
  <c r="X123" i="1"/>
  <c r="X124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52" i="1"/>
  <c r="X153" i="1"/>
  <c r="X154" i="1"/>
  <c r="X155" i="1"/>
  <c r="X156" i="1"/>
  <c r="X157" i="1"/>
  <c r="X91" i="1"/>
  <c r="X92" i="1"/>
  <c r="X93" i="1"/>
  <c r="X94" i="1"/>
  <c r="X95" i="1"/>
  <c r="X101" i="1"/>
  <c r="X102" i="1"/>
  <c r="X56" i="1"/>
  <c r="Y56" i="1"/>
  <c r="Z56" i="1"/>
  <c r="AB56" i="1"/>
  <c r="AC56" i="1"/>
  <c r="X57" i="1"/>
  <c r="Y57" i="1"/>
  <c r="Z57" i="1"/>
  <c r="AA57" i="1" s="1"/>
  <c r="AB57" i="1"/>
  <c r="AC57" i="1"/>
  <c r="X58" i="1"/>
  <c r="Y58" i="1"/>
  <c r="Z58" i="1"/>
  <c r="AB58" i="1"/>
  <c r="AC58" i="1"/>
  <c r="X59" i="1"/>
  <c r="Y59" i="1"/>
  <c r="Z59" i="1"/>
  <c r="AB59" i="1"/>
  <c r="AC59" i="1"/>
  <c r="X60" i="1"/>
  <c r="Y60" i="1"/>
  <c r="Z60" i="1"/>
  <c r="AB60" i="1"/>
  <c r="AC60" i="1"/>
  <c r="X61" i="1"/>
  <c r="Y61" i="1"/>
  <c r="Z61" i="1"/>
  <c r="AA61" i="1" s="1"/>
  <c r="AB61" i="1"/>
  <c r="AC61" i="1"/>
  <c r="Y42" i="1"/>
  <c r="Z42" i="1"/>
  <c r="Y43" i="1"/>
  <c r="Z43" i="1"/>
  <c r="Y44" i="1"/>
  <c r="Z44" i="1"/>
  <c r="V30" i="1"/>
  <c r="X30" i="1"/>
  <c r="Y30" i="1"/>
  <c r="Z30" i="1"/>
  <c r="AA30" i="1" s="1"/>
  <c r="W30" i="1" s="1"/>
  <c r="V31" i="1"/>
  <c r="X31" i="1"/>
  <c r="Y31" i="1"/>
  <c r="Z31" i="1"/>
  <c r="AA31" i="1" s="1"/>
  <c r="W31" i="1" s="1"/>
  <c r="V32" i="1"/>
  <c r="X32" i="1"/>
  <c r="Y32" i="1"/>
  <c r="Z32" i="1"/>
  <c r="V33" i="1"/>
  <c r="X33" i="1"/>
  <c r="Y33" i="1"/>
  <c r="Z33" i="1"/>
  <c r="AA33" i="1" s="1"/>
  <c r="W33" i="1" s="1"/>
  <c r="V34" i="1"/>
  <c r="X34" i="1"/>
  <c r="Y34" i="1"/>
  <c r="Z34" i="1"/>
  <c r="V35" i="1"/>
  <c r="X35" i="1"/>
  <c r="Y35" i="1"/>
  <c r="Z35" i="1"/>
  <c r="AA149" i="1" l="1"/>
  <c r="AA146" i="1"/>
  <c r="AA35" i="1"/>
  <c r="W35" i="1" s="1"/>
  <c r="AA34" i="1"/>
  <c r="W34" i="1" s="1"/>
  <c r="AA147" i="1"/>
  <c r="AA148" i="1"/>
  <c r="AA59" i="1"/>
  <c r="AA150" i="1"/>
  <c r="AA131" i="1"/>
  <c r="W131" i="1" s="1"/>
  <c r="AA129" i="1"/>
  <c r="W129" i="1" s="1"/>
  <c r="AA127" i="1"/>
  <c r="W127" i="1" s="1"/>
  <c r="AA125" i="1"/>
  <c r="W125" i="1" s="1"/>
  <c r="AA32" i="1"/>
  <c r="W32" i="1" s="1"/>
  <c r="AA132" i="1"/>
  <c r="W132" i="1" s="1"/>
  <c r="AA130" i="1"/>
  <c r="W130" i="1" s="1"/>
  <c r="AA128" i="1"/>
  <c r="W128" i="1" s="1"/>
  <c r="AA126" i="1"/>
  <c r="W126" i="1" s="1"/>
  <c r="AA60" i="1"/>
  <c r="AA56" i="1"/>
  <c r="AA58" i="1"/>
  <c r="L7" i="3"/>
  <c r="L9" i="3"/>
  <c r="L10" i="3"/>
  <c r="L18" i="3"/>
  <c r="L19" i="3"/>
  <c r="L24" i="3"/>
  <c r="L25" i="3"/>
  <c r="L26" i="3"/>
  <c r="L27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11" i="3"/>
  <c r="L12" i="3"/>
  <c r="L13" i="3"/>
  <c r="L47" i="3"/>
  <c r="L20" i="3"/>
  <c r="L49" i="3"/>
  <c r="L14" i="3"/>
  <c r="L50" i="3"/>
  <c r="L59" i="3"/>
  <c r="L51" i="3"/>
  <c r="L52" i="3"/>
  <c r="L15" i="3"/>
  <c r="L16" i="3"/>
  <c r="L17" i="3"/>
  <c r="L22" i="3"/>
  <c r="L53" i="3"/>
  <c r="L54" i="3"/>
  <c r="L55" i="3"/>
  <c r="L8" i="3"/>
  <c r="L56" i="3"/>
  <c r="L23" i="3"/>
  <c r="L57" i="3"/>
  <c r="L58" i="3"/>
  <c r="K121" i="1"/>
  <c r="L121" i="1"/>
  <c r="M121" i="1"/>
  <c r="N121" i="1" s="1"/>
  <c r="T121" i="1"/>
  <c r="V121" i="1"/>
  <c r="Y121" i="1"/>
  <c r="Z121" i="1"/>
  <c r="AB121" i="1"/>
  <c r="AC121" i="1"/>
  <c r="K122" i="1"/>
  <c r="L122" i="1"/>
  <c r="M122" i="1"/>
  <c r="N122" i="1" s="1"/>
  <c r="T122" i="1"/>
  <c r="V122" i="1"/>
  <c r="Y122" i="1"/>
  <c r="Z122" i="1"/>
  <c r="AB122" i="1"/>
  <c r="AC122" i="1"/>
  <c r="K123" i="1"/>
  <c r="L123" i="1"/>
  <c r="M123" i="1"/>
  <c r="N123" i="1" s="1"/>
  <c r="T123" i="1"/>
  <c r="V123" i="1"/>
  <c r="Y123" i="1"/>
  <c r="Z123" i="1"/>
  <c r="AB123" i="1"/>
  <c r="AC123" i="1"/>
  <c r="K124" i="1"/>
  <c r="L124" i="1"/>
  <c r="M124" i="1"/>
  <c r="N124" i="1" s="1"/>
  <c r="T124" i="1"/>
  <c r="V124" i="1"/>
  <c r="Y124" i="1"/>
  <c r="Z124" i="1"/>
  <c r="AB124" i="1"/>
  <c r="AC124" i="1"/>
  <c r="K125" i="1"/>
  <c r="L125" i="1"/>
  <c r="M125" i="1"/>
  <c r="N125" i="1" s="1"/>
  <c r="T125" i="1"/>
  <c r="K126" i="1"/>
  <c r="L126" i="1"/>
  <c r="M126" i="1"/>
  <c r="N126" i="1" s="1"/>
  <c r="T126" i="1"/>
  <c r="K127" i="1"/>
  <c r="L127" i="1"/>
  <c r="M127" i="1"/>
  <c r="N127" i="1" s="1"/>
  <c r="T127" i="1"/>
  <c r="K128" i="1"/>
  <c r="L128" i="1"/>
  <c r="M128" i="1"/>
  <c r="N128" i="1" s="1"/>
  <c r="T128" i="1"/>
  <c r="K129" i="1"/>
  <c r="L129" i="1"/>
  <c r="M129" i="1"/>
  <c r="N129" i="1" s="1"/>
  <c r="T129" i="1"/>
  <c r="K130" i="1"/>
  <c r="L130" i="1"/>
  <c r="M130" i="1"/>
  <c r="N130" i="1" s="1"/>
  <c r="T130" i="1"/>
  <c r="K131" i="1"/>
  <c r="L131" i="1"/>
  <c r="M131" i="1"/>
  <c r="N131" i="1" s="1"/>
  <c r="T131" i="1"/>
  <c r="K132" i="1"/>
  <c r="L132" i="1"/>
  <c r="M132" i="1"/>
  <c r="N132" i="1" s="1"/>
  <c r="T132" i="1"/>
  <c r="K133" i="1"/>
  <c r="L133" i="1"/>
  <c r="M133" i="1"/>
  <c r="N133" i="1" s="1"/>
  <c r="T133" i="1"/>
  <c r="V133" i="1"/>
  <c r="Y133" i="1"/>
  <c r="Z133" i="1"/>
  <c r="AB133" i="1"/>
  <c r="AC133" i="1"/>
  <c r="K134" i="1"/>
  <c r="L134" i="1"/>
  <c r="M134" i="1"/>
  <c r="N134" i="1" s="1"/>
  <c r="T134" i="1"/>
  <c r="V134" i="1"/>
  <c r="Y134" i="1"/>
  <c r="Z134" i="1"/>
  <c r="AB134" i="1"/>
  <c r="AC134" i="1"/>
  <c r="K135" i="1"/>
  <c r="L135" i="1"/>
  <c r="M135" i="1"/>
  <c r="N135" i="1" s="1"/>
  <c r="T135" i="1"/>
  <c r="V135" i="1"/>
  <c r="Y135" i="1"/>
  <c r="Z135" i="1"/>
  <c r="AB135" i="1"/>
  <c r="AC135" i="1"/>
  <c r="K136" i="1"/>
  <c r="L136" i="1"/>
  <c r="M136" i="1"/>
  <c r="N136" i="1" s="1"/>
  <c r="T136" i="1"/>
  <c r="V136" i="1"/>
  <c r="Y136" i="1"/>
  <c r="Z136" i="1"/>
  <c r="AB136" i="1"/>
  <c r="AC136" i="1"/>
  <c r="K137" i="1"/>
  <c r="L137" i="1"/>
  <c r="M137" i="1"/>
  <c r="N137" i="1" s="1"/>
  <c r="T137" i="1"/>
  <c r="V137" i="1"/>
  <c r="Y137" i="1"/>
  <c r="Z137" i="1"/>
  <c r="AB137" i="1"/>
  <c r="AC137" i="1"/>
  <c r="K138" i="1"/>
  <c r="L138" i="1"/>
  <c r="M138" i="1"/>
  <c r="N138" i="1" s="1"/>
  <c r="T138" i="1"/>
  <c r="V138" i="1"/>
  <c r="Y138" i="1"/>
  <c r="Z138" i="1"/>
  <c r="AB138" i="1"/>
  <c r="AC138" i="1"/>
  <c r="K139" i="1"/>
  <c r="L139" i="1"/>
  <c r="M139" i="1"/>
  <c r="N139" i="1" s="1"/>
  <c r="T139" i="1"/>
  <c r="V139" i="1"/>
  <c r="Y139" i="1"/>
  <c r="Z139" i="1"/>
  <c r="AB139" i="1"/>
  <c r="AC139" i="1"/>
  <c r="K140" i="1"/>
  <c r="L140" i="1"/>
  <c r="M140" i="1"/>
  <c r="N140" i="1" s="1"/>
  <c r="T140" i="1"/>
  <c r="V140" i="1"/>
  <c r="Y140" i="1"/>
  <c r="Z140" i="1"/>
  <c r="AB140" i="1"/>
  <c r="AC140" i="1"/>
  <c r="K141" i="1"/>
  <c r="L141" i="1"/>
  <c r="M141" i="1"/>
  <c r="N141" i="1" s="1"/>
  <c r="T141" i="1"/>
  <c r="V141" i="1"/>
  <c r="Y141" i="1"/>
  <c r="Z141" i="1"/>
  <c r="AB141" i="1"/>
  <c r="AC141" i="1"/>
  <c r="K142" i="1"/>
  <c r="L142" i="1"/>
  <c r="M142" i="1"/>
  <c r="N142" i="1" s="1"/>
  <c r="T142" i="1"/>
  <c r="V142" i="1"/>
  <c r="Y142" i="1"/>
  <c r="Z142" i="1"/>
  <c r="AB142" i="1"/>
  <c r="AC142" i="1"/>
  <c r="K143" i="1"/>
  <c r="L143" i="1"/>
  <c r="M143" i="1"/>
  <c r="N143" i="1" s="1"/>
  <c r="T143" i="1"/>
  <c r="V143" i="1"/>
  <c r="Y143" i="1"/>
  <c r="Z143" i="1"/>
  <c r="AB143" i="1"/>
  <c r="AC143" i="1"/>
  <c r="K144" i="1"/>
  <c r="L144" i="1"/>
  <c r="M144" i="1"/>
  <c r="N144" i="1" s="1"/>
  <c r="T144" i="1"/>
  <c r="V144" i="1"/>
  <c r="Y144" i="1"/>
  <c r="Z144" i="1"/>
  <c r="AB144" i="1"/>
  <c r="AC144" i="1"/>
  <c r="K145" i="1"/>
  <c r="L145" i="1"/>
  <c r="M145" i="1"/>
  <c r="N145" i="1" s="1"/>
  <c r="T145" i="1"/>
  <c r="V145" i="1"/>
  <c r="K146" i="1"/>
  <c r="L146" i="1"/>
  <c r="M146" i="1"/>
  <c r="N146" i="1" s="1"/>
  <c r="T146" i="1"/>
  <c r="V146" i="1"/>
  <c r="K147" i="1"/>
  <c r="L147" i="1"/>
  <c r="M147" i="1"/>
  <c r="N147" i="1" s="1"/>
  <c r="T147" i="1"/>
  <c r="V147" i="1"/>
  <c r="K148" i="1"/>
  <c r="L148" i="1"/>
  <c r="M148" i="1"/>
  <c r="N148" i="1" s="1"/>
  <c r="T148" i="1"/>
  <c r="V148" i="1"/>
  <c r="K149" i="1"/>
  <c r="L149" i="1"/>
  <c r="M149" i="1"/>
  <c r="N149" i="1" s="1"/>
  <c r="T149" i="1"/>
  <c r="V149" i="1"/>
  <c r="K150" i="1"/>
  <c r="L150" i="1"/>
  <c r="M150" i="1"/>
  <c r="N150" i="1" s="1"/>
  <c r="T150" i="1"/>
  <c r="V150" i="1"/>
  <c r="K151" i="1"/>
  <c r="L151" i="1"/>
  <c r="M151" i="1"/>
  <c r="N151" i="1" s="1"/>
  <c r="T151" i="1"/>
  <c r="V151" i="1"/>
  <c r="K152" i="1"/>
  <c r="L152" i="1"/>
  <c r="M152" i="1"/>
  <c r="N152" i="1" s="1"/>
  <c r="T152" i="1"/>
  <c r="V152" i="1"/>
  <c r="Y152" i="1"/>
  <c r="Z152" i="1"/>
  <c r="AB152" i="1"/>
  <c r="AC152" i="1"/>
  <c r="K153" i="1"/>
  <c r="L153" i="1"/>
  <c r="M153" i="1"/>
  <c r="N153" i="1" s="1"/>
  <c r="T153" i="1"/>
  <c r="V153" i="1"/>
  <c r="Y153" i="1"/>
  <c r="Z153" i="1"/>
  <c r="AB153" i="1"/>
  <c r="AC153" i="1"/>
  <c r="K154" i="1"/>
  <c r="L154" i="1"/>
  <c r="M154" i="1"/>
  <c r="N154" i="1" s="1"/>
  <c r="T154" i="1"/>
  <c r="V154" i="1"/>
  <c r="Y154" i="1"/>
  <c r="Z154" i="1"/>
  <c r="AB154" i="1"/>
  <c r="AC154" i="1"/>
  <c r="K155" i="1"/>
  <c r="L155" i="1"/>
  <c r="M155" i="1"/>
  <c r="N155" i="1" s="1"/>
  <c r="T155" i="1"/>
  <c r="V155" i="1"/>
  <c r="Y155" i="1"/>
  <c r="Z155" i="1"/>
  <c r="AB155" i="1"/>
  <c r="AC155" i="1"/>
  <c r="K156" i="1"/>
  <c r="L156" i="1"/>
  <c r="M156" i="1"/>
  <c r="N156" i="1" s="1"/>
  <c r="T156" i="1"/>
  <c r="V156" i="1"/>
  <c r="Y156" i="1"/>
  <c r="Z156" i="1"/>
  <c r="AB156" i="1"/>
  <c r="AC156" i="1"/>
  <c r="K157" i="1"/>
  <c r="L157" i="1"/>
  <c r="M157" i="1"/>
  <c r="N157" i="1" s="1"/>
  <c r="T157" i="1"/>
  <c r="V157" i="1"/>
  <c r="Y157" i="1"/>
  <c r="Z157" i="1"/>
  <c r="AB157" i="1"/>
  <c r="AC157" i="1"/>
  <c r="K13" i="1"/>
  <c r="U156" i="1" l="1"/>
  <c r="AA154" i="1"/>
  <c r="W154" i="1" s="1"/>
  <c r="U154" i="1"/>
  <c r="S154" i="1" s="1"/>
  <c r="U152" i="1"/>
  <c r="S152" i="1" s="1"/>
  <c r="W150" i="1"/>
  <c r="U150" i="1"/>
  <c r="S150" i="1" s="1"/>
  <c r="AA142" i="1"/>
  <c r="W142" i="1" s="1"/>
  <c r="U140" i="1"/>
  <c r="S140" i="1" s="1"/>
  <c r="U134" i="1"/>
  <c r="U132" i="1"/>
  <c r="U130" i="1"/>
  <c r="S130" i="1" s="1"/>
  <c r="U148" i="1"/>
  <c r="S148" i="1" s="1"/>
  <c r="U146" i="1"/>
  <c r="S146" i="1" s="1"/>
  <c r="U142" i="1"/>
  <c r="S142" i="1" s="1"/>
  <c r="U138" i="1"/>
  <c r="S138" i="1" s="1"/>
  <c r="U136" i="1"/>
  <c r="S136" i="1" s="1"/>
  <c r="U128" i="1"/>
  <c r="U125" i="1"/>
  <c r="S125" i="1" s="1"/>
  <c r="U123" i="1"/>
  <c r="S123" i="1" s="1"/>
  <c r="U157" i="1"/>
  <c r="S157" i="1" s="1"/>
  <c r="U155" i="1"/>
  <c r="S155" i="1" s="1"/>
  <c r="U153" i="1"/>
  <c r="S153" i="1" s="1"/>
  <c r="W151" i="1"/>
  <c r="U151" i="1"/>
  <c r="S151" i="1" s="1"/>
  <c r="W149" i="1"/>
  <c r="U149" i="1"/>
  <c r="S149" i="1" s="1"/>
  <c r="W147" i="1"/>
  <c r="U147" i="1"/>
  <c r="S147" i="1" s="1"/>
  <c r="U145" i="1"/>
  <c r="S145" i="1" s="1"/>
  <c r="U144" i="1"/>
  <c r="S144" i="1" s="1"/>
  <c r="U143" i="1"/>
  <c r="S143" i="1" s="1"/>
  <c r="U141" i="1"/>
  <c r="S141" i="1" s="1"/>
  <c r="U139" i="1"/>
  <c r="S139" i="1" s="1"/>
  <c r="U137" i="1"/>
  <c r="S137" i="1" s="1"/>
  <c r="U135" i="1"/>
  <c r="S135" i="1" s="1"/>
  <c r="U133" i="1"/>
  <c r="S133" i="1" s="1"/>
  <c r="U131" i="1"/>
  <c r="S131" i="1" s="1"/>
  <c r="U129" i="1"/>
  <c r="S129" i="1" s="1"/>
  <c r="U127" i="1"/>
  <c r="S127" i="1" s="1"/>
  <c r="U126" i="1"/>
  <c r="S126" i="1" s="1"/>
  <c r="AA124" i="1"/>
  <c r="W124" i="1" s="1"/>
  <c r="U124" i="1"/>
  <c r="S124" i="1" s="1"/>
  <c r="U122" i="1"/>
  <c r="S122" i="1" s="1"/>
  <c r="U121" i="1"/>
  <c r="S121" i="1" s="1"/>
  <c r="AA157" i="1"/>
  <c r="W157" i="1" s="1"/>
  <c r="AA140" i="1"/>
  <c r="W140" i="1" s="1"/>
  <c r="AA137" i="1"/>
  <c r="W137" i="1" s="1"/>
  <c r="AA134" i="1"/>
  <c r="W134" i="1" s="1"/>
  <c r="W146" i="1"/>
  <c r="AA141" i="1"/>
  <c r="W141" i="1" s="1"/>
  <c r="AA136" i="1"/>
  <c r="W136" i="1" s="1"/>
  <c r="AA155" i="1"/>
  <c r="W155" i="1" s="1"/>
  <c r="AA143" i="1"/>
  <c r="W143" i="1" s="1"/>
  <c r="AA138" i="1"/>
  <c r="W138" i="1" s="1"/>
  <c r="AA121" i="1"/>
  <c r="W121" i="1" s="1"/>
  <c r="AA133" i="1"/>
  <c r="W133" i="1" s="1"/>
  <c r="S134" i="1"/>
  <c r="S156" i="1"/>
  <c r="S128" i="1"/>
  <c r="AA122" i="1"/>
  <c r="W122" i="1" s="1"/>
  <c r="S132" i="1"/>
  <c r="W148" i="1"/>
  <c r="AA144" i="1"/>
  <c r="W144" i="1" s="1"/>
  <c r="AA156" i="1"/>
  <c r="W156" i="1" s="1"/>
  <c r="AA123" i="1"/>
  <c r="W123" i="1" s="1"/>
  <c r="AA135" i="1"/>
  <c r="W135" i="1" s="1"/>
  <c r="AA152" i="1"/>
  <c r="W152" i="1" s="1"/>
  <c r="AA153" i="1"/>
  <c r="W153" i="1" s="1"/>
  <c r="W145" i="1"/>
  <c r="AA139" i="1"/>
  <c r="W139" i="1" s="1"/>
  <c r="Q33" i="3" l="1"/>
  <c r="Q34" i="3"/>
  <c r="Q35" i="3"/>
  <c r="Q36" i="3"/>
  <c r="Q37" i="3"/>
  <c r="Q38" i="3"/>
  <c r="Q39" i="3"/>
  <c r="Q40" i="3"/>
  <c r="Q41" i="3"/>
  <c r="Q42" i="3"/>
  <c r="Q43" i="3"/>
  <c r="Q44" i="3"/>
  <c r="Q45" i="3"/>
  <c r="L21" i="3"/>
  <c r="Q46" i="3"/>
  <c r="Q47" i="3"/>
  <c r="Q48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L48" i="3"/>
  <c r="P77" i="3"/>
  <c r="Q77" i="3"/>
  <c r="P78" i="3"/>
  <c r="Q78" i="3"/>
  <c r="P79" i="3"/>
  <c r="Q79" i="3"/>
  <c r="P80" i="3"/>
  <c r="Q80" i="3"/>
  <c r="L28" i="3"/>
  <c r="P81" i="3"/>
  <c r="Q81" i="3"/>
  <c r="T115" i="1"/>
  <c r="T114" i="1"/>
  <c r="T117" i="1"/>
  <c r="T116" i="1"/>
  <c r="T118" i="1"/>
  <c r="T119" i="1"/>
  <c r="T120" i="1"/>
  <c r="V115" i="1"/>
  <c r="Y115" i="1"/>
  <c r="Z115" i="1"/>
  <c r="AB115" i="1"/>
  <c r="AC115" i="1"/>
  <c r="V114" i="1"/>
  <c r="X114" i="1"/>
  <c r="Y114" i="1"/>
  <c r="Z114" i="1"/>
  <c r="AB114" i="1"/>
  <c r="AC114" i="1"/>
  <c r="V117" i="1"/>
  <c r="Y117" i="1"/>
  <c r="Z117" i="1"/>
  <c r="AB117" i="1"/>
  <c r="AC117" i="1"/>
  <c r="V116" i="1"/>
  <c r="Y116" i="1"/>
  <c r="Z116" i="1"/>
  <c r="AB116" i="1"/>
  <c r="AC116" i="1"/>
  <c r="V118" i="1"/>
  <c r="P49" i="3" s="1"/>
  <c r="Y118" i="1"/>
  <c r="Z118" i="1"/>
  <c r="AB118" i="1"/>
  <c r="AC118" i="1"/>
  <c r="V119" i="1"/>
  <c r="Y119" i="1"/>
  <c r="Z119" i="1"/>
  <c r="AB119" i="1"/>
  <c r="AC119" i="1"/>
  <c r="V120" i="1"/>
  <c r="Y120" i="1"/>
  <c r="Z120" i="1"/>
  <c r="AB120" i="1"/>
  <c r="AC120" i="1"/>
  <c r="K113" i="1"/>
  <c r="L113" i="1"/>
  <c r="M113" i="1"/>
  <c r="N113" i="1" s="1"/>
  <c r="K115" i="1"/>
  <c r="L115" i="1"/>
  <c r="M115" i="1"/>
  <c r="N115" i="1" s="1"/>
  <c r="K114" i="1"/>
  <c r="L114" i="1"/>
  <c r="M114" i="1"/>
  <c r="N114" i="1" s="1"/>
  <c r="K117" i="1"/>
  <c r="L117" i="1"/>
  <c r="M117" i="1"/>
  <c r="P117" i="1" s="1"/>
  <c r="K116" i="1"/>
  <c r="L116" i="1"/>
  <c r="M116" i="1"/>
  <c r="P116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AA114" i="1" l="1"/>
  <c r="W114" i="1" s="1"/>
  <c r="U118" i="1"/>
  <c r="U115" i="1"/>
  <c r="S115" i="1" s="1"/>
  <c r="U119" i="1"/>
  <c r="S119" i="1" s="1"/>
  <c r="U114" i="1"/>
  <c r="U116" i="1"/>
  <c r="S116" i="1" s="1"/>
  <c r="U120" i="1"/>
  <c r="S120" i="1" s="1"/>
  <c r="U117" i="1"/>
  <c r="S117" i="1" s="1"/>
  <c r="AA118" i="1"/>
  <c r="W118" i="1" s="1"/>
  <c r="AA115" i="1"/>
  <c r="W115" i="1" s="1"/>
  <c r="S118" i="1"/>
  <c r="S114" i="1"/>
  <c r="AA120" i="1"/>
  <c r="W120" i="1" s="1"/>
  <c r="AA117" i="1"/>
  <c r="W117" i="1" s="1"/>
  <c r="AA116" i="1"/>
  <c r="W116" i="1" s="1"/>
  <c r="AA119" i="1"/>
  <c r="W119" i="1" s="1"/>
  <c r="K73" i="1" l="1"/>
  <c r="L73" i="1"/>
  <c r="M73" i="1"/>
  <c r="T73" i="1"/>
  <c r="U73" i="1" s="1"/>
  <c r="S73" i="1" s="1"/>
  <c r="V73" i="1"/>
  <c r="X73" i="1"/>
  <c r="AA73" i="1"/>
  <c r="W73" i="1" s="1"/>
  <c r="AB73" i="1"/>
  <c r="AC73" i="1"/>
  <c r="X62" i="1"/>
  <c r="X63" i="1"/>
  <c r="X64" i="1"/>
  <c r="X65" i="1"/>
  <c r="X66" i="1"/>
  <c r="X67" i="1"/>
  <c r="X68" i="1"/>
  <c r="X69" i="1"/>
  <c r="X70" i="1"/>
  <c r="T100" i="1"/>
  <c r="V100" i="1"/>
  <c r="X100" i="1"/>
  <c r="AB100" i="1"/>
  <c r="AC100" i="1"/>
  <c r="T59" i="1"/>
  <c r="V59" i="1"/>
  <c r="K100" i="1"/>
  <c r="L100" i="1"/>
  <c r="M100" i="1"/>
  <c r="N100" i="1" s="1"/>
  <c r="K59" i="1"/>
  <c r="L59" i="1"/>
  <c r="M59" i="1"/>
  <c r="N59" i="1" s="1"/>
  <c r="E6" i="6"/>
  <c r="F6" i="6"/>
  <c r="G6" i="6"/>
  <c r="E4" i="6"/>
  <c r="F4" i="6"/>
  <c r="G4" i="6"/>
  <c r="E3" i="6"/>
  <c r="F3" i="6"/>
  <c r="G3" i="6"/>
  <c r="E5" i="6"/>
  <c r="F5" i="6"/>
  <c r="G5" i="6"/>
  <c r="X37" i="1"/>
  <c r="X36" i="1"/>
  <c r="X38" i="1"/>
  <c r="X40" i="1"/>
  <c r="X39" i="1"/>
  <c r="X41" i="1"/>
  <c r="X26" i="1"/>
  <c r="X27" i="1"/>
  <c r="X28" i="1"/>
  <c r="X29" i="1"/>
  <c r="U100" i="1" l="1"/>
  <c r="S100" i="1" s="1"/>
  <c r="U59" i="1"/>
  <c r="S59" i="1" s="1"/>
  <c r="W59" i="1"/>
  <c r="AA100" i="1"/>
  <c r="W100" i="1" s="1"/>
  <c r="X105" i="1"/>
  <c r="X104" i="1"/>
  <c r="X106" i="1"/>
  <c r="X107" i="1"/>
  <c r="X108" i="1"/>
  <c r="X109" i="1"/>
  <c r="X110" i="1"/>
  <c r="X111" i="1"/>
  <c r="X112" i="1"/>
  <c r="X113" i="1"/>
  <c r="T113" i="1" l="1"/>
  <c r="V113" i="1"/>
  <c r="Y113" i="1"/>
  <c r="Z113" i="1"/>
  <c r="AB113" i="1"/>
  <c r="AC113" i="1"/>
  <c r="O6" i="1"/>
  <c r="N6" i="1"/>
  <c r="M6" i="1"/>
  <c r="J6" i="1"/>
  <c r="U113" i="1" l="1"/>
  <c r="S113" i="1" s="1"/>
  <c r="AA113" i="1"/>
  <c r="W113" i="1" s="1"/>
  <c r="I2" i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7" i="1"/>
  <c r="AC37" i="1"/>
  <c r="AB36" i="1"/>
  <c r="AC36" i="1"/>
  <c r="AB38" i="1"/>
  <c r="AC38" i="1"/>
  <c r="AB40" i="1"/>
  <c r="AC40" i="1"/>
  <c r="AB39" i="1"/>
  <c r="AC39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5" i="1"/>
  <c r="AC75" i="1"/>
  <c r="AB74" i="1"/>
  <c r="AC74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1" i="1"/>
  <c r="AC101" i="1"/>
  <c r="AB102" i="1"/>
  <c r="AC102" i="1"/>
  <c r="AB103" i="1"/>
  <c r="AC103" i="1"/>
  <c r="AB105" i="1"/>
  <c r="AC105" i="1"/>
  <c r="AB104" i="1"/>
  <c r="AC104" i="1"/>
  <c r="AB106" i="1"/>
  <c r="AC106" i="1"/>
  <c r="AB107" i="1"/>
  <c r="AC107" i="1"/>
  <c r="AB109" i="1"/>
  <c r="AC109" i="1"/>
  <c r="AB108" i="1"/>
  <c r="AC108" i="1"/>
  <c r="AB110" i="1"/>
  <c r="AC110" i="1"/>
  <c r="AB111" i="1"/>
  <c r="AC111" i="1"/>
  <c r="AB112" i="1"/>
  <c r="AC112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1" i="1" l="1"/>
  <c r="V52" i="1"/>
  <c r="W52" i="1"/>
  <c r="V91" i="1"/>
  <c r="Y91" i="1"/>
  <c r="Z91" i="1"/>
  <c r="V101" i="1"/>
  <c r="AA101" i="1"/>
  <c r="W101" i="1" s="1"/>
  <c r="K101" i="1"/>
  <c r="L101" i="1"/>
  <c r="M101" i="1"/>
  <c r="N101" i="1" s="1"/>
  <c r="K52" i="1"/>
  <c r="L52" i="1"/>
  <c r="M52" i="1"/>
  <c r="P52" i="1" s="1"/>
  <c r="T101" i="1"/>
  <c r="T52" i="1"/>
  <c r="U52" i="1" s="1"/>
  <c r="S52" i="1" s="1"/>
  <c r="X74" i="1"/>
  <c r="X76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Z112" i="1"/>
  <c r="Y112" i="1"/>
  <c r="V112" i="1"/>
  <c r="T112" i="1"/>
  <c r="M112" i="1"/>
  <c r="N112" i="1" s="1"/>
  <c r="L112" i="1"/>
  <c r="K112" i="1"/>
  <c r="Z111" i="1"/>
  <c r="Y111" i="1"/>
  <c r="V111" i="1"/>
  <c r="T111" i="1"/>
  <c r="M111" i="1"/>
  <c r="N111" i="1" s="1"/>
  <c r="L111" i="1"/>
  <c r="K111" i="1"/>
  <c r="Z110" i="1"/>
  <c r="Y110" i="1"/>
  <c r="V110" i="1"/>
  <c r="T110" i="1"/>
  <c r="M110" i="1"/>
  <c r="N110" i="1" s="1"/>
  <c r="L110" i="1"/>
  <c r="K110" i="1"/>
  <c r="Z108" i="1"/>
  <c r="Y108" i="1"/>
  <c r="V108" i="1"/>
  <c r="T108" i="1"/>
  <c r="M108" i="1"/>
  <c r="N108" i="1" s="1"/>
  <c r="L108" i="1"/>
  <c r="K108" i="1"/>
  <c r="Z109" i="1"/>
  <c r="Y109" i="1"/>
  <c r="V109" i="1"/>
  <c r="T109" i="1"/>
  <c r="M109" i="1"/>
  <c r="N109" i="1" s="1"/>
  <c r="L109" i="1"/>
  <c r="K109" i="1"/>
  <c r="Z107" i="1"/>
  <c r="Y107" i="1"/>
  <c r="V107" i="1"/>
  <c r="T107" i="1"/>
  <c r="M107" i="1"/>
  <c r="N107" i="1" s="1"/>
  <c r="L107" i="1"/>
  <c r="K107" i="1"/>
  <c r="Z106" i="1"/>
  <c r="Y106" i="1"/>
  <c r="V106" i="1"/>
  <c r="T106" i="1"/>
  <c r="M106" i="1"/>
  <c r="N106" i="1" s="1"/>
  <c r="L106" i="1"/>
  <c r="K106" i="1"/>
  <c r="Z104" i="1"/>
  <c r="Y104" i="1"/>
  <c r="V104" i="1"/>
  <c r="T104" i="1"/>
  <c r="M104" i="1"/>
  <c r="N104" i="1" s="1"/>
  <c r="L104" i="1"/>
  <c r="K104" i="1"/>
  <c r="Z105" i="1"/>
  <c r="Y105" i="1"/>
  <c r="V105" i="1"/>
  <c r="T105" i="1"/>
  <c r="M105" i="1"/>
  <c r="N105" i="1" s="1"/>
  <c r="L105" i="1"/>
  <c r="K105" i="1"/>
  <c r="Z103" i="1"/>
  <c r="Y103" i="1"/>
  <c r="X103" i="1"/>
  <c r="V103" i="1"/>
  <c r="T103" i="1"/>
  <c r="M103" i="1"/>
  <c r="N103" i="1" s="1"/>
  <c r="L103" i="1"/>
  <c r="K103" i="1"/>
  <c r="Z102" i="1"/>
  <c r="Y102" i="1"/>
  <c r="V102" i="1"/>
  <c r="T102" i="1"/>
  <c r="M102" i="1"/>
  <c r="N102" i="1" s="1"/>
  <c r="L102" i="1"/>
  <c r="K102" i="1"/>
  <c r="X99" i="1"/>
  <c r="V99" i="1"/>
  <c r="T99" i="1"/>
  <c r="M99" i="1"/>
  <c r="N99" i="1" s="1"/>
  <c r="L99" i="1"/>
  <c r="K99" i="1"/>
  <c r="X98" i="1"/>
  <c r="V98" i="1"/>
  <c r="T98" i="1"/>
  <c r="M98" i="1"/>
  <c r="N98" i="1" s="1"/>
  <c r="L98" i="1"/>
  <c r="K98" i="1"/>
  <c r="T15" i="1"/>
  <c r="U103" i="1" l="1"/>
  <c r="U99" i="1"/>
  <c r="S99" i="1" s="1"/>
  <c r="U98" i="1"/>
  <c r="S98" i="1" s="1"/>
  <c r="U102" i="1"/>
  <c r="U106" i="1"/>
  <c r="U110" i="1"/>
  <c r="P47" i="3"/>
  <c r="U107" i="1"/>
  <c r="S107" i="1" s="1"/>
  <c r="U111" i="1"/>
  <c r="S111" i="1" s="1"/>
  <c r="P48" i="3"/>
  <c r="U104" i="1"/>
  <c r="S104" i="1" s="1"/>
  <c r="U108" i="1"/>
  <c r="S108" i="1" s="1"/>
  <c r="U105" i="1"/>
  <c r="S105" i="1" s="1"/>
  <c r="U109" i="1"/>
  <c r="S109" i="1" s="1"/>
  <c r="U112" i="1"/>
  <c r="S112" i="1" s="1"/>
  <c r="S102" i="1"/>
  <c r="S103" i="1"/>
  <c r="S110" i="1"/>
  <c r="S106" i="1"/>
  <c r="M2" i="3"/>
  <c r="M3" i="3" s="1"/>
  <c r="W51" i="1"/>
  <c r="AA91" i="1"/>
  <c r="W91" i="1" s="1"/>
  <c r="AA99" i="1"/>
  <c r="W99" i="1" s="1"/>
  <c r="AA109" i="1"/>
  <c r="W109" i="1" s="1"/>
  <c r="AA112" i="1"/>
  <c r="W112" i="1" s="1"/>
  <c r="AA110" i="1"/>
  <c r="W110" i="1" s="1"/>
  <c r="AA102" i="1"/>
  <c r="W102" i="1" s="1"/>
  <c r="AA104" i="1"/>
  <c r="W104" i="1" s="1"/>
  <c r="AA103" i="1"/>
  <c r="W103" i="1" s="1"/>
  <c r="AA108" i="1"/>
  <c r="W108" i="1" s="1"/>
  <c r="AA106" i="1"/>
  <c r="W106" i="1" s="1"/>
  <c r="AA98" i="1"/>
  <c r="W98" i="1" s="1"/>
  <c r="AA107" i="1"/>
  <c r="W107" i="1" s="1"/>
  <c r="AA105" i="1"/>
  <c r="W105" i="1" s="1"/>
  <c r="AA111" i="1"/>
  <c r="W111" i="1" s="1"/>
  <c r="Q7" i="3"/>
  <c r="Q8" i="3"/>
  <c r="Q9" i="3"/>
  <c r="Q10" i="3"/>
  <c r="Q11" i="3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1" i="1"/>
  <c r="T33" i="1"/>
  <c r="T34" i="1"/>
  <c r="T35" i="1"/>
  <c r="T37" i="1"/>
  <c r="T36" i="1"/>
  <c r="T38" i="1"/>
  <c r="T40" i="1"/>
  <c r="T39" i="1"/>
  <c r="T41" i="1"/>
  <c r="T42" i="1"/>
  <c r="T43" i="1"/>
  <c r="T44" i="1"/>
  <c r="T45" i="1"/>
  <c r="T46" i="1"/>
  <c r="T47" i="1"/>
  <c r="T48" i="1"/>
  <c r="T49" i="1"/>
  <c r="T50" i="1"/>
  <c r="T51" i="1"/>
  <c r="U51" i="1" s="1"/>
  <c r="S51" i="1" s="1"/>
  <c r="T53" i="1"/>
  <c r="T54" i="1"/>
  <c r="T55" i="1"/>
  <c r="T56" i="1"/>
  <c r="T57" i="1"/>
  <c r="T58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5" i="1"/>
  <c r="T74" i="1"/>
  <c r="T76" i="1"/>
  <c r="T77" i="1"/>
  <c r="T79" i="1"/>
  <c r="T78" i="1"/>
  <c r="T80" i="1"/>
  <c r="T81" i="1"/>
  <c r="T82" i="1"/>
  <c r="T84" i="1"/>
  <c r="T83" i="1"/>
  <c r="T85" i="1"/>
  <c r="T86" i="1"/>
  <c r="T87" i="1"/>
  <c r="T88" i="1"/>
  <c r="T89" i="1"/>
  <c r="T91" i="1"/>
  <c r="U91" i="1" s="1"/>
  <c r="S91" i="1" s="1"/>
  <c r="T90" i="1"/>
  <c r="T92" i="1"/>
  <c r="T93" i="1"/>
  <c r="T94" i="1"/>
  <c r="T95" i="1"/>
  <c r="T96" i="1"/>
  <c r="T97" i="1"/>
  <c r="T13" i="1"/>
  <c r="M38" i="1" l="1"/>
  <c r="N38" i="1" s="1"/>
  <c r="M61" i="1"/>
  <c r="N61" i="1" s="1"/>
  <c r="L38" i="1"/>
  <c r="L61" i="1"/>
  <c r="K61" i="1"/>
  <c r="K38" i="1"/>
  <c r="K94" i="1"/>
  <c r="L94" i="1"/>
  <c r="M94" i="1"/>
  <c r="N94" i="1" s="1"/>
  <c r="V94" i="1"/>
  <c r="P45" i="3" s="1"/>
  <c r="Y94" i="1"/>
  <c r="Z94" i="1"/>
  <c r="K95" i="1"/>
  <c r="L95" i="1"/>
  <c r="M95" i="1"/>
  <c r="N95" i="1" s="1"/>
  <c r="K96" i="1"/>
  <c r="L96" i="1"/>
  <c r="M96" i="1"/>
  <c r="N96" i="1" s="1"/>
  <c r="K97" i="1"/>
  <c r="L97" i="1"/>
  <c r="M97" i="1"/>
  <c r="V95" i="1"/>
  <c r="Y95" i="1"/>
  <c r="Z95" i="1"/>
  <c r="V96" i="1"/>
  <c r="X96" i="1"/>
  <c r="Y96" i="1"/>
  <c r="Z96" i="1"/>
  <c r="V97" i="1"/>
  <c r="X97" i="1"/>
  <c r="U95" i="1" l="1"/>
  <c r="S95" i="1" s="1"/>
  <c r="U94" i="1"/>
  <c r="U97" i="1"/>
  <c r="S97" i="1" s="1"/>
  <c r="U96" i="1"/>
  <c r="S96" i="1" s="1"/>
  <c r="P46" i="3"/>
  <c r="S94" i="1"/>
  <c r="AA94" i="1"/>
  <c r="W94" i="1" s="1"/>
  <c r="AA95" i="1"/>
  <c r="W95" i="1" s="1"/>
  <c r="AA97" i="1"/>
  <c r="W97" i="1" s="1"/>
  <c r="AA96" i="1"/>
  <c r="W96" i="1" s="1"/>
  <c r="V15" i="1" l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5" i="1"/>
  <c r="X25" i="1"/>
  <c r="Y25" i="1"/>
  <c r="Z25" i="1"/>
  <c r="V26" i="1"/>
  <c r="Y26" i="1"/>
  <c r="Z26" i="1"/>
  <c r="V27" i="1"/>
  <c r="Y27" i="1"/>
  <c r="Z27" i="1"/>
  <c r="V28" i="1"/>
  <c r="Y28" i="1"/>
  <c r="Z28" i="1"/>
  <c r="V29" i="1"/>
  <c r="Y29" i="1"/>
  <c r="Z29" i="1"/>
  <c r="U31" i="1"/>
  <c r="U33" i="1"/>
  <c r="P33" i="3"/>
  <c r="U34" i="1"/>
  <c r="P34" i="3"/>
  <c r="U35" i="1"/>
  <c r="V37" i="1"/>
  <c r="Y37" i="1"/>
  <c r="Z37" i="1"/>
  <c r="V36" i="1"/>
  <c r="P35" i="3" s="1"/>
  <c r="Y36" i="1"/>
  <c r="Z36" i="1"/>
  <c r="V38" i="1"/>
  <c r="Y38" i="1"/>
  <c r="Z38" i="1"/>
  <c r="V40" i="1"/>
  <c r="Y40" i="1"/>
  <c r="Z40" i="1"/>
  <c r="V39" i="1"/>
  <c r="Y39" i="1"/>
  <c r="Z39" i="1"/>
  <c r="V41" i="1"/>
  <c r="Y41" i="1"/>
  <c r="Z41" i="1"/>
  <c r="V42" i="1"/>
  <c r="X42" i="1"/>
  <c r="U42" i="1"/>
  <c r="V43" i="1"/>
  <c r="X43" i="1"/>
  <c r="U43" i="1"/>
  <c r="V44" i="1"/>
  <c r="X44" i="1"/>
  <c r="U44" i="1"/>
  <c r="V45" i="1"/>
  <c r="X45" i="1"/>
  <c r="Y45" i="1"/>
  <c r="Z45" i="1"/>
  <c r="V46" i="1"/>
  <c r="X46" i="1"/>
  <c r="Y46" i="1"/>
  <c r="Z46" i="1"/>
  <c r="V47" i="1"/>
  <c r="P36" i="3" s="1"/>
  <c r="X47" i="1"/>
  <c r="Y47" i="1"/>
  <c r="Z47" i="1"/>
  <c r="V48" i="1"/>
  <c r="X48" i="1"/>
  <c r="Y48" i="1"/>
  <c r="V49" i="1"/>
  <c r="P37" i="3" s="1"/>
  <c r="V50" i="1"/>
  <c r="P38" i="3" s="1"/>
  <c r="V53" i="1"/>
  <c r="V54" i="1"/>
  <c r="P39" i="3" s="1"/>
  <c r="V55" i="1"/>
  <c r="U55" i="1"/>
  <c r="V56" i="1"/>
  <c r="V57" i="1"/>
  <c r="V58" i="1"/>
  <c r="V60" i="1"/>
  <c r="U60" i="1"/>
  <c r="V61" i="1"/>
  <c r="V62" i="1"/>
  <c r="Y62" i="1"/>
  <c r="Z62" i="1"/>
  <c r="V63" i="1"/>
  <c r="Y63" i="1"/>
  <c r="Z63" i="1"/>
  <c r="V64" i="1"/>
  <c r="Y64" i="1"/>
  <c r="Z64" i="1"/>
  <c r="V65" i="1"/>
  <c r="Y65" i="1"/>
  <c r="Z65" i="1"/>
  <c r="V66" i="1"/>
  <c r="Y66" i="1"/>
  <c r="Z66" i="1"/>
  <c r="V67" i="1"/>
  <c r="Y67" i="1"/>
  <c r="Z67" i="1"/>
  <c r="V68" i="1"/>
  <c r="P40" i="3" s="1"/>
  <c r="Y68" i="1"/>
  <c r="Z68" i="1"/>
  <c r="V69" i="1"/>
  <c r="Y69" i="1"/>
  <c r="Z69" i="1"/>
  <c r="V70" i="1"/>
  <c r="Y70" i="1"/>
  <c r="Z70" i="1"/>
  <c r="V71" i="1"/>
  <c r="P41" i="3" s="1"/>
  <c r="X71" i="1"/>
  <c r="Y71" i="1"/>
  <c r="Z71" i="1"/>
  <c r="V72" i="1"/>
  <c r="X72" i="1"/>
  <c r="Y72" i="1"/>
  <c r="Z72" i="1"/>
  <c r="V75" i="1"/>
  <c r="X75" i="1"/>
  <c r="Y75" i="1"/>
  <c r="Z75" i="1"/>
  <c r="V74" i="1"/>
  <c r="V76" i="1"/>
  <c r="Y76" i="1"/>
  <c r="Z76" i="1"/>
  <c r="V77" i="1"/>
  <c r="X77" i="1"/>
  <c r="Y77" i="1"/>
  <c r="Z77" i="1"/>
  <c r="V79" i="1"/>
  <c r="X79" i="1"/>
  <c r="Y79" i="1"/>
  <c r="Z79" i="1"/>
  <c r="V78" i="1"/>
  <c r="X78" i="1"/>
  <c r="Y78" i="1"/>
  <c r="Z78" i="1"/>
  <c r="V80" i="1"/>
  <c r="X80" i="1"/>
  <c r="Y80" i="1"/>
  <c r="Z80" i="1"/>
  <c r="V81" i="1"/>
  <c r="X81" i="1"/>
  <c r="Y81" i="1"/>
  <c r="Z81" i="1"/>
  <c r="V82" i="1"/>
  <c r="X82" i="1"/>
  <c r="Y82" i="1"/>
  <c r="Z82" i="1"/>
  <c r="V84" i="1"/>
  <c r="P42" i="3" s="1"/>
  <c r="X84" i="1"/>
  <c r="Y84" i="1"/>
  <c r="Z84" i="1"/>
  <c r="V83" i="1"/>
  <c r="X83" i="1"/>
  <c r="Y83" i="1"/>
  <c r="Z83" i="1"/>
  <c r="V85" i="1"/>
  <c r="X85" i="1"/>
  <c r="Y85" i="1"/>
  <c r="Z85" i="1"/>
  <c r="V86" i="1"/>
  <c r="X86" i="1"/>
  <c r="Y86" i="1"/>
  <c r="Z86" i="1"/>
  <c r="V87" i="1"/>
  <c r="P43" i="3" s="1"/>
  <c r="X87" i="1"/>
  <c r="Y87" i="1"/>
  <c r="Z87" i="1"/>
  <c r="V88" i="1"/>
  <c r="X88" i="1"/>
  <c r="Y88" i="1"/>
  <c r="Z88" i="1"/>
  <c r="V89" i="1"/>
  <c r="P44" i="3" s="1"/>
  <c r="X89" i="1"/>
  <c r="Y89" i="1"/>
  <c r="Z89" i="1"/>
  <c r="V90" i="1"/>
  <c r="X90" i="1"/>
  <c r="Y90" i="1"/>
  <c r="Z90" i="1"/>
  <c r="V92" i="1"/>
  <c r="Y92" i="1"/>
  <c r="Z92" i="1"/>
  <c r="V93" i="1"/>
  <c r="Y93" i="1"/>
  <c r="Z93" i="1"/>
  <c r="U41" i="1" l="1"/>
  <c r="U36" i="1"/>
  <c r="S36" i="1" s="1"/>
  <c r="U29" i="1"/>
  <c r="S29" i="1" s="1"/>
  <c r="U25" i="1"/>
  <c r="S25" i="1" s="1"/>
  <c r="U24" i="1"/>
  <c r="U92" i="1"/>
  <c r="U90" i="1"/>
  <c r="S90" i="1" s="1"/>
  <c r="U89" i="1"/>
  <c r="S89" i="1" s="1"/>
  <c r="U88" i="1"/>
  <c r="S88" i="1" s="1"/>
  <c r="U87" i="1"/>
  <c r="U86" i="1"/>
  <c r="S86" i="1" s="1"/>
  <c r="U85" i="1"/>
  <c r="S85" i="1" s="1"/>
  <c r="U83" i="1"/>
  <c r="U84" i="1"/>
  <c r="U82" i="1"/>
  <c r="S82" i="1" s="1"/>
  <c r="U81" i="1"/>
  <c r="S81" i="1" s="1"/>
  <c r="U80" i="1"/>
  <c r="S80" i="1" s="1"/>
  <c r="U78" i="1"/>
  <c r="U79" i="1"/>
  <c r="S79" i="1" s="1"/>
  <c r="U77" i="1"/>
  <c r="S77" i="1" s="1"/>
  <c r="U76" i="1"/>
  <c r="S76" i="1" s="1"/>
  <c r="U68" i="1"/>
  <c r="S68" i="1" s="1"/>
  <c r="U64" i="1"/>
  <c r="U93" i="1"/>
  <c r="S93" i="1" s="1"/>
  <c r="U40" i="1"/>
  <c r="S40" i="1" s="1"/>
  <c r="U27" i="1"/>
  <c r="U75" i="1"/>
  <c r="U72" i="1"/>
  <c r="S72" i="1" s="1"/>
  <c r="U71" i="1"/>
  <c r="S71" i="1" s="1"/>
  <c r="U70" i="1"/>
  <c r="U66" i="1"/>
  <c r="S66" i="1" s="1"/>
  <c r="U62" i="1"/>
  <c r="S62" i="1" s="1"/>
  <c r="U57" i="1"/>
  <c r="S57" i="1" s="1"/>
  <c r="U53" i="1"/>
  <c r="U50" i="1"/>
  <c r="S50" i="1" s="1"/>
  <c r="U49" i="1"/>
  <c r="S49" i="1" s="1"/>
  <c r="U48" i="1"/>
  <c r="S48" i="1" s="1"/>
  <c r="U47" i="1"/>
  <c r="U46" i="1"/>
  <c r="S46" i="1" s="1"/>
  <c r="U45" i="1"/>
  <c r="S45" i="1" s="1"/>
  <c r="U23" i="1"/>
  <c r="S23" i="1" s="1"/>
  <c r="U22" i="1"/>
  <c r="U21" i="1"/>
  <c r="S21" i="1" s="1"/>
  <c r="U20" i="1"/>
  <c r="U19" i="1"/>
  <c r="U18" i="1"/>
  <c r="S18" i="1" s="1"/>
  <c r="U17" i="1"/>
  <c r="S17" i="1" s="1"/>
  <c r="U16" i="1"/>
  <c r="U14" i="1"/>
  <c r="S14" i="1" s="1"/>
  <c r="U15" i="1"/>
  <c r="S15" i="1" s="1"/>
  <c r="U69" i="1"/>
  <c r="S69" i="1" s="1"/>
  <c r="U65" i="1"/>
  <c r="S65" i="1" s="1"/>
  <c r="U61" i="1"/>
  <c r="S61" i="1" s="1"/>
  <c r="U56" i="1"/>
  <c r="S56" i="1" s="1"/>
  <c r="U38" i="1"/>
  <c r="S38" i="1" s="1"/>
  <c r="U32" i="1"/>
  <c r="U30" i="1"/>
  <c r="S30" i="1" s="1"/>
  <c r="U26" i="1"/>
  <c r="S26" i="1" s="1"/>
  <c r="U74" i="1"/>
  <c r="S74" i="1" s="1"/>
  <c r="U67" i="1"/>
  <c r="S67" i="1" s="1"/>
  <c r="U63" i="1"/>
  <c r="U58" i="1"/>
  <c r="S58" i="1" s="1"/>
  <c r="U54" i="1"/>
  <c r="S54" i="1" s="1"/>
  <c r="U39" i="1"/>
  <c r="S39" i="1" s="1"/>
  <c r="U37" i="1"/>
  <c r="S37" i="1" s="1"/>
  <c r="U28" i="1"/>
  <c r="S28" i="1" s="1"/>
  <c r="S34" i="1"/>
  <c r="S22" i="1"/>
  <c r="S16" i="1"/>
  <c r="S53" i="1"/>
  <c r="S60" i="1"/>
  <c r="S41" i="1"/>
  <c r="S83" i="1"/>
  <c r="S70" i="1"/>
  <c r="S92" i="1"/>
  <c r="S35" i="1"/>
  <c r="S75" i="1"/>
  <c r="S31" i="1"/>
  <c r="S84" i="1"/>
  <c r="S32" i="1"/>
  <c r="S78" i="1"/>
  <c r="S55" i="1"/>
  <c r="S44" i="1"/>
  <c r="S47" i="1"/>
  <c r="S24" i="1"/>
  <c r="P25" i="3"/>
  <c r="S33" i="1"/>
  <c r="S27" i="1"/>
  <c r="S19" i="1"/>
  <c r="S87" i="1"/>
  <c r="S42" i="1"/>
  <c r="S20" i="1"/>
  <c r="P30" i="3"/>
  <c r="S43" i="1"/>
  <c r="P14" i="3"/>
  <c r="P29" i="3"/>
  <c r="P17" i="3"/>
  <c r="P18" i="3"/>
  <c r="P21" i="3"/>
  <c r="P10" i="3"/>
  <c r="P28" i="3"/>
  <c r="P27" i="3"/>
  <c r="P22" i="3"/>
  <c r="P19" i="3"/>
  <c r="P20" i="3"/>
  <c r="P9" i="3"/>
  <c r="P26" i="3"/>
  <c r="P31" i="3"/>
  <c r="P24" i="3"/>
  <c r="P23" i="3"/>
  <c r="P16" i="3"/>
  <c r="P15" i="3"/>
  <c r="P12" i="3"/>
  <c r="P13" i="3"/>
  <c r="P7" i="3"/>
  <c r="P8" i="3"/>
  <c r="P11" i="3"/>
  <c r="AA29" i="1"/>
  <c r="W29" i="1" s="1"/>
  <c r="AA14" i="1"/>
  <c r="W14" i="1" s="1"/>
  <c r="W49" i="1"/>
  <c r="AA36" i="1"/>
  <c r="W36" i="1" s="1"/>
  <c r="AA20" i="1"/>
  <c r="W20" i="1" s="1"/>
  <c r="AA16" i="1"/>
  <c r="W16" i="1" s="1"/>
  <c r="AA26" i="1"/>
  <c r="W26" i="1" s="1"/>
  <c r="AA40" i="1"/>
  <c r="W40" i="1" s="1"/>
  <c r="AA92" i="1"/>
  <c r="W92" i="1" s="1"/>
  <c r="AA81" i="1"/>
  <c r="W81" i="1" s="1"/>
  <c r="W57" i="1"/>
  <c r="AA72" i="1"/>
  <c r="W72" i="1" s="1"/>
  <c r="AA70" i="1"/>
  <c r="W70" i="1" s="1"/>
  <c r="AA25" i="1"/>
  <c r="W25" i="1" s="1"/>
  <c r="AA86" i="1"/>
  <c r="W86" i="1" s="1"/>
  <c r="AA15" i="1"/>
  <c r="W15" i="1" s="1"/>
  <c r="AA23" i="1"/>
  <c r="W23" i="1" s="1"/>
  <c r="AA83" i="1"/>
  <c r="W83" i="1" s="1"/>
  <c r="AA67" i="1"/>
  <c r="W67" i="1" s="1"/>
  <c r="AA42" i="1"/>
  <c r="W42" i="1" s="1"/>
  <c r="W58" i="1"/>
  <c r="W53" i="1"/>
  <c r="AA41" i="1"/>
  <c r="W41" i="1" s="1"/>
  <c r="AA93" i="1"/>
  <c r="W93" i="1" s="1"/>
  <c r="W50" i="1"/>
  <c r="AA84" i="1"/>
  <c r="W84" i="1" s="1"/>
  <c r="AA87" i="1"/>
  <c r="W87" i="1" s="1"/>
  <c r="AA28" i="1"/>
  <c r="W28" i="1" s="1"/>
  <c r="AA45" i="1"/>
  <c r="W45" i="1" s="1"/>
  <c r="AA80" i="1"/>
  <c r="W80" i="1" s="1"/>
  <c r="AA19" i="1"/>
  <c r="W19" i="1" s="1"/>
  <c r="AA78" i="1"/>
  <c r="W78" i="1" s="1"/>
  <c r="AA62" i="1"/>
  <c r="W62" i="1" s="1"/>
  <c r="AA74" i="1"/>
  <c r="W74" i="1" s="1"/>
  <c r="AA79" i="1"/>
  <c r="W79" i="1" s="1"/>
  <c r="W55" i="1"/>
  <c r="AA89" i="1"/>
  <c r="W89" i="1" s="1"/>
  <c r="AA88" i="1"/>
  <c r="W88" i="1" s="1"/>
  <c r="AA75" i="1"/>
  <c r="W75" i="1" s="1"/>
  <c r="AA85" i="1"/>
  <c r="W85" i="1" s="1"/>
  <c r="W61" i="1"/>
  <c r="AA76" i="1"/>
  <c r="W76" i="1" s="1"/>
  <c r="AA82" i="1"/>
  <c r="W82" i="1" s="1"/>
  <c r="AA90" i="1"/>
  <c r="W90" i="1" s="1"/>
  <c r="AA46" i="1"/>
  <c r="W46" i="1" s="1"/>
  <c r="AA18" i="1"/>
  <c r="W18" i="1" s="1"/>
  <c r="AA77" i="1"/>
  <c r="W77" i="1" s="1"/>
  <c r="AA27" i="1"/>
  <c r="W27" i="1" s="1"/>
  <c r="AA22" i="1"/>
  <c r="W22" i="1" s="1"/>
  <c r="AA65" i="1"/>
  <c r="W65" i="1" s="1"/>
  <c r="AA48" i="1"/>
  <c r="W48" i="1" s="1"/>
  <c r="AA39" i="1"/>
  <c r="W39" i="1" s="1"/>
  <c r="AA47" i="1"/>
  <c r="W47" i="1" s="1"/>
  <c r="AA68" i="1"/>
  <c r="W68" i="1" s="1"/>
  <c r="AA63" i="1"/>
  <c r="W63" i="1" s="1"/>
  <c r="AA69" i="1"/>
  <c r="W69" i="1" s="1"/>
  <c r="AA37" i="1"/>
  <c r="W37" i="1" s="1"/>
  <c r="AA71" i="1"/>
  <c r="W71" i="1" s="1"/>
  <c r="AA64" i="1"/>
  <c r="W64" i="1" s="1"/>
  <c r="AA38" i="1"/>
  <c r="W38" i="1" s="1"/>
  <c r="AA21" i="1"/>
  <c r="W21" i="1" s="1"/>
  <c r="AA24" i="1"/>
  <c r="W24" i="1" s="1"/>
  <c r="W54" i="1"/>
  <c r="AA44" i="1"/>
  <c r="W44" i="1" s="1"/>
  <c r="AA66" i="1"/>
  <c r="W66" i="1" s="1"/>
  <c r="W60" i="1"/>
  <c r="W56" i="1"/>
  <c r="AA43" i="1"/>
  <c r="W43" i="1" s="1"/>
  <c r="AA17" i="1"/>
  <c r="W17" i="1" s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P29" i="1" s="1"/>
  <c r="K30" i="1"/>
  <c r="L30" i="1"/>
  <c r="M30" i="1"/>
  <c r="N30" i="1" s="1"/>
  <c r="K32" i="1"/>
  <c r="L32" i="1"/>
  <c r="M32" i="1"/>
  <c r="N32" i="1" s="1"/>
  <c r="K31" i="1"/>
  <c r="L31" i="1"/>
  <c r="M31" i="1"/>
  <c r="N31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7" i="1"/>
  <c r="L37" i="1"/>
  <c r="M37" i="1"/>
  <c r="N37" i="1" s="1"/>
  <c r="K36" i="1"/>
  <c r="L36" i="1"/>
  <c r="M36" i="1"/>
  <c r="N36" i="1" s="1"/>
  <c r="K40" i="1"/>
  <c r="L40" i="1"/>
  <c r="M40" i="1"/>
  <c r="P40" i="1" s="1"/>
  <c r="K39" i="1"/>
  <c r="L39" i="1"/>
  <c r="M39" i="1"/>
  <c r="N39" i="1" s="1"/>
  <c r="K41" i="1"/>
  <c r="L41" i="1"/>
  <c r="M41" i="1"/>
  <c r="N41" i="1" s="1"/>
  <c r="K42" i="1"/>
  <c r="L42" i="1"/>
  <c r="M42" i="1"/>
  <c r="P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P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60" i="1"/>
  <c r="L60" i="1"/>
  <c r="M60" i="1"/>
  <c r="N60" i="1" s="1"/>
  <c r="K62" i="1"/>
  <c r="L62" i="1"/>
  <c r="M62" i="1"/>
  <c r="N62" i="1" s="1"/>
  <c r="K63" i="1"/>
  <c r="L63" i="1"/>
  <c r="M63" i="1"/>
  <c r="K64" i="1"/>
  <c r="L64" i="1"/>
  <c r="M64" i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5" i="1"/>
  <c r="L75" i="1"/>
  <c r="M75" i="1"/>
  <c r="N75" i="1" s="1"/>
  <c r="K74" i="1"/>
  <c r="L74" i="1"/>
  <c r="M74" i="1"/>
  <c r="N74" i="1" s="1"/>
  <c r="K76" i="1"/>
  <c r="L76" i="1"/>
  <c r="M76" i="1"/>
  <c r="N76" i="1" s="1"/>
  <c r="K77" i="1"/>
  <c r="L77" i="1"/>
  <c r="M77" i="1"/>
  <c r="N77" i="1" s="1"/>
  <c r="K79" i="1"/>
  <c r="L79" i="1"/>
  <c r="M79" i="1"/>
  <c r="P79" i="1" s="1"/>
  <c r="K78" i="1"/>
  <c r="L78" i="1"/>
  <c r="M78" i="1"/>
  <c r="N78" i="1" s="1"/>
  <c r="K80" i="1"/>
  <c r="L80" i="1"/>
  <c r="M80" i="1"/>
  <c r="P80" i="1" s="1"/>
  <c r="K81" i="1"/>
  <c r="L81" i="1"/>
  <c r="M81" i="1"/>
  <c r="N81" i="1" s="1"/>
  <c r="K82" i="1"/>
  <c r="L82" i="1"/>
  <c r="M82" i="1"/>
  <c r="N82" i="1" s="1"/>
  <c r="K84" i="1"/>
  <c r="L84" i="1"/>
  <c r="M84" i="1"/>
  <c r="N84" i="1" s="1"/>
  <c r="K83" i="1"/>
  <c r="L83" i="1"/>
  <c r="M83" i="1"/>
  <c r="N83" i="1" s="1"/>
  <c r="K85" i="1"/>
  <c r="L85" i="1"/>
  <c r="M85" i="1"/>
  <c r="N85" i="1" s="1"/>
  <c r="K87" i="1"/>
  <c r="L87" i="1"/>
  <c r="M87" i="1"/>
  <c r="N87" i="1" s="1"/>
  <c r="K86" i="1"/>
  <c r="L86" i="1"/>
  <c r="M86" i="1"/>
  <c r="N86" i="1" s="1"/>
  <c r="K89" i="1"/>
  <c r="L89" i="1"/>
  <c r="M89" i="1"/>
  <c r="N89" i="1" s="1"/>
  <c r="K88" i="1"/>
  <c r="L88" i="1"/>
  <c r="M88" i="1"/>
  <c r="N88" i="1" s="1"/>
  <c r="K91" i="1"/>
  <c r="L91" i="1"/>
  <c r="M91" i="1"/>
  <c r="N91" i="1" s="1"/>
  <c r="K90" i="1"/>
  <c r="L90" i="1"/>
  <c r="M90" i="1"/>
  <c r="N90" i="1" s="1"/>
  <c r="K92" i="1"/>
  <c r="L92" i="1"/>
  <c r="M92" i="1"/>
  <c r="N92" i="1" s="1"/>
  <c r="K93" i="1"/>
  <c r="L93" i="1"/>
  <c r="M93" i="1"/>
  <c r="N93" i="1" s="1"/>
  <c r="S63" i="1" l="1"/>
  <c r="P63" i="1"/>
  <c r="J4" i="1"/>
  <c r="O5" i="1"/>
  <c r="J8" i="1"/>
  <c r="N8" i="1"/>
  <c r="N5" i="1"/>
  <c r="J5" i="1"/>
  <c r="O8" i="1"/>
  <c r="M5" i="1"/>
  <c r="M8" i="1"/>
  <c r="J7" i="1"/>
  <c r="X13" i="1"/>
  <c r="J9" i="1" l="1"/>
  <c r="V13" i="1"/>
  <c r="Y13" i="1"/>
  <c r="Z13" i="1"/>
  <c r="U13" i="1" l="1"/>
  <c r="S13" i="1" s="1"/>
  <c r="P32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<sst xmlns="http://schemas.openxmlformats.org/spreadsheetml/2006/main" count="1967" uniqueCount="502">
  <si>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</si>
  <si>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</si>
  <si>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</si>
  <si>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</si>
  <si>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</si>
  <si>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</si>
  <si>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</si>
  <si>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</si>
  <si>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</si>
  <si>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</si>
  <si>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</si>
  <si>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</si>
  <si>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</si>
  <si>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</si>
  <si>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</si>
  <si>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</si>
  <si>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</si>
  <si>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</si>
  <si>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</si>
  <si>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</si>
  <si>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</si>
  <si>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</si>
  <si>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</si>
  <si>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</si>
  <si>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</si>
  <si>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</si>
  <si>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</si>
  <si>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</si>
  <si>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</si>
  <si>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</si>
  <si>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</si>
  <si>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</si>
  <si>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</si>
  <si>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</si>
  <si>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</si>
  <si>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</si>
  <si>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</si>
  <si>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</si>
  <si>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</si>
  <si>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</si>
  <si>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</si>
  <si>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</si>
  <si>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</si>
  <si>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</si>
  <si>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</si>
  <si>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</si>
  <si>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</si>
  <si>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</si>
  <si>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</si>
  <si>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</si>
  <si>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</si>
  <si>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</si>
  <si>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</si>
  <si>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</si>
  <si>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</si>
  <si>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</si>
  <si>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</si>
  <si>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</si>
  <si>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</si>
  <si>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</si>
  <si>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</si>
  <si>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</si>
  <si>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</si>
  <si>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</si>
  <si>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</si>
  <si>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</si>
  <si>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</si>
  <si>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</si>
  <si>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</si>
  <si>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</si>
  <si>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</si>
  <si>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</si>
  <si>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</si>
  <si>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</si>
  <si>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</si>
  <si>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204:156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</si>
  <si>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</si>
  <si>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</si>
  <si>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</si>
  <si>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</si>
  <si>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</si>
  <si>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</si>
  <si>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</si>
  <si>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</si>
  <si>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</si>
  <si>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</si>
  <si>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</si>
  <si>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</si>
  <si>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STORY</t>
  </si>
  <si>
    <t>rtdc.l.rtdc.4008:itc</t>
  </si>
  <si>
    <t>rtdc.l.rtdc.4030:itc</t>
  </si>
  <si>
    <t>rtdc.l.rtdc.4007:itc</t>
  </si>
  <si>
    <t>rtdc.l.rtdc.4031:itc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</si>
  <si>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</si>
  <si>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</si>
  <si>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</si>
  <si>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</si>
  <si>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</si>
  <si>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</si>
  <si>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</si>
  <si>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</si>
  <si>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</si>
  <si>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</si>
  <si>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</si>
  <si>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</si>
  <si>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</si>
  <si>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</si>
  <si>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204:232998</t>
  </si>
  <si>
    <t>204:170</t>
  </si>
  <si>
    <t>204:163</t>
  </si>
  <si>
    <t>204:469</t>
  </si>
  <si>
    <t>204:233291</t>
  </si>
  <si>
    <t>204:139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</si>
  <si>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</si>
  <si>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</si>
  <si>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</si>
  <si>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</si>
  <si>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</si>
  <si>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</si>
  <si>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</si>
  <si>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</si>
  <si>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204:232983</t>
  </si>
  <si>
    <t>Xing Completion Percentage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</si>
  <si>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</si>
  <si>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</si>
  <si>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</si>
  <si>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</si>
  <si>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</si>
  <si>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</si>
  <si>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</si>
  <si>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</si>
  <si>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</si>
  <si>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</si>
  <si>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</si>
  <si>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</si>
  <si>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</si>
  <si>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</si>
  <si>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</si>
  <si>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</si>
  <si>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</si>
  <si>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</si>
  <si>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</si>
  <si>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204:233288</t>
  </si>
  <si>
    <t>204:473</t>
  </si>
  <si>
    <t>DAVIS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</si>
  <si>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</si>
  <si>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</si>
  <si>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</si>
  <si>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</si>
  <si>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</si>
  <si>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</si>
  <si>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</si>
  <si>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204:233263</t>
  </si>
  <si>
    <t>204:125</t>
  </si>
  <si>
    <t>204:471</t>
  </si>
  <si>
    <t>204:232974</t>
  </si>
  <si>
    <t>204:143</t>
  </si>
  <si>
    <t>204:233317</t>
  </si>
  <si>
    <t>204:233302</t>
  </si>
  <si>
    <t>204:233280</t>
  </si>
  <si>
    <t>204:475</t>
  </si>
  <si>
    <t>204:493</t>
  </si>
  <si>
    <t>rtdc.l.rtdc.4009:itc</t>
  </si>
  <si>
    <t>MAYBERRY</t>
  </si>
  <si>
    <t>STEWART</t>
  </si>
  <si>
    <t>YORK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</si>
  <si>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</si>
  <si>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</si>
  <si>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</si>
  <si>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</si>
  <si>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</si>
  <si>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</si>
  <si>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</si>
  <si>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</si>
  <si>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</si>
  <si>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204:233004</t>
  </si>
  <si>
    <t>204:233293</t>
  </si>
  <si>
    <t>204:232961</t>
  </si>
  <si>
    <t>204:480</t>
  </si>
  <si>
    <t>204:169</t>
  </si>
  <si>
    <t>204:233283</t>
  </si>
  <si>
    <t>204:232971</t>
  </si>
  <si>
    <t>204:136</t>
  </si>
  <si>
    <t>102-24</t>
  </si>
  <si>
    <t>204:232635</t>
  </si>
  <si>
    <t>204:233299</t>
  </si>
  <si>
    <t>204:232987</t>
  </si>
  <si>
    <t>115-24</t>
  </si>
  <si>
    <t>204:232970</t>
  </si>
  <si>
    <t>124-24</t>
  </si>
  <si>
    <t>125-24</t>
  </si>
  <si>
    <t>127-24</t>
  </si>
  <si>
    <t>128-24</t>
  </si>
  <si>
    <t>129-24</t>
  </si>
  <si>
    <t>130-24</t>
  </si>
  <si>
    <t>204:233002</t>
  </si>
  <si>
    <t>204:172</t>
  </si>
  <si>
    <t>204:233289</t>
  </si>
  <si>
    <t>204:233284</t>
  </si>
  <si>
    <t>204:232990</t>
  </si>
  <si>
    <t>204:451</t>
  </si>
  <si>
    <t>204:233007</t>
  </si>
  <si>
    <t>204:232973</t>
  </si>
  <si>
    <t>204:127</t>
  </si>
  <si>
    <t>204:223</t>
  </si>
  <si>
    <t>204:444</t>
  </si>
  <si>
    <t>204:233000</t>
  </si>
  <si>
    <t>204:233312</t>
  </si>
  <si>
    <t>204:233347</t>
  </si>
  <si>
    <t>192-24</t>
  </si>
  <si>
    <t>204:233319</t>
  </si>
  <si>
    <t>204:424</t>
  </si>
  <si>
    <t>204:233328</t>
  </si>
  <si>
    <t>204:478</t>
  </si>
  <si>
    <t>204:232984</t>
  </si>
  <si>
    <t>204:233276</t>
  </si>
  <si>
    <t>204:232994</t>
  </si>
  <si>
    <t>801-24</t>
  </si>
  <si>
    <t>808-24</t>
  </si>
  <si>
    <t>rtdc.l.rtdc.4024:itc</t>
  </si>
  <si>
    <t>rtdc.l.rtdc.4023:itc</t>
  </si>
  <si>
    <t>rtdc.l.rtdc.4011:itc</t>
  </si>
  <si>
    <t>rtdc.l.rtdc.4012:itc</t>
  </si>
  <si>
    <t>EQUIPMENT RESTRICTION</t>
  </si>
  <si>
    <t>MADLOM</t>
  </si>
  <si>
    <t>SHOOK</t>
  </si>
  <si>
    <t>STURGEON</t>
  </si>
  <si>
    <t>WEBSTER</t>
  </si>
  <si>
    <t>RIVERA</t>
  </si>
  <si>
    <t>LOCKLEAR</t>
  </si>
  <si>
    <t>CHANDLER</t>
  </si>
  <si>
    <t>111-24</t>
  </si>
  <si>
    <t>101-25</t>
  </si>
  <si>
    <t>204:763</t>
  </si>
  <si>
    <t>204:233264</t>
  </si>
  <si>
    <t>102-25</t>
  </si>
  <si>
    <t>204:232642</t>
  </si>
  <si>
    <t>103-25</t>
  </si>
  <si>
    <t>104-25</t>
  </si>
  <si>
    <t>105-25</t>
  </si>
  <si>
    <t>204:659</t>
  </si>
  <si>
    <t>106-25</t>
  </si>
  <si>
    <t>204:232662</t>
  </si>
  <si>
    <t>107-25</t>
  </si>
  <si>
    <t>204:486</t>
  </si>
  <si>
    <t>108-25</t>
  </si>
  <si>
    <t>109-25</t>
  </si>
  <si>
    <t>204:233308</t>
  </si>
  <si>
    <t>110-25</t>
  </si>
  <si>
    <t>111-25</t>
  </si>
  <si>
    <t>204:781</t>
  </si>
  <si>
    <t>112-25</t>
  </si>
  <si>
    <t>113-25</t>
  </si>
  <si>
    <t>114-25</t>
  </si>
  <si>
    <t>115-25</t>
  </si>
  <si>
    <t>204:681</t>
  </si>
  <si>
    <t>116-25</t>
  </si>
  <si>
    <t>117-25</t>
  </si>
  <si>
    <t>204:32506</t>
  </si>
  <si>
    <t>118-25</t>
  </si>
  <si>
    <t>119-25</t>
  </si>
  <si>
    <t>204:719</t>
  </si>
  <si>
    <t>120-25</t>
  </si>
  <si>
    <t>121-25</t>
  </si>
  <si>
    <t>122-25</t>
  </si>
  <si>
    <t>123-25</t>
  </si>
  <si>
    <t>124-25</t>
  </si>
  <si>
    <t>125-25</t>
  </si>
  <si>
    <t>204:233314</t>
  </si>
  <si>
    <t>126-25</t>
  </si>
  <si>
    <t>127-25</t>
  </si>
  <si>
    <t>128-25</t>
  </si>
  <si>
    <t>129-25</t>
  </si>
  <si>
    <t>204:1975</t>
  </si>
  <si>
    <t>130-25</t>
  </si>
  <si>
    <t>131-25</t>
  </si>
  <si>
    <t>204:37185</t>
  </si>
  <si>
    <t>132-25</t>
  </si>
  <si>
    <t>133-25</t>
  </si>
  <si>
    <t>204:233287</t>
  </si>
  <si>
    <t>134-25</t>
  </si>
  <si>
    <t>204:232979</t>
  </si>
  <si>
    <t>135-25</t>
  </si>
  <si>
    <t>204:233305</t>
  </si>
  <si>
    <t>136-25</t>
  </si>
  <si>
    <t>204:138</t>
  </si>
  <si>
    <t>137-25</t>
  </si>
  <si>
    <t>138-25</t>
  </si>
  <si>
    <t>204:232993</t>
  </si>
  <si>
    <t>139-25</t>
  </si>
  <si>
    <t>204:466</t>
  </si>
  <si>
    <t>140-25</t>
  </si>
  <si>
    <t>204:209</t>
  </si>
  <si>
    <t>141-25</t>
  </si>
  <si>
    <t>142-25</t>
  </si>
  <si>
    <t>204:63902</t>
  </si>
  <si>
    <t>143-25</t>
  </si>
  <si>
    <t>144-25</t>
  </si>
  <si>
    <t>204:355</t>
  </si>
  <si>
    <t>145-25</t>
  </si>
  <si>
    <t>146-25</t>
  </si>
  <si>
    <t>147-25</t>
  </si>
  <si>
    <t>204:442</t>
  </si>
  <si>
    <t>148-25</t>
  </si>
  <si>
    <t>149-25</t>
  </si>
  <si>
    <t>204:420</t>
  </si>
  <si>
    <t>150-25</t>
  </si>
  <si>
    <t>204:165</t>
  </si>
  <si>
    <t>151-25</t>
  </si>
  <si>
    <t>152-25</t>
  </si>
  <si>
    <t>204:232959</t>
  </si>
  <si>
    <t>153-25</t>
  </si>
  <si>
    <t>204:1528</t>
  </si>
  <si>
    <t>204:1888</t>
  </si>
  <si>
    <t>204:19137</t>
  </si>
  <si>
    <t>154-25</t>
  </si>
  <si>
    <t>155-25</t>
  </si>
  <si>
    <t>204:1181</t>
  </si>
  <si>
    <t>156-25</t>
  </si>
  <si>
    <t>157-25</t>
  </si>
  <si>
    <t>204:652</t>
  </si>
  <si>
    <t>158-25</t>
  </si>
  <si>
    <t>159-25</t>
  </si>
  <si>
    <t>160-25</t>
  </si>
  <si>
    <t>161-25</t>
  </si>
  <si>
    <t>162-25</t>
  </si>
  <si>
    <t>163-25</t>
  </si>
  <si>
    <t>204:233311</t>
  </si>
  <si>
    <t>164-25</t>
  </si>
  <si>
    <t>204:232988</t>
  </si>
  <si>
    <t>165-25</t>
  </si>
  <si>
    <t>166-25</t>
  </si>
  <si>
    <t>204:233015</t>
  </si>
  <si>
    <t>167-25</t>
  </si>
  <si>
    <t>168-25</t>
  </si>
  <si>
    <t>204:36733</t>
  </si>
  <si>
    <t>169-25</t>
  </si>
  <si>
    <t>204:37214</t>
  </si>
  <si>
    <t>170-25</t>
  </si>
  <si>
    <t>204:154</t>
  </si>
  <si>
    <t>171-25</t>
  </si>
  <si>
    <t>172-25</t>
  </si>
  <si>
    <t>173-25</t>
  </si>
  <si>
    <t>174-25</t>
  </si>
  <si>
    <t>175-25</t>
  </si>
  <si>
    <t>176-25</t>
  </si>
  <si>
    <t>177-25</t>
  </si>
  <si>
    <t>204:433</t>
  </si>
  <si>
    <t>204:233323</t>
  </si>
  <si>
    <t>178-25</t>
  </si>
  <si>
    <t>179-25</t>
  </si>
  <si>
    <t>180-25</t>
  </si>
  <si>
    <t>204:233019</t>
  </si>
  <si>
    <t>1800-25</t>
  </si>
  <si>
    <t>1801-25</t>
  </si>
  <si>
    <t>1802-25</t>
  </si>
  <si>
    <t>1803-25</t>
  </si>
  <si>
    <t>1804-25</t>
  </si>
  <si>
    <t>1805-25</t>
  </si>
  <si>
    <t>1806-25</t>
  </si>
  <si>
    <t>1807-25</t>
  </si>
  <si>
    <t>1808-25</t>
  </si>
  <si>
    <t>1809-25</t>
  </si>
  <si>
    <t>181-25</t>
  </si>
  <si>
    <t>204:233304</t>
  </si>
  <si>
    <t>1810-25</t>
  </si>
  <si>
    <t>1811-25</t>
  </si>
  <si>
    <t>1812-25</t>
  </si>
  <si>
    <t>1813-25</t>
  </si>
  <si>
    <t>1814-25</t>
  </si>
  <si>
    <t>1815-25</t>
  </si>
  <si>
    <t>1816-25</t>
  </si>
  <si>
    <t>1817-25</t>
  </si>
  <si>
    <t>1818-25</t>
  </si>
  <si>
    <t>1819-25</t>
  </si>
  <si>
    <t>182-25</t>
  </si>
  <si>
    <t>1820-25</t>
  </si>
  <si>
    <t>1821-25</t>
  </si>
  <si>
    <t>1822-25</t>
  </si>
  <si>
    <t>1823-25</t>
  </si>
  <si>
    <t>1824-25</t>
  </si>
  <si>
    <t>1825-25</t>
  </si>
  <si>
    <t>1826-25</t>
  </si>
  <si>
    <t>1827-25</t>
  </si>
  <si>
    <t>1828-25</t>
  </si>
  <si>
    <t>1829-25</t>
  </si>
  <si>
    <t>183-25</t>
  </si>
  <si>
    <t>1830-25</t>
  </si>
  <si>
    <t>1831-25</t>
  </si>
  <si>
    <t>1832-25</t>
  </si>
  <si>
    <t>1833-25</t>
  </si>
  <si>
    <t>184-25</t>
  </si>
  <si>
    <t>185-25</t>
  </si>
  <si>
    <t>186-25</t>
  </si>
  <si>
    <t>187-25</t>
  </si>
  <si>
    <t>188-25</t>
  </si>
  <si>
    <t>189-25</t>
  </si>
  <si>
    <t>190-25</t>
  </si>
  <si>
    <t>1902-25</t>
  </si>
  <si>
    <t>191-25</t>
  </si>
  <si>
    <t>192-25</t>
  </si>
  <si>
    <t>193-25</t>
  </si>
  <si>
    <t>204:233334</t>
  </si>
  <si>
    <t>194-25</t>
  </si>
  <si>
    <t>204:233010</t>
  </si>
  <si>
    <t>195-25</t>
  </si>
  <si>
    <t>204:233222</t>
  </si>
  <si>
    <t>196-25</t>
  </si>
  <si>
    <t>204:232911</t>
  </si>
  <si>
    <t>197-25</t>
  </si>
  <si>
    <t>198-25</t>
  </si>
  <si>
    <t>199-25</t>
  </si>
  <si>
    <t>200-25</t>
  </si>
  <si>
    <t>201-25</t>
  </si>
  <si>
    <t>202-25</t>
  </si>
  <si>
    <t>204:232991</t>
  </si>
  <si>
    <t>203-25</t>
  </si>
  <si>
    <t>204:437</t>
  </si>
  <si>
    <t>204-25</t>
  </si>
  <si>
    <t>205-25</t>
  </si>
  <si>
    <t>206-25</t>
  </si>
  <si>
    <t>204:1188</t>
  </si>
  <si>
    <t>207-25</t>
  </si>
  <si>
    <t>204:233339</t>
  </si>
  <si>
    <t>208-25</t>
  </si>
  <si>
    <t>204:233021</t>
  </si>
  <si>
    <t>209-25</t>
  </si>
  <si>
    <t>204:233329</t>
  </si>
  <si>
    <t>210-25</t>
  </si>
  <si>
    <t>211-25</t>
  </si>
  <si>
    <t>204:233232</t>
  </si>
  <si>
    <t>212-25</t>
  </si>
  <si>
    <t>204:232902</t>
  </si>
  <si>
    <t>204:167</t>
  </si>
  <si>
    <t>213-25</t>
  </si>
  <si>
    <t>214-25</t>
  </si>
  <si>
    <t>204:232932</t>
  </si>
  <si>
    <t>215-25</t>
  </si>
  <si>
    <t>204:233320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</si>
  <si>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</si>
  <si>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</si>
  <si>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</si>
  <si>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</si>
  <si>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</si>
  <si>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</si>
  <si>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</si>
  <si>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</si>
  <si>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</si>
  <si>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204:232967</t>
  </si>
  <si>
    <t>225-25</t>
  </si>
  <si>
    <t>226-25</t>
  </si>
  <si>
    <t>227-25</t>
  </si>
  <si>
    <t>229-25</t>
  </si>
  <si>
    <t>230-25</t>
  </si>
  <si>
    <t>231-25</t>
  </si>
  <si>
    <t>232-25</t>
  </si>
  <si>
    <t>204:232960</t>
  </si>
  <si>
    <t>204:174</t>
  </si>
  <si>
    <t>233-25</t>
  </si>
  <si>
    <t>204:233272</t>
  </si>
  <si>
    <t>234-25</t>
  </si>
  <si>
    <t>204:211</t>
  </si>
  <si>
    <t>235-25</t>
  </si>
  <si>
    <t>236-25</t>
  </si>
  <si>
    <t>237-25</t>
  </si>
  <si>
    <t>238-25</t>
  </si>
  <si>
    <t>239-25</t>
  </si>
  <si>
    <t>204:482</t>
  </si>
  <si>
    <t>240-25</t>
  </si>
  <si>
    <t>241-25</t>
  </si>
  <si>
    <t>204:522</t>
  </si>
  <si>
    <t>204:233345</t>
  </si>
  <si>
    <t>242-25</t>
  </si>
  <si>
    <t>243-25</t>
  </si>
  <si>
    <t>244-25</t>
  </si>
  <si>
    <t>245-25</t>
  </si>
  <si>
    <t>246-25</t>
  </si>
  <si>
    <t>204:178</t>
  </si>
  <si>
    <t>rtdc.l.rtdc.4026:itc</t>
  </si>
  <si>
    <t>rtdc.l.rtdc.4027:itc</t>
  </si>
  <si>
    <t>rtdc.l.rtdc.4014:itc</t>
  </si>
  <si>
    <t>rtdc.l.rtdc.4013:itc</t>
  </si>
  <si>
    <t>rtdc.l.rtdc.4025:itc</t>
  </si>
  <si>
    <t>rtdc.l.rtdc.4043:itc</t>
  </si>
  <si>
    <t>UNHEALTHY CROSSING</t>
  </si>
  <si>
    <t>Other (9)</t>
  </si>
  <si>
    <t>rtdc.l.rtdc.4044:itc</t>
  </si>
  <si>
    <t>rtdc.l.rtdc.4028:itc</t>
  </si>
  <si>
    <t>ACKERMAN</t>
  </si>
  <si>
    <t>HELVIE</t>
  </si>
  <si>
    <t>GEBRETEKLE</t>
  </si>
  <si>
    <t>YANAI</t>
  </si>
  <si>
    <t>LEVERE</t>
  </si>
  <si>
    <t>SANTIZO</t>
  </si>
  <si>
    <t>228-15</t>
  </si>
  <si>
    <t>Onboard In-route Failure caused a departure delay, but this run was fine</t>
  </si>
  <si>
    <t>Cut out button was not pressed at the end of the run</t>
  </si>
  <si>
    <t>Onboard in-route failure</t>
  </si>
  <si>
    <t>Dispatcher error caused init fail at DUS, initialized succesfully at Colorado Station</t>
  </si>
  <si>
    <t>Form C at Ulster</t>
  </si>
  <si>
    <t>Main 3 at DUS. Initialized at 38th</t>
  </si>
  <si>
    <t>Wi-MAX outage near MP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</si>
</sst>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24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7"/>
  <sheetViews>
    <sheetView showGridLines="0" tabSelected="1" topLeftCell="A94" zoomScale="85" zoomScaleNormal="85" workbookViewId="0">
      <selection activeCell="V116" sqref="V116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7.2851562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4.8554687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0">
        <f>Variables!A2</f>
        <v>42546</v>
      </c>
      <c r="J2" s="81"/>
      <c r="K2" s="50"/>
      <c r="L2" s="50"/>
      <c r="M2" s="82" t="s">
        <v>8</v>
      </c>
      <c r="N2" s="83"/>
      <c r="O2" s="84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5" t="s">
        <v>10</v>
      </c>
      <c r="J3" s="86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COUNT($N$13:$P$1943)</f>
        <v>144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COUNT($N$13:$N$1943)</f>
        <v>134</v>
      </c>
      <c r="K5" s="3"/>
      <c r="L5" s="3"/>
      <c r="M5" s="45">
        <f>AVERAGE($N$13:$N$943)</f>
        <v>43.786442786604582</v>
      </c>
      <c r="N5" s="5">
        <f>MIN($N$13:$N$943)</f>
        <v>36.166666665812954</v>
      </c>
      <c r="O5" s="6">
        <f>MAX($N$13:$N$943)</f>
        <v>57.866666667396203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COUNT($O$13:$O$943)</f>
        <v>0</v>
      </c>
      <c r="K6" s="3"/>
      <c r="L6" s="3"/>
      <c r="M6" s="45">
        <f>IFERROR(AVERAGE($O$13:$O$943),0)</f>
        <v>0</v>
      </c>
      <c r="N6" s="5">
        <f>MIN($O$13:$O$943)</f>
        <v>0</v>
      </c>
      <c r="O6" s="6">
        <f>MAX($O$13:$O$943)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COUNT($P$13:$P$943)</f>
        <v>10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COUNT($N$13:$O$943)</f>
        <v>134</v>
      </c>
      <c r="K8" s="3"/>
      <c r="L8" s="3"/>
      <c r="M8" s="45">
        <f>AVERAGE($N$13:$P$943)</f>
        <v>53.083796296705259</v>
      </c>
      <c r="N8" s="5">
        <f>MIN($N$13:$O$943)</f>
        <v>36.166666665812954</v>
      </c>
      <c r="O8" s="6">
        <f>MAX($N$13:$O$943)</f>
        <v>57.866666667396203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0.93055555555555558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79" t="str">
        <f>"Eagle P3 System Performance - "&amp;TEXT(Variables!A2,"yyyy-mm-dd")</f>
        <v>Eagle P3 System Performance - 2016-06-25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122</v>
      </c>
      <c r="T12" s="9" t="s">
        <v>124</v>
      </c>
      <c r="U12" s="9" t="s">
        <v>125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232</v>
      </c>
      <c r="B13" s="43">
        <v>4020</v>
      </c>
      <c r="C13" s="43" t="s">
        <v>60</v>
      </c>
      <c r="D13" s="43" t="s">
        <v>233</v>
      </c>
      <c r="E13" s="25">
        <v>42546.13008101852</v>
      </c>
      <c r="F13" s="25">
        <v>42546.131863425922</v>
      </c>
      <c r="G13" s="31">
        <v>2</v>
      </c>
      <c r="H13" s="25" t="s">
        <v>234</v>
      </c>
      <c r="I13" s="25">
        <v>42546.161400462966</v>
      </c>
      <c r="J13" s="43">
        <v>0</v>
      </c>
      <c r="K13" s="43" t="str">
        <f t="shared" ref="K13:K42" si="0">IF(ISEVEN(B13),(B13-1)&amp;"/"&amp;B13,B13&amp;"/"&amp;(B13+1))</f>
        <v>4019/4020</v>
      </c>
      <c r="L13" s="43" t="str">
        <f>VLOOKUP(A13,'Trips&amp;Operators'!$C$1:$E$10000,3,FALSE)</f>
        <v>CANFIELD</v>
      </c>
      <c r="M13" s="11">
        <f t="shared" ref="M13:M42" si="1">I13-F13</f>
        <v>2.9537037044065073E-2</v>
      </c>
      <c r="N13" s="12">
        <f t="shared" ref="N13:P42" si="2">24*60*SUM($M13:$M13)</f>
        <v>42.533333343453705</v>
      </c>
      <c r="O13" s="12"/>
      <c r="P13" s="12"/>
      <c r="Q13" s="44"/>
      <c r="R13" s="44"/>
      <c r="S13" s="70">
        <f t="shared" ref="S13:S42" si="3">SUM(U13:U13)/12</f>
        <v>1</v>
      </c>
      <c r="T13" s="2" t="str">
        <f t="shared" ref="T13:T42" si="4">IF(ISEVEN(LEFT(A13,3)),"Southbound","NorthBound")</f>
        <v>NorthBound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42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https://search-rtdc-monitor-bjffxe2xuh6vdkpspy63sjmuny.us-east-1.es.amazonaws.com/_plugin/kibana/#/discover/Steve-Slow-Train-Analysis-(2080s-and-2083s)?_g=(refreshInterval:(display:Off,section:0,value:0),time:(from:'2016-06-25 03:06:19-0600',mode:absolute,to:'2016-06-25 03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" s="48" t="str">
        <f t="shared" ref="W13:W42" si="6">IF(AA13&lt;23,"Y","N")</f>
        <v>N</v>
      </c>
      <c r="X13" s="48" t="e">
        <f t="shared" ref="X13:X42" si="7">VALUE(LEFT(A13,3))-VALUE(LEFT(A12,3))</f>
        <v>#VALUE!</v>
      </c>
      <c r="Y13" s="48">
        <f t="shared" ref="Y13:Y49" si="8">RIGHT(D13,LEN(D13)-4)/10000</f>
        <v>7.6300000000000007E-2</v>
      </c>
      <c r="Z13" s="48">
        <f t="shared" ref="Z13:Z41" si="9">RIGHT(H13,LEN(H13)-4)/10000</f>
        <v>23.3264</v>
      </c>
      <c r="AA13" s="48">
        <f t="shared" ref="AA13:AA42" si="10">ABS(Z13-Y13)</f>
        <v>23.2501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43" t="s">
        <v>235</v>
      </c>
      <c r="B14" s="43">
        <v>4028</v>
      </c>
      <c r="C14" s="43" t="s">
        <v>60</v>
      </c>
      <c r="D14" s="43" t="s">
        <v>236</v>
      </c>
      <c r="E14" s="25">
        <v>42546.168796296297</v>
      </c>
      <c r="F14" s="25">
        <v>42546.172060185185</v>
      </c>
      <c r="G14" s="31">
        <v>4</v>
      </c>
      <c r="H14" s="25" t="s">
        <v>119</v>
      </c>
      <c r="I14" s="25">
        <v>42546.20071759259</v>
      </c>
      <c r="J14" s="43">
        <v>0</v>
      </c>
      <c r="K14" s="43" t="str">
        <f t="shared" si="0"/>
        <v>4027/4028</v>
      </c>
      <c r="L14" s="43" t="str">
        <f>VLOOKUP(A14,'Trips&amp;Operators'!$C$1:$E$10000,3,FALSE)</f>
        <v>CANFIELD</v>
      </c>
      <c r="M14" s="11">
        <f t="shared" si="1"/>
        <v>2.8657407405262347E-2</v>
      </c>
      <c r="N14" s="12">
        <f t="shared" si="2"/>
        <v>41.26666666357778</v>
      </c>
      <c r="O14" s="12"/>
      <c r="P14" s="12"/>
      <c r="Q14" s="44"/>
      <c r="R14" s="44"/>
      <c r="S14" s="70">
        <f t="shared" si="3"/>
        <v>1</v>
      </c>
      <c r="T14" s="2" t="str">
        <f t="shared" si="4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04:02:04-0600',mode:absolute,to:'2016-06-25 04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48" t="str">
        <f t="shared" si="6"/>
        <v>N</v>
      </c>
      <c r="X14" s="48">
        <f t="shared" si="7"/>
        <v>1</v>
      </c>
      <c r="Y14" s="48">
        <f t="shared" si="8"/>
        <v>23.264199999999999</v>
      </c>
      <c r="Z14" s="48">
        <f t="shared" si="9"/>
        <v>1.4999999999999999E-2</v>
      </c>
      <c r="AA14" s="48">
        <f t="shared" si="10"/>
        <v>23.249199999999998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43" t="s">
        <v>237</v>
      </c>
      <c r="B15" s="43">
        <v>4042</v>
      </c>
      <c r="C15" s="43" t="s">
        <v>60</v>
      </c>
      <c r="D15" s="43" t="s">
        <v>233</v>
      </c>
      <c r="E15" s="25">
        <v>42546.151342592595</v>
      </c>
      <c r="F15" s="25">
        <v>42546.153124999997</v>
      </c>
      <c r="G15" s="31">
        <v>2</v>
      </c>
      <c r="H15" s="25" t="s">
        <v>198</v>
      </c>
      <c r="I15" s="25">
        <v>42546.182592592595</v>
      </c>
      <c r="J15" s="43">
        <v>1</v>
      </c>
      <c r="K15" s="43" t="str">
        <f t="shared" si="0"/>
        <v>4041/4042</v>
      </c>
      <c r="L15" s="43" t="str">
        <f>VLOOKUP(A15,'Trips&amp;Operators'!$C$1:$E$10000,3,FALSE)</f>
        <v>STURGEON</v>
      </c>
      <c r="M15" s="11">
        <f t="shared" si="1"/>
        <v>2.9467592597939074E-2</v>
      </c>
      <c r="N15" s="12">
        <f t="shared" si="2"/>
        <v>42.433333341032267</v>
      </c>
      <c r="O15" s="12"/>
      <c r="P15" s="12"/>
      <c r="Q15" s="44"/>
      <c r="R15" s="44"/>
      <c r="S15" s="70">
        <f t="shared" si="3"/>
        <v>1</v>
      </c>
      <c r="T15" s="2" t="str">
        <f t="shared" si="4"/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03:36:56-0600',mode:absolute,to:'2016-06-25 04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" s="48" t="str">
        <f t="shared" si="6"/>
        <v>N</v>
      </c>
      <c r="X15" s="48">
        <f t="shared" si="7"/>
        <v>1</v>
      </c>
      <c r="Y15" s="48">
        <f t="shared" si="8"/>
        <v>7.6300000000000007E-2</v>
      </c>
      <c r="Z15" s="48">
        <f t="shared" si="9"/>
        <v>23.328399999999998</v>
      </c>
      <c r="AA15" s="48">
        <f t="shared" si="10"/>
        <v>23.252099999999999</v>
      </c>
      <c r="AB15" s="49">
        <f>VLOOKUP(A15,Enforcements!$C$7:$J$32,8,0)</f>
        <v>233491</v>
      </c>
      <c r="AC15" s="49" t="str">
        <f>VLOOKUP(A15,Enforcements!$C$7:$E$32,3,0)</f>
        <v>TRACK WARRANT AUTHORITY</v>
      </c>
    </row>
    <row r="16" spans="1:91" s="2" customFormat="1" x14ac:dyDescent="0.25">
      <c r="A16" s="43" t="s">
        <v>238</v>
      </c>
      <c r="B16" s="43">
        <v>4013</v>
      </c>
      <c r="C16" s="43" t="s">
        <v>60</v>
      </c>
      <c r="D16" s="43" t="s">
        <v>184</v>
      </c>
      <c r="E16" s="25">
        <v>42546.191203703704</v>
      </c>
      <c r="F16" s="25">
        <v>42546.192094907405</v>
      </c>
      <c r="G16" s="31">
        <v>1</v>
      </c>
      <c r="H16" s="25" t="s">
        <v>95</v>
      </c>
      <c r="I16" s="25">
        <v>42546.22184027778</v>
      </c>
      <c r="J16" s="43">
        <v>0</v>
      </c>
      <c r="K16" s="43" t="str">
        <f t="shared" si="0"/>
        <v>4013/4014</v>
      </c>
      <c r="L16" s="43" t="str">
        <f>VLOOKUP(A16,'Trips&amp;Operators'!$C$1:$E$10000,3,FALSE)</f>
        <v>STURGEON</v>
      </c>
      <c r="M16" s="11">
        <f t="shared" si="1"/>
        <v>2.9745370375167113E-2</v>
      </c>
      <c r="N16" s="12">
        <f t="shared" si="2"/>
        <v>42.833333340240642</v>
      </c>
      <c r="O16" s="12"/>
      <c r="P16" s="12"/>
      <c r="Q16" s="44"/>
      <c r="R16" s="44"/>
      <c r="S16" s="70">
        <f t="shared" si="3"/>
        <v>1</v>
      </c>
      <c r="T16" s="2" t="str">
        <f t="shared" si="4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04:34:20-0600',mode:absolute,to:'2016-06-25 05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48" t="str">
        <f t="shared" si="6"/>
        <v>N</v>
      </c>
      <c r="X16" s="48">
        <f t="shared" si="7"/>
        <v>1</v>
      </c>
      <c r="Y16" s="48">
        <f t="shared" si="8"/>
        <v>23.263500000000001</v>
      </c>
      <c r="Z16" s="48">
        <f t="shared" si="9"/>
        <v>1.61E-2</v>
      </c>
      <c r="AA16" s="48">
        <f t="shared" si="10"/>
        <v>23.247399999999999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43" t="s">
        <v>239</v>
      </c>
      <c r="B17" s="43">
        <v>4044</v>
      </c>
      <c r="C17" s="43" t="s">
        <v>60</v>
      </c>
      <c r="D17" s="43" t="s">
        <v>240</v>
      </c>
      <c r="E17" s="25">
        <v>42546.166400462964</v>
      </c>
      <c r="F17" s="25">
        <v>42546.167337962965</v>
      </c>
      <c r="G17" s="31">
        <v>1</v>
      </c>
      <c r="H17" s="25" t="s">
        <v>173</v>
      </c>
      <c r="I17" s="25">
        <v>42546.202604166669</v>
      </c>
      <c r="J17" s="43">
        <v>0</v>
      </c>
      <c r="K17" s="43" t="str">
        <f t="shared" si="0"/>
        <v>4043/4044</v>
      </c>
      <c r="L17" s="43" t="str">
        <f>VLOOKUP(A17,'Trips&amp;Operators'!$C$1:$E$10000,3,FALSE)</f>
        <v>YORK</v>
      </c>
      <c r="M17" s="11">
        <f t="shared" si="1"/>
        <v>3.5266203703940846E-2</v>
      </c>
      <c r="N17" s="12">
        <f t="shared" si="2"/>
        <v>50.783333333674818</v>
      </c>
      <c r="O17" s="12"/>
      <c r="P17" s="12"/>
      <c r="Q17" s="44"/>
      <c r="R17" s="44"/>
      <c r="S17" s="70">
        <f t="shared" si="3"/>
        <v>1</v>
      </c>
      <c r="T17" s="2" t="str">
        <f t="shared" si="4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03:58:37-0600',mode:absolute,to:'2016-06-25 04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48" t="str">
        <f t="shared" si="6"/>
        <v>N</v>
      </c>
      <c r="X17" s="48">
        <f t="shared" si="7"/>
        <v>1</v>
      </c>
      <c r="Y17" s="48">
        <f t="shared" si="8"/>
        <v>6.59E-2</v>
      </c>
      <c r="Z17" s="48">
        <f t="shared" si="9"/>
        <v>23.33</v>
      </c>
      <c r="AA17" s="48">
        <f t="shared" si="10"/>
        <v>23.264099999999999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43" t="s">
        <v>241</v>
      </c>
      <c r="B18" s="43">
        <v>4026</v>
      </c>
      <c r="C18" s="43" t="s">
        <v>60</v>
      </c>
      <c r="D18" s="43" t="s">
        <v>242</v>
      </c>
      <c r="E18" s="25">
        <v>42546.204224537039</v>
      </c>
      <c r="F18" s="25">
        <v>42546.205243055556</v>
      </c>
      <c r="G18" s="31">
        <v>1</v>
      </c>
      <c r="H18" s="25" t="s">
        <v>109</v>
      </c>
      <c r="I18" s="25">
        <v>42546.242476851854</v>
      </c>
      <c r="J18" s="43">
        <v>1</v>
      </c>
      <c r="K18" s="43" t="str">
        <f t="shared" si="0"/>
        <v>4025/4026</v>
      </c>
      <c r="L18" s="43" t="str">
        <f>VLOOKUP(A18,'Trips&amp;Operators'!$C$1:$E$10000,3,FALSE)</f>
        <v>YORK</v>
      </c>
      <c r="M18" s="11">
        <f t="shared" si="1"/>
        <v>3.7233796298096422E-2</v>
      </c>
      <c r="N18" s="12">
        <f t="shared" si="2"/>
        <v>53.616666669258848</v>
      </c>
      <c r="O18" s="12"/>
      <c r="P18" s="12"/>
      <c r="Q18" s="44"/>
      <c r="R18" s="44"/>
      <c r="S18" s="70">
        <f t="shared" si="3"/>
        <v>1</v>
      </c>
      <c r="T18" s="2" t="str">
        <f t="shared" si="4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04:53:05-0600',mode:absolute,to:'2016-06-25 05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" s="48" t="str">
        <f t="shared" si="6"/>
        <v>N</v>
      </c>
      <c r="X18" s="48">
        <f t="shared" si="7"/>
        <v>1</v>
      </c>
      <c r="Y18" s="48">
        <f t="shared" si="8"/>
        <v>23.266200000000001</v>
      </c>
      <c r="Z18" s="48">
        <f t="shared" si="9"/>
        <v>1.6299999999999999E-2</v>
      </c>
      <c r="AA18" s="48">
        <f t="shared" si="10"/>
        <v>23.2499</v>
      </c>
      <c r="AB18" s="49">
        <f>VLOOKUP(A18,Enforcements!$C$7:$J$32,8,0)</f>
        <v>156300</v>
      </c>
      <c r="AC18" s="49" t="str">
        <f>VLOOKUP(A18,Enforcements!$C$7:$E$32,3,0)</f>
        <v>SWITCH UNKNOWN</v>
      </c>
    </row>
    <row r="19" spans="1:29" s="2" customFormat="1" x14ac:dyDescent="0.25">
      <c r="A19" s="43" t="s">
        <v>243</v>
      </c>
      <c r="B19" s="43">
        <v>4007</v>
      </c>
      <c r="C19" s="43" t="s">
        <v>60</v>
      </c>
      <c r="D19" s="43" t="s">
        <v>244</v>
      </c>
      <c r="E19" s="25">
        <v>42546.178946759261</v>
      </c>
      <c r="F19" s="25">
        <v>42546.180324074077</v>
      </c>
      <c r="G19" s="31">
        <v>1</v>
      </c>
      <c r="H19" s="25" t="s">
        <v>207</v>
      </c>
      <c r="I19" s="25">
        <v>42546.21361111111</v>
      </c>
      <c r="J19" s="43">
        <v>0</v>
      </c>
      <c r="K19" s="43" t="str">
        <f t="shared" si="0"/>
        <v>4007/4008</v>
      </c>
      <c r="L19" s="43" t="str">
        <f>VLOOKUP(A19,'Trips&amp;Operators'!$C$1:$E$10000,3,FALSE)</f>
        <v>SANTIZO</v>
      </c>
      <c r="M19" s="11">
        <f t="shared" si="1"/>
        <v>3.3287037033005618E-2</v>
      </c>
      <c r="N19" s="12">
        <f t="shared" si="2"/>
        <v>47.933333327528089</v>
      </c>
      <c r="O19" s="12"/>
      <c r="P19" s="12"/>
      <c r="Q19" s="44"/>
      <c r="R19" s="44"/>
      <c r="S19" s="70">
        <f t="shared" si="3"/>
        <v>1</v>
      </c>
      <c r="T19" s="2" t="str">
        <f t="shared" si="4"/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04:16:41-0600',mode:absolute,to:'2016-06-25 05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9" s="48" t="str">
        <f t="shared" si="6"/>
        <v>N</v>
      </c>
      <c r="X19" s="48">
        <f t="shared" si="7"/>
        <v>1</v>
      </c>
      <c r="Y19" s="48">
        <f t="shared" si="8"/>
        <v>4.8599999999999997E-2</v>
      </c>
      <c r="Z19" s="48">
        <f t="shared" si="9"/>
        <v>23.331199999999999</v>
      </c>
      <c r="AA19" s="48">
        <f t="shared" si="10"/>
        <v>23.282599999999999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43" t="s">
        <v>245</v>
      </c>
      <c r="B20" s="43">
        <v>4008</v>
      </c>
      <c r="C20" s="43" t="s">
        <v>60</v>
      </c>
      <c r="D20" s="43" t="s">
        <v>120</v>
      </c>
      <c r="E20" s="25">
        <v>42546.215578703705</v>
      </c>
      <c r="F20" s="25">
        <v>42546.216631944444</v>
      </c>
      <c r="G20" s="31">
        <v>1</v>
      </c>
      <c r="H20" s="25" t="s">
        <v>74</v>
      </c>
      <c r="I20" s="25">
        <v>42546.252210648148</v>
      </c>
      <c r="J20" s="43">
        <v>0</v>
      </c>
      <c r="K20" s="43" t="str">
        <f t="shared" si="0"/>
        <v>4007/4008</v>
      </c>
      <c r="L20" s="43" t="str">
        <f>VLOOKUP(A20,'Trips&amp;Operators'!$C$1:$E$10000,3,FALSE)</f>
        <v>SANTIZO</v>
      </c>
      <c r="M20" s="11">
        <f t="shared" si="1"/>
        <v>3.5578703704231884E-2</v>
      </c>
      <c r="N20" s="12">
        <f t="shared" si="2"/>
        <v>51.233333334093913</v>
      </c>
      <c r="O20" s="12"/>
      <c r="P20" s="12"/>
      <c r="Q20" s="44"/>
      <c r="R20" s="44"/>
      <c r="S20" s="70">
        <f t="shared" si="3"/>
        <v>1</v>
      </c>
      <c r="T20" s="2" t="str">
        <f t="shared" si="4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05:09:26-0600',mode:absolute,to:'2016-06-25 06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0" s="48" t="str">
        <f t="shared" si="6"/>
        <v>N</v>
      </c>
      <c r="X20" s="48">
        <f t="shared" si="7"/>
        <v>1</v>
      </c>
      <c r="Y20" s="48">
        <f t="shared" si="8"/>
        <v>23.2986</v>
      </c>
      <c r="Z20" s="48">
        <f t="shared" si="9"/>
        <v>1.41E-2</v>
      </c>
      <c r="AA20" s="48">
        <f t="shared" si="10"/>
        <v>23.284500000000001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43" t="s">
        <v>246</v>
      </c>
      <c r="B21" s="43">
        <v>4024</v>
      </c>
      <c r="C21" s="43" t="s">
        <v>60</v>
      </c>
      <c r="D21" s="43" t="s">
        <v>160</v>
      </c>
      <c r="E21" s="25">
        <v>42546.196030092593</v>
      </c>
      <c r="F21" s="25">
        <v>42546.19703703704</v>
      </c>
      <c r="G21" s="31">
        <v>1</v>
      </c>
      <c r="H21" s="25" t="s">
        <v>247</v>
      </c>
      <c r="I21" s="25">
        <v>42546.223437499997</v>
      </c>
      <c r="J21" s="43">
        <v>1</v>
      </c>
      <c r="K21" s="43" t="str">
        <f t="shared" si="0"/>
        <v>4023/4024</v>
      </c>
      <c r="L21" s="43" t="str">
        <f>VLOOKUP(A21,'Trips&amp;Operators'!$C$1:$E$10000,3,FALSE)</f>
        <v>MALAVE</v>
      </c>
      <c r="M21" s="11">
        <f t="shared" si="1"/>
        <v>2.640046295709908E-2</v>
      </c>
      <c r="N21" s="12">
        <f t="shared" si="2"/>
        <v>38.016666658222675</v>
      </c>
      <c r="O21" s="12"/>
      <c r="P21" s="12"/>
      <c r="Q21" s="44"/>
      <c r="R21" s="44"/>
      <c r="S21" s="70">
        <f t="shared" si="3"/>
        <v>1</v>
      </c>
      <c r="T21" s="2" t="str">
        <f t="shared" si="4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04:41:17-0600',mode:absolute,to:'2016-06-25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1" s="48" t="str">
        <f t="shared" si="6"/>
        <v>N</v>
      </c>
      <c r="X21" s="48">
        <f t="shared" si="7"/>
        <v>1</v>
      </c>
      <c r="Y21" s="48">
        <f t="shared" si="8"/>
        <v>4.7500000000000001E-2</v>
      </c>
      <c r="Z21" s="48">
        <f t="shared" si="9"/>
        <v>23.3308</v>
      </c>
      <c r="AA21" s="48">
        <f t="shared" si="10"/>
        <v>23.283300000000001</v>
      </c>
      <c r="AB21" s="49">
        <f>VLOOKUP(A21,Enforcements!$C$7:$J$32,8,0)</f>
        <v>63068</v>
      </c>
      <c r="AC21" s="49" t="str">
        <f>VLOOKUP(A21,Enforcements!$C$7:$E$32,3,0)</f>
        <v>GRADE CROSSING</v>
      </c>
    </row>
    <row r="22" spans="1:29" s="2" customFormat="1" x14ac:dyDescent="0.25">
      <c r="A22" s="43" t="s">
        <v>248</v>
      </c>
      <c r="B22" s="43">
        <v>4023</v>
      </c>
      <c r="C22" s="43" t="s">
        <v>60</v>
      </c>
      <c r="D22" s="43" t="s">
        <v>174</v>
      </c>
      <c r="E22" s="25">
        <v>42546.233541666668</v>
      </c>
      <c r="F22" s="25">
        <v>42546.234305555554</v>
      </c>
      <c r="G22" s="31">
        <v>1</v>
      </c>
      <c r="H22" s="25" t="s">
        <v>119</v>
      </c>
      <c r="I22" s="25">
        <v>42546.263969907406</v>
      </c>
      <c r="J22" s="43">
        <v>1</v>
      </c>
      <c r="K22" s="43" t="str">
        <f t="shared" si="0"/>
        <v>4023/4024</v>
      </c>
      <c r="L22" s="43" t="str">
        <f>VLOOKUP(A22,'Trips&amp;Operators'!$C$1:$E$10000,3,FALSE)</f>
        <v>MALAVE</v>
      </c>
      <c r="M22" s="11">
        <f t="shared" si="1"/>
        <v>2.9664351852261461E-2</v>
      </c>
      <c r="N22" s="12">
        <f t="shared" si="2"/>
        <v>42.716666667256504</v>
      </c>
      <c r="O22" s="12"/>
      <c r="P22" s="12"/>
      <c r="Q22" s="44"/>
      <c r="R22" s="44"/>
      <c r="S22" s="70">
        <f t="shared" si="3"/>
        <v>1</v>
      </c>
      <c r="T22" s="2" t="str">
        <f t="shared" si="4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05:35:18-0600',mode:absolute,to:'2016-06-25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2" s="48" t="str">
        <f t="shared" si="6"/>
        <v>N</v>
      </c>
      <c r="X22" s="48">
        <f t="shared" si="7"/>
        <v>1</v>
      </c>
      <c r="Y22" s="48">
        <f t="shared" si="8"/>
        <v>23.298500000000001</v>
      </c>
      <c r="Z22" s="48">
        <f t="shared" si="9"/>
        <v>1.4999999999999999E-2</v>
      </c>
      <c r="AA22" s="48">
        <f t="shared" si="10"/>
        <v>23.2835</v>
      </c>
      <c r="AB22" s="49">
        <f>VLOOKUP(A22,Enforcements!$C$7:$J$32,8,0)</f>
        <v>1</v>
      </c>
      <c r="AC22" s="49" t="str">
        <f>VLOOKUP(A22,Enforcements!$C$7:$E$32,3,0)</f>
        <v>TRACK WARRANT AUTHORITY</v>
      </c>
    </row>
    <row r="23" spans="1:29" s="2" customFormat="1" x14ac:dyDescent="0.25">
      <c r="A23" s="43" t="s">
        <v>249</v>
      </c>
      <c r="B23" s="43">
        <v>4020</v>
      </c>
      <c r="C23" s="43" t="s">
        <v>60</v>
      </c>
      <c r="D23" s="43" t="s">
        <v>250</v>
      </c>
      <c r="E23" s="25">
        <v>42546.204421296294</v>
      </c>
      <c r="F23" s="25">
        <v>42546.206261574072</v>
      </c>
      <c r="G23" s="31">
        <v>2</v>
      </c>
      <c r="H23" s="25" t="s">
        <v>185</v>
      </c>
      <c r="I23" s="25">
        <v>42546.233923611115</v>
      </c>
      <c r="J23" s="43">
        <v>0</v>
      </c>
      <c r="K23" s="43" t="str">
        <f t="shared" si="0"/>
        <v>4019/4020</v>
      </c>
      <c r="L23" s="43" t="str">
        <f>VLOOKUP(A23,'Trips&amp;Operators'!$C$1:$E$10000,3,FALSE)</f>
        <v>GEBRETEKLE</v>
      </c>
      <c r="M23" s="11">
        <f t="shared" si="1"/>
        <v>2.7662037042318843E-2</v>
      </c>
      <c r="N23" s="12">
        <f t="shared" si="2"/>
        <v>39.833333340939134</v>
      </c>
      <c r="O23" s="12"/>
      <c r="P23" s="12"/>
      <c r="Q23" s="44"/>
      <c r="R23" s="44"/>
      <c r="S23" s="70">
        <f t="shared" si="3"/>
        <v>1</v>
      </c>
      <c r="T23" s="2" t="str">
        <f t="shared" si="4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04:53:22-0600',mode:absolute,to:'2016-06-25 05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3" s="48" t="str">
        <f t="shared" si="6"/>
        <v>N</v>
      </c>
      <c r="X23" s="48">
        <f t="shared" si="7"/>
        <v>1</v>
      </c>
      <c r="Y23" s="48">
        <f t="shared" si="8"/>
        <v>7.8100000000000003E-2</v>
      </c>
      <c r="Z23" s="48">
        <f t="shared" si="9"/>
        <v>23.329899999999999</v>
      </c>
      <c r="AA23" s="48">
        <f t="shared" si="10"/>
        <v>23.251799999999999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43" t="s">
        <v>251</v>
      </c>
      <c r="B24" s="43">
        <v>4019</v>
      </c>
      <c r="C24" s="43" t="s">
        <v>60</v>
      </c>
      <c r="D24" s="43" t="s">
        <v>86</v>
      </c>
      <c r="E24" s="25">
        <v>42546.243009259262</v>
      </c>
      <c r="F24" s="25">
        <v>42546.244259259256</v>
      </c>
      <c r="G24" s="31">
        <v>1</v>
      </c>
      <c r="H24" s="25" t="s">
        <v>153</v>
      </c>
      <c r="I24" s="25">
        <v>42546.274062500001</v>
      </c>
      <c r="J24" s="43">
        <v>0</v>
      </c>
      <c r="K24" s="43" t="str">
        <f t="shared" si="0"/>
        <v>4019/4020</v>
      </c>
      <c r="L24" s="43" t="str">
        <f>VLOOKUP(A24,'Trips&amp;Operators'!$C$1:$E$10000,3,FALSE)</f>
        <v>GEBRETEKLE</v>
      </c>
      <c r="M24" s="11">
        <f t="shared" si="1"/>
        <v>2.980324074451346E-2</v>
      </c>
      <c r="N24" s="12">
        <f t="shared" si="2"/>
        <v>42.916666672099382</v>
      </c>
      <c r="O24" s="12"/>
      <c r="P24" s="12"/>
      <c r="Q24" s="44"/>
      <c r="R24" s="44"/>
      <c r="S24" s="70">
        <f t="shared" si="3"/>
        <v>1</v>
      </c>
      <c r="T24" s="2" t="str">
        <f t="shared" si="4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05:48:56-0600',mode:absolute,to:'2016-06-25 06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4" s="48" t="str">
        <f t="shared" si="6"/>
        <v>N</v>
      </c>
      <c r="X24" s="48">
        <f t="shared" si="7"/>
        <v>1</v>
      </c>
      <c r="Y24" s="48">
        <f t="shared" si="8"/>
        <v>23.297499999999999</v>
      </c>
      <c r="Z24" s="48">
        <f t="shared" si="9"/>
        <v>1.2500000000000001E-2</v>
      </c>
      <c r="AA24" s="48">
        <f t="shared" si="10"/>
        <v>23.285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43" t="s">
        <v>252</v>
      </c>
      <c r="B25" s="43">
        <v>4027</v>
      </c>
      <c r="C25" s="43" t="s">
        <v>60</v>
      </c>
      <c r="D25" s="43" t="s">
        <v>83</v>
      </c>
      <c r="E25" s="25">
        <v>42546.20884259259</v>
      </c>
      <c r="F25" s="25">
        <v>42546.209907407407</v>
      </c>
      <c r="G25" s="31">
        <v>1</v>
      </c>
      <c r="H25" s="25" t="s">
        <v>158</v>
      </c>
      <c r="I25" s="25">
        <v>42546.245219907411</v>
      </c>
      <c r="J25" s="43">
        <v>0</v>
      </c>
      <c r="K25" s="43" t="str">
        <f t="shared" si="0"/>
        <v>4027/4028</v>
      </c>
      <c r="L25" s="43" t="str">
        <f>VLOOKUP(A25,'Trips&amp;Operators'!$C$1:$E$10000,3,FALSE)</f>
        <v>CANFIELD</v>
      </c>
      <c r="M25" s="11">
        <f t="shared" si="1"/>
        <v>3.5312500003783498E-2</v>
      </c>
      <c r="N25" s="12">
        <f t="shared" si="2"/>
        <v>50.850000005448237</v>
      </c>
      <c r="O25" s="12"/>
      <c r="P25" s="12"/>
      <c r="Q25" s="44"/>
      <c r="R25" s="44"/>
      <c r="S25" s="70">
        <f t="shared" si="3"/>
        <v>1</v>
      </c>
      <c r="T25" s="2" t="str">
        <f t="shared" si="4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04:59:44-0600',mode:absolute,to:'2016-06-25 05:54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48" t="str">
        <f t="shared" si="6"/>
        <v>N</v>
      </c>
      <c r="X25" s="48">
        <f t="shared" si="7"/>
        <v>1</v>
      </c>
      <c r="Y25" s="48">
        <f t="shared" si="8"/>
        <v>4.58E-2</v>
      </c>
      <c r="Z25" s="48">
        <f t="shared" si="9"/>
        <v>23.330200000000001</v>
      </c>
      <c r="AA25" s="48">
        <f t="shared" si="10"/>
        <v>23.284400000000002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43" t="s">
        <v>253</v>
      </c>
      <c r="B26" s="43">
        <v>4028</v>
      </c>
      <c r="C26" s="43" t="s">
        <v>60</v>
      </c>
      <c r="D26" s="43" t="s">
        <v>206</v>
      </c>
      <c r="E26" s="25">
        <v>42546.252812500003</v>
      </c>
      <c r="F26" s="25">
        <v>42546.253993055558</v>
      </c>
      <c r="G26" s="31">
        <v>1</v>
      </c>
      <c r="H26" s="25" t="s">
        <v>76</v>
      </c>
      <c r="I26" s="25">
        <v>42546.283402777779</v>
      </c>
      <c r="J26" s="43">
        <v>0</v>
      </c>
      <c r="K26" s="43" t="str">
        <f t="shared" si="0"/>
        <v>4027/4028</v>
      </c>
      <c r="L26" s="43" t="str">
        <f>VLOOKUP(A26,'Trips&amp;Operators'!$C$1:$E$10000,3,FALSE)</f>
        <v>CANFIELD</v>
      </c>
      <c r="M26" s="11">
        <f t="shared" si="1"/>
        <v>2.940972222131677E-2</v>
      </c>
      <c r="N26" s="12">
        <f t="shared" si="2"/>
        <v>42.349999998696148</v>
      </c>
      <c r="O26" s="12"/>
      <c r="P26" s="12"/>
      <c r="Q26" s="44"/>
      <c r="R26" s="44"/>
      <c r="S26" s="70">
        <f t="shared" si="3"/>
        <v>1</v>
      </c>
      <c r="T26" s="2" t="str">
        <f t="shared" si="4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06:03:03-0600',mode:absolute,to:'2016-06-25 06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48" t="str">
        <f t="shared" si="6"/>
        <v>N</v>
      </c>
      <c r="X26" s="48">
        <f t="shared" si="7"/>
        <v>1</v>
      </c>
      <c r="Y26" s="48">
        <f t="shared" si="8"/>
        <v>23.3</v>
      </c>
      <c r="Z26" s="48">
        <f t="shared" si="9"/>
        <v>1.49E-2</v>
      </c>
      <c r="AA26" s="48">
        <f t="shared" si="10"/>
        <v>23.2851</v>
      </c>
      <c r="AB26" s="49" t="e">
        <f>VLOOKUP(A26,Enforcements!$C$7:$J$32,8,0)</f>
        <v>#N/A</v>
      </c>
      <c r="AC26" s="49" t="e">
        <f>VLOOKUP(A26,Enforcements!$C$7:$E$32,3,0)</f>
        <v>#N/A</v>
      </c>
    </row>
    <row r="27" spans="1:29" s="2" customFormat="1" x14ac:dyDescent="0.25">
      <c r="A27" s="43" t="s">
        <v>254</v>
      </c>
      <c r="B27" s="43">
        <v>4042</v>
      </c>
      <c r="C27" s="43" t="s">
        <v>60</v>
      </c>
      <c r="D27" s="43" t="s">
        <v>255</v>
      </c>
      <c r="E27" s="25">
        <v>42546.224212962959</v>
      </c>
      <c r="F27" s="25">
        <v>42546.226053240738</v>
      </c>
      <c r="G27" s="31">
        <v>2</v>
      </c>
      <c r="H27" s="25" t="s">
        <v>207</v>
      </c>
      <c r="I27" s="25">
        <v>42546.256041666667</v>
      </c>
      <c r="J27" s="43">
        <v>0</v>
      </c>
      <c r="K27" s="43" t="str">
        <f t="shared" si="0"/>
        <v>4041/4042</v>
      </c>
      <c r="L27" s="43" t="str">
        <f>VLOOKUP(A27,'Trips&amp;Operators'!$C$1:$E$10000,3,FALSE)</f>
        <v>NELSON</v>
      </c>
      <c r="M27" s="11">
        <f t="shared" si="1"/>
        <v>2.9988425929332152E-2</v>
      </c>
      <c r="N27" s="12">
        <f t="shared" si="2"/>
        <v>43.183333338238299</v>
      </c>
      <c r="O27" s="12"/>
      <c r="P27" s="12"/>
      <c r="Q27" s="44"/>
      <c r="R27" s="44"/>
      <c r="S27" s="70">
        <f t="shared" si="3"/>
        <v>1</v>
      </c>
      <c r="T27" s="2" t="str">
        <f t="shared" si="4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05:21:52-0600',mode:absolute,to:'2016-06-25 06:09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7" s="48" t="str">
        <f t="shared" si="6"/>
        <v>N</v>
      </c>
      <c r="X27" s="48">
        <f t="shared" si="7"/>
        <v>1</v>
      </c>
      <c r="Y27" s="48">
        <f t="shared" si="8"/>
        <v>6.8099999999999994E-2</v>
      </c>
      <c r="Z27" s="48">
        <f t="shared" si="9"/>
        <v>23.331199999999999</v>
      </c>
      <c r="AA27" s="48">
        <f t="shared" si="10"/>
        <v>23.263099999999998</v>
      </c>
      <c r="AB27" s="49" t="e">
        <f>VLOOKUP(A27,Enforcements!$C$7:$J$32,8,0)</f>
        <v>#N/A</v>
      </c>
      <c r="AC27" s="49" t="e">
        <f>VLOOKUP(A27,Enforcements!$C$7:$E$32,3,0)</f>
        <v>#N/A</v>
      </c>
    </row>
    <row r="28" spans="1:29" s="2" customFormat="1" x14ac:dyDescent="0.25">
      <c r="A28" s="43" t="s">
        <v>256</v>
      </c>
      <c r="B28" s="43">
        <v>4041</v>
      </c>
      <c r="C28" s="43" t="s">
        <v>60</v>
      </c>
      <c r="D28" s="43" t="s">
        <v>71</v>
      </c>
      <c r="E28" s="25">
        <v>42546.264618055553</v>
      </c>
      <c r="F28" s="25">
        <v>42546.265520833331</v>
      </c>
      <c r="G28" s="31">
        <v>1</v>
      </c>
      <c r="H28" s="25" t="s">
        <v>119</v>
      </c>
      <c r="I28" s="25">
        <v>42546.296296296299</v>
      </c>
      <c r="J28" s="43">
        <v>0</v>
      </c>
      <c r="K28" s="43" t="str">
        <f t="shared" si="0"/>
        <v>4041/4042</v>
      </c>
      <c r="L28" s="43" t="str">
        <f>VLOOKUP(A28,'Trips&amp;Operators'!$C$1:$E$10000,3,FALSE)</f>
        <v>NELSON</v>
      </c>
      <c r="M28" s="11">
        <f t="shared" si="1"/>
        <v>3.0775462968449574E-2</v>
      </c>
      <c r="N28" s="12">
        <f t="shared" si="2"/>
        <v>44.316666674567387</v>
      </c>
      <c r="O28" s="12"/>
      <c r="P28" s="12"/>
      <c r="Q28" s="44"/>
      <c r="R28" s="44"/>
      <c r="S28" s="70">
        <f t="shared" si="3"/>
        <v>1</v>
      </c>
      <c r="T28" s="2" t="str">
        <f t="shared" si="4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06:20:03-0600',mode:absolute,to:'2016-06-25 07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48" t="str">
        <f t="shared" si="6"/>
        <v>N</v>
      </c>
      <c r="X28" s="48">
        <f t="shared" si="7"/>
        <v>1</v>
      </c>
      <c r="Y28" s="48">
        <f t="shared" si="8"/>
        <v>23.297699999999999</v>
      </c>
      <c r="Z28" s="48">
        <f t="shared" si="9"/>
        <v>1.4999999999999999E-2</v>
      </c>
      <c r="AA28" s="48">
        <f t="shared" si="10"/>
        <v>23.282699999999998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43" t="s">
        <v>257</v>
      </c>
      <c r="B29" s="43">
        <v>4014</v>
      </c>
      <c r="C29" s="43" t="s">
        <v>60</v>
      </c>
      <c r="D29" s="43" t="s">
        <v>69</v>
      </c>
      <c r="E29" s="25">
        <v>42546.233506944445</v>
      </c>
      <c r="F29" s="25">
        <v>42546.234594907408</v>
      </c>
      <c r="G29" s="31">
        <v>1</v>
      </c>
      <c r="H29" s="25" t="s">
        <v>258</v>
      </c>
      <c r="I29" s="25">
        <v>42546.245555555557</v>
      </c>
      <c r="J29" s="43">
        <v>0</v>
      </c>
      <c r="K29" s="43" t="str">
        <f t="shared" si="0"/>
        <v>4013/4014</v>
      </c>
      <c r="L29" s="43" t="str">
        <f>VLOOKUP(A29,'Trips&amp;Operators'!$C$1:$E$10000,3,FALSE)</f>
        <v>STURGEON</v>
      </c>
      <c r="M29" s="11">
        <f t="shared" si="1"/>
        <v>1.096064814919373E-2</v>
      </c>
      <c r="N29" s="12"/>
      <c r="O29" s="12"/>
      <c r="P29" s="12">
        <f t="shared" si="2"/>
        <v>15.783333334838971</v>
      </c>
      <c r="Q29" s="44"/>
      <c r="R29" s="44" t="s">
        <v>497</v>
      </c>
      <c r="S29" s="70">
        <f t="shared" si="3"/>
        <v>0.16666666666666666</v>
      </c>
      <c r="T29" s="2" t="str">
        <f t="shared" si="4"/>
        <v>NorthBound</v>
      </c>
      <c r="U29" s="2">
        <f>COUNTIFS(Variables!$M$2:$M$19,IF(T29="NorthBound","&gt;=","&lt;=")&amp;Y29,Variables!$M$2:$M$19,IF(T29="NorthBound","&lt;=","&gt;=")&amp;Z29)</f>
        <v>2</v>
      </c>
      <c r="V2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05:35:15-0600',mode:absolute,to:'2016-06-25 05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9" s="48" t="str">
        <f t="shared" si="6"/>
        <v>Y</v>
      </c>
      <c r="X29" s="48">
        <f t="shared" si="7"/>
        <v>1</v>
      </c>
      <c r="Y29" s="48">
        <f t="shared" si="8"/>
        <v>4.5999999999999999E-2</v>
      </c>
      <c r="Z29" s="48">
        <f t="shared" si="9"/>
        <v>3.2505999999999999</v>
      </c>
      <c r="AA29" s="48">
        <f t="shared" si="10"/>
        <v>3.2046000000000001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43" t="s">
        <v>260</v>
      </c>
      <c r="B30" s="43">
        <v>4044</v>
      </c>
      <c r="C30" s="43" t="s">
        <v>60</v>
      </c>
      <c r="D30" s="43" t="s">
        <v>261</v>
      </c>
      <c r="E30" s="25">
        <v>42546.247233796297</v>
      </c>
      <c r="F30" s="25">
        <v>42546.248553240737</v>
      </c>
      <c r="G30" s="31">
        <v>1</v>
      </c>
      <c r="H30" s="25" t="s">
        <v>215</v>
      </c>
      <c r="I30" s="25">
        <v>42546.277199074073</v>
      </c>
      <c r="J30" s="43">
        <v>0</v>
      </c>
      <c r="K30" s="43" t="str">
        <f t="shared" si="0"/>
        <v>4043/4044</v>
      </c>
      <c r="L30" s="43" t="str">
        <f>VLOOKUP(A30,'Trips&amp;Operators'!$C$1:$E$10000,3,FALSE)</f>
        <v>YORK</v>
      </c>
      <c r="M30" s="11">
        <f t="shared" si="1"/>
        <v>2.8645833335758653E-2</v>
      </c>
      <c r="N30" s="12">
        <f t="shared" si="2"/>
        <v>41.25000000349246</v>
      </c>
      <c r="O30" s="12"/>
      <c r="P30" s="12"/>
      <c r="Q30" s="44"/>
      <c r="R30" s="44"/>
      <c r="S30" s="70">
        <f t="shared" si="3"/>
        <v>1</v>
      </c>
      <c r="T30" s="2" t="str">
        <f t="shared" si="4"/>
        <v>NorthBound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ref="V30:V35" si="11"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https://search-rtdc-monitor-bjffxe2xuh6vdkpspy63sjmuny.us-east-1.es.amazonaws.com/_plugin/kibana/#/discover/Steve-Slow-Train-Analysis-(2080s-and-2083s)?_g=(refreshInterval:(display:Off,section:0,value:0),time:(from:'2016-06-25 05:55:01-0600',mode:absolute,to:'2016-06-25 06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0" s="48" t="str">
        <f t="shared" ref="W30:W35" si="12">IF(AA30&lt;23,"Y","N")</f>
        <v>N</v>
      </c>
      <c r="X30" s="48">
        <f t="shared" ref="X30:X35" si="13">VALUE(LEFT(A30,3))-VALUE(LEFT(A29,3))</f>
        <v>2</v>
      </c>
      <c r="Y30" s="48">
        <f t="shared" ref="Y30:Y35" si="14">RIGHT(D30,LEN(D30)-4)/10000</f>
        <v>7.1900000000000006E-2</v>
      </c>
      <c r="Z30" s="48">
        <f t="shared" ref="Z30:Z35" si="15">RIGHT(H30,LEN(H30)-4)/10000</f>
        <v>23.3276</v>
      </c>
      <c r="AA30" s="48">
        <f t="shared" ref="AA30:AA35" si="16">ABS(Z30-Y30)</f>
        <v>23.255700000000001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43" t="s">
        <v>262</v>
      </c>
      <c r="B31" s="43">
        <v>4043</v>
      </c>
      <c r="C31" s="43" t="s">
        <v>60</v>
      </c>
      <c r="D31" s="43" t="s">
        <v>86</v>
      </c>
      <c r="E31" s="25">
        <v>42546.278784722221</v>
      </c>
      <c r="F31" s="25">
        <v>42546.279548611114</v>
      </c>
      <c r="G31" s="31">
        <v>1</v>
      </c>
      <c r="H31" s="25" t="s">
        <v>76</v>
      </c>
      <c r="I31" s="25">
        <v>42546.314085648148</v>
      </c>
      <c r="J31" s="43">
        <v>0</v>
      </c>
      <c r="K31" s="43" t="str">
        <f t="shared" si="0"/>
        <v>4043/4044</v>
      </c>
      <c r="L31" s="43" t="str">
        <f>VLOOKUP(A31,'Trips&amp;Operators'!$C$1:$E$10000,3,FALSE)</f>
        <v>YORK</v>
      </c>
      <c r="M31" s="11">
        <f t="shared" si="1"/>
        <v>3.4537037034169771E-2</v>
      </c>
      <c r="N31" s="12">
        <f t="shared" si="2"/>
        <v>49.73333332920447</v>
      </c>
      <c r="O31" s="12"/>
      <c r="P31" s="12"/>
      <c r="Q31" s="44"/>
      <c r="R31" s="44"/>
      <c r="S31" s="70">
        <f t="shared" si="3"/>
        <v>1</v>
      </c>
      <c r="T31" s="2" t="str">
        <f t="shared" si="4"/>
        <v>Southbound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06:40:27-0600',mode:absolute,to:'2016-06-25 07:33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1" s="48" t="str">
        <f t="shared" si="12"/>
        <v>N</v>
      </c>
      <c r="X31" s="48">
        <f t="shared" si="13"/>
        <v>1</v>
      </c>
      <c r="Y31" s="48">
        <f t="shared" si="14"/>
        <v>23.297499999999999</v>
      </c>
      <c r="Z31" s="48">
        <f t="shared" si="15"/>
        <v>1.49E-2</v>
      </c>
      <c r="AA31" s="48">
        <f t="shared" si="16"/>
        <v>23.282599999999999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43" t="s">
        <v>263</v>
      </c>
      <c r="B32" s="43">
        <v>4007</v>
      </c>
      <c r="C32" s="43" t="s">
        <v>60</v>
      </c>
      <c r="D32" s="43" t="s">
        <v>200</v>
      </c>
      <c r="E32" s="25">
        <v>42546.256041666667</v>
      </c>
      <c r="F32" s="25">
        <v>42546.257013888891</v>
      </c>
      <c r="G32" s="31">
        <v>1</v>
      </c>
      <c r="H32" s="25" t="s">
        <v>157</v>
      </c>
      <c r="I32" s="25">
        <v>42546.286585648151</v>
      </c>
      <c r="J32" s="43">
        <v>0</v>
      </c>
      <c r="K32" s="43" t="str">
        <f t="shared" si="0"/>
        <v>4007/4008</v>
      </c>
      <c r="L32" s="43" t="str">
        <f>VLOOKUP(A32,'Trips&amp;Operators'!$C$1:$E$10000,3,FALSE)</f>
        <v>SANTIZO</v>
      </c>
      <c r="M32" s="11">
        <f t="shared" si="1"/>
        <v>2.9571759259852115E-2</v>
      </c>
      <c r="N32" s="12">
        <f t="shared" si="2"/>
        <v>42.583333334187046</v>
      </c>
      <c r="O32" s="12"/>
      <c r="P32" s="12"/>
      <c r="Q32" s="44"/>
      <c r="R32" s="44"/>
      <c r="S32" s="70">
        <f t="shared" si="3"/>
        <v>1</v>
      </c>
      <c r="T32" s="2" t="str">
        <f t="shared" si="4"/>
        <v>NorthBound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06:07:42-0600',mode:absolute,to:'2016-06-25 06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2" s="48" t="str">
        <f t="shared" si="12"/>
        <v>N</v>
      </c>
      <c r="X32" s="48">
        <f t="shared" si="13"/>
        <v>1</v>
      </c>
      <c r="Y32" s="48">
        <f t="shared" si="14"/>
        <v>4.5100000000000001E-2</v>
      </c>
      <c r="Z32" s="48">
        <f t="shared" si="15"/>
        <v>23.331700000000001</v>
      </c>
      <c r="AA32" s="48">
        <f t="shared" si="16"/>
        <v>23.2866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43" t="s">
        <v>264</v>
      </c>
      <c r="B33" s="43">
        <v>4008</v>
      </c>
      <c r="C33" s="43" t="s">
        <v>60</v>
      </c>
      <c r="D33" s="43" t="s">
        <v>175</v>
      </c>
      <c r="E33" s="25">
        <v>42546.288819444446</v>
      </c>
      <c r="F33" s="25">
        <v>42546.289594907408</v>
      </c>
      <c r="G33" s="31">
        <v>1</v>
      </c>
      <c r="H33" s="25" t="s">
        <v>62</v>
      </c>
      <c r="I33" s="25">
        <v>42546.324895833335</v>
      </c>
      <c r="J33" s="43">
        <v>0</v>
      </c>
      <c r="K33" s="43" t="str">
        <f t="shared" si="0"/>
        <v>4007/4008</v>
      </c>
      <c r="L33" s="43" t="str">
        <f>VLOOKUP(A33,'Trips&amp;Operators'!$C$1:$E$10000,3,FALSE)</f>
        <v>SANTIZO</v>
      </c>
      <c r="M33" s="11">
        <f t="shared" si="1"/>
        <v>3.5300925927003846E-2</v>
      </c>
      <c r="N33" s="12">
        <f t="shared" si="2"/>
        <v>50.833333334885538</v>
      </c>
      <c r="O33" s="12"/>
      <c r="P33" s="12"/>
      <c r="Q33" s="44"/>
      <c r="R33" s="44"/>
      <c r="S33" s="70">
        <f t="shared" si="3"/>
        <v>1</v>
      </c>
      <c r="T33" s="2" t="str">
        <f t="shared" si="4"/>
        <v>Southbound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06:54:54-0600',mode:absolute,to:'2016-06-25 07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3" s="48" t="str">
        <f t="shared" si="12"/>
        <v>N</v>
      </c>
      <c r="X33" s="48">
        <f t="shared" si="13"/>
        <v>1</v>
      </c>
      <c r="Y33" s="48">
        <f t="shared" si="14"/>
        <v>23.3004</v>
      </c>
      <c r="Z33" s="48">
        <f t="shared" si="15"/>
        <v>1.52E-2</v>
      </c>
      <c r="AA33" s="48">
        <f t="shared" si="16"/>
        <v>23.2852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43" t="s">
        <v>265</v>
      </c>
      <c r="B34" s="43">
        <v>4024</v>
      </c>
      <c r="C34" s="43" t="s">
        <v>60</v>
      </c>
      <c r="D34" s="43" t="s">
        <v>79</v>
      </c>
      <c r="E34" s="25">
        <v>42546.269525462965</v>
      </c>
      <c r="F34" s="25">
        <v>42546.270474537036</v>
      </c>
      <c r="G34" s="31">
        <v>1</v>
      </c>
      <c r="H34" s="25" t="s">
        <v>198</v>
      </c>
      <c r="I34" s="25">
        <v>42546.296539351853</v>
      </c>
      <c r="J34" s="43">
        <v>1</v>
      </c>
      <c r="K34" s="43" t="str">
        <f t="shared" si="0"/>
        <v>4023/4024</v>
      </c>
      <c r="L34" s="43" t="str">
        <f>VLOOKUP(A34,'Trips&amp;Operators'!$C$1:$E$10000,3,FALSE)</f>
        <v>MALAVE</v>
      </c>
      <c r="M34" s="11">
        <f t="shared" si="1"/>
        <v>2.6064814817800652E-2</v>
      </c>
      <c r="N34" s="12">
        <f t="shared" si="2"/>
        <v>37.533333337632939</v>
      </c>
      <c r="O34" s="12"/>
      <c r="P34" s="12"/>
      <c r="Q34" s="44"/>
      <c r="R34" s="44"/>
      <c r="S34" s="70">
        <f t="shared" si="3"/>
        <v>1</v>
      </c>
      <c r="T34" s="2" t="str">
        <f t="shared" si="4"/>
        <v>NorthBound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06:27:07-0600',mode:absolute,to:'2016-06-25 07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4" s="48" t="str">
        <f t="shared" si="12"/>
        <v>N</v>
      </c>
      <c r="X34" s="48">
        <f t="shared" si="13"/>
        <v>1</v>
      </c>
      <c r="Y34" s="48">
        <f t="shared" si="14"/>
        <v>4.53E-2</v>
      </c>
      <c r="Z34" s="48">
        <f t="shared" si="15"/>
        <v>23.328399999999998</v>
      </c>
      <c r="AA34" s="48">
        <f t="shared" si="16"/>
        <v>23.283099999999997</v>
      </c>
      <c r="AB34" s="49" t="e">
        <f>VLOOKUP(A34,Enforcements!$C$7:$J$32,8,0)</f>
        <v>#N/A</v>
      </c>
      <c r="AC34" s="49" t="e">
        <f>VLOOKUP(A34,Enforcements!$C$7:$E$32,3,0)</f>
        <v>#N/A</v>
      </c>
    </row>
    <row r="35" spans="1:29" s="2" customFormat="1" x14ac:dyDescent="0.25">
      <c r="A35" s="43" t="s">
        <v>266</v>
      </c>
      <c r="B35" s="43">
        <v>4023</v>
      </c>
      <c r="C35" s="43" t="s">
        <v>60</v>
      </c>
      <c r="D35" s="43" t="s">
        <v>177</v>
      </c>
      <c r="E35" s="25">
        <v>42546.307523148149</v>
      </c>
      <c r="F35" s="25">
        <v>42546.308449074073</v>
      </c>
      <c r="G35" s="31">
        <v>1</v>
      </c>
      <c r="H35" s="25" t="s">
        <v>119</v>
      </c>
      <c r="I35" s="25">
        <v>42546.336817129632</v>
      </c>
      <c r="J35" s="43">
        <v>1</v>
      </c>
      <c r="K35" s="43" t="str">
        <f t="shared" si="0"/>
        <v>4023/4024</v>
      </c>
      <c r="L35" s="43" t="str">
        <f>VLOOKUP(A35,'Trips&amp;Operators'!$C$1:$E$10000,3,FALSE)</f>
        <v>MALAVE</v>
      </c>
      <c r="M35" s="11">
        <f t="shared" si="1"/>
        <v>2.8368055558530614E-2</v>
      </c>
      <c r="N35" s="12">
        <f t="shared" si="2"/>
        <v>40.850000004284084</v>
      </c>
      <c r="O35" s="12"/>
      <c r="P35" s="12"/>
      <c r="Q35" s="44"/>
      <c r="R35" s="44"/>
      <c r="S35" s="70">
        <f t="shared" si="3"/>
        <v>1</v>
      </c>
      <c r="T35" s="2" t="str">
        <f t="shared" si="4"/>
        <v>Southbound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07:21:50-0600',mode:absolute,to:'2016-06-25 08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5" s="48" t="str">
        <f t="shared" si="12"/>
        <v>N</v>
      </c>
      <c r="X35" s="48">
        <f t="shared" si="13"/>
        <v>1</v>
      </c>
      <c r="Y35" s="48">
        <f t="shared" si="14"/>
        <v>23.296099999999999</v>
      </c>
      <c r="Z35" s="48">
        <f t="shared" si="15"/>
        <v>1.4999999999999999E-2</v>
      </c>
      <c r="AA35" s="48">
        <f t="shared" si="16"/>
        <v>23.281099999999999</v>
      </c>
      <c r="AB35" s="49" t="e">
        <f>VLOOKUP(A35,Enforcements!$C$7:$J$32,8,0)</f>
        <v>#N/A</v>
      </c>
      <c r="AC35" s="49" t="e">
        <f>VLOOKUP(A35,Enforcements!$C$7:$E$32,3,0)</f>
        <v>#N/A</v>
      </c>
    </row>
    <row r="36" spans="1:29" s="2" customFormat="1" x14ac:dyDescent="0.25">
      <c r="A36" s="43" t="s">
        <v>267</v>
      </c>
      <c r="B36" s="43">
        <v>4020</v>
      </c>
      <c r="C36" s="43" t="s">
        <v>60</v>
      </c>
      <c r="D36" s="43" t="s">
        <v>211</v>
      </c>
      <c r="E36" s="25">
        <v>42546.277280092596</v>
      </c>
      <c r="F36" s="25">
        <v>42546.278344907405</v>
      </c>
      <c r="G36" s="31">
        <v>1</v>
      </c>
      <c r="H36" s="25" t="s">
        <v>268</v>
      </c>
      <c r="I36" s="25">
        <v>42546.30736111111</v>
      </c>
      <c r="J36" s="43">
        <v>1</v>
      </c>
      <c r="K36" s="43" t="str">
        <f t="shared" si="0"/>
        <v>4019/4020</v>
      </c>
      <c r="L36" s="43" t="str">
        <f>VLOOKUP(A36,'Trips&amp;Operators'!$C$1:$E$10000,3,FALSE)</f>
        <v>GEBRETEKLE</v>
      </c>
      <c r="M36" s="11">
        <f t="shared" si="1"/>
        <v>2.9016203705396038E-2</v>
      </c>
      <c r="N36" s="12">
        <f t="shared" si="2"/>
        <v>41.783333335770294</v>
      </c>
      <c r="O36" s="12"/>
      <c r="P36" s="12"/>
      <c r="Q36" s="44"/>
      <c r="R36" s="44"/>
      <c r="S36" s="70">
        <f t="shared" si="3"/>
        <v>1</v>
      </c>
      <c r="T36" s="2" t="str">
        <f t="shared" si="4"/>
        <v>NorthBound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06:38:17-0600',mode:absolute,to:'2016-06-25 07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6" s="48" t="str">
        <f t="shared" si="6"/>
        <v>N</v>
      </c>
      <c r="X36" s="48">
        <f t="shared" si="7"/>
        <v>1</v>
      </c>
      <c r="Y36" s="48">
        <f t="shared" si="8"/>
        <v>4.24E-2</v>
      </c>
      <c r="Z36" s="48">
        <f t="shared" si="9"/>
        <v>23.331399999999999</v>
      </c>
      <c r="AA36" s="48">
        <f t="shared" si="10"/>
        <v>23.288999999999998</v>
      </c>
      <c r="AB36" s="49" t="e">
        <f>VLOOKUP(A36,Enforcements!$C$7:$J$32,8,0)</f>
        <v>#N/A</v>
      </c>
      <c r="AC36" s="49" t="e">
        <f>VLOOKUP(A36,Enforcements!$C$7:$E$32,3,0)</f>
        <v>#N/A</v>
      </c>
    </row>
    <row r="37" spans="1:29" s="2" customFormat="1" x14ac:dyDescent="0.25">
      <c r="A37" s="43" t="s">
        <v>269</v>
      </c>
      <c r="B37" s="43">
        <v>4019</v>
      </c>
      <c r="C37" s="43" t="s">
        <v>60</v>
      </c>
      <c r="D37" s="43" t="s">
        <v>174</v>
      </c>
      <c r="E37" s="25">
        <v>42546.317870370367</v>
      </c>
      <c r="F37" s="25">
        <v>42546.319131944445</v>
      </c>
      <c r="G37" s="31">
        <v>1</v>
      </c>
      <c r="H37" s="25" t="s">
        <v>76</v>
      </c>
      <c r="I37" s="25">
        <v>42546.346631944441</v>
      </c>
      <c r="J37" s="43">
        <v>0</v>
      </c>
      <c r="K37" s="43" t="str">
        <f t="shared" si="0"/>
        <v>4019/4020</v>
      </c>
      <c r="L37" s="43" t="str">
        <f>VLOOKUP(A37,'Trips&amp;Operators'!$C$1:$E$10000,3,FALSE)</f>
        <v>MADLOM</v>
      </c>
      <c r="M37" s="11">
        <f t="shared" si="1"/>
        <v>2.749999999650754E-2</v>
      </c>
      <c r="N37" s="12">
        <f t="shared" si="2"/>
        <v>39.599999994970858</v>
      </c>
      <c r="O37" s="12"/>
      <c r="P37" s="12"/>
      <c r="Q37" s="44"/>
      <c r="R37" s="44"/>
      <c r="S37" s="70">
        <f t="shared" si="3"/>
        <v>1</v>
      </c>
      <c r="T37" s="2" t="str">
        <f t="shared" si="4"/>
        <v>Southbound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07:36:44-0600',mode:absolute,to:'2016-06-25 08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7" s="48" t="str">
        <f t="shared" si="6"/>
        <v>N</v>
      </c>
      <c r="X37" s="48">
        <f t="shared" si="7"/>
        <v>1</v>
      </c>
      <c r="Y37" s="48">
        <f t="shared" si="8"/>
        <v>23.298500000000001</v>
      </c>
      <c r="Z37" s="48">
        <f t="shared" si="9"/>
        <v>1.49E-2</v>
      </c>
      <c r="AA37" s="48">
        <f t="shared" si="10"/>
        <v>23.2836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66" t="s">
        <v>270</v>
      </c>
      <c r="B38" s="43">
        <v>4027</v>
      </c>
      <c r="C38" s="43" t="s">
        <v>60</v>
      </c>
      <c r="D38" s="43" t="s">
        <v>83</v>
      </c>
      <c r="E38" s="25">
        <v>42546.285185185188</v>
      </c>
      <c r="F38" s="25">
        <v>42546.286354166667</v>
      </c>
      <c r="G38" s="31">
        <v>1</v>
      </c>
      <c r="H38" s="25" t="s">
        <v>118</v>
      </c>
      <c r="I38" s="25">
        <v>42546.317916666667</v>
      </c>
      <c r="J38" s="43">
        <v>0</v>
      </c>
      <c r="K38" s="43" t="str">
        <f t="shared" si="0"/>
        <v>4027/4028</v>
      </c>
      <c r="L38" s="43" t="str">
        <f>VLOOKUP(A38,'Trips&amp;Operators'!$C$1:$E$10000,3,FALSE)</f>
        <v>CANFIELD</v>
      </c>
      <c r="M38" s="11">
        <f t="shared" si="1"/>
        <v>3.1562500000291038E-2</v>
      </c>
      <c r="N38" s="12">
        <f t="shared" si="2"/>
        <v>45.450000000419095</v>
      </c>
      <c r="O38" s="12"/>
      <c r="P38" s="12"/>
      <c r="Q38" s="44"/>
      <c r="R38" s="44"/>
      <c r="S38" s="70">
        <f t="shared" si="3"/>
        <v>1</v>
      </c>
      <c r="T38" s="2" t="str">
        <f t="shared" si="4"/>
        <v>NorthBound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06:49:40-0600',mode:absolute,to:'2016-06-25 07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8" s="48" t="str">
        <f t="shared" si="6"/>
        <v>N</v>
      </c>
      <c r="X38" s="48">
        <f t="shared" si="7"/>
        <v>1</v>
      </c>
      <c r="Y38" s="48">
        <f t="shared" si="8"/>
        <v>4.58E-2</v>
      </c>
      <c r="Z38" s="48">
        <f t="shared" si="9"/>
        <v>23.3307</v>
      </c>
      <c r="AA38" s="48">
        <f t="shared" si="10"/>
        <v>23.2849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43" t="s">
        <v>271</v>
      </c>
      <c r="B39" s="43">
        <v>4028</v>
      </c>
      <c r="C39" s="43" t="s">
        <v>60</v>
      </c>
      <c r="D39" s="43" t="s">
        <v>120</v>
      </c>
      <c r="E39" s="25">
        <v>42546.326192129629</v>
      </c>
      <c r="F39" s="25">
        <v>42546.327002314814</v>
      </c>
      <c r="G39" s="31">
        <v>1</v>
      </c>
      <c r="H39" s="25" t="s">
        <v>75</v>
      </c>
      <c r="I39" s="25">
        <v>42546.356956018521</v>
      </c>
      <c r="J39" s="43">
        <v>0</v>
      </c>
      <c r="K39" s="43" t="str">
        <f t="shared" si="0"/>
        <v>4027/4028</v>
      </c>
      <c r="L39" s="43" t="str">
        <f>VLOOKUP(A39,'Trips&amp;Operators'!$C$1:$E$10000,3,FALSE)</f>
        <v>CANFIELD</v>
      </c>
      <c r="M39" s="11">
        <f t="shared" si="1"/>
        <v>2.9953703706269152E-2</v>
      </c>
      <c r="N39" s="12">
        <f t="shared" si="2"/>
        <v>43.13333333702758</v>
      </c>
      <c r="O39" s="12"/>
      <c r="P39" s="12"/>
      <c r="Q39" s="44"/>
      <c r="R39" s="44"/>
      <c r="S39" s="70">
        <f t="shared" si="3"/>
        <v>1</v>
      </c>
      <c r="T39" s="2" t="str">
        <f t="shared" si="4"/>
        <v>Southbound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07:48:43-0600',mode:absolute,to:'2016-06-25 08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48" t="str">
        <f t="shared" si="6"/>
        <v>N</v>
      </c>
      <c r="X39" s="48">
        <f t="shared" si="7"/>
        <v>1</v>
      </c>
      <c r="Y39" s="48">
        <f t="shared" si="8"/>
        <v>23.2986</v>
      </c>
      <c r="Z39" s="48">
        <f t="shared" si="9"/>
        <v>1.5599999999999999E-2</v>
      </c>
      <c r="AA39" s="48">
        <f t="shared" si="10"/>
        <v>23.283000000000001</v>
      </c>
      <c r="AB39" s="49" t="e">
        <f>VLOOKUP(A39,Enforcements!$C$7:$J$32,8,0)</f>
        <v>#N/A</v>
      </c>
      <c r="AC39" s="49" t="e">
        <f>VLOOKUP(A39,Enforcements!$C$7:$E$32,3,0)</f>
        <v>#N/A</v>
      </c>
    </row>
    <row r="40" spans="1:29" s="2" customFormat="1" x14ac:dyDescent="0.25">
      <c r="A40" s="43" t="s">
        <v>272</v>
      </c>
      <c r="B40" s="43">
        <v>4042</v>
      </c>
      <c r="C40" s="43" t="s">
        <v>60</v>
      </c>
      <c r="D40" s="43" t="s">
        <v>79</v>
      </c>
      <c r="E40" s="25">
        <v>42546.298252314817</v>
      </c>
      <c r="F40" s="25">
        <v>42546.299328703702</v>
      </c>
      <c r="G40" s="31">
        <v>1</v>
      </c>
      <c r="H40" s="25" t="s">
        <v>273</v>
      </c>
      <c r="I40" s="25">
        <v>42546.302812499998</v>
      </c>
      <c r="J40" s="43">
        <v>0</v>
      </c>
      <c r="K40" s="43" t="str">
        <f t="shared" si="0"/>
        <v>4041/4042</v>
      </c>
      <c r="L40" s="43" t="str">
        <f>VLOOKUP(A40,'Trips&amp;Operators'!$C$1:$E$10000,3,FALSE)</f>
        <v>NELSON</v>
      </c>
      <c r="M40" s="11">
        <f t="shared" si="1"/>
        <v>3.4837962957681157E-3</v>
      </c>
      <c r="N40" s="12"/>
      <c r="O40" s="12"/>
      <c r="P40" s="12">
        <f t="shared" si="2"/>
        <v>5.0166666659060866</v>
      </c>
      <c r="Q40" s="44"/>
      <c r="R40" s="44" t="s">
        <v>497</v>
      </c>
      <c r="S40" s="70">
        <f t="shared" si="3"/>
        <v>0</v>
      </c>
      <c r="T40" s="2" t="str">
        <f t="shared" si="4"/>
        <v>NorthBound</v>
      </c>
      <c r="U40" s="2">
        <f>COUNTIFS(Variables!$M$2:$M$19,IF(T40="NorthBound","&gt;=","&lt;=")&amp;Y40,Variables!$M$2:$M$19,IF(T40="NorthBound","&lt;=","&gt;=")&amp;Z40)</f>
        <v>0</v>
      </c>
      <c r="V4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07:08:29-0600',mode:absolute,to:'2016-06-25 07:17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0" s="48" t="str">
        <f t="shared" si="6"/>
        <v>Y</v>
      </c>
      <c r="X40" s="48">
        <f t="shared" si="7"/>
        <v>1</v>
      </c>
      <c r="Y40" s="48">
        <f t="shared" si="8"/>
        <v>4.53E-2</v>
      </c>
      <c r="Z40" s="48">
        <f t="shared" si="9"/>
        <v>0.19750000000000001</v>
      </c>
      <c r="AA40" s="48">
        <f t="shared" si="10"/>
        <v>0.1522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43" t="s">
        <v>274</v>
      </c>
      <c r="B41" s="43">
        <v>4041</v>
      </c>
      <c r="C41" s="43" t="s">
        <v>60</v>
      </c>
      <c r="D41" s="43" t="s">
        <v>155</v>
      </c>
      <c r="E41" s="25">
        <v>42546.337025462963</v>
      </c>
      <c r="F41" s="25">
        <v>42546.338055555556</v>
      </c>
      <c r="G41" s="31">
        <v>1</v>
      </c>
      <c r="H41" s="25" t="s">
        <v>203</v>
      </c>
      <c r="I41" s="25">
        <v>42546.368020833332</v>
      </c>
      <c r="J41" s="43">
        <v>0</v>
      </c>
      <c r="K41" s="43" t="str">
        <f t="shared" si="0"/>
        <v>4041/4042</v>
      </c>
      <c r="L41" s="43" t="str">
        <f>VLOOKUP(A41,'Trips&amp;Operators'!$C$1:$E$10000,3,FALSE)</f>
        <v>NELSON</v>
      </c>
      <c r="M41" s="11">
        <f t="shared" si="1"/>
        <v>2.9965277775772847E-2</v>
      </c>
      <c r="N41" s="12">
        <f t="shared" si="2"/>
        <v>43.1499999971129</v>
      </c>
      <c r="O41" s="12"/>
      <c r="P41" s="12"/>
      <c r="Q41" s="44"/>
      <c r="R41" s="44"/>
      <c r="S41" s="70">
        <f t="shared" si="3"/>
        <v>1</v>
      </c>
      <c r="T41" s="2" t="str">
        <f t="shared" si="4"/>
        <v>Southbound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08:04:19-0600',mode:absolute,to:'2016-06-25 08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1" s="48" t="str">
        <f t="shared" si="6"/>
        <v>N</v>
      </c>
      <c r="X41" s="48">
        <f t="shared" si="7"/>
        <v>1</v>
      </c>
      <c r="Y41" s="48">
        <f t="shared" si="8"/>
        <v>23.2974</v>
      </c>
      <c r="Z41" s="48">
        <f t="shared" si="9"/>
        <v>1.2699999999999999E-2</v>
      </c>
      <c r="AA41" s="48">
        <f t="shared" si="10"/>
        <v>23.284700000000001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43" t="s">
        <v>275</v>
      </c>
      <c r="B42" s="43">
        <v>4025</v>
      </c>
      <c r="C42" s="43" t="s">
        <v>60</v>
      </c>
      <c r="D42" s="43" t="s">
        <v>276</v>
      </c>
      <c r="E42" s="25">
        <v>42546.322615740741</v>
      </c>
      <c r="F42" s="25">
        <v>42546.323460648149</v>
      </c>
      <c r="G42" s="31">
        <v>1</v>
      </c>
      <c r="H42" s="25" t="s">
        <v>159</v>
      </c>
      <c r="I42" s="25">
        <v>42546.344629629632</v>
      </c>
      <c r="J42" s="43">
        <v>0</v>
      </c>
      <c r="K42" s="43" t="str">
        <f t="shared" si="0"/>
        <v>4025/4026</v>
      </c>
      <c r="L42" s="43" t="str">
        <f>VLOOKUP(A42,'Trips&amp;Operators'!$C$1:$E$10000,3,FALSE)</f>
        <v>STURGEON</v>
      </c>
      <c r="M42" s="11">
        <f t="shared" si="1"/>
        <v>2.1168981482333038E-2</v>
      </c>
      <c r="N42" s="12"/>
      <c r="O42" s="12"/>
      <c r="P42" s="12">
        <f t="shared" si="2"/>
        <v>30.483333334559575</v>
      </c>
      <c r="Q42" s="44"/>
      <c r="R42" s="44" t="s">
        <v>498</v>
      </c>
      <c r="S42" s="70">
        <f t="shared" si="3"/>
        <v>0.75</v>
      </c>
      <c r="T42" s="2" t="str">
        <f t="shared" si="4"/>
        <v>NorthBound</v>
      </c>
      <c r="U42" s="2">
        <f>COUNTIFS(Variables!$M$2:$M$19,IF(T42="NorthBound","&gt;=","&lt;=")&amp;Y42,Variables!$M$2:$M$19,IF(T42="NorthBound","&lt;=","&gt;=")&amp;Z42)</f>
        <v>9</v>
      </c>
      <c r="V4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07:43:34-0600',mode:absolute,to:'2016-06-25 08:17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2" s="48" t="str">
        <f t="shared" si="6"/>
        <v>Y</v>
      </c>
      <c r="X42" s="48">
        <f t="shared" si="7"/>
        <v>1</v>
      </c>
      <c r="Y42" s="48">
        <f t="shared" ref="Y42:Y44" si="17">RIGHT(D42,LEN(D42)-4)/10000</f>
        <v>3.7185000000000001</v>
      </c>
      <c r="Z42" s="48">
        <f t="shared" ref="Z42:Z44" si="18">RIGHT(H42,LEN(H42)-4)/10000</f>
        <v>23.327999999999999</v>
      </c>
      <c r="AA42" s="48">
        <f t="shared" si="10"/>
        <v>19.609500000000001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43" t="s">
        <v>277</v>
      </c>
      <c r="B43" s="43">
        <v>4026</v>
      </c>
      <c r="C43" s="43" t="s">
        <v>60</v>
      </c>
      <c r="D43" s="43" t="s">
        <v>172</v>
      </c>
      <c r="E43" s="25">
        <v>42546.346759259257</v>
      </c>
      <c r="F43" s="25">
        <v>42546.348032407404</v>
      </c>
      <c r="G43" s="31">
        <v>1</v>
      </c>
      <c r="H43" s="25" t="s">
        <v>95</v>
      </c>
      <c r="I43" s="25">
        <v>42546.379490740743</v>
      </c>
      <c r="J43" s="43">
        <v>0</v>
      </c>
      <c r="K43" s="43" t="str">
        <f t="shared" ref="K43:K70" si="19">IF(ISEVEN(B43),(B43-1)&amp;"/"&amp;B43,B43&amp;"/"&amp;(B43+1))</f>
        <v>4025/4026</v>
      </c>
      <c r="L43" s="43" t="str">
        <f>VLOOKUP(A43,'Trips&amp;Operators'!$C$1:$E$10000,3,FALSE)</f>
        <v>STURGEON</v>
      </c>
      <c r="M43" s="11">
        <f t="shared" ref="M43:M70" si="20">I43-F43</f>
        <v>3.1458333338377997E-2</v>
      </c>
      <c r="N43" s="12">
        <f t="shared" ref="N43:P70" si="21">24*60*SUM($M43:$M43)</f>
        <v>45.300000007264316</v>
      </c>
      <c r="O43" s="12"/>
      <c r="P43" s="12"/>
      <c r="Q43" s="44"/>
      <c r="R43" s="44"/>
      <c r="S43" s="70">
        <f t="shared" ref="S43:S65" si="22">SUM(U43:U43)/12</f>
        <v>1</v>
      </c>
      <c r="T43" s="2" t="str">
        <f t="shared" ref="T43:T70" si="23">IF(ISEVEN(LEFT(A43,3)),"Southbound","NorthBound")</f>
        <v>Southbound</v>
      </c>
      <c r="U43" s="2">
        <f>COUNTIFS(Variables!$M$2:$M$19,IF(T43="NorthBound","&gt;=","&lt;=")&amp;Y43,Variables!$M$2:$M$19,IF(T43="NorthBound","&lt;=","&gt;=")&amp;Z43)</f>
        <v>12</v>
      </c>
      <c r="V43" s="48" t="str">
        <f t="shared" ref="V43:V70" si="24"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https://search-rtdc-monitor-bjffxe2xuh6vdkpspy63sjmuny.us-east-1.es.amazonaws.com/_plugin/kibana/#/discover/Steve-Slow-Train-Analysis-(2080s-and-2083s)?_g=(refreshInterval:(display:Off,section:0,value:0),time:(from:'2016-06-25 08:18:20-0600',mode:absolute,to:'2016-06-25 09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3" s="48" t="str">
        <f t="shared" ref="W43:W70" si="25">IF(AA43&lt;23,"Y","N")</f>
        <v>N</v>
      </c>
      <c r="X43" s="48">
        <f t="shared" ref="X43:X70" si="26">VALUE(LEFT(A43,3))-VALUE(LEFT(A42,3))</f>
        <v>1</v>
      </c>
      <c r="Y43" s="48">
        <f t="shared" si="17"/>
        <v>23.296900000000001</v>
      </c>
      <c r="Z43" s="48">
        <f t="shared" si="18"/>
        <v>1.61E-2</v>
      </c>
      <c r="AA43" s="48">
        <f t="shared" ref="AA43:AA70" si="27">ABS(Z43-Y43)</f>
        <v>23.280799999999999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43" t="s">
        <v>278</v>
      </c>
      <c r="B44" s="43">
        <v>4044</v>
      </c>
      <c r="C44" s="43" t="s">
        <v>60</v>
      </c>
      <c r="D44" s="43" t="s">
        <v>83</v>
      </c>
      <c r="E44" s="25">
        <v>42546.317118055558</v>
      </c>
      <c r="F44" s="25">
        <v>42546.318124999998</v>
      </c>
      <c r="G44" s="31">
        <v>1</v>
      </c>
      <c r="H44" s="25" t="s">
        <v>279</v>
      </c>
      <c r="I44" s="25">
        <v>42546.347453703704</v>
      </c>
      <c r="J44" s="43">
        <v>0</v>
      </c>
      <c r="K44" s="43" t="str">
        <f t="shared" si="19"/>
        <v>4043/4044</v>
      </c>
      <c r="L44" s="43" t="str">
        <f>VLOOKUP(A44,'Trips&amp;Operators'!$C$1:$E$10000,3,FALSE)</f>
        <v>YORK</v>
      </c>
      <c r="M44" s="11">
        <f t="shared" si="20"/>
        <v>2.9328703705687076E-2</v>
      </c>
      <c r="N44" s="12">
        <f t="shared" si="21"/>
        <v>42.233333336189389</v>
      </c>
      <c r="O44" s="12"/>
      <c r="P44" s="12"/>
      <c r="Q44" s="44"/>
      <c r="R44" s="44"/>
      <c r="S44" s="70">
        <f t="shared" si="22"/>
        <v>1</v>
      </c>
      <c r="T44" s="2" t="str">
        <f t="shared" si="23"/>
        <v>NorthBound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07:35:39-0600',mode:absolute,to:'2016-06-25 08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4" s="48" t="str">
        <f t="shared" si="25"/>
        <v>N</v>
      </c>
      <c r="X44" s="48">
        <f t="shared" si="26"/>
        <v>1</v>
      </c>
      <c r="Y44" s="48">
        <f t="shared" si="17"/>
        <v>4.58E-2</v>
      </c>
      <c r="Z44" s="48">
        <f t="shared" si="18"/>
        <v>23.328700000000001</v>
      </c>
      <c r="AA44" s="48">
        <f t="shared" si="27"/>
        <v>23.282900000000001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43" t="s">
        <v>280</v>
      </c>
      <c r="B45" s="43">
        <v>4043</v>
      </c>
      <c r="C45" s="43" t="s">
        <v>60</v>
      </c>
      <c r="D45" s="43" t="s">
        <v>281</v>
      </c>
      <c r="E45" s="25">
        <v>42546.348449074074</v>
      </c>
      <c r="F45" s="25">
        <v>42546.349108796298</v>
      </c>
      <c r="G45" s="31">
        <v>0</v>
      </c>
      <c r="H45" s="25" t="s">
        <v>67</v>
      </c>
      <c r="I45" s="25">
        <v>42546.388298611113</v>
      </c>
      <c r="J45" s="43">
        <v>0</v>
      </c>
      <c r="K45" s="43" t="str">
        <f t="shared" si="19"/>
        <v>4043/4044</v>
      </c>
      <c r="L45" s="43" t="str">
        <f>VLOOKUP(A45,'Trips&amp;Operators'!$C$1:$E$10000,3,FALSE)</f>
        <v>YORK</v>
      </c>
      <c r="M45" s="11">
        <f t="shared" si="20"/>
        <v>3.9189814815472346E-2</v>
      </c>
      <c r="N45" s="12">
        <f t="shared" si="21"/>
        <v>56.433333334280178</v>
      </c>
      <c r="O45" s="12"/>
      <c r="P45" s="12"/>
      <c r="Q45" s="44"/>
      <c r="R45" s="44"/>
      <c r="S45" s="70">
        <f t="shared" si="22"/>
        <v>1</v>
      </c>
      <c r="T45" s="2" t="str">
        <f t="shared" si="23"/>
        <v>Southbound</v>
      </c>
      <c r="U45" s="2">
        <f>COUNTIFS(Variables!$M$2:$M$19,IF(T45="NorthBound","&gt;=","&lt;=")&amp;Y45,Variables!$M$2:$M$19,IF(T45="NorthBound","&lt;=","&gt;=")&amp;Z45)</f>
        <v>12</v>
      </c>
      <c r="V4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08:20:46-0600',mode:absolute,to:'2016-06-25 09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5" s="48" t="str">
        <f t="shared" si="25"/>
        <v>N</v>
      </c>
      <c r="X45" s="48">
        <f t="shared" si="26"/>
        <v>1</v>
      </c>
      <c r="Y45" s="48">
        <f t="shared" si="8"/>
        <v>23.297899999999998</v>
      </c>
      <c r="Z45" s="48">
        <f t="shared" ref="Z45:Z49" si="28">RIGHT(H45,LEN(H45)-4)/10000</f>
        <v>1.47E-2</v>
      </c>
      <c r="AA45" s="48">
        <f t="shared" si="27"/>
        <v>23.283199999999997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43" t="s">
        <v>282</v>
      </c>
      <c r="B46" s="43">
        <v>4007</v>
      </c>
      <c r="C46" s="43" t="s">
        <v>60</v>
      </c>
      <c r="D46" s="43" t="s">
        <v>69</v>
      </c>
      <c r="E46" s="25">
        <v>42546.331064814818</v>
      </c>
      <c r="F46" s="25">
        <v>42546.332488425927</v>
      </c>
      <c r="G46" s="31">
        <v>2</v>
      </c>
      <c r="H46" s="25" t="s">
        <v>283</v>
      </c>
      <c r="I46" s="25">
        <v>42546.358368055553</v>
      </c>
      <c r="J46" s="43">
        <v>0</v>
      </c>
      <c r="K46" s="43" t="str">
        <f t="shared" si="19"/>
        <v>4007/4008</v>
      </c>
      <c r="L46" s="43" t="str">
        <f>VLOOKUP(A46,'Trips&amp;Operators'!$C$1:$E$10000,3,FALSE)</f>
        <v>SANTIZO</v>
      </c>
      <c r="M46" s="11">
        <f t="shared" si="20"/>
        <v>2.5879629625706002E-2</v>
      </c>
      <c r="N46" s="12">
        <f t="shared" si="21"/>
        <v>37.266666661016643</v>
      </c>
      <c r="O46" s="12"/>
      <c r="P46" s="12"/>
      <c r="Q46" s="44"/>
      <c r="R46" s="44"/>
      <c r="S46" s="70">
        <f t="shared" si="22"/>
        <v>1</v>
      </c>
      <c r="T46" s="2" t="str">
        <f t="shared" si="23"/>
        <v>NorthBound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07:55:44-0600',mode:absolute,to:'2016-06-25 08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6" s="48" t="str">
        <f t="shared" si="25"/>
        <v>N</v>
      </c>
      <c r="X46" s="48">
        <f t="shared" si="26"/>
        <v>1</v>
      </c>
      <c r="Y46" s="48">
        <f t="shared" si="8"/>
        <v>4.5999999999999999E-2</v>
      </c>
      <c r="Z46" s="48">
        <f t="shared" si="28"/>
        <v>23.330500000000001</v>
      </c>
      <c r="AA46" s="48">
        <f t="shared" si="27"/>
        <v>23.284500000000001</v>
      </c>
      <c r="AB46" s="49" t="e">
        <f>VLOOKUP(A46,Enforcements!$C$7:$J$32,8,0)</f>
        <v>#N/A</v>
      </c>
      <c r="AC46" s="49" t="e">
        <f>VLOOKUP(A46,Enforcements!$C$7:$E$32,3,0)</f>
        <v>#N/A</v>
      </c>
    </row>
    <row r="47" spans="1:29" s="2" customFormat="1" x14ac:dyDescent="0.25">
      <c r="A47" s="43" t="s">
        <v>284</v>
      </c>
      <c r="B47" s="43">
        <v>4008</v>
      </c>
      <c r="C47" s="43" t="s">
        <v>60</v>
      </c>
      <c r="D47" s="43" t="s">
        <v>120</v>
      </c>
      <c r="E47" s="25">
        <v>42546.360474537039</v>
      </c>
      <c r="F47" s="25">
        <v>42546.361250000002</v>
      </c>
      <c r="G47" s="31">
        <v>1</v>
      </c>
      <c r="H47" s="25" t="s">
        <v>285</v>
      </c>
      <c r="I47" s="25">
        <v>42546.399247685185</v>
      </c>
      <c r="J47" s="43">
        <v>1</v>
      </c>
      <c r="K47" s="43" t="str">
        <f t="shared" si="19"/>
        <v>4007/4008</v>
      </c>
      <c r="L47" s="43" t="str">
        <f>VLOOKUP(A47,'Trips&amp;Operators'!$C$1:$E$10000,3,FALSE)</f>
        <v>SANTIZO</v>
      </c>
      <c r="M47" s="11">
        <f t="shared" si="20"/>
        <v>3.7997685183654539E-2</v>
      </c>
      <c r="N47" s="12">
        <f t="shared" si="21"/>
        <v>54.716666664462537</v>
      </c>
      <c r="O47" s="12"/>
      <c r="P47" s="12"/>
      <c r="Q47" s="44"/>
      <c r="R47" s="44"/>
      <c r="S47" s="70">
        <f t="shared" si="22"/>
        <v>1</v>
      </c>
      <c r="T47" s="2" t="str">
        <f t="shared" si="23"/>
        <v>Southbound</v>
      </c>
      <c r="U47" s="2">
        <f>COUNTIFS(Variables!$M$2:$M$19,IF(T47="NorthBound","&gt;=","&lt;=")&amp;Y47,Variables!$M$2:$M$19,IF(T47="NorthBound","&lt;=","&gt;=")&amp;Z47)</f>
        <v>12</v>
      </c>
      <c r="V4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08:38:05-0600',mode:absolute,to:'2016-06-25 09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7" s="48" t="str">
        <f t="shared" si="25"/>
        <v>N</v>
      </c>
      <c r="X47" s="48">
        <f t="shared" si="26"/>
        <v>1</v>
      </c>
      <c r="Y47" s="48">
        <f t="shared" si="8"/>
        <v>23.2986</v>
      </c>
      <c r="Z47" s="48">
        <f t="shared" si="28"/>
        <v>1.38E-2</v>
      </c>
      <c r="AA47" s="48">
        <f t="shared" si="27"/>
        <v>23.284800000000001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43" t="s">
        <v>286</v>
      </c>
      <c r="B48" s="43">
        <v>4024</v>
      </c>
      <c r="C48" s="43" t="s">
        <v>60</v>
      </c>
      <c r="D48" s="43" t="s">
        <v>178</v>
      </c>
      <c r="E48" s="25">
        <v>42546.341469907406</v>
      </c>
      <c r="F48" s="25">
        <v>42546.342581018522</v>
      </c>
      <c r="G48" s="31">
        <v>1</v>
      </c>
      <c r="H48" s="25" t="s">
        <v>159</v>
      </c>
      <c r="I48" s="25">
        <v>42546.344027777777</v>
      </c>
      <c r="J48" s="43">
        <v>1</v>
      </c>
      <c r="K48" s="43" t="str">
        <f t="shared" si="19"/>
        <v>4023/4024</v>
      </c>
      <c r="L48" s="43" t="str">
        <f>VLOOKUP(A48,'Trips&amp;Operators'!$C$1:$E$10000,3,FALSE)</f>
        <v>MALAVE</v>
      </c>
      <c r="M48" s="11">
        <f t="shared" si="20"/>
        <v>1.4467592554865405E-3</v>
      </c>
      <c r="N48" s="12"/>
      <c r="O48" s="12"/>
      <c r="P48" s="12">
        <f t="shared" si="21"/>
        <v>2.0833333279006183</v>
      </c>
      <c r="Q48" s="44"/>
      <c r="R48" s="44" t="s">
        <v>497</v>
      </c>
      <c r="S48" s="70">
        <f t="shared" si="22"/>
        <v>0</v>
      </c>
      <c r="T48" s="2" t="str">
        <f t="shared" si="23"/>
        <v>NorthBound</v>
      </c>
      <c r="U48" s="2">
        <f>COUNTIFS(Variables!$M$2:$M$19,IF(T48="NorthBound","&gt;=","&lt;=")&amp;Y48,Variables!$M$2:$M$19,IF(T48="NorthBound","&lt;=","&gt;=")&amp;Z48)</f>
        <v>0</v>
      </c>
      <c r="V4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08:10:43-0600',mode:absolute,to:'2016-06-25 08:16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8" s="48" t="str">
        <f t="shared" si="25"/>
        <v>Y</v>
      </c>
      <c r="X48" s="48">
        <f t="shared" si="26"/>
        <v>1</v>
      </c>
      <c r="Y48" s="48">
        <f t="shared" si="8"/>
        <v>4.8000000000000001E-2</v>
      </c>
      <c r="Z48" s="48">
        <v>0.04</v>
      </c>
      <c r="AA48" s="48">
        <f t="shared" si="27"/>
        <v>8.0000000000000002E-3</v>
      </c>
      <c r="AB48" s="49">
        <f>VLOOKUP(A48,Enforcements!$C$7:$J$32,8,0)</f>
        <v>110617</v>
      </c>
      <c r="AC48" s="49" t="str">
        <f>VLOOKUP(A48,Enforcements!$C$7:$E$32,3,0)</f>
        <v>EQUIPMENT RESTRICTION</v>
      </c>
    </row>
    <row r="49" spans="1:29" s="2" customFormat="1" x14ac:dyDescent="0.25">
      <c r="A49" s="43" t="s">
        <v>287</v>
      </c>
      <c r="B49" s="43">
        <v>4023</v>
      </c>
      <c r="C49" s="43" t="s">
        <v>60</v>
      </c>
      <c r="D49" s="43" t="s">
        <v>288</v>
      </c>
      <c r="E49" s="25">
        <v>42546.381226851852</v>
      </c>
      <c r="F49" s="25">
        <v>42546.382164351853</v>
      </c>
      <c r="G49" s="31">
        <v>1</v>
      </c>
      <c r="H49" s="25" t="s">
        <v>68</v>
      </c>
      <c r="I49" s="25">
        <v>42546.410115740742</v>
      </c>
      <c r="J49" s="43">
        <v>1</v>
      </c>
      <c r="K49" s="43" t="str">
        <f t="shared" si="19"/>
        <v>4023/4024</v>
      </c>
      <c r="L49" s="43" t="str">
        <f>VLOOKUP(A49,'Trips&amp;Operators'!$C$1:$E$10000,3,FALSE)</f>
        <v>MALAVE</v>
      </c>
      <c r="M49" s="11">
        <f t="shared" si="20"/>
        <v>2.7951388889050577E-2</v>
      </c>
      <c r="N49" s="12">
        <f t="shared" si="21"/>
        <v>40.250000000232831</v>
      </c>
      <c r="O49" s="12"/>
      <c r="P49" s="12"/>
      <c r="Q49" s="44"/>
      <c r="R49" s="44"/>
      <c r="S49" s="70">
        <f t="shared" si="22"/>
        <v>1</v>
      </c>
      <c r="T49" s="2" t="str">
        <f t="shared" si="23"/>
        <v>Southbound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9" s="48" t="str">
        <f t="shared" si="25"/>
        <v>N</v>
      </c>
      <c r="X49" s="48">
        <f t="shared" ref="X49:X55" si="29">VALUE(LEFT(A49,3))-VALUE(LEFT(A48,3))</f>
        <v>1</v>
      </c>
      <c r="Y49" s="48">
        <f t="shared" ref="Y49:Y55" si="30">RIGHT(D49,LEN(D49)-4)/10000</f>
        <v>23.299299999999999</v>
      </c>
      <c r="Z49" s="48">
        <f t="shared" ref="Z49:Z55" si="31">RIGHT(H49,LEN(H49)-4)/10000</f>
        <v>1.6E-2</v>
      </c>
      <c r="AA49" s="48">
        <f t="shared" ref="AA49:AA55" si="32">ABS(Z49-Y49)</f>
        <v>23.283300000000001</v>
      </c>
      <c r="AB49" s="49">
        <f>VLOOKUP(A49,Enforcements!$C$7:$J$32,8,0)</f>
        <v>127587</v>
      </c>
      <c r="AC49" s="49" t="str">
        <f>VLOOKUP(A49,Enforcements!$C$7:$E$32,3,0)</f>
        <v>SIGNAL</v>
      </c>
    </row>
    <row r="50" spans="1:29" s="2" customFormat="1" x14ac:dyDescent="0.25">
      <c r="A50" s="43" t="s">
        <v>291</v>
      </c>
      <c r="B50" s="43">
        <v>4019</v>
      </c>
      <c r="C50" s="43" t="s">
        <v>60</v>
      </c>
      <c r="D50" s="43" t="s">
        <v>201</v>
      </c>
      <c r="E50" s="25">
        <v>42546.387986111113</v>
      </c>
      <c r="F50" s="25">
        <v>42546.389143518521</v>
      </c>
      <c r="G50" s="31">
        <v>1</v>
      </c>
      <c r="H50" s="25" t="s">
        <v>292</v>
      </c>
      <c r="I50" s="25">
        <v>42546.419351851851</v>
      </c>
      <c r="J50" s="43">
        <v>1</v>
      </c>
      <c r="K50" s="43" t="str">
        <f t="shared" si="19"/>
        <v>4019/4020</v>
      </c>
      <c r="L50" s="43" t="str">
        <f>VLOOKUP(A50,'Trips&amp;Operators'!$C$1:$E$10000,3,FALSE)</f>
        <v>GEBRETEKLE</v>
      </c>
      <c r="M50" s="11">
        <f t="shared" si="20"/>
        <v>3.0208333329937886E-2</v>
      </c>
      <c r="N50" s="12">
        <f t="shared" si="21"/>
        <v>43.499999995110556</v>
      </c>
      <c r="O50" s="12"/>
      <c r="P50" s="12"/>
      <c r="Q50" s="44"/>
      <c r="R50" s="44"/>
      <c r="S50" s="70">
        <f t="shared" si="22"/>
        <v>1</v>
      </c>
      <c r="T50" s="2" t="str">
        <f t="shared" si="23"/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09:17:42-0600',mode:absolute,to:'2016-06-25 10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0" s="48" t="str">
        <f t="shared" si="25"/>
        <v>N</v>
      </c>
      <c r="X50" s="48">
        <f t="shared" si="29"/>
        <v>2</v>
      </c>
      <c r="Y50" s="48">
        <f t="shared" si="30"/>
        <v>23.300699999999999</v>
      </c>
      <c r="Z50" s="48">
        <f t="shared" si="31"/>
        <v>2.0899999999999998E-2</v>
      </c>
      <c r="AA50" s="48">
        <f t="shared" si="32"/>
        <v>23.279799999999998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43" t="s">
        <v>293</v>
      </c>
      <c r="B51" s="43">
        <v>4027</v>
      </c>
      <c r="C51" s="43" t="s">
        <v>60</v>
      </c>
      <c r="D51" s="43" t="s">
        <v>113</v>
      </c>
      <c r="E51" s="25">
        <v>42546.360486111109</v>
      </c>
      <c r="F51" s="25">
        <v>42546.361481481479</v>
      </c>
      <c r="G51" s="31">
        <v>1</v>
      </c>
      <c r="H51" s="25" t="s">
        <v>207</v>
      </c>
      <c r="I51" s="25">
        <v>42546.389953703707</v>
      </c>
      <c r="J51" s="43">
        <v>1</v>
      </c>
      <c r="K51" s="43" t="str">
        <f t="shared" si="19"/>
        <v>4027/4028</v>
      </c>
      <c r="L51" s="43" t="str">
        <f>VLOOKUP(A51,'Trips&amp;Operators'!$C$1:$E$10000,3,FALSE)</f>
        <v>CANFIELD</v>
      </c>
      <c r="M51" s="11">
        <f t="shared" si="20"/>
        <v>2.8472222227719612E-2</v>
      </c>
      <c r="N51" s="12">
        <f t="shared" si="21"/>
        <v>41.000000007916242</v>
      </c>
      <c r="O51" s="12"/>
      <c r="P51" s="12"/>
      <c r="Q51" s="44"/>
      <c r="R51" s="44"/>
      <c r="S51" s="70">
        <f t="shared" si="22"/>
        <v>1</v>
      </c>
      <c r="T51" s="2" t="str">
        <f t="shared" si="23"/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08:38:06-0600',mode:absolute,to:'2016-06-25 09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48" t="str">
        <f t="shared" si="25"/>
        <v>N</v>
      </c>
      <c r="X51" s="48">
        <f t="shared" si="29"/>
        <v>1</v>
      </c>
      <c r="Y51" s="48">
        <f t="shared" si="30"/>
        <v>4.5499999999999999E-2</v>
      </c>
      <c r="Z51" s="48">
        <f t="shared" si="31"/>
        <v>23.331199999999999</v>
      </c>
      <c r="AA51" s="48">
        <f t="shared" si="32"/>
        <v>23.285699999999999</v>
      </c>
      <c r="AB51" s="49">
        <f>VLOOKUP(A51,Enforcements!$C$7:$J$32,8,0)</f>
        <v>27333</v>
      </c>
      <c r="AC51" s="49" t="str">
        <f>VLOOKUP(A51,Enforcements!$C$7:$E$32,3,0)</f>
        <v>PERMANENT SPEED RESTRICTION</v>
      </c>
    </row>
    <row r="52" spans="1:29" s="2" customFormat="1" x14ac:dyDescent="0.25">
      <c r="A52" s="66" t="s">
        <v>294</v>
      </c>
      <c r="B52" s="43">
        <v>4028</v>
      </c>
      <c r="C52" s="43" t="s">
        <v>60</v>
      </c>
      <c r="D52" s="43" t="s">
        <v>195</v>
      </c>
      <c r="E52" s="25">
        <v>42546.393182870372</v>
      </c>
      <c r="F52" s="25">
        <v>42546.394016203703</v>
      </c>
      <c r="G52" s="31">
        <v>1</v>
      </c>
      <c r="H52" s="25" t="s">
        <v>295</v>
      </c>
      <c r="I52" s="25">
        <v>42546.420115740744</v>
      </c>
      <c r="J52" s="43">
        <v>0</v>
      </c>
      <c r="K52" s="43" t="str">
        <f t="shared" si="19"/>
        <v>4027/4028</v>
      </c>
      <c r="L52" s="43" t="str">
        <f>VLOOKUP(A52,'Trips&amp;Operators'!$C$1:$E$10000,3,FALSE)</f>
        <v>CANFIELD</v>
      </c>
      <c r="M52" s="11">
        <f t="shared" si="20"/>
        <v>2.6099537040863652E-2</v>
      </c>
      <c r="N52" s="12"/>
      <c r="O52" s="12"/>
      <c r="P52" s="12">
        <f t="shared" si="21"/>
        <v>37.583333338843659</v>
      </c>
      <c r="Q52" s="44"/>
      <c r="R52" s="44" t="s">
        <v>499</v>
      </c>
      <c r="S52" s="70">
        <f t="shared" si="22"/>
        <v>0.25</v>
      </c>
      <c r="T52" s="2" t="str">
        <f t="shared" si="23"/>
        <v>Southbound</v>
      </c>
      <c r="U52" s="2">
        <f>COUNTIFS(Variables!$M$2:$M$19,IF(T52="NorthBound","&gt;=","&lt;=")&amp;Y52,Variables!$M$2:$M$19,IF(T52="NorthBound","&lt;=","&gt;=")&amp;Z52)</f>
        <v>3</v>
      </c>
      <c r="V52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09:25:11-0600',mode:absolute,to:'2016-06-25 10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48" t="str">
        <f t="shared" si="25"/>
        <v>Y</v>
      </c>
      <c r="X52" s="48">
        <f t="shared" si="29"/>
        <v>1</v>
      </c>
      <c r="Y52" s="48">
        <f t="shared" si="30"/>
        <v>23.3002</v>
      </c>
      <c r="Z52" s="48">
        <f t="shared" si="31"/>
        <v>6.3902000000000001</v>
      </c>
      <c r="AA52" s="48">
        <f t="shared" si="32"/>
        <v>16.91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43" t="s">
        <v>296</v>
      </c>
      <c r="B53" s="43">
        <v>4042</v>
      </c>
      <c r="C53" s="43" t="s">
        <v>60</v>
      </c>
      <c r="D53" s="43" t="s">
        <v>79</v>
      </c>
      <c r="E53" s="25">
        <v>42546.369537037041</v>
      </c>
      <c r="F53" s="25">
        <v>42546.371701388889</v>
      </c>
      <c r="G53" s="31">
        <v>3</v>
      </c>
      <c r="H53" s="25" t="s">
        <v>268</v>
      </c>
      <c r="I53" s="25">
        <v>42546.401030092595</v>
      </c>
      <c r="J53" s="43">
        <v>0</v>
      </c>
      <c r="K53" s="43" t="str">
        <f t="shared" si="19"/>
        <v>4041/4042</v>
      </c>
      <c r="L53" s="43" t="str">
        <f>VLOOKUP(A53,'Trips&amp;Operators'!$C$1:$E$10000,3,FALSE)</f>
        <v>NELSON</v>
      </c>
      <c r="M53" s="11">
        <f t="shared" si="20"/>
        <v>2.9328703705687076E-2</v>
      </c>
      <c r="N53" s="12">
        <f t="shared" si="21"/>
        <v>42.233333336189389</v>
      </c>
      <c r="O53" s="12"/>
      <c r="P53" s="12"/>
      <c r="Q53" s="44"/>
      <c r="R53" s="44"/>
      <c r="S53" s="70">
        <f t="shared" si="22"/>
        <v>1</v>
      </c>
      <c r="T53" s="2" t="str">
        <f t="shared" si="23"/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08:51:08-0600',mode:absolute,to:'2016-06-25 09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3" s="48" t="str">
        <f t="shared" si="25"/>
        <v>N</v>
      </c>
      <c r="X53" s="48">
        <f t="shared" si="29"/>
        <v>1</v>
      </c>
      <c r="Y53" s="48">
        <f t="shared" si="30"/>
        <v>4.53E-2</v>
      </c>
      <c r="Z53" s="48">
        <f t="shared" si="31"/>
        <v>23.331399999999999</v>
      </c>
      <c r="AA53" s="48">
        <f t="shared" si="32"/>
        <v>23.286099999999998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43" t="s">
        <v>297</v>
      </c>
      <c r="B54" s="43">
        <v>4041</v>
      </c>
      <c r="C54" s="43" t="s">
        <v>60</v>
      </c>
      <c r="D54" s="43" t="s">
        <v>199</v>
      </c>
      <c r="E54" s="25">
        <v>42546.409722222219</v>
      </c>
      <c r="F54" s="25">
        <v>42546.410682870373</v>
      </c>
      <c r="G54" s="31">
        <v>1</v>
      </c>
      <c r="H54" s="25" t="s">
        <v>298</v>
      </c>
      <c r="I54" s="25">
        <v>42546.440833333334</v>
      </c>
      <c r="J54" s="43">
        <v>1</v>
      </c>
      <c r="K54" s="43" t="str">
        <f t="shared" si="19"/>
        <v>4041/4042</v>
      </c>
      <c r="L54" s="43" t="str">
        <f>VLOOKUP(A54,'Trips&amp;Operators'!$C$1:$E$10000,3,FALSE)</f>
        <v>NELSON</v>
      </c>
      <c r="M54" s="11">
        <f t="shared" si="20"/>
        <v>3.015046296059154E-2</v>
      </c>
      <c r="N54" s="12">
        <f t="shared" si="21"/>
        <v>43.416666663251817</v>
      </c>
      <c r="O54" s="12"/>
      <c r="P54" s="12"/>
      <c r="Q54" s="44"/>
      <c r="R54" s="44"/>
      <c r="S54" s="70">
        <f t="shared" si="22"/>
        <v>1</v>
      </c>
      <c r="T54" s="2" t="str">
        <f t="shared" si="23"/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09:49:00-0600',mode:absolute,to:'2016-06-25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4" s="48" t="str">
        <f t="shared" si="25"/>
        <v>N</v>
      </c>
      <c r="X54" s="48">
        <f t="shared" si="29"/>
        <v>1</v>
      </c>
      <c r="Y54" s="48">
        <f t="shared" si="30"/>
        <v>23.298999999999999</v>
      </c>
      <c r="Z54" s="48">
        <f t="shared" si="31"/>
        <v>3.5499999999999997E-2</v>
      </c>
      <c r="AA54" s="48">
        <f t="shared" si="32"/>
        <v>23.263500000000001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43" t="s">
        <v>299</v>
      </c>
      <c r="B55" s="43">
        <v>4025</v>
      </c>
      <c r="C55" s="43" t="s">
        <v>60</v>
      </c>
      <c r="D55" s="43" t="s">
        <v>154</v>
      </c>
      <c r="E55" s="25">
        <v>42546.382210648146</v>
      </c>
      <c r="F55" s="25">
        <v>42546.383587962962</v>
      </c>
      <c r="G55" s="31">
        <v>1</v>
      </c>
      <c r="H55" s="25" t="s">
        <v>247</v>
      </c>
      <c r="I55" s="25">
        <v>42546.411365740743</v>
      </c>
      <c r="J55" s="43">
        <v>0</v>
      </c>
      <c r="K55" s="43" t="str">
        <f t="shared" si="19"/>
        <v>4025/4026</v>
      </c>
      <c r="L55" s="43" t="str">
        <f>VLOOKUP(A55,'Trips&amp;Operators'!$C$1:$E$10000,3,FALSE)</f>
        <v>STURGEON</v>
      </c>
      <c r="M55" s="11">
        <f t="shared" si="20"/>
        <v>2.7777777781011537E-2</v>
      </c>
      <c r="N55" s="12">
        <f t="shared" si="21"/>
        <v>40.000000004656613</v>
      </c>
      <c r="O55" s="12"/>
      <c r="P55" s="12"/>
      <c r="Q55" s="44"/>
      <c r="R55" s="44"/>
      <c r="S55" s="70">
        <f t="shared" si="22"/>
        <v>1</v>
      </c>
      <c r="T55" s="2" t="str">
        <f t="shared" si="23"/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09:09:23-0600',mode:absolute,to:'2016-06-25 09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5" s="48" t="str">
        <f t="shared" si="25"/>
        <v>N</v>
      </c>
      <c r="X55" s="48">
        <f t="shared" si="29"/>
        <v>1</v>
      </c>
      <c r="Y55" s="48">
        <f t="shared" si="30"/>
        <v>4.7100000000000003E-2</v>
      </c>
      <c r="Z55" s="48">
        <f t="shared" si="31"/>
        <v>23.3308</v>
      </c>
      <c r="AA55" s="48">
        <f t="shared" si="32"/>
        <v>23.2837</v>
      </c>
      <c r="AB55" s="49" t="e">
        <f>VLOOKUP(A55,Enforcements!$C$7:$J$32,8,0)</f>
        <v>#N/A</v>
      </c>
      <c r="AC55" s="49" t="e">
        <f>VLOOKUP(A55,Enforcements!$C$7:$E$32,3,0)</f>
        <v>#N/A</v>
      </c>
    </row>
    <row r="56" spans="1:29" s="2" customFormat="1" x14ac:dyDescent="0.25">
      <c r="A56" s="43" t="s">
        <v>300</v>
      </c>
      <c r="B56" s="43">
        <v>4026</v>
      </c>
      <c r="C56" s="43" t="s">
        <v>60</v>
      </c>
      <c r="D56" s="43" t="s">
        <v>281</v>
      </c>
      <c r="E56" s="25">
        <v>42546.417743055557</v>
      </c>
      <c r="F56" s="25">
        <v>42546.418599537035</v>
      </c>
      <c r="G56" s="31">
        <v>1</v>
      </c>
      <c r="H56" s="25" t="s">
        <v>95</v>
      </c>
      <c r="I56" s="25">
        <v>42546.451226851852</v>
      </c>
      <c r="J56" s="43">
        <v>0</v>
      </c>
      <c r="K56" s="43" t="str">
        <f t="shared" si="19"/>
        <v>4025/4026</v>
      </c>
      <c r="L56" s="43" t="str">
        <f>VLOOKUP(A56,'Trips&amp;Operators'!$C$1:$E$10000,3,FALSE)</f>
        <v>STURGEON</v>
      </c>
      <c r="M56" s="11">
        <f t="shared" si="20"/>
        <v>3.2627314816636499E-2</v>
      </c>
      <c r="N56" s="12">
        <f t="shared" si="21"/>
        <v>46.983333335956559</v>
      </c>
      <c r="O56" s="12"/>
      <c r="P56" s="12"/>
      <c r="Q56" s="44"/>
      <c r="R56" s="44"/>
      <c r="S56" s="70">
        <f t="shared" si="22"/>
        <v>1</v>
      </c>
      <c r="T56" s="2" t="str">
        <f t="shared" si="23"/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10:00:33-0600',mode:absolute,to:'2016-06-25 10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6" s="48" t="str">
        <f t="shared" si="25"/>
        <v>N</v>
      </c>
      <c r="X56" s="48">
        <f t="shared" ref="X50:X61" si="33">VALUE(LEFT(A56,3))-VALUE(LEFT(A55,3))</f>
        <v>1</v>
      </c>
      <c r="Y56" s="48">
        <f t="shared" ref="Y50:Y61" si="34">RIGHT(D56,LEN(D56)-4)/10000</f>
        <v>23.297899999999998</v>
      </c>
      <c r="Z56" s="48">
        <f t="shared" ref="Z50:Z61" si="35">RIGHT(H56,LEN(H56)-4)/10000</f>
        <v>1.61E-2</v>
      </c>
      <c r="AA56" s="48">
        <f t="shared" ref="AA50:AA61" si="36">ABS(Z56-Y56)</f>
        <v>23.281799999999997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43" t="s">
        <v>301</v>
      </c>
      <c r="B57" s="43">
        <v>4044</v>
      </c>
      <c r="C57" s="43" t="s">
        <v>60</v>
      </c>
      <c r="D57" s="43" t="s">
        <v>302</v>
      </c>
      <c r="E57" s="25">
        <v>42546.389988425923</v>
      </c>
      <c r="F57" s="25">
        <v>42546.39135416667</v>
      </c>
      <c r="G57" s="31">
        <v>1</v>
      </c>
      <c r="H57" s="25" t="s">
        <v>197</v>
      </c>
      <c r="I57" s="25">
        <v>42546.420393518521</v>
      </c>
      <c r="J57" s="43">
        <v>0</v>
      </c>
      <c r="K57" s="43" t="str">
        <f t="shared" si="19"/>
        <v>4043/4044</v>
      </c>
      <c r="L57" s="43" t="str">
        <f>VLOOKUP(A57,'Trips&amp;Operators'!$C$1:$E$10000,3,FALSE)</f>
        <v>YORK</v>
      </c>
      <c r="M57" s="11">
        <f t="shared" si="20"/>
        <v>2.9039351851679385E-2</v>
      </c>
      <c r="N57" s="12">
        <f t="shared" si="21"/>
        <v>41.816666666418314</v>
      </c>
      <c r="O57" s="12"/>
      <c r="P57" s="12"/>
      <c r="Q57" s="44"/>
      <c r="R57" s="44"/>
      <c r="S57" s="70">
        <f t="shared" si="22"/>
        <v>1</v>
      </c>
      <c r="T57" s="2" t="str">
        <f t="shared" si="23"/>
        <v>NorthBound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09:20:35-0600',mode:absolute,to:'2016-06-25 10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7" s="48" t="str">
        <f t="shared" si="25"/>
        <v>N</v>
      </c>
      <c r="X57" s="48">
        <f t="shared" si="33"/>
        <v>1</v>
      </c>
      <c r="Y57" s="48">
        <f t="shared" si="34"/>
        <v>4.4200000000000003E-2</v>
      </c>
      <c r="Z57" s="48">
        <f t="shared" si="35"/>
        <v>23.328900000000001</v>
      </c>
      <c r="AA57" s="48">
        <f t="shared" si="36"/>
        <v>23.284700000000001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43" t="s">
        <v>303</v>
      </c>
      <c r="B58" s="43">
        <v>4043</v>
      </c>
      <c r="C58" s="43" t="s">
        <v>60</v>
      </c>
      <c r="D58" s="43" t="s">
        <v>80</v>
      </c>
      <c r="E58" s="25">
        <v>42546.422777777778</v>
      </c>
      <c r="F58" s="25">
        <v>42546.423773148148</v>
      </c>
      <c r="G58" s="31">
        <v>1</v>
      </c>
      <c r="H58" s="25" t="s">
        <v>119</v>
      </c>
      <c r="I58" s="25">
        <v>42546.460833333331</v>
      </c>
      <c r="J58" s="43">
        <v>0</v>
      </c>
      <c r="K58" s="43" t="str">
        <f t="shared" si="19"/>
        <v>4043/4044</v>
      </c>
      <c r="L58" s="43" t="str">
        <f>VLOOKUP(A58,'Trips&amp;Operators'!$C$1:$E$10000,3,FALSE)</f>
        <v>YORK</v>
      </c>
      <c r="M58" s="11">
        <f t="shared" si="20"/>
        <v>3.7060185182781424E-2</v>
      </c>
      <c r="N58" s="12">
        <f t="shared" si="21"/>
        <v>53.366666663205251</v>
      </c>
      <c r="O58" s="12"/>
      <c r="P58" s="12"/>
      <c r="Q58" s="44"/>
      <c r="R58" s="44"/>
      <c r="S58" s="70">
        <f t="shared" si="22"/>
        <v>1</v>
      </c>
      <c r="T58" s="2" t="str">
        <f t="shared" si="23"/>
        <v>Southbound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10:07:48-0600',mode:absolute,to:'2016-06-25 11:04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8" s="48" t="str">
        <f t="shared" si="25"/>
        <v>N</v>
      </c>
      <c r="X58" s="48">
        <f t="shared" si="33"/>
        <v>1</v>
      </c>
      <c r="Y58" s="48">
        <f t="shared" si="34"/>
        <v>23.297799999999999</v>
      </c>
      <c r="Z58" s="48">
        <f t="shared" si="35"/>
        <v>1.4999999999999999E-2</v>
      </c>
      <c r="AA58" s="48">
        <f t="shared" si="36"/>
        <v>23.282799999999998</v>
      </c>
      <c r="AB58" s="49" t="e">
        <f>VLOOKUP(A58,Enforcements!$C$7:$J$32,8,0)</f>
        <v>#N/A</v>
      </c>
      <c r="AC58" s="49" t="e">
        <f>VLOOKUP(A58,Enforcements!$C$7:$E$32,3,0)</f>
        <v>#N/A</v>
      </c>
    </row>
    <row r="59" spans="1:29" s="2" customFormat="1" x14ac:dyDescent="0.25">
      <c r="A59" s="43" t="s">
        <v>304</v>
      </c>
      <c r="B59" s="43">
        <v>4007</v>
      </c>
      <c r="C59" s="43" t="s">
        <v>60</v>
      </c>
      <c r="D59" s="43" t="s">
        <v>305</v>
      </c>
      <c r="E59" s="25">
        <v>42546.403229166666</v>
      </c>
      <c r="F59" s="25">
        <v>42546.40421296296</v>
      </c>
      <c r="G59" s="31">
        <v>1</v>
      </c>
      <c r="H59" s="25" t="s">
        <v>157</v>
      </c>
      <c r="I59" s="25">
        <v>42546.43167824074</v>
      </c>
      <c r="J59" s="43">
        <v>1</v>
      </c>
      <c r="K59" s="43" t="str">
        <f t="shared" si="19"/>
        <v>4007/4008</v>
      </c>
      <c r="L59" s="43" t="str">
        <f>VLOOKUP(A59,'Trips&amp;Operators'!$C$1:$E$10000,3,FALSE)</f>
        <v>SANTIZO</v>
      </c>
      <c r="M59" s="11">
        <f t="shared" si="20"/>
        <v>2.7465277780720498E-2</v>
      </c>
      <c r="N59" s="12">
        <f t="shared" si="21"/>
        <v>39.550000004237518</v>
      </c>
      <c r="O59" s="12"/>
      <c r="P59" s="12"/>
      <c r="Q59" s="44"/>
      <c r="R59" s="44"/>
      <c r="S59" s="70">
        <f t="shared" si="22"/>
        <v>1</v>
      </c>
      <c r="T59" s="2" t="str">
        <f t="shared" si="23"/>
        <v>NorthBound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09:39:39-0600',mode:absolute,to:'2016-06-25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9" s="48" t="str">
        <f t="shared" si="25"/>
        <v>N</v>
      </c>
      <c r="X59" s="48">
        <f t="shared" si="33"/>
        <v>1</v>
      </c>
      <c r="Y59" s="48">
        <f t="shared" si="34"/>
        <v>4.2000000000000003E-2</v>
      </c>
      <c r="Z59" s="48">
        <f t="shared" si="35"/>
        <v>23.331700000000001</v>
      </c>
      <c r="AA59" s="48">
        <f t="shared" si="36"/>
        <v>23.2897</v>
      </c>
      <c r="AB59" s="49">
        <f>VLOOKUP(A59,Enforcements!$C$7:$J$32,8,0)</f>
        <v>63068</v>
      </c>
      <c r="AC59" s="49" t="str">
        <f>VLOOKUP(A59,Enforcements!$C$7:$E$32,3,0)</f>
        <v>GRADE CROSSING</v>
      </c>
    </row>
    <row r="60" spans="1:29" s="2" customFormat="1" x14ac:dyDescent="0.25">
      <c r="A60" s="43" t="s">
        <v>306</v>
      </c>
      <c r="B60" s="43">
        <v>4008</v>
      </c>
      <c r="C60" s="43" t="s">
        <v>60</v>
      </c>
      <c r="D60" s="43" t="s">
        <v>186</v>
      </c>
      <c r="E60" s="25">
        <v>42546.433263888888</v>
      </c>
      <c r="F60" s="25">
        <v>42546.434155092589</v>
      </c>
      <c r="G60" s="31">
        <v>1</v>
      </c>
      <c r="H60" s="25" t="s">
        <v>307</v>
      </c>
      <c r="I60" s="25">
        <v>42546.474340277775</v>
      </c>
      <c r="J60" s="43">
        <v>0</v>
      </c>
      <c r="K60" s="43" t="str">
        <f t="shared" si="19"/>
        <v>4007/4008</v>
      </c>
      <c r="L60" s="43" t="str">
        <f>VLOOKUP(A60,'Trips&amp;Operators'!$C$1:$E$10000,3,FALSE)</f>
        <v>SANTIZO</v>
      </c>
      <c r="M60" s="11">
        <f t="shared" si="20"/>
        <v>4.0185185185691807E-2</v>
      </c>
      <c r="N60" s="12">
        <f t="shared" si="21"/>
        <v>57.866666667396203</v>
      </c>
      <c r="O60" s="12"/>
      <c r="P60" s="12"/>
      <c r="Q60" s="44"/>
      <c r="R60" s="44"/>
      <c r="S60" s="70">
        <f t="shared" si="22"/>
        <v>1</v>
      </c>
      <c r="T60" s="2" t="str">
        <f t="shared" si="23"/>
        <v>Southbound</v>
      </c>
      <c r="U60" s="2">
        <f>COUNTIFS(Variables!$M$2:$M$19,IF(T60="NorthBound","&gt;=","&lt;=")&amp;Y60,Variables!$M$2:$M$19,IF(T60="NorthBound","&lt;=","&gt;=")&amp;Z60)</f>
        <v>12</v>
      </c>
      <c r="V6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10:22:54-0600',mode:absolute,to:'2016-06-25 11:24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0" s="48" t="str">
        <f t="shared" si="25"/>
        <v>N</v>
      </c>
      <c r="X60" s="48">
        <f t="shared" si="33"/>
        <v>1</v>
      </c>
      <c r="Y60" s="48">
        <f t="shared" si="34"/>
        <v>23.2987</v>
      </c>
      <c r="Z60" s="48">
        <f t="shared" si="35"/>
        <v>1.6500000000000001E-2</v>
      </c>
      <c r="AA60" s="48">
        <f t="shared" si="36"/>
        <v>23.2822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66" t="s">
        <v>308</v>
      </c>
      <c r="B61" s="43">
        <v>4024</v>
      </c>
      <c r="C61" s="43" t="s">
        <v>60</v>
      </c>
      <c r="D61" s="43" t="s">
        <v>154</v>
      </c>
      <c r="E61" s="25">
        <v>42546.414594907408</v>
      </c>
      <c r="F61" s="25">
        <v>42546.415671296294</v>
      </c>
      <c r="G61" s="31">
        <v>1</v>
      </c>
      <c r="H61" s="25" t="s">
        <v>159</v>
      </c>
      <c r="I61" s="25">
        <v>42546.441446759258</v>
      </c>
      <c r="J61" s="43">
        <v>0</v>
      </c>
      <c r="K61" s="43" t="str">
        <f t="shared" si="19"/>
        <v>4023/4024</v>
      </c>
      <c r="L61" s="43" t="str">
        <f>VLOOKUP(A61,'Trips&amp;Operators'!$C$1:$E$10000,3,FALSE)</f>
        <v>MALAVE</v>
      </c>
      <c r="M61" s="11">
        <f t="shared" si="20"/>
        <v>2.5775462963792961E-2</v>
      </c>
      <c r="N61" s="12">
        <f t="shared" si="21"/>
        <v>37.116666667861864</v>
      </c>
      <c r="O61" s="12"/>
      <c r="P61" s="12"/>
      <c r="Q61" s="44"/>
      <c r="R61" s="44"/>
      <c r="S61" s="70">
        <f t="shared" si="22"/>
        <v>1</v>
      </c>
      <c r="T61" s="2" t="str">
        <f t="shared" si="23"/>
        <v>NorthBound</v>
      </c>
      <c r="U61" s="2">
        <f>COUNTIFS(Variables!$M$2:$M$19,IF(T61="NorthBound","&gt;=","&lt;=")&amp;Y61,Variables!$M$2:$M$19,IF(T61="NorthBound","&lt;=","&gt;=")&amp;Z61)</f>
        <v>12</v>
      </c>
      <c r="V61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09:56:01-0600',mode:absolute,to:'2016-06-25 10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1" s="48" t="str">
        <f t="shared" si="25"/>
        <v>N</v>
      </c>
      <c r="X61" s="48">
        <f t="shared" si="33"/>
        <v>1</v>
      </c>
      <c r="Y61" s="48">
        <f t="shared" si="34"/>
        <v>4.7100000000000003E-2</v>
      </c>
      <c r="Z61" s="48">
        <f t="shared" si="35"/>
        <v>23.327999999999999</v>
      </c>
      <c r="AA61" s="48">
        <f t="shared" si="36"/>
        <v>23.280899999999999</v>
      </c>
      <c r="AB61" s="49" t="e">
        <f>VLOOKUP(A61,Enforcements!$C$7:$J$32,8,0)</f>
        <v>#N/A</v>
      </c>
      <c r="AC61" s="49" t="e">
        <f>VLOOKUP(A61,Enforcements!$C$7:$E$32,3,0)</f>
        <v>#N/A</v>
      </c>
    </row>
    <row r="62" spans="1:29" s="2" customFormat="1" x14ac:dyDescent="0.25">
      <c r="A62" s="43" t="s">
        <v>309</v>
      </c>
      <c r="B62" s="43">
        <v>4023</v>
      </c>
      <c r="C62" s="43" t="s">
        <v>60</v>
      </c>
      <c r="D62" s="43" t="s">
        <v>310</v>
      </c>
      <c r="E62" s="25">
        <v>42546.454143518517</v>
      </c>
      <c r="F62" s="25">
        <v>42546.45484953704</v>
      </c>
      <c r="G62" s="31">
        <v>1</v>
      </c>
      <c r="H62" s="25" t="s">
        <v>75</v>
      </c>
      <c r="I62" s="25">
        <v>42546.485150462962</v>
      </c>
      <c r="J62" s="43">
        <v>0</v>
      </c>
      <c r="K62" s="43" t="str">
        <f t="shared" si="19"/>
        <v>4023/4024</v>
      </c>
      <c r="L62" s="43" t="str">
        <f>VLOOKUP(A62,'Trips&amp;Operators'!$C$1:$E$10000,3,FALSE)</f>
        <v>MALAVE</v>
      </c>
      <c r="M62" s="11">
        <f t="shared" si="20"/>
        <v>3.0300925922347233E-2</v>
      </c>
      <c r="N62" s="12">
        <f t="shared" si="21"/>
        <v>43.633333328180015</v>
      </c>
      <c r="O62" s="12"/>
      <c r="P62" s="12"/>
      <c r="Q62" s="44"/>
      <c r="R62" s="44"/>
      <c r="S62" s="70">
        <f t="shared" si="22"/>
        <v>1</v>
      </c>
      <c r="T62" s="2" t="str">
        <f t="shared" si="23"/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10:52:58-0600',mode:absolute,to:'2016-06-25 11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2" s="48" t="str">
        <f t="shared" si="25"/>
        <v>N</v>
      </c>
      <c r="X62" s="48">
        <f t="shared" si="26"/>
        <v>1</v>
      </c>
      <c r="Y62" s="48">
        <f t="shared" ref="Y62:Y72" si="37">RIGHT(D62,LEN(D62)-4)/10000</f>
        <v>23.2959</v>
      </c>
      <c r="Z62" s="48">
        <f t="shared" ref="Z62:Z72" si="38">RIGHT(H62,LEN(H62)-4)/10000</f>
        <v>1.5599999999999999E-2</v>
      </c>
      <c r="AA62" s="48">
        <f t="shared" si="27"/>
        <v>23.2803</v>
      </c>
      <c r="AB62" s="49" t="e">
        <f>VLOOKUP(A62,Enforcements!$C$7:$J$32,8,0)</f>
        <v>#N/A</v>
      </c>
      <c r="AC62" s="49" t="e">
        <f>VLOOKUP(A62,Enforcements!$C$7:$E$32,3,0)</f>
        <v>#N/A</v>
      </c>
    </row>
    <row r="63" spans="1:29" s="2" customFormat="1" x14ac:dyDescent="0.25">
      <c r="A63" s="43" t="s">
        <v>311</v>
      </c>
      <c r="B63" s="43">
        <v>4014</v>
      </c>
      <c r="C63" s="43" t="s">
        <v>60</v>
      </c>
      <c r="D63" s="43" t="s">
        <v>312</v>
      </c>
      <c r="E63" s="25">
        <v>42546.425243055557</v>
      </c>
      <c r="F63" s="25">
        <v>42546.426087962966</v>
      </c>
      <c r="G63" s="31">
        <v>1</v>
      </c>
      <c r="H63" s="25" t="s">
        <v>313</v>
      </c>
      <c r="I63" s="25">
        <v>42546.428101851852</v>
      </c>
      <c r="J63" s="43">
        <v>1</v>
      </c>
      <c r="K63" s="43" t="str">
        <f t="shared" si="19"/>
        <v>4013/4014</v>
      </c>
      <c r="L63" s="43" t="str">
        <f>VLOOKUP(A63,'Trips&amp;Operators'!$C$1:$E$10000,3,FALSE)</f>
        <v>ACKERMAN</v>
      </c>
      <c r="M63" s="11">
        <f t="shared" si="20"/>
        <v>2.0138888867222704E-3</v>
      </c>
      <c r="N63" s="12"/>
      <c r="O63" s="12"/>
      <c r="P63" s="12">
        <f>24*60*SUM($M63:$M64)</f>
        <v>35.849999998463318</v>
      </c>
      <c r="Q63" s="44"/>
      <c r="R63" s="44" t="s">
        <v>500</v>
      </c>
      <c r="S63" s="70">
        <f>SUM(U63:U64)/12</f>
        <v>1</v>
      </c>
      <c r="T63" s="2" t="str">
        <f t="shared" si="23"/>
        <v>NorthBound</v>
      </c>
      <c r="U63" s="2">
        <f>COUNTIFS(Variables!$M$2:$M$19,IF(T63="NorthBound","&gt;=","&lt;=")&amp;Y63,Variables!$M$2:$M$19,IF(T63="NorthBound","&lt;=","&gt;=")&amp;Z63)</f>
        <v>0</v>
      </c>
      <c r="V63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10:11:21-0600',mode:absolute,to:'2016-06-25 10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3" s="48" t="str">
        <f t="shared" si="25"/>
        <v>Y</v>
      </c>
      <c r="X63" s="48">
        <f t="shared" si="26"/>
        <v>1</v>
      </c>
      <c r="Y63" s="48">
        <f t="shared" si="37"/>
        <v>0.15279999999999999</v>
      </c>
      <c r="Z63" s="48">
        <f t="shared" si="38"/>
        <v>0.1888</v>
      </c>
      <c r="AA63" s="48">
        <f t="shared" si="27"/>
        <v>3.6000000000000004E-2</v>
      </c>
      <c r="AB63" s="49">
        <f>VLOOKUP(A63,Enforcements!$C$7:$J$32,8,0)</f>
        <v>1692</v>
      </c>
      <c r="AC63" s="49" t="str">
        <f>VLOOKUP(A63,Enforcements!$C$7:$E$32,3,0)</f>
        <v>SIGNAL</v>
      </c>
    </row>
    <row r="64" spans="1:29" s="2" customFormat="1" x14ac:dyDescent="0.25">
      <c r="A64" s="43" t="s">
        <v>311</v>
      </c>
      <c r="B64" s="43">
        <v>4014</v>
      </c>
      <c r="C64" s="43" t="s">
        <v>60</v>
      </c>
      <c r="D64" s="43" t="s">
        <v>314</v>
      </c>
      <c r="E64" s="25">
        <v>42546.431238425925</v>
      </c>
      <c r="F64" s="25">
        <v>42546.432268518518</v>
      </c>
      <c r="G64" s="31">
        <v>1</v>
      </c>
      <c r="H64" s="25" t="s">
        <v>111</v>
      </c>
      <c r="I64" s="25">
        <v>42546.455150462964</v>
      </c>
      <c r="J64" s="43">
        <v>0</v>
      </c>
      <c r="K64" s="43" t="str">
        <f t="shared" si="19"/>
        <v>4013/4014</v>
      </c>
      <c r="L64" s="43" t="str">
        <f>VLOOKUP(A64,'Trips&amp;Operators'!$C$1:$E$10000,3,FALSE)</f>
        <v>ACKERMAN</v>
      </c>
      <c r="M64" s="11">
        <f t="shared" si="20"/>
        <v>2.2881944445543922E-2</v>
      </c>
      <c r="N64" s="12"/>
      <c r="O64" s="12"/>
      <c r="P64" s="12"/>
      <c r="Q64" s="44"/>
      <c r="R64" s="44"/>
      <c r="S64" s="70"/>
      <c r="T64" s="2" t="str">
        <f t="shared" si="23"/>
        <v>NorthBound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10:19:59-0600',mode:absolute,to:'2016-06-25 10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4" s="48" t="str">
        <f t="shared" si="25"/>
        <v>Y</v>
      </c>
      <c r="X64" s="48">
        <f t="shared" si="26"/>
        <v>0</v>
      </c>
      <c r="Y64" s="48">
        <f t="shared" si="37"/>
        <v>1.9137</v>
      </c>
      <c r="Z64" s="48">
        <f t="shared" si="38"/>
        <v>23.3291</v>
      </c>
      <c r="AA64" s="48">
        <f t="shared" si="27"/>
        <v>21.415400000000002</v>
      </c>
      <c r="AB64" s="49">
        <f>VLOOKUP(A64,Enforcements!$C$7:$J$32,8,0)</f>
        <v>1692</v>
      </c>
      <c r="AC64" s="49" t="str">
        <f>VLOOKUP(A64,Enforcements!$C$7:$E$32,3,0)</f>
        <v>SIGNAL</v>
      </c>
    </row>
    <row r="65" spans="1:29" s="2" customFormat="1" x14ac:dyDescent="0.25">
      <c r="A65" s="43" t="s">
        <v>315</v>
      </c>
      <c r="B65" s="43">
        <v>4013</v>
      </c>
      <c r="C65" s="43" t="s">
        <v>60</v>
      </c>
      <c r="D65" s="43" t="s">
        <v>174</v>
      </c>
      <c r="E65" s="25">
        <v>42546.4606712963</v>
      </c>
      <c r="F65" s="25">
        <v>42546.46166666667</v>
      </c>
      <c r="G65" s="31">
        <v>1</v>
      </c>
      <c r="H65" s="25" t="s">
        <v>61</v>
      </c>
      <c r="I65" s="25">
        <v>42546.493437500001</v>
      </c>
      <c r="J65" s="43">
        <v>0</v>
      </c>
      <c r="K65" s="43" t="str">
        <f t="shared" si="19"/>
        <v>4013/4014</v>
      </c>
      <c r="L65" s="43" t="str">
        <f>VLOOKUP(A65,'Trips&amp;Operators'!$C$1:$E$10000,3,FALSE)</f>
        <v>ACKERMAN</v>
      </c>
      <c r="M65" s="11">
        <f t="shared" si="20"/>
        <v>3.1770833331393078E-2</v>
      </c>
      <c r="N65" s="12">
        <f t="shared" si="21"/>
        <v>45.749999997206032</v>
      </c>
      <c r="O65" s="12"/>
      <c r="P65" s="12"/>
      <c r="Q65" s="44"/>
      <c r="R65" s="44"/>
      <c r="S65" s="70">
        <f t="shared" si="22"/>
        <v>1</v>
      </c>
      <c r="T65" s="2" t="str">
        <f t="shared" si="23"/>
        <v>Southbound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11:02:22-0600',mode:absolute,to:'2016-06-25 11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5" s="48" t="str">
        <f t="shared" si="25"/>
        <v>N</v>
      </c>
      <c r="X65" s="48">
        <f t="shared" si="26"/>
        <v>1</v>
      </c>
      <c r="Y65" s="48">
        <f t="shared" si="37"/>
        <v>23.298500000000001</v>
      </c>
      <c r="Z65" s="48">
        <f t="shared" si="38"/>
        <v>1.4500000000000001E-2</v>
      </c>
      <c r="AA65" s="48">
        <f t="shared" si="27"/>
        <v>23.283999999999999</v>
      </c>
      <c r="AB65" s="49" t="e">
        <f>VLOOKUP(A65,Enforcements!$C$7:$J$32,8,0)</f>
        <v>#N/A</v>
      </c>
      <c r="AC65" s="49" t="e">
        <f>VLOOKUP(A65,Enforcements!$C$7:$E$32,3,0)</f>
        <v>#N/A</v>
      </c>
    </row>
    <row r="66" spans="1:29" s="2" customFormat="1" x14ac:dyDescent="0.25">
      <c r="A66" s="43" t="s">
        <v>316</v>
      </c>
      <c r="B66" s="43">
        <v>4018</v>
      </c>
      <c r="C66" s="43" t="s">
        <v>60</v>
      </c>
      <c r="D66" s="43" t="s">
        <v>317</v>
      </c>
      <c r="E66" s="25">
        <v>42546.433321759258</v>
      </c>
      <c r="F66" s="25">
        <v>42546.434675925928</v>
      </c>
      <c r="G66" s="31">
        <v>1</v>
      </c>
      <c r="H66" s="25" t="s">
        <v>268</v>
      </c>
      <c r="I66" s="25">
        <v>42546.465648148151</v>
      </c>
      <c r="J66" s="43">
        <v>0</v>
      </c>
      <c r="K66" s="43" t="str">
        <f t="shared" si="19"/>
        <v>4017/4018</v>
      </c>
      <c r="L66" s="43" t="str">
        <f>VLOOKUP(A66,'Trips&amp;Operators'!$C$1:$E$10000,3,FALSE)</f>
        <v>GEBRETEKLE</v>
      </c>
      <c r="M66" s="11">
        <f t="shared" si="20"/>
        <v>3.0972222222771961E-2</v>
      </c>
      <c r="N66" s="12">
        <f t="shared" si="21"/>
        <v>44.600000000791624</v>
      </c>
      <c r="O66" s="12"/>
      <c r="P66" s="12"/>
      <c r="Q66" s="44"/>
      <c r="R66" s="44"/>
      <c r="S66" s="70">
        <f t="shared" ref="S66:S97" si="39">SUM(U66:U66)/12</f>
        <v>1</v>
      </c>
      <c r="T66" s="2" t="str">
        <f t="shared" si="23"/>
        <v>NorthBound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10:22:59-0600',mode:absolute,to:'2016-06-25 11:11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6" s="48" t="str">
        <f t="shared" si="25"/>
        <v>N</v>
      </c>
      <c r="X66" s="48">
        <f t="shared" si="26"/>
        <v>1</v>
      </c>
      <c r="Y66" s="48">
        <f t="shared" si="37"/>
        <v>0.1181</v>
      </c>
      <c r="Z66" s="48">
        <f t="shared" si="38"/>
        <v>23.331399999999999</v>
      </c>
      <c r="AA66" s="48">
        <f t="shared" si="27"/>
        <v>23.2133</v>
      </c>
      <c r="AB66" s="49" t="e">
        <f>VLOOKUP(A66,Enforcements!$C$7:$J$32,8,0)</f>
        <v>#N/A</v>
      </c>
      <c r="AC66" s="49" t="e">
        <f>VLOOKUP(A66,Enforcements!$C$7:$E$32,3,0)</f>
        <v>#N/A</v>
      </c>
    </row>
    <row r="67" spans="1:29" s="2" customFormat="1" x14ac:dyDescent="0.25">
      <c r="A67" s="43" t="s">
        <v>318</v>
      </c>
      <c r="B67" s="43">
        <v>4017</v>
      </c>
      <c r="C67" s="43" t="s">
        <v>60</v>
      </c>
      <c r="D67" s="43" t="s">
        <v>199</v>
      </c>
      <c r="E67" s="25">
        <v>42546.476712962962</v>
      </c>
      <c r="F67" s="25">
        <v>42546.477523148147</v>
      </c>
      <c r="G67" s="31">
        <v>1</v>
      </c>
      <c r="H67" s="25" t="s">
        <v>74</v>
      </c>
      <c r="I67" s="25">
        <v>42546.503935185188</v>
      </c>
      <c r="J67" s="43">
        <v>0</v>
      </c>
      <c r="K67" s="43" t="str">
        <f t="shared" si="19"/>
        <v>4017/4018</v>
      </c>
      <c r="L67" s="43" t="str">
        <f>VLOOKUP(A67,'Trips&amp;Operators'!$C$1:$E$10000,3,FALSE)</f>
        <v>GEBRETEKLE</v>
      </c>
      <c r="M67" s="11">
        <f t="shared" si="20"/>
        <v>2.641203704115469E-2</v>
      </c>
      <c r="N67" s="12">
        <f t="shared" si="21"/>
        <v>38.033333339262754</v>
      </c>
      <c r="O67" s="12"/>
      <c r="P67" s="12"/>
      <c r="Q67" s="44"/>
      <c r="R67" s="44"/>
      <c r="S67" s="70">
        <f t="shared" si="39"/>
        <v>1</v>
      </c>
      <c r="T67" s="2" t="str">
        <f t="shared" si="23"/>
        <v>Southbound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11:25:28-0600',mode:absolute,to:'2016-06-25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7" s="48" t="str">
        <f t="shared" si="25"/>
        <v>N</v>
      </c>
      <c r="X67" s="48">
        <f t="shared" si="26"/>
        <v>1</v>
      </c>
      <c r="Y67" s="48">
        <f t="shared" si="37"/>
        <v>23.298999999999999</v>
      </c>
      <c r="Z67" s="48">
        <f t="shared" si="38"/>
        <v>1.41E-2</v>
      </c>
      <c r="AA67" s="48">
        <f t="shared" si="27"/>
        <v>23.2849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43" t="s">
        <v>319</v>
      </c>
      <c r="B68" s="43">
        <v>4042</v>
      </c>
      <c r="C68" s="43" t="s">
        <v>60</v>
      </c>
      <c r="D68" s="43" t="s">
        <v>320</v>
      </c>
      <c r="E68" s="25">
        <v>42546.443958333337</v>
      </c>
      <c r="F68" s="25">
        <v>42546.445763888885</v>
      </c>
      <c r="G68" s="31">
        <v>2</v>
      </c>
      <c r="H68" s="25" t="s">
        <v>117</v>
      </c>
      <c r="I68" s="25">
        <v>42546.474236111113</v>
      </c>
      <c r="J68" s="43">
        <v>1</v>
      </c>
      <c r="K68" s="43" t="str">
        <f t="shared" si="19"/>
        <v>4041/4042</v>
      </c>
      <c r="L68" s="43" t="str">
        <f>VLOOKUP(A68,'Trips&amp;Operators'!$C$1:$E$10000,3,FALSE)</f>
        <v>MAYBERRY</v>
      </c>
      <c r="M68" s="11">
        <f t="shared" si="20"/>
        <v>2.8472222227719612E-2</v>
      </c>
      <c r="N68" s="12">
        <f t="shared" si="21"/>
        <v>41.000000007916242</v>
      </c>
      <c r="O68" s="12"/>
      <c r="P68" s="12"/>
      <c r="Q68" s="44"/>
      <c r="R68" s="44"/>
      <c r="S68" s="70">
        <f t="shared" si="39"/>
        <v>1</v>
      </c>
      <c r="T68" s="2" t="str">
        <f t="shared" si="23"/>
        <v>NorthBound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10:38:18-0600',mode:absolute,to:'2016-06-25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8" s="48" t="str">
        <f t="shared" si="25"/>
        <v>N</v>
      </c>
      <c r="X68" s="48">
        <f t="shared" si="26"/>
        <v>1</v>
      </c>
      <c r="Y68" s="48">
        <f t="shared" si="37"/>
        <v>6.5199999999999994E-2</v>
      </c>
      <c r="Z68" s="48">
        <f t="shared" si="38"/>
        <v>23.331</v>
      </c>
      <c r="AA68" s="48">
        <f t="shared" si="27"/>
        <v>23.265799999999999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43" t="s">
        <v>321</v>
      </c>
      <c r="B69" s="43">
        <v>4041</v>
      </c>
      <c r="C69" s="43" t="s">
        <v>60</v>
      </c>
      <c r="D69" s="43" t="s">
        <v>186</v>
      </c>
      <c r="E69" s="25">
        <v>42546.482071759259</v>
      </c>
      <c r="F69" s="25">
        <v>42546.483043981483</v>
      </c>
      <c r="G69" s="31">
        <v>1</v>
      </c>
      <c r="H69" s="25" t="s">
        <v>62</v>
      </c>
      <c r="I69" s="25">
        <v>42546.516250000001</v>
      </c>
      <c r="J69" s="43">
        <v>0</v>
      </c>
      <c r="K69" s="43" t="str">
        <f t="shared" si="19"/>
        <v>4041/4042</v>
      </c>
      <c r="L69" s="43" t="str">
        <f>VLOOKUP(A69,'Trips&amp;Operators'!$C$1:$E$10000,3,FALSE)</f>
        <v>MAYBERRY</v>
      </c>
      <c r="M69" s="11">
        <f t="shared" si="20"/>
        <v>3.3206018517375924E-2</v>
      </c>
      <c r="N69" s="12">
        <f t="shared" si="21"/>
        <v>47.81666666502133</v>
      </c>
      <c r="O69" s="12"/>
      <c r="P69" s="12"/>
      <c r="Q69" s="44"/>
      <c r="R69" s="44"/>
      <c r="S69" s="70">
        <f t="shared" si="39"/>
        <v>1</v>
      </c>
      <c r="T69" s="2" t="str">
        <f t="shared" si="23"/>
        <v>Southbound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11:33:11-0600',mode:absolute,to:'2016-06-25 12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9" s="48" t="str">
        <f t="shared" si="25"/>
        <v>N</v>
      </c>
      <c r="X69" s="48">
        <f t="shared" si="26"/>
        <v>1</v>
      </c>
      <c r="Y69" s="48">
        <f t="shared" si="37"/>
        <v>23.2987</v>
      </c>
      <c r="Z69" s="48">
        <f t="shared" si="38"/>
        <v>1.52E-2</v>
      </c>
      <c r="AA69" s="48">
        <f t="shared" si="27"/>
        <v>23.2835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43" t="s">
        <v>322</v>
      </c>
      <c r="B70" s="43">
        <v>4025</v>
      </c>
      <c r="C70" s="43" t="s">
        <v>60</v>
      </c>
      <c r="D70" s="43" t="s">
        <v>205</v>
      </c>
      <c r="E70" s="25">
        <v>42546.452337962961</v>
      </c>
      <c r="F70" s="25">
        <v>42546.453599537039</v>
      </c>
      <c r="G70" s="31">
        <v>1</v>
      </c>
      <c r="H70" s="25" t="s">
        <v>176</v>
      </c>
      <c r="I70" s="25">
        <v>42546.484479166669</v>
      </c>
      <c r="J70" s="43">
        <v>0</v>
      </c>
      <c r="K70" s="43" t="str">
        <f t="shared" si="19"/>
        <v>4025/4026</v>
      </c>
      <c r="L70" s="43" t="str">
        <f>VLOOKUP(A70,'Trips&amp;Operators'!$C$1:$E$10000,3,FALSE)</f>
        <v>NELSON</v>
      </c>
      <c r="M70" s="11">
        <f t="shared" si="20"/>
        <v>3.0879629630362615E-2</v>
      </c>
      <c r="N70" s="12">
        <f t="shared" si="21"/>
        <v>44.466666667722166</v>
      </c>
      <c r="O70" s="12"/>
      <c r="P70" s="12"/>
      <c r="Q70" s="44"/>
      <c r="R70" s="44"/>
      <c r="S70" s="70">
        <f t="shared" si="39"/>
        <v>1</v>
      </c>
      <c r="T70" s="2" t="str">
        <f t="shared" si="23"/>
        <v>NorthBound</v>
      </c>
      <c r="U70" s="2">
        <f>COUNTIFS(Variables!$M$2:$M$19,IF(T70="NorthBound","&gt;=","&lt;=")&amp;Y70,Variables!$M$2:$M$19,IF(T70="NorthBound","&lt;=","&gt;=")&amp;Z70)</f>
        <v>12</v>
      </c>
      <c r="V7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10:50:22-0600',mode:absolute,to:'2016-06-25 11:38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0" s="48" t="str">
        <f t="shared" si="25"/>
        <v>N</v>
      </c>
      <c r="X70" s="48">
        <f t="shared" si="26"/>
        <v>1</v>
      </c>
      <c r="Y70" s="48">
        <f t="shared" si="37"/>
        <v>4.4400000000000002E-2</v>
      </c>
      <c r="Z70" s="48">
        <f t="shared" si="38"/>
        <v>23.3293</v>
      </c>
      <c r="AA70" s="48">
        <f t="shared" si="27"/>
        <v>23.2849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43" t="s">
        <v>323</v>
      </c>
      <c r="B71" s="43">
        <v>4026</v>
      </c>
      <c r="C71" s="43" t="s">
        <v>60</v>
      </c>
      <c r="D71" s="43" t="s">
        <v>107</v>
      </c>
      <c r="E71" s="25">
        <v>42546.492766203701</v>
      </c>
      <c r="F71" s="25">
        <v>42546.493888888886</v>
      </c>
      <c r="G71" s="31">
        <v>1</v>
      </c>
      <c r="H71" s="25" t="s">
        <v>112</v>
      </c>
      <c r="I71" s="25">
        <v>42546.524537037039</v>
      </c>
      <c r="J71" s="43">
        <v>1</v>
      </c>
      <c r="K71" s="43" t="str">
        <f t="shared" ref="K71:K102" si="40">IF(ISEVEN(B71),(B71-1)&amp;"/"&amp;B71,B71&amp;"/"&amp;(B71+1))</f>
        <v>4025/4026</v>
      </c>
      <c r="L71" s="43" t="str">
        <f>VLOOKUP(A71,'Trips&amp;Operators'!$C$1:$E$10000,3,FALSE)</f>
        <v>NELSON</v>
      </c>
      <c r="M71" s="11">
        <f t="shared" ref="M71:M102" si="41">I71-F71</f>
        <v>3.0648148152977228E-2</v>
      </c>
      <c r="N71" s="12">
        <f t="shared" ref="N71:P102" si="42">24*60*SUM($M71:$M71)</f>
        <v>44.133333340287209</v>
      </c>
      <c r="O71" s="12"/>
      <c r="P71" s="12"/>
      <c r="Q71" s="44"/>
      <c r="R71" s="44"/>
      <c r="S71" s="70">
        <f t="shared" si="39"/>
        <v>1</v>
      </c>
      <c r="T71" s="2" t="str">
        <f t="shared" ref="T71:T102" si="43">IF(ISEVEN(LEFT(A71,3)),"Southbound","NorthBound")</f>
        <v>Southbound</v>
      </c>
      <c r="U71" s="2">
        <f>COUNTIFS(Variables!$M$2:$M$19,IF(T71="NorthBound","&gt;=","&lt;=")&amp;Y71,Variables!$M$2:$M$19,IF(T71="NorthBound","&lt;=","&gt;=")&amp;Z71)</f>
        <v>12</v>
      </c>
      <c r="V71" s="48" t="str">
        <f t="shared" ref="V71:V102" si="44"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https://search-rtdc-monitor-bjffxe2xuh6vdkpspy63sjmuny.us-east-1.es.amazonaws.com/_plugin/kibana/#/discover/Steve-Slow-Train-Analysis-(2080s-and-2083s)?_g=(refreshInterval:(display:Off,section:0,value:0),time:(from:'2016-06-25 11:48:35-0600',mode:absolute,to:'2016-06-25 12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1" s="48" t="str">
        <f t="shared" ref="W71:W102" si="45">IF(AA71&lt;23,"Y","N")</f>
        <v>N</v>
      </c>
      <c r="X71" s="48">
        <f t="shared" ref="X71:X95" si="46">VALUE(LEFT(A71,3))-VALUE(LEFT(A70,3))</f>
        <v>1</v>
      </c>
      <c r="Y71" s="48">
        <f t="shared" si="37"/>
        <v>23.299800000000001</v>
      </c>
      <c r="Z71" s="48">
        <f t="shared" si="38"/>
        <v>1.3899999999999999E-2</v>
      </c>
      <c r="AA71" s="48">
        <f t="shared" ref="AA71:AA102" si="47">ABS(Z71-Y71)</f>
        <v>23.285900000000002</v>
      </c>
      <c r="AB71" s="49" t="e">
        <f>VLOOKUP(A71,Enforcements!$C$7:$J$32,8,0)</f>
        <v>#N/A</v>
      </c>
      <c r="AC71" s="49" t="e">
        <f>VLOOKUP(A71,Enforcements!$C$7:$E$32,3,0)</f>
        <v>#N/A</v>
      </c>
    </row>
    <row r="72" spans="1:29" s="2" customFormat="1" ht="16.5" customHeight="1" x14ac:dyDescent="0.25">
      <c r="A72" s="43" t="s">
        <v>324</v>
      </c>
      <c r="B72" s="43">
        <v>4044</v>
      </c>
      <c r="C72" s="43" t="s">
        <v>60</v>
      </c>
      <c r="D72" s="43" t="s">
        <v>114</v>
      </c>
      <c r="E72" s="25">
        <v>42546.46533564815</v>
      </c>
      <c r="F72" s="25">
        <v>42546.466365740744</v>
      </c>
      <c r="G72" s="31">
        <v>1</v>
      </c>
      <c r="H72" s="25" t="s">
        <v>210</v>
      </c>
      <c r="I72" s="25">
        <v>42546.496261574073</v>
      </c>
      <c r="J72" s="43">
        <v>0</v>
      </c>
      <c r="K72" s="43" t="str">
        <f t="shared" si="40"/>
        <v>4043/4044</v>
      </c>
      <c r="L72" s="43" t="str">
        <f>VLOOKUP(A72,'Trips&amp;Operators'!$C$1:$E$10000,3,FALSE)</f>
        <v>RIVERA</v>
      </c>
      <c r="M72" s="11">
        <f t="shared" si="41"/>
        <v>2.9895833329646848E-2</v>
      </c>
      <c r="N72" s="12">
        <f t="shared" si="42"/>
        <v>43.049999994691461</v>
      </c>
      <c r="O72" s="12"/>
      <c r="P72" s="12"/>
      <c r="Q72" s="44"/>
      <c r="R72" s="44"/>
      <c r="S72" s="70">
        <f t="shared" si="39"/>
        <v>1</v>
      </c>
      <c r="T72" s="2" t="str">
        <f t="shared" si="43"/>
        <v>NorthBound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11:09:05-0600',mode:absolute,to:'2016-06-25 11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2" s="48" t="str">
        <f t="shared" si="45"/>
        <v>N</v>
      </c>
      <c r="X72" s="48">
        <f t="shared" si="46"/>
        <v>1</v>
      </c>
      <c r="Y72" s="48">
        <f t="shared" si="37"/>
        <v>4.6699999999999998E-2</v>
      </c>
      <c r="Z72" s="48">
        <f t="shared" si="38"/>
        <v>23.331900000000001</v>
      </c>
      <c r="AA72" s="48">
        <f t="shared" si="47"/>
        <v>23.2852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ht="16.5" customHeight="1" x14ac:dyDescent="0.25">
      <c r="A73" s="66" t="s">
        <v>325</v>
      </c>
      <c r="B73" s="43">
        <v>4043</v>
      </c>
      <c r="C73" s="43" t="s">
        <v>60</v>
      </c>
      <c r="D73" s="43" t="s">
        <v>288</v>
      </c>
      <c r="E73" s="25">
        <v>42546.502523148149</v>
      </c>
      <c r="F73" s="25">
        <v>42546.503599537034</v>
      </c>
      <c r="G73" s="25">
        <v>1</v>
      </c>
      <c r="H73" s="25" t="s">
        <v>61</v>
      </c>
      <c r="I73" s="25">
        <v>42546.536354166667</v>
      </c>
      <c r="J73" s="43">
        <v>0</v>
      </c>
      <c r="K73" s="43" t="str">
        <f t="shared" si="40"/>
        <v>4043/4044</v>
      </c>
      <c r="L73" s="43" t="str">
        <f>VLOOKUP(A73,'Trips&amp;Operators'!$C$1:$E$10000,3,FALSE)</f>
        <v>RIVERA</v>
      </c>
      <c r="M73" s="11">
        <f t="shared" si="41"/>
        <v>3.2754629632108845E-2</v>
      </c>
      <c r="N73" s="12">
        <f t="shared" si="42"/>
        <v>47.166666670236737</v>
      </c>
      <c r="O73" s="12"/>
      <c r="P73" s="12"/>
      <c r="Q73" s="44"/>
      <c r="R73" s="44"/>
      <c r="S73" s="70">
        <f t="shared" si="39"/>
        <v>1</v>
      </c>
      <c r="T73" s="2" t="str">
        <f t="shared" si="43"/>
        <v>Southbound</v>
      </c>
      <c r="U73" s="2">
        <f>COUNTIFS(Variables!$M$2:$M$19,IF(T73="NorthBound","&gt;=","&lt;=")&amp;Y73,Variables!$M$2:$M$19,IF(T73="NorthBound","&lt;=","&gt;=")&amp;Z73)</f>
        <v>12</v>
      </c>
      <c r="V7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12:02:38-0600',mode:absolute,to:'2016-06-25 12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3" s="48" t="str">
        <f t="shared" si="45"/>
        <v>N</v>
      </c>
      <c r="X73" s="48">
        <f t="shared" si="46"/>
        <v>1</v>
      </c>
      <c r="Y73" s="48">
        <f t="shared" ref="Y73:Y74" si="48">RIGHT(D73,LEN(D73)-4)/10000</f>
        <v>23.299299999999999</v>
      </c>
      <c r="Z73" s="48">
        <f t="shared" ref="Z73:Z74" si="49">RIGHT(H73,LEN(H73)-4)/10000</f>
        <v>1.4500000000000001E-2</v>
      </c>
      <c r="AA73" s="48">
        <f t="shared" si="47"/>
        <v>23.284799999999997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43" t="s">
        <v>326</v>
      </c>
      <c r="B74" s="43">
        <v>4007</v>
      </c>
      <c r="C74" s="43" t="s">
        <v>60</v>
      </c>
      <c r="D74" s="43" t="s">
        <v>171</v>
      </c>
      <c r="E74" s="25">
        <v>42546.476168981484</v>
      </c>
      <c r="F74" s="25">
        <v>42546.477060185185</v>
      </c>
      <c r="G74" s="31">
        <v>1</v>
      </c>
      <c r="H74" s="25" t="s">
        <v>327</v>
      </c>
      <c r="I74" s="25">
        <v>42546.503935185188</v>
      </c>
      <c r="J74" s="43">
        <v>0</v>
      </c>
      <c r="K74" s="43" t="str">
        <f t="shared" si="40"/>
        <v>4007/4008</v>
      </c>
      <c r="L74" s="43" t="str">
        <f>VLOOKUP(A74,'Trips&amp;Operators'!$C$1:$E$10000,3,FALSE)</f>
        <v>YANAI</v>
      </c>
      <c r="M74" s="11">
        <f t="shared" si="41"/>
        <v>2.6875000003201421E-2</v>
      </c>
      <c r="N74" s="12">
        <f t="shared" si="42"/>
        <v>38.700000004610047</v>
      </c>
      <c r="O74" s="12"/>
      <c r="P74" s="12"/>
      <c r="Q74" s="44"/>
      <c r="R74" s="44"/>
      <c r="S74" s="70">
        <f t="shared" si="39"/>
        <v>1</v>
      </c>
      <c r="T74" s="2" t="str">
        <f t="shared" si="43"/>
        <v>NorthBound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11:24:41-0600',mode:absolute,to:'2016-06-25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4" s="48" t="str">
        <f t="shared" si="45"/>
        <v>N</v>
      </c>
      <c r="X74" s="48">
        <f t="shared" si="46"/>
        <v>1</v>
      </c>
      <c r="Y74" s="48">
        <f t="shared" si="48"/>
        <v>4.7699999999999999E-2</v>
      </c>
      <c r="Z74" s="48">
        <f t="shared" si="49"/>
        <v>23.331099999999999</v>
      </c>
      <c r="AA74" s="48">
        <f t="shared" si="47"/>
        <v>23.2834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43" t="s">
        <v>328</v>
      </c>
      <c r="B75" s="43">
        <v>4008</v>
      </c>
      <c r="C75" s="43" t="s">
        <v>60</v>
      </c>
      <c r="D75" s="43" t="s">
        <v>329</v>
      </c>
      <c r="E75" s="25">
        <v>42546.51326388889</v>
      </c>
      <c r="F75" s="25">
        <v>42546.514293981483</v>
      </c>
      <c r="G75" s="31">
        <v>1</v>
      </c>
      <c r="H75" s="25" t="s">
        <v>285</v>
      </c>
      <c r="I75" s="25">
        <v>42546.543761574074</v>
      </c>
      <c r="J75" s="43">
        <v>0</v>
      </c>
      <c r="K75" s="43" t="str">
        <f t="shared" si="40"/>
        <v>4007/4008</v>
      </c>
      <c r="L75" s="43" t="str">
        <f>VLOOKUP(A75,'Trips&amp;Operators'!$C$1:$E$10000,3,FALSE)</f>
        <v>YANAI</v>
      </c>
      <c r="M75" s="11">
        <f t="shared" si="41"/>
        <v>2.9467592590663116E-2</v>
      </c>
      <c r="N75" s="12">
        <f t="shared" si="42"/>
        <v>42.433333330554888</v>
      </c>
      <c r="O75" s="12"/>
      <c r="P75" s="12"/>
      <c r="Q75" s="44"/>
      <c r="R75" s="44"/>
      <c r="S75" s="70">
        <f t="shared" si="39"/>
        <v>1</v>
      </c>
      <c r="T75" s="2" t="str">
        <f t="shared" si="43"/>
        <v>Southbound</v>
      </c>
      <c r="U75" s="2">
        <f>COUNTIFS(Variables!$M$2:$M$19,IF(T75="NorthBound","&gt;=","&lt;=")&amp;Y75,Variables!$M$2:$M$19,IF(T75="NorthBound","&lt;=","&gt;=")&amp;Z75)</f>
        <v>12</v>
      </c>
      <c r="V7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12:18:06-0600',mode:absolute,to:'2016-06-25 13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5" s="48" t="str">
        <f t="shared" si="45"/>
        <v>N</v>
      </c>
      <c r="X75" s="48">
        <f t="shared" si="46"/>
        <v>1</v>
      </c>
      <c r="Y75" s="48">
        <f t="shared" ref="Y74:Y100" si="50">RIGHT(D75,LEN(D75)-4)/10000</f>
        <v>23.2988</v>
      </c>
      <c r="Z75" s="48">
        <f t="shared" ref="Z74:Z100" si="51">RIGHT(H75,LEN(H75)-4)/10000</f>
        <v>1.38E-2</v>
      </c>
      <c r="AA75" s="48">
        <f t="shared" si="47"/>
        <v>23.285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x14ac:dyDescent="0.25">
      <c r="A76" s="43" t="s">
        <v>330</v>
      </c>
      <c r="B76" s="43">
        <v>4024</v>
      </c>
      <c r="C76" s="43" t="s">
        <v>60</v>
      </c>
      <c r="D76" s="43" t="s">
        <v>143</v>
      </c>
      <c r="E76" s="25">
        <v>42546.486504629633</v>
      </c>
      <c r="F76" s="25">
        <v>42546.489710648151</v>
      </c>
      <c r="G76" s="31">
        <v>4</v>
      </c>
      <c r="H76" s="25" t="s">
        <v>208</v>
      </c>
      <c r="I76" s="25">
        <v>42546.515844907408</v>
      </c>
      <c r="J76" s="43">
        <v>0</v>
      </c>
      <c r="K76" s="43" t="str">
        <f t="shared" si="40"/>
        <v>4023/4024</v>
      </c>
      <c r="L76" s="43" t="str">
        <f>VLOOKUP(A76,'Trips&amp;Operators'!$C$1:$E$10000,3,FALSE)</f>
        <v>LOCKLEAR</v>
      </c>
      <c r="M76" s="11">
        <f t="shared" si="41"/>
        <v>2.6134259256650694E-2</v>
      </c>
      <c r="N76" s="12">
        <f t="shared" si="42"/>
        <v>37.633333329576999</v>
      </c>
      <c r="O76" s="12"/>
      <c r="P76" s="12"/>
      <c r="Q76" s="44"/>
      <c r="R76" s="44"/>
      <c r="S76" s="70">
        <f t="shared" si="39"/>
        <v>1</v>
      </c>
      <c r="T76" s="2" t="str">
        <f t="shared" si="43"/>
        <v>NorthBound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11:39:34-0600',mode:absolute,to:'2016-06-25 12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6" s="48" t="str">
        <f t="shared" si="45"/>
        <v>N</v>
      </c>
      <c r="X76" s="48">
        <f t="shared" si="46"/>
        <v>1</v>
      </c>
      <c r="Y76" s="48">
        <f t="shared" si="50"/>
        <v>4.7300000000000002E-2</v>
      </c>
      <c r="Z76" s="48">
        <f t="shared" si="51"/>
        <v>23.334700000000002</v>
      </c>
      <c r="AA76" s="48">
        <f t="shared" si="47"/>
        <v>23.287400000000002</v>
      </c>
      <c r="AB76" s="49" t="e">
        <f>VLOOKUP(A76,Enforcements!$C$7:$J$32,8,0)</f>
        <v>#N/A</v>
      </c>
      <c r="AC76" s="49" t="e">
        <f>VLOOKUP(A76,Enforcements!$C$7:$E$32,3,0)</f>
        <v>#N/A</v>
      </c>
    </row>
    <row r="77" spans="1:29" s="2" customFormat="1" x14ac:dyDescent="0.25">
      <c r="A77" s="43" t="s">
        <v>331</v>
      </c>
      <c r="B77" s="43">
        <v>4023</v>
      </c>
      <c r="C77" s="43" t="s">
        <v>60</v>
      </c>
      <c r="D77" s="43" t="s">
        <v>332</v>
      </c>
      <c r="E77" s="25">
        <v>42546.52652777778</v>
      </c>
      <c r="F77" s="25">
        <v>42546.527546296296</v>
      </c>
      <c r="G77" s="31">
        <v>1</v>
      </c>
      <c r="H77" s="25" t="s">
        <v>196</v>
      </c>
      <c r="I77" s="25">
        <v>42546.555011574077</v>
      </c>
      <c r="J77" s="43">
        <v>1</v>
      </c>
      <c r="K77" s="43" t="str">
        <f t="shared" si="40"/>
        <v>4023/4024</v>
      </c>
      <c r="L77" s="43" t="str">
        <f>VLOOKUP(A77,'Trips&amp;Operators'!$C$1:$E$10000,3,FALSE)</f>
        <v>LOCKLEAR</v>
      </c>
      <c r="M77" s="11">
        <f t="shared" si="41"/>
        <v>2.7465277780720498E-2</v>
      </c>
      <c r="N77" s="12">
        <f t="shared" si="42"/>
        <v>39.550000004237518</v>
      </c>
      <c r="O77" s="12"/>
      <c r="P77" s="12"/>
      <c r="Q77" s="44"/>
      <c r="R77" s="44"/>
      <c r="S77" s="70">
        <f t="shared" si="39"/>
        <v>1</v>
      </c>
      <c r="T77" s="2" t="str">
        <f t="shared" si="43"/>
        <v>Southbound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12:37:12-0600',mode:absolute,to:'2016-06-25 13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7" s="48" t="str">
        <f t="shared" si="45"/>
        <v>N</v>
      </c>
      <c r="X77" s="48">
        <f t="shared" si="46"/>
        <v>1</v>
      </c>
      <c r="Y77" s="48">
        <f t="shared" si="50"/>
        <v>23.301500000000001</v>
      </c>
      <c r="Z77" s="48">
        <f t="shared" si="51"/>
        <v>1.72E-2</v>
      </c>
      <c r="AA77" s="48">
        <f t="shared" si="47"/>
        <v>23.284300000000002</v>
      </c>
      <c r="AB77" s="49">
        <f>VLOOKUP(A77,Enforcements!$C$7:$J$32,8,0)</f>
        <v>127587</v>
      </c>
      <c r="AC77" s="49" t="str">
        <f>VLOOKUP(A77,Enforcements!$C$7:$E$32,3,0)</f>
        <v>SIGNAL</v>
      </c>
    </row>
    <row r="78" spans="1:29" s="64" customFormat="1" x14ac:dyDescent="0.25">
      <c r="A78" s="43" t="s">
        <v>333</v>
      </c>
      <c r="B78" s="43">
        <v>4014</v>
      </c>
      <c r="C78" s="43" t="s">
        <v>60</v>
      </c>
      <c r="D78" s="43" t="s">
        <v>83</v>
      </c>
      <c r="E78" s="25">
        <v>42546.496469907404</v>
      </c>
      <c r="F78" s="25">
        <v>42546.497534722221</v>
      </c>
      <c r="G78" s="31">
        <v>1</v>
      </c>
      <c r="H78" s="25" t="s">
        <v>176</v>
      </c>
      <c r="I78" s="25">
        <v>42546.525787037041</v>
      </c>
      <c r="J78" s="43">
        <v>0</v>
      </c>
      <c r="K78" s="43" t="str">
        <f t="shared" si="40"/>
        <v>4013/4014</v>
      </c>
      <c r="L78" s="43" t="str">
        <f>VLOOKUP(A78,'Trips&amp;Operators'!$C$1:$E$10000,3,FALSE)</f>
        <v>ACKERMAN</v>
      </c>
      <c r="M78" s="11">
        <f t="shared" si="41"/>
        <v>2.825231481983792E-2</v>
      </c>
      <c r="N78" s="12">
        <f t="shared" si="42"/>
        <v>40.683333340566605</v>
      </c>
      <c r="O78" s="12"/>
      <c r="P78" s="12"/>
      <c r="Q78" s="44"/>
      <c r="R78" s="44"/>
      <c r="S78" s="70">
        <f t="shared" si="39"/>
        <v>1</v>
      </c>
      <c r="T78" s="2" t="str">
        <f t="shared" si="43"/>
        <v>NorthBound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11:53:55-0600',mode:absolute,to:'2016-06-25 12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8" s="48" t="str">
        <f t="shared" si="45"/>
        <v>N</v>
      </c>
      <c r="X78" s="48">
        <f t="shared" si="46"/>
        <v>1</v>
      </c>
      <c r="Y78" s="48">
        <f t="shared" si="50"/>
        <v>4.58E-2</v>
      </c>
      <c r="Z78" s="48">
        <f t="shared" si="51"/>
        <v>23.3293</v>
      </c>
      <c r="AA78" s="48">
        <f t="shared" si="47"/>
        <v>23.2835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x14ac:dyDescent="0.25">
      <c r="A79" s="43" t="s">
        <v>334</v>
      </c>
      <c r="B79" s="43">
        <v>4013</v>
      </c>
      <c r="C79" s="43" t="s">
        <v>60</v>
      </c>
      <c r="D79" s="43" t="s">
        <v>80</v>
      </c>
      <c r="E79" s="25">
        <v>42546.53460648148</v>
      </c>
      <c r="F79" s="25">
        <v>42546.535740740743</v>
      </c>
      <c r="G79" s="31">
        <v>1</v>
      </c>
      <c r="H79" s="25" t="s">
        <v>335</v>
      </c>
      <c r="I79" s="25">
        <v>42546.560185185182</v>
      </c>
      <c r="J79" s="43">
        <v>2</v>
      </c>
      <c r="K79" s="43" t="str">
        <f t="shared" si="40"/>
        <v>4013/4014</v>
      </c>
      <c r="L79" s="43" t="str">
        <f>VLOOKUP(A79,'Trips&amp;Operators'!$C$1:$E$10000,3,FALSE)</f>
        <v>ACKERMAN</v>
      </c>
      <c r="M79" s="11">
        <f t="shared" si="41"/>
        <v>2.4444444439723156E-2</v>
      </c>
      <c r="N79" s="12"/>
      <c r="O79" s="12"/>
      <c r="P79" s="12">
        <f t="shared" si="42"/>
        <v>35.199999993201345</v>
      </c>
      <c r="Q79" s="44"/>
      <c r="R79" s="44" t="s">
        <v>501</v>
      </c>
      <c r="S79" s="70">
        <f t="shared" si="39"/>
        <v>0.75</v>
      </c>
      <c r="T79" s="2" t="str">
        <f t="shared" si="43"/>
        <v>Southbound</v>
      </c>
      <c r="U79" s="2">
        <f>COUNTIFS(Variables!$M$2:$M$19,IF(T79="NorthBound","&gt;=","&lt;=")&amp;Y79,Variables!$M$2:$M$19,IF(T79="NorthBound","&lt;=","&gt;=")&amp;Z79)</f>
        <v>9</v>
      </c>
      <c r="V7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9" s="48" t="str">
        <f t="shared" si="45"/>
        <v>Y</v>
      </c>
      <c r="X79" s="48">
        <f t="shared" si="46"/>
        <v>1</v>
      </c>
      <c r="Y79" s="48">
        <f t="shared" si="50"/>
        <v>23.297799999999999</v>
      </c>
      <c r="Z79" s="48">
        <f t="shared" si="51"/>
        <v>3.6732999999999998</v>
      </c>
      <c r="AA79" s="48">
        <f t="shared" si="47"/>
        <v>19.624499999999998</v>
      </c>
      <c r="AB79" s="49">
        <f>VLOOKUP(A79,Enforcements!$C$7:$J$32,8,0)</f>
        <v>36657</v>
      </c>
      <c r="AC79" s="49" t="str">
        <f>VLOOKUP(A79,Enforcements!$C$7:$E$32,3,0)</f>
        <v>SIGNAL</v>
      </c>
    </row>
    <row r="80" spans="1:29" s="2" customFormat="1" ht="14.25" customHeight="1" x14ac:dyDescent="0.25">
      <c r="A80" s="43" t="s">
        <v>336</v>
      </c>
      <c r="B80" s="43">
        <v>4018</v>
      </c>
      <c r="C80" s="43" t="s">
        <v>60</v>
      </c>
      <c r="D80" s="43" t="s">
        <v>337</v>
      </c>
      <c r="E80" s="25">
        <v>42546.518379629626</v>
      </c>
      <c r="F80" s="25">
        <v>42546.519328703704</v>
      </c>
      <c r="G80" s="31">
        <v>1</v>
      </c>
      <c r="H80" s="25" t="s">
        <v>158</v>
      </c>
      <c r="I80" s="25">
        <v>42546.543645833335</v>
      </c>
      <c r="J80" s="43">
        <v>0</v>
      </c>
      <c r="K80" s="43" t="str">
        <f t="shared" si="40"/>
        <v>4017/4018</v>
      </c>
      <c r="L80" s="43" t="str">
        <f>VLOOKUP(A80,'Trips&amp;Operators'!$C$1:$E$10000,3,FALSE)</f>
        <v>HELVIE</v>
      </c>
      <c r="M80" s="11">
        <f t="shared" si="41"/>
        <v>2.4317129631526768E-2</v>
      </c>
      <c r="N80" s="12"/>
      <c r="O80" s="12"/>
      <c r="P80" s="12">
        <f t="shared" si="42"/>
        <v>35.016666669398546</v>
      </c>
      <c r="Q80" s="44"/>
      <c r="R80" s="44" t="s">
        <v>498</v>
      </c>
      <c r="S80" s="70">
        <f t="shared" si="39"/>
        <v>0.75</v>
      </c>
      <c r="T80" s="2" t="str">
        <f t="shared" si="43"/>
        <v>NorthBound</v>
      </c>
      <c r="U80" s="2">
        <f>COUNTIFS(Variables!$M$2:$M$19,IF(T80="NorthBound","&gt;=","&lt;=")&amp;Y80,Variables!$M$2:$M$19,IF(T80="NorthBound","&lt;=","&gt;=")&amp;Z80)</f>
        <v>9</v>
      </c>
      <c r="V8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12:25:28-0600',mode:absolute,to:'2016-06-25 13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0" s="48" t="str">
        <f t="shared" si="45"/>
        <v>Y</v>
      </c>
      <c r="X80" s="48">
        <f t="shared" si="46"/>
        <v>1</v>
      </c>
      <c r="Y80" s="48">
        <f t="shared" si="50"/>
        <v>3.7214</v>
      </c>
      <c r="Z80" s="48">
        <f t="shared" si="51"/>
        <v>23.330200000000001</v>
      </c>
      <c r="AA80" s="48">
        <f t="shared" si="47"/>
        <v>19.608800000000002</v>
      </c>
      <c r="AB80" s="49" t="e">
        <f>VLOOKUP(A80,Enforcements!$C$7:$J$32,8,0)</f>
        <v>#N/A</v>
      </c>
      <c r="AC80" s="49" t="e">
        <f>VLOOKUP(A80,Enforcements!$C$7:$E$32,3,0)</f>
        <v>#N/A</v>
      </c>
    </row>
    <row r="81" spans="1:29" s="2" customFormat="1" x14ac:dyDescent="0.25">
      <c r="A81" s="43" t="s">
        <v>338</v>
      </c>
      <c r="B81" s="43">
        <v>4017</v>
      </c>
      <c r="C81" s="43" t="s">
        <v>60</v>
      </c>
      <c r="D81" s="43" t="s">
        <v>174</v>
      </c>
      <c r="E81" s="25">
        <v>42546.546770833331</v>
      </c>
      <c r="F81" s="25">
        <v>42546.547534722224</v>
      </c>
      <c r="G81" s="31">
        <v>1</v>
      </c>
      <c r="H81" s="25" t="s">
        <v>339</v>
      </c>
      <c r="I81" s="25">
        <v>42546.576388888891</v>
      </c>
      <c r="J81" s="43">
        <v>0</v>
      </c>
      <c r="K81" s="43" t="str">
        <f t="shared" si="40"/>
        <v>4017/4018</v>
      </c>
      <c r="L81" s="43" t="str">
        <f>VLOOKUP(A81,'Trips&amp;Operators'!$C$1:$E$10000,3,FALSE)</f>
        <v>HELVIE</v>
      </c>
      <c r="M81" s="11">
        <f t="shared" si="41"/>
        <v>2.8854166666860692E-2</v>
      </c>
      <c r="N81" s="12">
        <f t="shared" si="42"/>
        <v>41.550000000279397</v>
      </c>
      <c r="O81" s="12"/>
      <c r="P81" s="12"/>
      <c r="Q81" s="44"/>
      <c r="R81" s="44"/>
      <c r="S81" s="70">
        <f t="shared" si="39"/>
        <v>1</v>
      </c>
      <c r="T81" s="2" t="str">
        <f t="shared" si="43"/>
        <v>Southbound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13:06:21-0600',mode:absolute,to:'2016-06-25 13:51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1" s="48" t="str">
        <f t="shared" si="45"/>
        <v>N</v>
      </c>
      <c r="X81" s="48">
        <f t="shared" si="46"/>
        <v>1</v>
      </c>
      <c r="Y81" s="48">
        <f t="shared" si="50"/>
        <v>23.298500000000001</v>
      </c>
      <c r="Z81" s="48">
        <f t="shared" si="51"/>
        <v>1.54E-2</v>
      </c>
      <c r="AA81" s="48">
        <f t="shared" si="47"/>
        <v>23.283100000000001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2" customFormat="1" x14ac:dyDescent="0.25">
      <c r="A82" s="43" t="s">
        <v>340</v>
      </c>
      <c r="B82" s="43">
        <v>4042</v>
      </c>
      <c r="C82" s="43" t="s">
        <v>60</v>
      </c>
      <c r="D82" s="43" t="s">
        <v>160</v>
      </c>
      <c r="E82" s="25">
        <v>42546.517511574071</v>
      </c>
      <c r="F82" s="25">
        <v>42546.518437500003</v>
      </c>
      <c r="G82" s="31">
        <v>1</v>
      </c>
      <c r="H82" s="25" t="s">
        <v>185</v>
      </c>
      <c r="I82" s="25">
        <v>42546.547974537039</v>
      </c>
      <c r="J82" s="43">
        <v>1</v>
      </c>
      <c r="K82" s="43" t="str">
        <f t="shared" si="40"/>
        <v>4041/4042</v>
      </c>
      <c r="L82" s="43" t="str">
        <f>VLOOKUP(A82,'Trips&amp;Operators'!$C$1:$E$10000,3,FALSE)</f>
        <v>MAYBERRY</v>
      </c>
      <c r="M82" s="11">
        <f t="shared" si="41"/>
        <v>2.9537037036789116E-2</v>
      </c>
      <c r="N82" s="12">
        <f t="shared" si="42"/>
        <v>42.533333332976326</v>
      </c>
      <c r="O82" s="12"/>
      <c r="P82" s="12"/>
      <c r="Q82" s="44"/>
      <c r="R82" s="44"/>
      <c r="S82" s="70">
        <f t="shared" si="39"/>
        <v>1</v>
      </c>
      <c r="T82" s="2" t="str">
        <f t="shared" si="43"/>
        <v>NorthBound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12:24:13-0600',mode:absolute,to:'2016-06-25 13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2" s="48" t="str">
        <f t="shared" si="45"/>
        <v>N</v>
      </c>
      <c r="X82" s="48">
        <f t="shared" si="46"/>
        <v>1</v>
      </c>
      <c r="Y82" s="48">
        <f t="shared" si="50"/>
        <v>4.7500000000000001E-2</v>
      </c>
      <c r="Z82" s="48">
        <f t="shared" si="51"/>
        <v>23.329899999999999</v>
      </c>
      <c r="AA82" s="48">
        <f t="shared" si="47"/>
        <v>23.282399999999999</v>
      </c>
      <c r="AB82" s="49">
        <f>VLOOKUP(A82,Enforcements!$C$7:$J$32,8,0)</f>
        <v>17867</v>
      </c>
      <c r="AC82" s="49" t="str">
        <f>VLOOKUP(A82,Enforcements!$C$7:$E$32,3,0)</f>
        <v>PERMANENT SPEED RESTRICTION</v>
      </c>
    </row>
    <row r="83" spans="1:29" s="2" customFormat="1" x14ac:dyDescent="0.25">
      <c r="A83" s="43" t="s">
        <v>341</v>
      </c>
      <c r="B83" s="43">
        <v>4041</v>
      </c>
      <c r="C83" s="43" t="s">
        <v>60</v>
      </c>
      <c r="D83" s="43" t="s">
        <v>310</v>
      </c>
      <c r="E83" s="25">
        <v>42546.550925925927</v>
      </c>
      <c r="F83" s="25">
        <v>42546.551724537036</v>
      </c>
      <c r="G83" s="31">
        <v>1</v>
      </c>
      <c r="H83" s="25" t="s">
        <v>67</v>
      </c>
      <c r="I83" s="25">
        <v>42546.58734953704</v>
      </c>
      <c r="J83" s="43">
        <v>0</v>
      </c>
      <c r="K83" s="43" t="str">
        <f t="shared" si="40"/>
        <v>4041/4042</v>
      </c>
      <c r="L83" s="43" t="str">
        <f>VLOOKUP(A83,'Trips&amp;Operators'!$C$1:$E$10000,3,FALSE)</f>
        <v>MAYBERRY</v>
      </c>
      <c r="M83" s="11">
        <f t="shared" si="41"/>
        <v>3.5625000004074536E-2</v>
      </c>
      <c r="N83" s="12">
        <f t="shared" si="42"/>
        <v>51.300000005867332</v>
      </c>
      <c r="O83" s="12"/>
      <c r="P83" s="12"/>
      <c r="Q83" s="44"/>
      <c r="R83" s="44"/>
      <c r="S83" s="70">
        <f t="shared" si="39"/>
        <v>1</v>
      </c>
      <c r="T83" s="2" t="str">
        <f t="shared" si="43"/>
        <v>Southbound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13:12:20-0600',mode:absolute,to:'2016-06-25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3" s="48" t="str">
        <f t="shared" si="45"/>
        <v>N</v>
      </c>
      <c r="X83" s="48">
        <f t="shared" si="46"/>
        <v>1</v>
      </c>
      <c r="Y83" s="48">
        <f t="shared" si="50"/>
        <v>23.2959</v>
      </c>
      <c r="Z83" s="48">
        <f t="shared" si="51"/>
        <v>1.47E-2</v>
      </c>
      <c r="AA83" s="48">
        <f t="shared" si="47"/>
        <v>23.281199999999998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2" customFormat="1" x14ac:dyDescent="0.25">
      <c r="A84" s="43" t="s">
        <v>342</v>
      </c>
      <c r="B84" s="43">
        <v>4025</v>
      </c>
      <c r="C84" s="43" t="s">
        <v>60</v>
      </c>
      <c r="D84" s="43" t="s">
        <v>205</v>
      </c>
      <c r="E84" s="25">
        <v>42546.527060185188</v>
      </c>
      <c r="F84" s="25">
        <v>42546.529247685183</v>
      </c>
      <c r="G84" s="31">
        <v>3</v>
      </c>
      <c r="H84" s="25" t="s">
        <v>247</v>
      </c>
      <c r="I84" s="25">
        <v>42546.55746527778</v>
      </c>
      <c r="J84" s="43">
        <v>0</v>
      </c>
      <c r="K84" s="43" t="str">
        <f t="shared" si="40"/>
        <v>4025/4026</v>
      </c>
      <c r="L84" s="43" t="str">
        <f>VLOOKUP(A84,'Trips&amp;Operators'!$C$1:$E$10000,3,FALSE)</f>
        <v>WEBSTER</v>
      </c>
      <c r="M84" s="11">
        <f t="shared" si="41"/>
        <v>2.8217592596774921E-2</v>
      </c>
      <c r="N84" s="12">
        <f t="shared" si="42"/>
        <v>40.633333339355886</v>
      </c>
      <c r="O84" s="12"/>
      <c r="P84" s="12"/>
      <c r="Q84" s="44"/>
      <c r="R84" s="44"/>
      <c r="S84" s="70">
        <f t="shared" si="39"/>
        <v>1</v>
      </c>
      <c r="T84" s="2" t="str">
        <f t="shared" si="43"/>
        <v>NorthBound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12:37:58-0600',mode:absolute,to:'2016-06-25 13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4" s="48" t="str">
        <f t="shared" si="45"/>
        <v>N</v>
      </c>
      <c r="X84" s="48">
        <f t="shared" si="46"/>
        <v>1</v>
      </c>
      <c r="Y84" s="48">
        <f t="shared" si="50"/>
        <v>4.4400000000000002E-2</v>
      </c>
      <c r="Z84" s="48">
        <f t="shared" si="51"/>
        <v>23.3308</v>
      </c>
      <c r="AA84" s="48">
        <f t="shared" si="47"/>
        <v>23.2864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43" t="s">
        <v>343</v>
      </c>
      <c r="B85" s="43">
        <v>4026</v>
      </c>
      <c r="C85" s="43" t="s">
        <v>60</v>
      </c>
      <c r="D85" s="43" t="s">
        <v>195</v>
      </c>
      <c r="E85" s="25">
        <v>42546.56349537037</v>
      </c>
      <c r="F85" s="25">
        <v>42546.564247685186</v>
      </c>
      <c r="G85" s="31">
        <v>1</v>
      </c>
      <c r="H85" s="25" t="s">
        <v>119</v>
      </c>
      <c r="I85" s="25">
        <v>42546.596782407411</v>
      </c>
      <c r="J85" s="43">
        <v>0</v>
      </c>
      <c r="K85" s="43" t="str">
        <f t="shared" si="40"/>
        <v>4025/4026</v>
      </c>
      <c r="L85" s="43" t="str">
        <f>VLOOKUP(A85,'Trips&amp;Operators'!$C$1:$E$10000,3,FALSE)</f>
        <v>WEBSTER</v>
      </c>
      <c r="M85" s="11">
        <f t="shared" si="41"/>
        <v>3.2534722224227153E-2</v>
      </c>
      <c r="N85" s="12">
        <f t="shared" si="42"/>
        <v>46.8500000028871</v>
      </c>
      <c r="O85" s="12"/>
      <c r="P85" s="12"/>
      <c r="Q85" s="44"/>
      <c r="R85" s="44"/>
      <c r="S85" s="70">
        <f t="shared" si="39"/>
        <v>1</v>
      </c>
      <c r="T85" s="2" t="str">
        <f t="shared" si="43"/>
        <v>Southbound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13:30:26-0600',mode:absolute,to:'2016-06-25 14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5" s="48" t="str">
        <f t="shared" si="45"/>
        <v>N</v>
      </c>
      <c r="X85" s="48">
        <f t="shared" si="46"/>
        <v>1</v>
      </c>
      <c r="Y85" s="48">
        <f t="shared" si="50"/>
        <v>23.3002</v>
      </c>
      <c r="Z85" s="48">
        <f t="shared" si="51"/>
        <v>1.4999999999999999E-2</v>
      </c>
      <c r="AA85" s="48">
        <f t="shared" si="47"/>
        <v>23.2852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x14ac:dyDescent="0.25">
      <c r="A86" s="43" t="s">
        <v>344</v>
      </c>
      <c r="B86" s="43">
        <v>4044</v>
      </c>
      <c r="C86" s="43" t="s">
        <v>60</v>
      </c>
      <c r="D86" s="43" t="s">
        <v>83</v>
      </c>
      <c r="E86" s="25">
        <v>42546.5391087963</v>
      </c>
      <c r="F86" s="25">
        <v>42546.540486111109</v>
      </c>
      <c r="G86" s="31">
        <v>1</v>
      </c>
      <c r="H86" s="25" t="s">
        <v>176</v>
      </c>
      <c r="I86" s="25">
        <v>42546.56689814815</v>
      </c>
      <c r="J86" s="43">
        <v>0</v>
      </c>
      <c r="K86" s="43" t="str">
        <f t="shared" si="40"/>
        <v>4043/4044</v>
      </c>
      <c r="L86" s="43" t="str">
        <f>VLOOKUP(A86,'Trips&amp;Operators'!$C$1:$E$10000,3,FALSE)</f>
        <v>RIVERA</v>
      </c>
      <c r="M86" s="11">
        <f t="shared" si="41"/>
        <v>2.641203704115469E-2</v>
      </c>
      <c r="N86" s="12">
        <f t="shared" si="42"/>
        <v>38.033333339262754</v>
      </c>
      <c r="O86" s="12"/>
      <c r="P86" s="12"/>
      <c r="Q86" s="44"/>
      <c r="R86" s="44"/>
      <c r="S86" s="70">
        <f t="shared" si="39"/>
        <v>1</v>
      </c>
      <c r="T86" s="2" t="str">
        <f t="shared" si="43"/>
        <v>NorthBound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12:55:19-0600',mode:absolute,to:'2016-06-25 13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6" s="48" t="str">
        <f t="shared" si="45"/>
        <v>N</v>
      </c>
      <c r="X86" s="48">
        <f t="shared" si="46"/>
        <v>1</v>
      </c>
      <c r="Y86" s="48">
        <f t="shared" si="50"/>
        <v>4.58E-2</v>
      </c>
      <c r="Z86" s="48">
        <f t="shared" si="51"/>
        <v>23.3293</v>
      </c>
      <c r="AA86" s="48">
        <f t="shared" si="47"/>
        <v>23.2835</v>
      </c>
      <c r="AB86" s="49" t="e">
        <f>VLOOKUP(A86,Enforcements!$C$7:$J$32,8,0)</f>
        <v>#N/A</v>
      </c>
      <c r="AC86" s="49" t="e">
        <f>VLOOKUP(A86,Enforcements!$C$7:$E$32,3,0)</f>
        <v>#N/A</v>
      </c>
    </row>
    <row r="87" spans="1:29" s="2" customFormat="1" x14ac:dyDescent="0.25">
      <c r="A87" s="43" t="s">
        <v>345</v>
      </c>
      <c r="B87" s="43">
        <v>4043</v>
      </c>
      <c r="C87" s="43" t="s">
        <v>60</v>
      </c>
      <c r="D87" s="43" t="s">
        <v>80</v>
      </c>
      <c r="E87" s="25">
        <v>42546.574502314812</v>
      </c>
      <c r="F87" s="25">
        <v>42546.576423611114</v>
      </c>
      <c r="G87" s="31">
        <v>2</v>
      </c>
      <c r="H87" s="25" t="s">
        <v>109</v>
      </c>
      <c r="I87" s="25">
        <v>42546.608310185184</v>
      </c>
      <c r="J87" s="43">
        <v>1</v>
      </c>
      <c r="K87" s="43" t="str">
        <f t="shared" si="40"/>
        <v>4043/4044</v>
      </c>
      <c r="L87" s="43" t="str">
        <f>VLOOKUP(A87,'Trips&amp;Operators'!$C$1:$E$10000,3,FALSE)</f>
        <v>RIVERA</v>
      </c>
      <c r="M87" s="11">
        <f t="shared" si="41"/>
        <v>3.1886574070085771E-2</v>
      </c>
      <c r="N87" s="12">
        <f t="shared" si="42"/>
        <v>45.916666660923511</v>
      </c>
      <c r="O87" s="12"/>
      <c r="P87" s="12"/>
      <c r="Q87" s="44"/>
      <c r="R87" s="44"/>
      <c r="S87" s="70">
        <f t="shared" si="39"/>
        <v>1</v>
      </c>
      <c r="T87" s="2" t="str">
        <f t="shared" si="43"/>
        <v>Southbound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13:46:17-0600',mode:absolute,to:'2016-06-25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7" s="48" t="str">
        <f t="shared" si="45"/>
        <v>N</v>
      </c>
      <c r="X87" s="48">
        <f t="shared" si="46"/>
        <v>1</v>
      </c>
      <c r="Y87" s="48">
        <f t="shared" si="50"/>
        <v>23.297799999999999</v>
      </c>
      <c r="Z87" s="48">
        <f t="shared" si="51"/>
        <v>1.6299999999999999E-2</v>
      </c>
      <c r="AA87" s="48">
        <f t="shared" si="47"/>
        <v>23.281499999999998</v>
      </c>
      <c r="AB87" s="49" t="e">
        <f>VLOOKUP(A87,Enforcements!$C$7:$J$32,8,0)</f>
        <v>#N/A</v>
      </c>
      <c r="AC87" s="49" t="e">
        <f>VLOOKUP(A87,Enforcements!$C$7:$E$32,3,0)</f>
        <v>#N/A</v>
      </c>
    </row>
    <row r="88" spans="1:29" s="2" customFormat="1" x14ac:dyDescent="0.25">
      <c r="A88" s="43" t="s">
        <v>346</v>
      </c>
      <c r="B88" s="43">
        <v>4007</v>
      </c>
      <c r="C88" s="43" t="s">
        <v>60</v>
      </c>
      <c r="D88" s="43" t="s">
        <v>347</v>
      </c>
      <c r="E88" s="25">
        <v>42546.54896990741</v>
      </c>
      <c r="F88" s="25">
        <v>42546.549664351849</v>
      </c>
      <c r="G88" s="31">
        <v>0</v>
      </c>
      <c r="H88" s="25" t="s">
        <v>348</v>
      </c>
      <c r="I88" s="25">
        <v>42546.576898148145</v>
      </c>
      <c r="J88" s="43">
        <v>0</v>
      </c>
      <c r="K88" s="43" t="str">
        <f t="shared" si="40"/>
        <v>4007/4008</v>
      </c>
      <c r="L88" s="43" t="str">
        <f>VLOOKUP(A88,'Trips&amp;Operators'!$C$1:$E$10000,3,FALSE)</f>
        <v>YANAI</v>
      </c>
      <c r="M88" s="11">
        <f t="shared" si="41"/>
        <v>2.7233796296059154E-2</v>
      </c>
      <c r="N88" s="12">
        <f t="shared" si="42"/>
        <v>39.216666666325182</v>
      </c>
      <c r="O88" s="12"/>
      <c r="P88" s="12"/>
      <c r="Q88" s="44"/>
      <c r="R88" s="44"/>
      <c r="S88" s="70">
        <f t="shared" si="39"/>
        <v>1</v>
      </c>
      <c r="T88" s="2" t="str">
        <f t="shared" si="43"/>
        <v>NorthBound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13:09:31-0600',mode:absolute,to:'2016-06-25 13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8" s="48" t="str">
        <f t="shared" si="45"/>
        <v>N</v>
      </c>
      <c r="X88" s="48">
        <f t="shared" si="46"/>
        <v>1</v>
      </c>
      <c r="Y88" s="48">
        <f t="shared" si="50"/>
        <v>4.3299999999999998E-2</v>
      </c>
      <c r="Z88" s="48">
        <f t="shared" si="51"/>
        <v>23.3323</v>
      </c>
      <c r="AA88" s="48">
        <f t="shared" si="47"/>
        <v>23.289000000000001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43" t="s">
        <v>349</v>
      </c>
      <c r="B89" s="43">
        <v>4008</v>
      </c>
      <c r="C89" s="43" t="s">
        <v>60</v>
      </c>
      <c r="D89" s="43" t="s">
        <v>206</v>
      </c>
      <c r="E89" s="25">
        <v>42546.587731481479</v>
      </c>
      <c r="F89" s="25">
        <v>42546.588692129626</v>
      </c>
      <c r="G89" s="31">
        <v>1</v>
      </c>
      <c r="H89" s="25" t="s">
        <v>179</v>
      </c>
      <c r="I89" s="25">
        <v>42546.617025462961</v>
      </c>
      <c r="J89" s="43">
        <v>1</v>
      </c>
      <c r="K89" s="43" t="str">
        <f t="shared" si="40"/>
        <v>4007/4008</v>
      </c>
      <c r="L89" s="43" t="str">
        <f>VLOOKUP(A89,'Trips&amp;Operators'!$C$1:$E$10000,3,FALSE)</f>
        <v>YANAI</v>
      </c>
      <c r="M89" s="11">
        <f t="shared" si="41"/>
        <v>2.8333333335467614E-2</v>
      </c>
      <c r="N89" s="12">
        <f t="shared" si="42"/>
        <v>40.800000003073364</v>
      </c>
      <c r="O89" s="12"/>
      <c r="P89" s="12"/>
      <c r="Q89" s="44"/>
      <c r="R89" s="44"/>
      <c r="S89" s="70">
        <f t="shared" si="39"/>
        <v>1</v>
      </c>
      <c r="T89" s="2" t="str">
        <f t="shared" si="43"/>
        <v>Southbound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14:05:20-0600',mode:absolute,to:'2016-06-25 14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9" s="48" t="str">
        <f t="shared" si="45"/>
        <v>N</v>
      </c>
      <c r="X89" s="48">
        <f t="shared" si="46"/>
        <v>1</v>
      </c>
      <c r="Y89" s="48">
        <f t="shared" si="50"/>
        <v>23.3</v>
      </c>
      <c r="Z89" s="48">
        <f t="shared" si="51"/>
        <v>1.6899999999999998E-2</v>
      </c>
      <c r="AA89" s="48">
        <f t="shared" si="47"/>
        <v>23.283100000000001</v>
      </c>
      <c r="AB89" s="49" t="e">
        <f>VLOOKUP(A89,Enforcements!$C$7:$J$32,8,0)</f>
        <v>#N/A</v>
      </c>
      <c r="AC89" s="49" t="e">
        <f>VLOOKUP(A89,Enforcements!$C$7:$E$32,3,0)</f>
        <v>#N/A</v>
      </c>
    </row>
    <row r="90" spans="1:29" s="2" customFormat="1" x14ac:dyDescent="0.25">
      <c r="A90" s="43" t="s">
        <v>350</v>
      </c>
      <c r="B90" s="43">
        <v>4024</v>
      </c>
      <c r="C90" s="43" t="s">
        <v>60</v>
      </c>
      <c r="D90" s="43" t="s">
        <v>79</v>
      </c>
      <c r="E90" s="25">
        <v>42546.560474537036</v>
      </c>
      <c r="F90" s="25">
        <v>42546.562604166669</v>
      </c>
      <c r="G90" s="31">
        <v>3</v>
      </c>
      <c r="H90" s="25" t="s">
        <v>212</v>
      </c>
      <c r="I90" s="25">
        <v>42546.587719907409</v>
      </c>
      <c r="J90" s="43">
        <v>0</v>
      </c>
      <c r="K90" s="43" t="str">
        <f t="shared" si="40"/>
        <v>4023/4024</v>
      </c>
      <c r="L90" s="43" t="str">
        <f>VLOOKUP(A90,'Trips&amp;Operators'!$C$1:$E$10000,3,FALSE)</f>
        <v>LOCKLEAR</v>
      </c>
      <c r="M90" s="11">
        <f t="shared" si="41"/>
        <v>2.5115740740147885E-2</v>
      </c>
      <c r="N90" s="12">
        <f t="shared" si="42"/>
        <v>36.166666665812954</v>
      </c>
      <c r="O90" s="12"/>
      <c r="P90" s="12"/>
      <c r="Q90" s="44"/>
      <c r="R90" s="44"/>
      <c r="S90" s="70">
        <f t="shared" si="39"/>
        <v>1</v>
      </c>
      <c r="T90" s="2" t="str">
        <f t="shared" si="43"/>
        <v>NorthBound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13:26:05-0600',mode:absolute,to:'2016-06-25 14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0" s="48" t="str">
        <f t="shared" si="45"/>
        <v>N</v>
      </c>
      <c r="X90" s="48">
        <f t="shared" si="46"/>
        <v>1</v>
      </c>
      <c r="Y90" s="48">
        <f t="shared" si="50"/>
        <v>4.53E-2</v>
      </c>
      <c r="Z90" s="48">
        <f t="shared" si="51"/>
        <v>23.332799999999999</v>
      </c>
      <c r="AA90" s="48">
        <f t="shared" si="47"/>
        <v>23.287499999999998</v>
      </c>
      <c r="AB90" s="49" t="e">
        <f>VLOOKUP(A90,Enforcements!$C$7:$J$32,8,0)</f>
        <v>#N/A</v>
      </c>
      <c r="AC90" s="49" t="e">
        <f>VLOOKUP(A90,Enforcements!$C$7:$E$32,3,0)</f>
        <v>#N/A</v>
      </c>
    </row>
    <row r="91" spans="1:29" s="2" customFormat="1" x14ac:dyDescent="0.25">
      <c r="A91" s="43" t="s">
        <v>351</v>
      </c>
      <c r="B91" s="43">
        <v>4023</v>
      </c>
      <c r="C91" s="43" t="s">
        <v>60</v>
      </c>
      <c r="D91" s="43" t="s">
        <v>352</v>
      </c>
      <c r="E91" s="25">
        <v>42546.599803240744</v>
      </c>
      <c r="F91" s="25">
        <v>42546.600532407407</v>
      </c>
      <c r="G91" s="31">
        <v>1</v>
      </c>
      <c r="H91" s="25" t="s">
        <v>75</v>
      </c>
      <c r="I91" s="25">
        <v>42546.628599537034</v>
      </c>
      <c r="J91" s="43">
        <v>0</v>
      </c>
      <c r="K91" s="43" t="str">
        <f t="shared" si="40"/>
        <v>4023/4024</v>
      </c>
      <c r="L91" s="43" t="str">
        <f>VLOOKUP(A91,'Trips&amp;Operators'!$C$1:$E$10000,3,FALSE)</f>
        <v>LOCKLEAR</v>
      </c>
      <c r="M91" s="11">
        <f t="shared" si="41"/>
        <v>2.806712962774327E-2</v>
      </c>
      <c r="N91" s="12">
        <f t="shared" si="42"/>
        <v>40.416666663950309</v>
      </c>
      <c r="O91" s="12"/>
      <c r="P91" s="12"/>
      <c r="Q91" s="44"/>
      <c r="R91" s="44"/>
      <c r="S91" s="70">
        <f t="shared" si="39"/>
        <v>1</v>
      </c>
      <c r="T91" s="2" t="str">
        <f t="shared" si="43"/>
        <v>Southbound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14:22:43-0600',mode:absolute,to:'2016-06-25 15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1" s="48" t="str">
        <f t="shared" si="45"/>
        <v>N</v>
      </c>
      <c r="X91" s="48">
        <f t="shared" si="46"/>
        <v>1</v>
      </c>
      <c r="Y91" s="48">
        <f t="shared" si="50"/>
        <v>23.3019</v>
      </c>
      <c r="Z91" s="48">
        <f t="shared" si="51"/>
        <v>1.5599999999999999E-2</v>
      </c>
      <c r="AA91" s="48">
        <f t="shared" si="47"/>
        <v>23.286300000000001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43" t="s">
        <v>363</v>
      </c>
      <c r="B92" s="43">
        <v>4014</v>
      </c>
      <c r="C92" s="43" t="s">
        <v>60</v>
      </c>
      <c r="D92" s="43" t="s">
        <v>143</v>
      </c>
      <c r="E92" s="25">
        <v>42546.570763888885</v>
      </c>
      <c r="F92" s="25">
        <v>42546.571712962963</v>
      </c>
      <c r="G92" s="31">
        <v>1</v>
      </c>
      <c r="H92" s="25" t="s">
        <v>364</v>
      </c>
      <c r="I92" s="25">
        <v>42546.59814814815</v>
      </c>
      <c r="J92" s="43">
        <v>0</v>
      </c>
      <c r="K92" s="43" t="str">
        <f t="shared" si="40"/>
        <v>4013/4014</v>
      </c>
      <c r="L92" s="43" t="str">
        <f>VLOOKUP(A92,'Trips&amp;Operators'!$C$1:$E$10000,3,FALSE)</f>
        <v>ACKERMAN</v>
      </c>
      <c r="M92" s="11">
        <f t="shared" si="41"/>
        <v>2.6435185187438037E-2</v>
      </c>
      <c r="N92" s="12">
        <f t="shared" si="42"/>
        <v>38.066666669910774</v>
      </c>
      <c r="O92" s="12"/>
      <c r="P92" s="12"/>
      <c r="Q92" s="44"/>
      <c r="R92" s="44"/>
      <c r="S92" s="70">
        <f t="shared" si="39"/>
        <v>1</v>
      </c>
      <c r="T92" s="2" t="str">
        <f t="shared" si="43"/>
        <v>NorthBound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13:40:54-0600',mode:absolute,to:'2016-06-25 14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2" s="48" t="str">
        <f t="shared" si="45"/>
        <v>N</v>
      </c>
      <c r="X92" s="48">
        <f t="shared" si="46"/>
        <v>1</v>
      </c>
      <c r="Y92" s="48">
        <f t="shared" si="50"/>
        <v>4.7300000000000002E-2</v>
      </c>
      <c r="Z92" s="48">
        <f t="shared" si="51"/>
        <v>23.330400000000001</v>
      </c>
      <c r="AA92" s="48">
        <f t="shared" si="47"/>
        <v>23.283100000000001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43" t="s">
        <v>375</v>
      </c>
      <c r="B93" s="43">
        <v>4013</v>
      </c>
      <c r="C93" s="43" t="s">
        <v>60</v>
      </c>
      <c r="D93" s="43" t="s">
        <v>186</v>
      </c>
      <c r="E93" s="25">
        <v>42546.605000000003</v>
      </c>
      <c r="F93" s="25">
        <v>42546.605995370373</v>
      </c>
      <c r="G93" s="31">
        <v>1</v>
      </c>
      <c r="H93" s="25" t="s">
        <v>68</v>
      </c>
      <c r="I93" s="25">
        <v>42546.63994212963</v>
      </c>
      <c r="J93" s="43">
        <v>0</v>
      </c>
      <c r="K93" s="43" t="str">
        <f t="shared" si="40"/>
        <v>4013/4014</v>
      </c>
      <c r="L93" s="43" t="str">
        <f>VLOOKUP(A93,'Trips&amp;Operators'!$C$1:$E$10000,3,FALSE)</f>
        <v>ACKERMAN</v>
      </c>
      <c r="M93" s="11">
        <f t="shared" si="41"/>
        <v>3.3946759256650694E-2</v>
      </c>
      <c r="N93" s="12">
        <f t="shared" si="42"/>
        <v>48.883333329576999</v>
      </c>
      <c r="O93" s="12"/>
      <c r="P93" s="12"/>
      <c r="Q93" s="44"/>
      <c r="R93" s="44"/>
      <c r="S93" s="70">
        <f t="shared" si="39"/>
        <v>1</v>
      </c>
      <c r="T93" s="2" t="str">
        <f t="shared" si="43"/>
        <v>Southbound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14:30:12-0600',mode:absolute,to:'2016-06-25 15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3" s="48" t="str">
        <f t="shared" si="45"/>
        <v>N</v>
      </c>
      <c r="X93" s="48">
        <f t="shared" si="46"/>
        <v>1</v>
      </c>
      <c r="Y93" s="48">
        <f t="shared" si="50"/>
        <v>23.2987</v>
      </c>
      <c r="Z93" s="48">
        <f t="shared" si="51"/>
        <v>1.6E-2</v>
      </c>
      <c r="AA93" s="48">
        <f t="shared" si="47"/>
        <v>23.282700000000002</v>
      </c>
      <c r="AB93" s="49" t="e">
        <f>VLOOKUP(A93,Enforcements!$C$7:$J$32,8,0)</f>
        <v>#N/A</v>
      </c>
      <c r="AC93" s="49" t="e">
        <f>VLOOKUP(A93,Enforcements!$C$7:$E$32,3,0)</f>
        <v>#N/A</v>
      </c>
    </row>
    <row r="94" spans="1:29" s="2" customFormat="1" x14ac:dyDescent="0.25">
      <c r="A94" s="43" t="s">
        <v>386</v>
      </c>
      <c r="B94" s="43">
        <v>4018</v>
      </c>
      <c r="C94" s="43" t="s">
        <v>60</v>
      </c>
      <c r="D94" s="43" t="s">
        <v>69</v>
      </c>
      <c r="E94" s="25">
        <v>42546.578414351854</v>
      </c>
      <c r="F94" s="25">
        <v>42546.579664351855</v>
      </c>
      <c r="G94" s="31">
        <v>1</v>
      </c>
      <c r="H94" s="25" t="s">
        <v>185</v>
      </c>
      <c r="I94" s="25">
        <v>42546.610543981478</v>
      </c>
      <c r="J94" s="43">
        <v>1</v>
      </c>
      <c r="K94" s="43" t="str">
        <f t="shared" si="40"/>
        <v>4017/4018</v>
      </c>
      <c r="L94" s="43" t="str">
        <f>VLOOKUP(A94,'Trips&amp;Operators'!$C$1:$E$10000,3,FALSE)</f>
        <v>STEWART</v>
      </c>
      <c r="M94" s="11">
        <f t="shared" si="41"/>
        <v>3.0879629623086657E-2</v>
      </c>
      <c r="N94" s="12">
        <f t="shared" si="42"/>
        <v>44.466666657244787</v>
      </c>
      <c r="O94" s="12"/>
      <c r="P94" s="12"/>
      <c r="Q94" s="44"/>
      <c r="R94" s="44"/>
      <c r="S94" s="70">
        <f t="shared" si="39"/>
        <v>1</v>
      </c>
      <c r="T94" s="2" t="str">
        <f t="shared" si="43"/>
        <v>NorthBound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13:51:55-0600',mode:absolute,to:'2016-06-25 14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4" s="48" t="str">
        <f t="shared" si="45"/>
        <v>N</v>
      </c>
      <c r="X94" s="48">
        <f t="shared" si="46"/>
        <v>1</v>
      </c>
      <c r="Y94" s="48">
        <f t="shared" si="50"/>
        <v>4.5999999999999999E-2</v>
      </c>
      <c r="Z94" s="48">
        <f t="shared" si="51"/>
        <v>23.329899999999999</v>
      </c>
      <c r="AA94" s="48">
        <f t="shared" si="47"/>
        <v>23.283899999999999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43" t="s">
        <v>391</v>
      </c>
      <c r="B95" s="43">
        <v>4017</v>
      </c>
      <c r="C95" s="43" t="s">
        <v>60</v>
      </c>
      <c r="D95" s="43" t="s">
        <v>71</v>
      </c>
      <c r="E95" s="25">
        <v>42546.620671296296</v>
      </c>
      <c r="F95" s="25">
        <v>42546.621469907404</v>
      </c>
      <c r="G95" s="31">
        <v>1</v>
      </c>
      <c r="H95" s="25" t="s">
        <v>61</v>
      </c>
      <c r="I95" s="25">
        <v>42546.650694444441</v>
      </c>
      <c r="J95" s="43">
        <v>0</v>
      </c>
      <c r="K95" s="43" t="str">
        <f t="shared" si="40"/>
        <v>4017/4018</v>
      </c>
      <c r="L95" s="43" t="str">
        <f>VLOOKUP(A95,'Trips&amp;Operators'!$C$1:$E$10000,3,FALSE)</f>
        <v>STEWART</v>
      </c>
      <c r="M95" s="11">
        <f t="shared" si="41"/>
        <v>2.9224537036498077E-2</v>
      </c>
      <c r="N95" s="12">
        <f t="shared" si="42"/>
        <v>42.083333332557231</v>
      </c>
      <c r="O95" s="12"/>
      <c r="P95" s="12"/>
      <c r="Q95" s="44"/>
      <c r="R95" s="44"/>
      <c r="S95" s="70">
        <f t="shared" si="39"/>
        <v>1</v>
      </c>
      <c r="T95" s="2" t="str">
        <f t="shared" si="43"/>
        <v>Southbound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14:52:46-0600',mode:absolute,to:'2016-06-25 15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5" s="48" t="str">
        <f t="shared" si="45"/>
        <v>N</v>
      </c>
      <c r="X95" s="48">
        <f t="shared" si="46"/>
        <v>1</v>
      </c>
      <c r="Y95" s="48">
        <f t="shared" si="50"/>
        <v>23.297699999999999</v>
      </c>
      <c r="Z95" s="48">
        <f t="shared" si="51"/>
        <v>1.4500000000000001E-2</v>
      </c>
      <c r="AA95" s="48">
        <f t="shared" si="47"/>
        <v>23.283199999999997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43" t="s">
        <v>392</v>
      </c>
      <c r="B96" s="43">
        <v>4042</v>
      </c>
      <c r="C96" s="43" t="s">
        <v>60</v>
      </c>
      <c r="D96" s="43" t="s">
        <v>102</v>
      </c>
      <c r="E96" s="25">
        <v>42546.588506944441</v>
      </c>
      <c r="F96" s="25">
        <v>42546.589409722219</v>
      </c>
      <c r="G96" s="31">
        <v>1</v>
      </c>
      <c r="H96" s="25" t="s">
        <v>111</v>
      </c>
      <c r="I96" s="25">
        <v>42546.620856481481</v>
      </c>
      <c r="J96" s="43">
        <v>1</v>
      </c>
      <c r="K96" s="43" t="str">
        <f t="shared" si="40"/>
        <v>4041/4042</v>
      </c>
      <c r="L96" s="43" t="str">
        <f>VLOOKUP(A96,'Trips&amp;Operators'!$C$1:$E$10000,3,FALSE)</f>
        <v>MAYBERRY</v>
      </c>
      <c r="M96" s="11">
        <f t="shared" si="41"/>
        <v>3.1446759261598345E-2</v>
      </c>
      <c r="N96" s="12">
        <f t="shared" si="42"/>
        <v>45.283333336701617</v>
      </c>
      <c r="O96" s="12"/>
      <c r="P96" s="12"/>
      <c r="Q96" s="44"/>
      <c r="R96" s="44"/>
      <c r="S96" s="70">
        <f t="shared" si="39"/>
        <v>1</v>
      </c>
      <c r="T96" s="2" t="str">
        <f t="shared" si="43"/>
        <v>NorthBound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14:06:27-0600',mode:absolute,to:'2016-06-25 14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6" s="48" t="str">
        <f t="shared" si="45"/>
        <v>N</v>
      </c>
      <c r="X96" s="48">
        <f>VALUE(LEFT(A96,3))-VALUE(LEFT(A95,3))</f>
        <v>1</v>
      </c>
      <c r="Y96" s="48">
        <f t="shared" si="50"/>
        <v>4.4699999999999997E-2</v>
      </c>
      <c r="Z96" s="48">
        <f t="shared" si="51"/>
        <v>23.3291</v>
      </c>
      <c r="AA96" s="48">
        <f t="shared" si="47"/>
        <v>23.284400000000002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43" t="s">
        <v>393</v>
      </c>
      <c r="B97" s="43">
        <v>4041</v>
      </c>
      <c r="C97" s="43" t="s">
        <v>60</v>
      </c>
      <c r="D97" s="43" t="s">
        <v>188</v>
      </c>
      <c r="E97" s="25">
        <v>42546.62332175926</v>
      </c>
      <c r="F97" s="25">
        <v>42546.624178240738</v>
      </c>
      <c r="G97" s="31">
        <v>1</v>
      </c>
      <c r="H97" s="25" t="s">
        <v>172</v>
      </c>
      <c r="I97" s="25">
        <v>42546.660682870373</v>
      </c>
      <c r="J97" s="43">
        <v>3</v>
      </c>
      <c r="K97" s="43" t="str">
        <f t="shared" si="40"/>
        <v>4041/4042</v>
      </c>
      <c r="L97" s="43" t="str">
        <f>VLOOKUP(A97,'Trips&amp;Operators'!$C$1:$E$10000,3,FALSE)</f>
        <v>MAYBERRY</v>
      </c>
      <c r="M97" s="11">
        <f t="shared" si="41"/>
        <v>3.6504629635601304E-2</v>
      </c>
      <c r="N97" s="12">
        <f t="shared" si="42"/>
        <v>52.566666675265878</v>
      </c>
      <c r="O97" s="12"/>
      <c r="P97" s="12"/>
      <c r="Q97" s="44"/>
      <c r="R97" s="44" t="s">
        <v>496</v>
      </c>
      <c r="S97" s="70">
        <f t="shared" si="39"/>
        <v>1</v>
      </c>
      <c r="T97" s="2" t="str">
        <f t="shared" si="43"/>
        <v>Southbound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7" s="48" t="str">
        <f t="shared" si="45"/>
        <v>N</v>
      </c>
      <c r="X97" s="48">
        <f>VALUE(LEFT(A97,3))-VALUE(LEFT(A96,3))</f>
        <v>1</v>
      </c>
      <c r="Y97" s="48">
        <f t="shared" ref="Y97:Y100" si="52">RIGHT(D97,LEN(D97)-4)/10000</f>
        <v>23.297000000000001</v>
      </c>
      <c r="Z97" s="48">
        <v>0.01</v>
      </c>
      <c r="AA97" s="48">
        <f t="shared" si="47"/>
        <v>23.286999999999999</v>
      </c>
      <c r="AB97" s="49">
        <f>VLOOKUP(A97,Enforcements!$C$7:$J$32,8,0)</f>
        <v>63068</v>
      </c>
      <c r="AC97" s="49" t="str">
        <f>VLOOKUP(A97,Enforcements!$C$7:$E$32,3,0)</f>
        <v>GRADE CROSSING</v>
      </c>
    </row>
    <row r="98" spans="1:29" s="2" customFormat="1" x14ac:dyDescent="0.25">
      <c r="A98" s="43" t="s">
        <v>394</v>
      </c>
      <c r="B98" s="43">
        <v>4025</v>
      </c>
      <c r="C98" s="43" t="s">
        <v>60</v>
      </c>
      <c r="D98" s="43" t="s">
        <v>113</v>
      </c>
      <c r="E98" s="25">
        <v>42546.59815972222</v>
      </c>
      <c r="F98" s="25">
        <v>42546.599166666667</v>
      </c>
      <c r="G98" s="31">
        <v>1</v>
      </c>
      <c r="H98" s="25" t="s">
        <v>142</v>
      </c>
      <c r="I98" s="25">
        <v>42546.630532407406</v>
      </c>
      <c r="J98" s="43">
        <v>0</v>
      </c>
      <c r="K98" s="43" t="str">
        <f t="shared" si="40"/>
        <v>4025/4026</v>
      </c>
      <c r="L98" s="43" t="str">
        <f>VLOOKUP(A98,'Trips&amp;Operators'!$C$1:$E$10000,3,FALSE)</f>
        <v>WEBSTER</v>
      </c>
      <c r="M98" s="11">
        <f t="shared" si="41"/>
        <v>3.1365740738692693E-2</v>
      </c>
      <c r="N98" s="12">
        <f t="shared" si="42"/>
        <v>45.166666663717479</v>
      </c>
      <c r="O98" s="12"/>
      <c r="P98" s="12"/>
      <c r="Q98" s="44"/>
      <c r="R98" s="44"/>
      <c r="S98" s="70">
        <f t="shared" ref="S98:S128" si="53">SUM(U98:U98)/12</f>
        <v>1</v>
      </c>
      <c r="T98" s="2" t="str">
        <f t="shared" si="43"/>
        <v>NorthBound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14:20:21-0600',mode:absolute,to:'2016-06-25 15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8" s="48" t="str">
        <f t="shared" si="45"/>
        <v>N</v>
      </c>
      <c r="X98" s="48">
        <f>VALUE(LEFT(A98,3))-VALUE(LEFT(A97,3))</f>
        <v>1</v>
      </c>
      <c r="Y98" s="48">
        <f t="shared" si="52"/>
        <v>4.5499999999999999E-2</v>
      </c>
      <c r="Z98" s="48">
        <f t="shared" ref="Z97:Z100" si="54">RIGHT(H98,LEN(H98)-4)/10000</f>
        <v>23.328800000000001</v>
      </c>
      <c r="AA98" s="48">
        <f t="shared" si="47"/>
        <v>23.283300000000001</v>
      </c>
      <c r="AB98" s="49" t="e">
        <f>VLOOKUP(A98,Enforcements!$C$7:$J$32,8,0)</f>
        <v>#N/A</v>
      </c>
      <c r="AC98" s="49" t="e">
        <f>VLOOKUP(A98,Enforcements!$C$7:$E$32,3,0)</f>
        <v>#N/A</v>
      </c>
    </row>
    <row r="99" spans="1:29" s="2" customFormat="1" x14ac:dyDescent="0.25">
      <c r="A99" s="43" t="s">
        <v>395</v>
      </c>
      <c r="B99" s="43">
        <v>4026</v>
      </c>
      <c r="C99" s="43" t="s">
        <v>60</v>
      </c>
      <c r="D99" s="43" t="s">
        <v>202</v>
      </c>
      <c r="E99" s="25">
        <v>42546.641817129632</v>
      </c>
      <c r="F99" s="25">
        <v>42546.643275462964</v>
      </c>
      <c r="G99" s="31">
        <v>2</v>
      </c>
      <c r="H99" s="25" t="s">
        <v>76</v>
      </c>
      <c r="I99" s="25">
        <v>42546.670868055553</v>
      </c>
      <c r="J99" s="43">
        <v>0</v>
      </c>
      <c r="K99" s="43" t="str">
        <f t="shared" si="40"/>
        <v>4025/4026</v>
      </c>
      <c r="L99" s="43" t="str">
        <f>VLOOKUP(A99,'Trips&amp;Operators'!$C$1:$E$10000,3,FALSE)</f>
        <v>WEBSTER</v>
      </c>
      <c r="M99" s="11">
        <f t="shared" si="41"/>
        <v>2.7592592588916887E-2</v>
      </c>
      <c r="N99" s="12">
        <f t="shared" si="42"/>
        <v>39.733333328040317</v>
      </c>
      <c r="O99" s="12"/>
      <c r="P99" s="12"/>
      <c r="Q99" s="44"/>
      <c r="R99" s="44"/>
      <c r="S99" s="70">
        <f t="shared" si="53"/>
        <v>1</v>
      </c>
      <c r="T99" s="2" t="str">
        <f t="shared" si="43"/>
        <v>Southbound</v>
      </c>
      <c r="U99" s="2">
        <f>COUNTIFS(Variables!$M$2:$M$19,IF(T99="NorthBound","&gt;=","&lt;=")&amp;Y99,Variables!$M$2:$M$19,IF(T99="NorthBound","&lt;=","&gt;=")&amp;Z99)</f>
        <v>12</v>
      </c>
      <c r="V9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15:23:13-0600',mode:absolute,to:'2016-06-25 16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9" s="48" t="str">
        <f t="shared" si="45"/>
        <v>N</v>
      </c>
      <c r="X99" s="48">
        <f>VALUE(LEFT(A99,3))-VALUE(LEFT(A98,3))</f>
        <v>1</v>
      </c>
      <c r="Y99" s="48">
        <f t="shared" si="52"/>
        <v>23.2973</v>
      </c>
      <c r="Z99" s="48">
        <f t="shared" si="54"/>
        <v>1.49E-2</v>
      </c>
      <c r="AA99" s="48">
        <f t="shared" si="47"/>
        <v>23.282399999999999</v>
      </c>
      <c r="AB99" s="49" t="e">
        <f>VLOOKUP(A99,Enforcements!$C$7:$J$32,8,0)</f>
        <v>#N/A</v>
      </c>
      <c r="AC99" s="49" t="e">
        <f>VLOOKUP(A99,Enforcements!$C$7:$E$32,3,0)</f>
        <v>#N/A</v>
      </c>
    </row>
    <row r="100" spans="1:29" s="2" customFormat="1" x14ac:dyDescent="0.25">
      <c r="A100" s="43" t="s">
        <v>396</v>
      </c>
      <c r="B100" s="43">
        <v>4044</v>
      </c>
      <c r="C100" s="43" t="s">
        <v>60</v>
      </c>
      <c r="D100" s="43" t="s">
        <v>113</v>
      </c>
      <c r="E100" s="25">
        <v>42546.611493055556</v>
      </c>
      <c r="F100" s="25">
        <v>42546.612384259257</v>
      </c>
      <c r="G100" s="31">
        <v>1</v>
      </c>
      <c r="H100" s="25" t="s">
        <v>173</v>
      </c>
      <c r="I100" s="25">
        <v>42546.640069444446</v>
      </c>
      <c r="J100" s="43">
        <v>0</v>
      </c>
      <c r="K100" s="43" t="str">
        <f t="shared" si="40"/>
        <v>4043/4044</v>
      </c>
      <c r="L100" s="43" t="str">
        <f>VLOOKUP(A100,'Trips&amp;Operators'!$C$1:$E$10000,3,FALSE)</f>
        <v>RIVERA</v>
      </c>
      <c r="M100" s="11">
        <f t="shared" si="41"/>
        <v>2.768518518860219E-2</v>
      </c>
      <c r="N100" s="12">
        <f t="shared" si="42"/>
        <v>39.866666671587154</v>
      </c>
      <c r="O100" s="12"/>
      <c r="P100" s="12"/>
      <c r="Q100" s="44"/>
      <c r="R100" s="44"/>
      <c r="S100" s="70">
        <f t="shared" si="53"/>
        <v>1</v>
      </c>
      <c r="T100" s="2" t="str">
        <f t="shared" si="43"/>
        <v>NorthBound</v>
      </c>
      <c r="U100" s="2">
        <f>COUNTIFS(Variables!$M$2:$M$19,IF(T100="NorthBound","&gt;=","&lt;=")&amp;Y100,Variables!$M$2:$M$19,IF(T100="NorthBound","&lt;=","&gt;=")&amp;Z100)</f>
        <v>12</v>
      </c>
      <c r="V10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14:39:33-0600',mode:absolute,to:'2016-06-25 15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0" s="48" t="str">
        <f t="shared" si="45"/>
        <v>N</v>
      </c>
      <c r="X100" s="48">
        <f>VALUE(LEFT(A100,3))-VALUE(LEFT(A99,3))</f>
        <v>1</v>
      </c>
      <c r="Y100" s="48">
        <f t="shared" si="52"/>
        <v>4.5499999999999999E-2</v>
      </c>
      <c r="Z100" s="48">
        <f t="shared" si="54"/>
        <v>23.33</v>
      </c>
      <c r="AA100" s="48">
        <f t="shared" si="47"/>
        <v>23.284499999999998</v>
      </c>
      <c r="AB100" s="49" t="e">
        <f>VLOOKUP(A100,Enforcements!$C$7:$J$32,8,0)</f>
        <v>#N/A</v>
      </c>
      <c r="AC100" s="49" t="e">
        <f>VLOOKUP(A100,Enforcements!$C$7:$E$32,3,0)</f>
        <v>#N/A</v>
      </c>
    </row>
    <row r="101" spans="1:29" s="2" customFormat="1" x14ac:dyDescent="0.25">
      <c r="A101" s="43" t="s">
        <v>397</v>
      </c>
      <c r="B101" s="43">
        <v>4043</v>
      </c>
      <c r="C101" s="43" t="s">
        <v>60</v>
      </c>
      <c r="D101" s="43" t="s">
        <v>195</v>
      </c>
      <c r="E101" s="25">
        <v>42546.649016203701</v>
      </c>
      <c r="F101" s="25">
        <v>42546.65</v>
      </c>
      <c r="G101" s="31">
        <v>1</v>
      </c>
      <c r="H101" s="25" t="s">
        <v>119</v>
      </c>
      <c r="I101" s="25">
        <v>42546.680046296293</v>
      </c>
      <c r="J101" s="43">
        <v>0</v>
      </c>
      <c r="K101" s="43" t="str">
        <f t="shared" si="40"/>
        <v>4043/4044</v>
      </c>
      <c r="L101" s="43" t="str">
        <f>VLOOKUP(A101,'Trips&amp;Operators'!$C$1:$E$10000,3,FALSE)</f>
        <v>RIVERA</v>
      </c>
      <c r="M101" s="11">
        <f t="shared" si="41"/>
        <v>3.0046296291402541E-2</v>
      </c>
      <c r="N101" s="12">
        <f t="shared" si="42"/>
        <v>43.266666659619659</v>
      </c>
      <c r="O101" s="12"/>
      <c r="P101" s="12"/>
      <c r="Q101" s="44"/>
      <c r="R101" s="44"/>
      <c r="S101" s="70">
        <f t="shared" si="53"/>
        <v>1</v>
      </c>
      <c r="T101" s="2" t="str">
        <f t="shared" si="43"/>
        <v>Southbound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15:33:35-0600',mode:absolute,to:'2016-06-25 16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1" s="48" t="str">
        <f t="shared" si="45"/>
        <v>N</v>
      </c>
      <c r="X101" s="48">
        <f t="shared" ref="X101:X102" si="55">VALUE(LEFT(A101,3))-VALUE(LEFT(A100,3))</f>
        <v>1</v>
      </c>
      <c r="Y101" s="48">
        <f t="shared" ref="Y101" si="56">RIGHT(D101,LEN(D101)-4)/10000</f>
        <v>23.3002</v>
      </c>
      <c r="Z101" s="48">
        <f t="shared" ref="Z101" si="57">RIGHT(H101,LEN(H101)-4)/10000</f>
        <v>1.4999999999999999E-2</v>
      </c>
      <c r="AA101" s="48">
        <f t="shared" si="47"/>
        <v>23.2852</v>
      </c>
      <c r="AB101" s="49" t="e">
        <f>VLOOKUP(A101,Enforcements!$C$7:$J$32,8,0)</f>
        <v>#N/A</v>
      </c>
      <c r="AC101" s="49" t="e">
        <f>VLOOKUP(A101,Enforcements!$C$7:$E$32,3,0)</f>
        <v>#N/A</v>
      </c>
    </row>
    <row r="102" spans="1:29" s="2" customFormat="1" x14ac:dyDescent="0.25">
      <c r="A102" s="43" t="s">
        <v>399</v>
      </c>
      <c r="B102" s="43">
        <v>4007</v>
      </c>
      <c r="C102" s="43" t="s">
        <v>60</v>
      </c>
      <c r="D102" s="43" t="s">
        <v>178</v>
      </c>
      <c r="E102" s="25">
        <v>42546.621111111112</v>
      </c>
      <c r="F102" s="25">
        <v>42546.621967592589</v>
      </c>
      <c r="G102" s="31">
        <v>1</v>
      </c>
      <c r="H102" s="25" t="s">
        <v>283</v>
      </c>
      <c r="I102" s="25">
        <v>42546.649907407409</v>
      </c>
      <c r="J102" s="43">
        <v>0</v>
      </c>
      <c r="K102" s="43" t="str">
        <f t="shared" si="40"/>
        <v>4007/4008</v>
      </c>
      <c r="L102" s="43" t="str">
        <f>VLOOKUP(A102,'Trips&amp;Operators'!$C$1:$E$10000,3,FALSE)</f>
        <v>YANAI</v>
      </c>
      <c r="M102" s="11">
        <f t="shared" si="41"/>
        <v>2.7939814819546882E-2</v>
      </c>
      <c r="N102" s="12">
        <f t="shared" si="42"/>
        <v>40.23333334014751</v>
      </c>
      <c r="O102" s="12"/>
      <c r="P102" s="12"/>
      <c r="Q102" s="44"/>
      <c r="R102" s="44"/>
      <c r="S102" s="70">
        <f t="shared" si="53"/>
        <v>1</v>
      </c>
      <c r="T102" s="2" t="str">
        <f t="shared" si="43"/>
        <v>NorthBound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14:53:24-0600',mode:absolute,to:'2016-06-25 15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2" s="48" t="str">
        <f t="shared" si="45"/>
        <v>N</v>
      </c>
      <c r="X102" s="48">
        <f t="shared" si="55"/>
        <v>1</v>
      </c>
      <c r="Y102" s="48">
        <f t="shared" ref="Y102:Y124" si="58">RIGHT(D102,LEN(D102)-4)/10000</f>
        <v>4.8000000000000001E-2</v>
      </c>
      <c r="Z102" s="48">
        <f t="shared" ref="Z102:Z124" si="59">RIGHT(H102,LEN(H102)-4)/10000</f>
        <v>23.330500000000001</v>
      </c>
      <c r="AA102" s="48">
        <f t="shared" si="47"/>
        <v>23.282500000000002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43" t="s">
        <v>400</v>
      </c>
      <c r="B103" s="43">
        <v>4008</v>
      </c>
      <c r="C103" s="43" t="s">
        <v>60</v>
      </c>
      <c r="D103" s="43" t="s">
        <v>107</v>
      </c>
      <c r="E103" s="25">
        <v>42546.659050925926</v>
      </c>
      <c r="F103" s="25">
        <v>42546.660358796296</v>
      </c>
      <c r="G103" s="31">
        <v>1</v>
      </c>
      <c r="H103" s="25" t="s">
        <v>68</v>
      </c>
      <c r="I103" s="25">
        <v>42546.692002314812</v>
      </c>
      <c r="J103" s="43">
        <v>0</v>
      </c>
      <c r="K103" s="43" t="str">
        <f t="shared" ref="K103:K133" si="60">IF(ISEVEN(B103),(B103-1)&amp;"/"&amp;B103,B103&amp;"/"&amp;(B103+1))</f>
        <v>4007/4008</v>
      </c>
      <c r="L103" s="43" t="str">
        <f>VLOOKUP(A103,'Trips&amp;Operators'!$C$1:$E$10000,3,FALSE)</f>
        <v>YANAI</v>
      </c>
      <c r="M103" s="11">
        <f t="shared" ref="M103:M133" si="61">I103-F103</f>
        <v>3.1643518515920732E-2</v>
      </c>
      <c r="N103" s="12">
        <f t="shared" ref="N103:P133" si="62">24*60*SUM($M103:$M103)</f>
        <v>45.566666662925854</v>
      </c>
      <c r="O103" s="12"/>
      <c r="P103" s="12"/>
      <c r="Q103" s="44"/>
      <c r="R103" s="44"/>
      <c r="S103" s="70">
        <f t="shared" si="53"/>
        <v>1</v>
      </c>
      <c r="T103" s="2" t="str">
        <f t="shared" ref="T103:T133" si="63">IF(ISEVEN(LEFT(A103,3)),"Southbound","NorthBound")</f>
        <v>Southbound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 t="shared" ref="V103:V133" si="64"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https://search-rtdc-monitor-bjffxe2xuh6vdkpspy63sjmuny.us-east-1.es.amazonaws.com/_plugin/kibana/#/discover/Steve-Slow-Train-Analysis-(2080s-and-2083s)?_g=(refreshInterval:(display:Off,section:0,value:0),time:(from:'2016-06-25 15:48:02-0600',mode:absolute,to:'2016-06-25 16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3" s="48" t="str">
        <f t="shared" ref="W103:W133" si="65">IF(AA103&lt;23,"Y","N")</f>
        <v>N</v>
      </c>
      <c r="X103" s="48">
        <f t="shared" ref="X103:X157" si="66">VALUE(LEFT(A103,3))-VALUE(LEFT(A102,3))</f>
        <v>1</v>
      </c>
      <c r="Y103" s="48">
        <f t="shared" si="58"/>
        <v>23.299800000000001</v>
      </c>
      <c r="Z103" s="48">
        <f t="shared" si="59"/>
        <v>1.6E-2</v>
      </c>
      <c r="AA103" s="48">
        <f t="shared" ref="AA103:AA133" si="67">ABS(Z103-Y103)</f>
        <v>23.283800000000003</v>
      </c>
      <c r="AB103" s="49" t="e">
        <f>VLOOKUP(A103,Enforcements!$C$7:$J$32,8,0)</f>
        <v>#N/A</v>
      </c>
      <c r="AC103" s="49" t="e">
        <f>VLOOKUP(A103,Enforcements!$C$7:$E$32,3,0)</f>
        <v>#N/A</v>
      </c>
    </row>
    <row r="104" spans="1:29" s="2" customFormat="1" x14ac:dyDescent="0.25">
      <c r="A104" s="43" t="s">
        <v>401</v>
      </c>
      <c r="B104" s="43">
        <v>4024</v>
      </c>
      <c r="C104" s="43" t="s">
        <v>60</v>
      </c>
      <c r="D104" s="43" t="s">
        <v>154</v>
      </c>
      <c r="E104" s="25">
        <v>42546.631793981483</v>
      </c>
      <c r="F104" s="25">
        <v>42546.635520833333</v>
      </c>
      <c r="G104" s="31">
        <v>5</v>
      </c>
      <c r="H104" s="25" t="s">
        <v>402</v>
      </c>
      <c r="I104" s="25">
        <v>42546.66170138889</v>
      </c>
      <c r="J104" s="43">
        <v>1</v>
      </c>
      <c r="K104" s="43" t="str">
        <f t="shared" si="60"/>
        <v>4023/4024</v>
      </c>
      <c r="L104" s="43" t="str">
        <f>VLOOKUP(A104,'Trips&amp;Operators'!$C$1:$E$10000,3,FALSE)</f>
        <v>LOCKLEAR</v>
      </c>
      <c r="M104" s="11">
        <f t="shared" si="61"/>
        <v>2.6180555556493346E-2</v>
      </c>
      <c r="N104" s="12">
        <f t="shared" si="62"/>
        <v>37.700000001350418</v>
      </c>
      <c r="O104" s="12"/>
      <c r="P104" s="12"/>
      <c r="Q104" s="44"/>
      <c r="R104" s="44"/>
      <c r="S104" s="70">
        <f t="shared" si="53"/>
        <v>1</v>
      </c>
      <c r="T104" s="2" t="str">
        <f t="shared" si="63"/>
        <v>NorthBound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15:08:47-0600',mode:absolute,to:'2016-06-25 15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4" s="48" t="str">
        <f t="shared" si="65"/>
        <v>N</v>
      </c>
      <c r="X104" s="48">
        <f t="shared" si="66"/>
        <v>1</v>
      </c>
      <c r="Y104" s="48">
        <f t="shared" si="58"/>
        <v>4.7100000000000003E-2</v>
      </c>
      <c r="Z104" s="48">
        <f t="shared" si="59"/>
        <v>23.333400000000001</v>
      </c>
      <c r="AA104" s="48">
        <f t="shared" si="67"/>
        <v>23.286300000000001</v>
      </c>
      <c r="AB104" s="49">
        <f>VLOOKUP(A104,Enforcements!$C$7:$J$32,8,0)</f>
        <v>232107</v>
      </c>
      <c r="AC104" s="49" t="str">
        <f>VLOOKUP(A104,Enforcements!$C$7:$E$32,3,0)</f>
        <v>PERMANENT SPEED RESTRICTION</v>
      </c>
    </row>
    <row r="105" spans="1:29" s="2" customFormat="1" x14ac:dyDescent="0.25">
      <c r="A105" s="43" t="s">
        <v>403</v>
      </c>
      <c r="B105" s="43">
        <v>4023</v>
      </c>
      <c r="C105" s="43" t="s">
        <v>60</v>
      </c>
      <c r="D105" s="43" t="s">
        <v>404</v>
      </c>
      <c r="E105" s="25">
        <v>42546.671134259261</v>
      </c>
      <c r="F105" s="25">
        <v>42546.672175925924</v>
      </c>
      <c r="G105" s="31">
        <v>1</v>
      </c>
      <c r="H105" s="25" t="s">
        <v>68</v>
      </c>
      <c r="I105" s="25">
        <v>42546.702233796299</v>
      </c>
      <c r="J105" s="43">
        <v>0</v>
      </c>
      <c r="K105" s="43" t="str">
        <f t="shared" si="60"/>
        <v>4023/4024</v>
      </c>
      <c r="L105" s="43" t="str">
        <f>VLOOKUP(A105,'Trips&amp;Operators'!$C$1:$E$10000,3,FALSE)</f>
        <v>LOCKLEAR</v>
      </c>
      <c r="M105" s="11">
        <f t="shared" si="61"/>
        <v>3.0057870375458151E-2</v>
      </c>
      <c r="N105" s="12">
        <f t="shared" si="62"/>
        <v>43.283333340659738</v>
      </c>
      <c r="O105" s="12"/>
      <c r="P105" s="12"/>
      <c r="Q105" s="44"/>
      <c r="R105" s="44"/>
      <c r="S105" s="70">
        <f t="shared" si="53"/>
        <v>1</v>
      </c>
      <c r="T105" s="2" t="str">
        <f t="shared" si="63"/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16:05:26-0600',mode:absolute,to:'2016-06-25 16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5" s="48" t="str">
        <f t="shared" si="65"/>
        <v>N</v>
      </c>
      <c r="X105" s="48">
        <f t="shared" si="66"/>
        <v>1</v>
      </c>
      <c r="Y105" s="48">
        <f t="shared" si="58"/>
        <v>23.300999999999998</v>
      </c>
      <c r="Z105" s="48">
        <f t="shared" si="59"/>
        <v>1.6E-2</v>
      </c>
      <c r="AA105" s="48">
        <f t="shared" si="67"/>
        <v>23.285</v>
      </c>
      <c r="AB105" s="49" t="e">
        <f>VLOOKUP(A105,Enforcements!$C$7:$J$32,8,0)</f>
        <v>#N/A</v>
      </c>
      <c r="AC105" s="49" t="e">
        <f>VLOOKUP(A105,Enforcements!$C$7:$E$32,3,0)</f>
        <v>#N/A</v>
      </c>
    </row>
    <row r="106" spans="1:29" s="2" customFormat="1" x14ac:dyDescent="0.25">
      <c r="A106" s="43" t="s">
        <v>405</v>
      </c>
      <c r="B106" s="43">
        <v>4014</v>
      </c>
      <c r="C106" s="43" t="s">
        <v>60</v>
      </c>
      <c r="D106" s="43" t="s">
        <v>200</v>
      </c>
      <c r="E106" s="25">
        <v>42546.642870370371</v>
      </c>
      <c r="F106" s="25">
        <v>42546.643750000003</v>
      </c>
      <c r="G106" s="31">
        <v>1</v>
      </c>
      <c r="H106" s="25" t="s">
        <v>406</v>
      </c>
      <c r="I106" s="25">
        <v>42546.670682870368</v>
      </c>
      <c r="J106" s="43">
        <v>0</v>
      </c>
      <c r="K106" s="43" t="str">
        <f t="shared" si="60"/>
        <v>4013/4014</v>
      </c>
      <c r="L106" s="43" t="str">
        <f>VLOOKUP(A106,'Trips&amp;Operators'!$C$1:$E$10000,3,FALSE)</f>
        <v>ACKERMAN</v>
      </c>
      <c r="M106" s="11">
        <f t="shared" si="61"/>
        <v>2.693287036527181E-2</v>
      </c>
      <c r="N106" s="12">
        <f t="shared" si="62"/>
        <v>38.783333325991407</v>
      </c>
      <c r="O106" s="12"/>
      <c r="P106" s="12"/>
      <c r="Q106" s="44"/>
      <c r="R106" s="44"/>
      <c r="S106" s="70">
        <f t="shared" si="53"/>
        <v>1</v>
      </c>
      <c r="T106" s="2" t="str">
        <f t="shared" si="63"/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15:24:44-0600',mode:absolute,to:'2016-06-25 16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6" s="48" t="str">
        <f t="shared" si="65"/>
        <v>N</v>
      </c>
      <c r="X106" s="48">
        <f t="shared" si="66"/>
        <v>1</v>
      </c>
      <c r="Y106" s="48">
        <f t="shared" si="58"/>
        <v>4.5100000000000001E-2</v>
      </c>
      <c r="Z106" s="48">
        <f t="shared" si="59"/>
        <v>23.322199999999999</v>
      </c>
      <c r="AA106" s="48">
        <f t="shared" si="67"/>
        <v>23.277099999999997</v>
      </c>
      <c r="AB106" s="49" t="e">
        <f>VLOOKUP(A106,Enforcements!$C$7:$J$32,8,0)</f>
        <v>#N/A</v>
      </c>
      <c r="AC106" s="49" t="e">
        <f>VLOOKUP(A106,Enforcements!$C$7:$E$32,3,0)</f>
        <v>#N/A</v>
      </c>
    </row>
    <row r="107" spans="1:29" s="2" customFormat="1" x14ac:dyDescent="0.25">
      <c r="A107" s="43" t="s">
        <v>407</v>
      </c>
      <c r="B107" s="43">
        <v>4013</v>
      </c>
      <c r="C107" s="43" t="s">
        <v>60</v>
      </c>
      <c r="D107" s="43" t="s">
        <v>408</v>
      </c>
      <c r="E107" s="25">
        <v>42546.679745370369</v>
      </c>
      <c r="F107" s="25">
        <v>42546.680717592593</v>
      </c>
      <c r="G107" s="31">
        <v>1</v>
      </c>
      <c r="H107" s="25" t="s">
        <v>285</v>
      </c>
      <c r="I107" s="25">
        <v>42546.715439814812</v>
      </c>
      <c r="J107" s="43">
        <v>2</v>
      </c>
      <c r="K107" s="43" t="str">
        <f t="shared" si="60"/>
        <v>4013/4014</v>
      </c>
      <c r="L107" s="43" t="str">
        <f>VLOOKUP(A107,'Trips&amp;Operators'!$C$1:$E$10000,3,FALSE)</f>
        <v>ACKERMAN</v>
      </c>
      <c r="M107" s="11">
        <f t="shared" si="61"/>
        <v>3.4722222218988463E-2</v>
      </c>
      <c r="N107" s="12">
        <f t="shared" si="62"/>
        <v>49.999999995343387</v>
      </c>
      <c r="O107" s="12"/>
      <c r="P107" s="12"/>
      <c r="Q107" s="44"/>
      <c r="R107" s="44"/>
      <c r="S107" s="70">
        <f t="shared" si="53"/>
        <v>1</v>
      </c>
      <c r="T107" s="2" t="str">
        <f t="shared" si="63"/>
        <v>Southbound</v>
      </c>
      <c r="U107" s="2">
        <f>COUNTIFS(Variables!$M$2:$M$19,IF(T107="NorthBound","&gt;=","&lt;=")&amp;Y107,Variables!$M$2:$M$19,IF(T107="NorthBound","&lt;=","&gt;=")&amp;Z107)</f>
        <v>12</v>
      </c>
      <c r="V107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7" s="48" t="str">
        <f t="shared" si="65"/>
        <v>N</v>
      </c>
      <c r="X107" s="48">
        <f t="shared" si="66"/>
        <v>1</v>
      </c>
      <c r="Y107" s="48">
        <f t="shared" si="58"/>
        <v>23.2911</v>
      </c>
      <c r="Z107" s="48">
        <f t="shared" si="59"/>
        <v>1.38E-2</v>
      </c>
      <c r="AA107" s="48">
        <f t="shared" si="67"/>
        <v>23.2773</v>
      </c>
      <c r="AB107" s="49">
        <f>VLOOKUP(A107,Enforcements!$C$7:$J$32,8,0)</f>
        <v>190834</v>
      </c>
      <c r="AC107" s="49" t="str">
        <f>VLOOKUP(A107,Enforcements!$C$7:$E$32,3,0)</f>
        <v>PERMANENT SPEED RESTRICTION</v>
      </c>
    </row>
    <row r="108" spans="1:29" s="2" customFormat="1" x14ac:dyDescent="0.25">
      <c r="A108" s="43" t="s">
        <v>409</v>
      </c>
      <c r="B108" s="43">
        <v>4018</v>
      </c>
      <c r="C108" s="43" t="s">
        <v>60</v>
      </c>
      <c r="D108" s="43" t="s">
        <v>154</v>
      </c>
      <c r="E108" s="25">
        <v>42546.652557870373</v>
      </c>
      <c r="F108" s="25">
        <v>42546.653958333336</v>
      </c>
      <c r="G108" s="31">
        <v>2</v>
      </c>
      <c r="H108" s="25" t="s">
        <v>364</v>
      </c>
      <c r="I108" s="25">
        <v>42546.683206018519</v>
      </c>
      <c r="J108" s="43">
        <v>0</v>
      </c>
      <c r="K108" s="43" t="str">
        <f t="shared" si="60"/>
        <v>4017/4018</v>
      </c>
      <c r="L108" s="43" t="str">
        <f>VLOOKUP(A108,'Trips&amp;Operators'!$C$1:$E$10000,3,FALSE)</f>
        <v>STEWART</v>
      </c>
      <c r="M108" s="11">
        <f t="shared" si="61"/>
        <v>2.9247685182781424E-2</v>
      </c>
      <c r="N108" s="12">
        <f t="shared" si="62"/>
        <v>42.116666663205251</v>
      </c>
      <c r="O108" s="12"/>
      <c r="P108" s="12"/>
      <c r="Q108" s="44"/>
      <c r="R108" s="44"/>
      <c r="S108" s="70">
        <f t="shared" si="53"/>
        <v>1</v>
      </c>
      <c r="T108" s="2" t="str">
        <f t="shared" si="63"/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15:38:41-0600',mode:absolute,to:'2016-06-25 16:24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48" t="str">
        <f t="shared" si="65"/>
        <v>N</v>
      </c>
      <c r="X108" s="48">
        <f t="shared" si="66"/>
        <v>1</v>
      </c>
      <c r="Y108" s="48">
        <f t="shared" si="58"/>
        <v>4.7100000000000003E-2</v>
      </c>
      <c r="Z108" s="48">
        <f t="shared" si="59"/>
        <v>23.330400000000001</v>
      </c>
      <c r="AA108" s="48">
        <f t="shared" si="67"/>
        <v>23.283300000000001</v>
      </c>
      <c r="AB108" s="49" t="e">
        <f>VLOOKUP(A108,Enforcements!$C$7:$J$32,8,0)</f>
        <v>#N/A</v>
      </c>
      <c r="AC108" s="49" t="e">
        <f>VLOOKUP(A108,Enforcements!$C$7:$E$32,3,0)</f>
        <v>#N/A</v>
      </c>
    </row>
    <row r="109" spans="1:29" s="2" customFormat="1" x14ac:dyDescent="0.25">
      <c r="A109" s="43" t="s">
        <v>410</v>
      </c>
      <c r="B109" s="43">
        <v>4017</v>
      </c>
      <c r="C109" s="43" t="s">
        <v>60</v>
      </c>
      <c r="D109" s="43" t="s">
        <v>186</v>
      </c>
      <c r="E109" s="25">
        <v>42546.689050925925</v>
      </c>
      <c r="F109" s="25">
        <v>42546.690451388888</v>
      </c>
      <c r="G109" s="31">
        <v>2</v>
      </c>
      <c r="H109" s="25" t="s">
        <v>339</v>
      </c>
      <c r="I109" s="25">
        <v>42546.725972222222</v>
      </c>
      <c r="J109" s="43">
        <v>0</v>
      </c>
      <c r="K109" s="43" t="str">
        <f t="shared" si="60"/>
        <v>4017/4018</v>
      </c>
      <c r="L109" s="43" t="str">
        <f>VLOOKUP(A109,'Trips&amp;Operators'!$C$1:$E$10000,3,FALSE)</f>
        <v>STEWART</v>
      </c>
      <c r="M109" s="11">
        <f t="shared" si="61"/>
        <v>3.5520833334885538E-2</v>
      </c>
      <c r="N109" s="12">
        <f t="shared" si="62"/>
        <v>51.150000002235174</v>
      </c>
      <c r="O109" s="12"/>
      <c r="P109" s="12"/>
      <c r="Q109" s="44"/>
      <c r="R109" s="44"/>
      <c r="S109" s="70">
        <f t="shared" si="53"/>
        <v>1</v>
      </c>
      <c r="T109" s="2" t="str">
        <f t="shared" si="63"/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16:31:14-0600',mode:absolute,to:'2016-06-25 17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48" t="str">
        <f t="shared" si="65"/>
        <v>N</v>
      </c>
      <c r="X109" s="48">
        <f t="shared" si="66"/>
        <v>1</v>
      </c>
      <c r="Y109" s="48">
        <f t="shared" si="58"/>
        <v>23.2987</v>
      </c>
      <c r="Z109" s="48">
        <f t="shared" si="59"/>
        <v>1.54E-2</v>
      </c>
      <c r="AA109" s="48">
        <f t="shared" si="67"/>
        <v>23.283300000000001</v>
      </c>
      <c r="AB109" s="49" t="e">
        <f>VLOOKUP(A109,Enforcements!$C$7:$J$32,8,0)</f>
        <v>#N/A</v>
      </c>
      <c r="AC109" s="49" t="e">
        <f>VLOOKUP(A109,Enforcements!$C$7:$E$32,3,0)</f>
        <v>#N/A</v>
      </c>
    </row>
    <row r="110" spans="1:29" s="2" customFormat="1" x14ac:dyDescent="0.25">
      <c r="A110" s="43" t="s">
        <v>411</v>
      </c>
      <c r="B110" s="43">
        <v>4042</v>
      </c>
      <c r="C110" s="43" t="s">
        <v>60</v>
      </c>
      <c r="D110" s="43" t="s">
        <v>114</v>
      </c>
      <c r="E110" s="25">
        <v>42546.66202546296</v>
      </c>
      <c r="F110" s="25">
        <v>42546.663530092592</v>
      </c>
      <c r="G110" s="31">
        <v>2</v>
      </c>
      <c r="H110" s="25" t="s">
        <v>104</v>
      </c>
      <c r="I110" s="25">
        <v>42546.693425925929</v>
      </c>
      <c r="J110" s="43">
        <v>0</v>
      </c>
      <c r="K110" s="43" t="str">
        <f t="shared" si="60"/>
        <v>4041/4042</v>
      </c>
      <c r="L110" s="43" t="str">
        <f>VLOOKUP(A110,'Trips&amp;Operators'!$C$1:$E$10000,3,FALSE)</f>
        <v>MAYBERRY</v>
      </c>
      <c r="M110" s="11">
        <f t="shared" si="61"/>
        <v>2.9895833336922806E-2</v>
      </c>
      <c r="N110" s="12">
        <f t="shared" si="62"/>
        <v>43.05000000516884</v>
      </c>
      <c r="O110" s="12"/>
      <c r="P110" s="12"/>
      <c r="Q110" s="44"/>
      <c r="R110" s="44"/>
      <c r="S110" s="70">
        <f t="shared" si="53"/>
        <v>1</v>
      </c>
      <c r="T110" s="2" t="str">
        <f t="shared" si="63"/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15:52:19-0600',mode:absolute,to:'2016-06-25 16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0" s="48" t="str">
        <f t="shared" si="65"/>
        <v>N</v>
      </c>
      <c r="X110" s="48">
        <f t="shared" si="66"/>
        <v>1</v>
      </c>
      <c r="Y110" s="48">
        <f t="shared" si="58"/>
        <v>4.6699999999999998E-2</v>
      </c>
      <c r="Z110" s="48">
        <f t="shared" si="59"/>
        <v>23.329699999999999</v>
      </c>
      <c r="AA110" s="48">
        <f t="shared" si="67"/>
        <v>23.282999999999998</v>
      </c>
      <c r="AB110" s="49" t="e">
        <f>VLOOKUP(A110,Enforcements!$C$7:$J$32,8,0)</f>
        <v>#N/A</v>
      </c>
      <c r="AC110" s="49" t="e">
        <f>VLOOKUP(A110,Enforcements!$C$7:$E$32,3,0)</f>
        <v>#N/A</v>
      </c>
    </row>
    <row r="111" spans="1:29" s="2" customFormat="1" x14ac:dyDescent="0.25">
      <c r="A111" s="43" t="s">
        <v>412</v>
      </c>
      <c r="B111" s="43">
        <v>4041</v>
      </c>
      <c r="C111" s="43" t="s">
        <v>60</v>
      </c>
      <c r="D111" s="43" t="s">
        <v>172</v>
      </c>
      <c r="E111" s="25">
        <v>42546.697696759256</v>
      </c>
      <c r="F111" s="25">
        <v>42546.698599537034</v>
      </c>
      <c r="G111" s="31">
        <v>1</v>
      </c>
      <c r="H111" s="25" t="s">
        <v>156</v>
      </c>
      <c r="I111" s="25">
        <v>42546.735381944447</v>
      </c>
      <c r="J111" s="43">
        <v>0</v>
      </c>
      <c r="K111" s="43" t="str">
        <f t="shared" si="60"/>
        <v>4041/4042</v>
      </c>
      <c r="L111" s="43" t="str">
        <f>VLOOKUP(A111,'Trips&amp;Operators'!$C$1:$E$10000,3,FALSE)</f>
        <v>MAYBERRY</v>
      </c>
      <c r="M111" s="11">
        <f t="shared" si="61"/>
        <v>3.6782407412829343E-2</v>
      </c>
      <c r="N111" s="12">
        <f t="shared" si="62"/>
        <v>52.966666674474254</v>
      </c>
      <c r="O111" s="12"/>
      <c r="P111" s="12"/>
      <c r="Q111" s="44"/>
      <c r="R111" s="44"/>
      <c r="S111" s="70">
        <f t="shared" si="53"/>
        <v>1</v>
      </c>
      <c r="T111" s="2" t="str">
        <f t="shared" si="63"/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16:43:41-0600',mode:absolute,to:'2016-06-25 17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1" s="48" t="str">
        <f t="shared" si="65"/>
        <v>N</v>
      </c>
      <c r="X111" s="48">
        <f t="shared" si="66"/>
        <v>1</v>
      </c>
      <c r="Y111" s="48">
        <f t="shared" si="58"/>
        <v>23.296900000000001</v>
      </c>
      <c r="Z111" s="48">
        <f t="shared" si="59"/>
        <v>1.43E-2</v>
      </c>
      <c r="AA111" s="48">
        <f t="shared" si="67"/>
        <v>23.282600000000002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43" t="s">
        <v>413</v>
      </c>
      <c r="B112" s="43">
        <v>4025</v>
      </c>
      <c r="C112" s="43" t="s">
        <v>60</v>
      </c>
      <c r="D112" s="43" t="s">
        <v>160</v>
      </c>
      <c r="E112" s="25">
        <v>42546.674178240741</v>
      </c>
      <c r="F112" s="25">
        <v>42546.675127314818</v>
      </c>
      <c r="G112" s="31">
        <v>1</v>
      </c>
      <c r="H112" s="25" t="s">
        <v>207</v>
      </c>
      <c r="I112" s="25">
        <v>42546.705520833333</v>
      </c>
      <c r="J112" s="43">
        <v>0</v>
      </c>
      <c r="K112" s="43" t="str">
        <f t="shared" si="60"/>
        <v>4025/4026</v>
      </c>
      <c r="L112" s="43" t="str">
        <f>VLOOKUP(A112,'Trips&amp;Operators'!$C$1:$E$10000,3,FALSE)</f>
        <v>WEBSTER</v>
      </c>
      <c r="M112" s="11">
        <f t="shared" si="61"/>
        <v>3.0393518514756579E-2</v>
      </c>
      <c r="N112" s="12">
        <f t="shared" si="62"/>
        <v>43.766666661249474</v>
      </c>
      <c r="O112" s="12"/>
      <c r="P112" s="12"/>
      <c r="Q112" s="44"/>
      <c r="R112" s="44"/>
      <c r="S112" s="70">
        <f t="shared" si="53"/>
        <v>1</v>
      </c>
      <c r="T112" s="2" t="str">
        <f t="shared" si="63"/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16:09:49-0600',mode:absolute,to:'2016-06-25 16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2" s="48" t="str">
        <f t="shared" si="65"/>
        <v>N</v>
      </c>
      <c r="X112" s="48">
        <f t="shared" si="66"/>
        <v>1</v>
      </c>
      <c r="Y112" s="48">
        <f t="shared" si="58"/>
        <v>4.7500000000000001E-2</v>
      </c>
      <c r="Z112" s="48">
        <f t="shared" si="59"/>
        <v>23.331199999999999</v>
      </c>
      <c r="AA112" s="48">
        <f t="shared" si="67"/>
        <v>23.2837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43" t="s">
        <v>414</v>
      </c>
      <c r="B113" s="43">
        <v>4026</v>
      </c>
      <c r="C113" s="43" t="s">
        <v>60</v>
      </c>
      <c r="D113" s="43" t="s">
        <v>415</v>
      </c>
      <c r="E113" s="25">
        <v>42546.713819444441</v>
      </c>
      <c r="F113" s="25">
        <v>42546.71534722222</v>
      </c>
      <c r="G113" s="31">
        <v>2</v>
      </c>
      <c r="H113" s="25" t="s">
        <v>76</v>
      </c>
      <c r="I113" s="25">
        <v>42546.744687500002</v>
      </c>
      <c r="J113" s="43">
        <v>0</v>
      </c>
      <c r="K113" s="43" t="str">
        <f t="shared" si="60"/>
        <v>4025/4026</v>
      </c>
      <c r="L113" s="43" t="str">
        <f>VLOOKUP(A113,'Trips&amp;Operators'!$C$1:$E$10000,3,FALSE)</f>
        <v>WEBSTER</v>
      </c>
      <c r="M113" s="11">
        <f t="shared" si="61"/>
        <v>2.9340277782466728E-2</v>
      </c>
      <c r="N113" s="12">
        <f t="shared" si="62"/>
        <v>42.250000006752089</v>
      </c>
      <c r="O113" s="12"/>
      <c r="P113" s="12"/>
      <c r="Q113" s="44"/>
      <c r="R113" s="44"/>
      <c r="S113" s="70">
        <f t="shared" si="53"/>
        <v>1</v>
      </c>
      <c r="T113" s="2" t="str">
        <f t="shared" si="63"/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17:06:54-0600',mode:absolute,to:'2016-06-25 17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3" s="48" t="str">
        <f t="shared" si="65"/>
        <v>N</v>
      </c>
      <c r="X113" s="48">
        <f t="shared" si="66"/>
        <v>1</v>
      </c>
      <c r="Y113" s="48">
        <f t="shared" si="58"/>
        <v>23.299099999999999</v>
      </c>
      <c r="Z113" s="48">
        <f t="shared" si="59"/>
        <v>1.49E-2</v>
      </c>
      <c r="AA113" s="48">
        <f t="shared" si="67"/>
        <v>23.284199999999998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43" t="s">
        <v>416</v>
      </c>
      <c r="B114" s="43">
        <v>4044</v>
      </c>
      <c r="C114" s="43" t="s">
        <v>60</v>
      </c>
      <c r="D114" s="43" t="s">
        <v>417</v>
      </c>
      <c r="E114" s="25">
        <v>42546.681585648148</v>
      </c>
      <c r="F114" s="25">
        <v>42546.68310185185</v>
      </c>
      <c r="G114" s="31">
        <v>2</v>
      </c>
      <c r="H114" s="25" t="s">
        <v>101</v>
      </c>
      <c r="I114" s="25">
        <v>42546.714502314811</v>
      </c>
      <c r="J114" s="43">
        <v>0</v>
      </c>
      <c r="K114" s="43" t="str">
        <f t="shared" si="60"/>
        <v>4043/4044</v>
      </c>
      <c r="L114" s="43" t="str">
        <f>VLOOKUP(A114,'Trips&amp;Operators'!$C$1:$E$10000,3,FALSE)</f>
        <v>RIVERA</v>
      </c>
      <c r="M114" s="11">
        <f t="shared" si="61"/>
        <v>3.1400462961755693E-2</v>
      </c>
      <c r="N114" s="12">
        <f t="shared" si="62"/>
        <v>45.216666664928198</v>
      </c>
      <c r="O114" s="12"/>
      <c r="P114" s="12"/>
      <c r="Q114" s="44"/>
      <c r="R114" s="44"/>
      <c r="S114" s="70">
        <f t="shared" si="53"/>
        <v>1</v>
      </c>
      <c r="T114" s="2" t="str">
        <f t="shared" si="63"/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16:20:29-0600',mode:absolute,to:'2016-06-25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4" s="48" t="str">
        <f t="shared" si="65"/>
        <v>N</v>
      </c>
      <c r="X114" s="48">
        <f t="shared" si="66"/>
        <v>1</v>
      </c>
      <c r="Y114" s="48">
        <f t="shared" si="58"/>
        <v>4.3700000000000003E-2</v>
      </c>
      <c r="Z114" s="48">
        <f t="shared" si="59"/>
        <v>23.329499999999999</v>
      </c>
      <c r="AA114" s="48">
        <f t="shared" si="67"/>
        <v>23.285799999999998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43" t="s">
        <v>418</v>
      </c>
      <c r="B115" s="43">
        <v>4043</v>
      </c>
      <c r="C115" s="43" t="s">
        <v>60</v>
      </c>
      <c r="D115" s="43" t="s">
        <v>181</v>
      </c>
      <c r="E115" s="25">
        <v>42546.720752314817</v>
      </c>
      <c r="F115" s="25">
        <v>42546.721956018519</v>
      </c>
      <c r="G115" s="31">
        <v>1</v>
      </c>
      <c r="H115" s="25" t="s">
        <v>112</v>
      </c>
      <c r="I115" s="25">
        <v>42546.753391203703</v>
      </c>
      <c r="J115" s="43">
        <v>0</v>
      </c>
      <c r="K115" s="43" t="str">
        <f t="shared" si="60"/>
        <v>4043/4044</v>
      </c>
      <c r="L115" s="43" t="str">
        <f>VLOOKUP(A115,'Trips&amp;Operators'!$C$1:$E$10000,3,FALSE)</f>
        <v>RIVERA</v>
      </c>
      <c r="M115" s="11">
        <f t="shared" si="61"/>
        <v>3.1435185184818693E-2</v>
      </c>
      <c r="N115" s="12">
        <f t="shared" si="62"/>
        <v>45.266666666138917</v>
      </c>
      <c r="O115" s="12"/>
      <c r="P115" s="12"/>
      <c r="Q115" s="44"/>
      <c r="R115" s="44"/>
      <c r="S115" s="70">
        <f t="shared" si="53"/>
        <v>1</v>
      </c>
      <c r="T115" s="2" t="str">
        <f t="shared" si="63"/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17:16:53-0600',mode:absolute,to:'2016-06-25 18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5" s="48" t="str">
        <f t="shared" si="65"/>
        <v>N</v>
      </c>
      <c r="X115" s="48">
        <f t="shared" si="66"/>
        <v>1</v>
      </c>
      <c r="Y115" s="48">
        <f t="shared" si="58"/>
        <v>23.2971</v>
      </c>
      <c r="Z115" s="48">
        <f t="shared" si="59"/>
        <v>1.3899999999999999E-2</v>
      </c>
      <c r="AA115" s="48">
        <f t="shared" si="67"/>
        <v>23.283200000000001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43" t="s">
        <v>419</v>
      </c>
      <c r="B116" s="43">
        <v>4007</v>
      </c>
      <c r="C116" s="43" t="s">
        <v>60</v>
      </c>
      <c r="D116" s="43" t="s">
        <v>154</v>
      </c>
      <c r="E116" s="25">
        <v>42546.694594907407</v>
      </c>
      <c r="F116" s="25">
        <v>42546.695532407408</v>
      </c>
      <c r="G116" s="31">
        <v>1</v>
      </c>
      <c r="H116" s="25" t="s">
        <v>207</v>
      </c>
      <c r="I116" s="25">
        <v>42547.244884259257</v>
      </c>
      <c r="J116" s="43">
        <v>0</v>
      </c>
      <c r="K116" s="43" t="str">
        <f t="shared" si="60"/>
        <v>4007/4008</v>
      </c>
      <c r="L116" s="43" t="str">
        <f>VLOOKUP(A116,'Trips&amp;Operators'!$C$1:$E$10000,3,FALSE)</f>
        <v>YANAI</v>
      </c>
      <c r="M116" s="11">
        <f t="shared" si="61"/>
        <v>0.549351851848769</v>
      </c>
      <c r="N116" s="12"/>
      <c r="O116" s="12"/>
      <c r="P116" s="12">
        <f t="shared" si="62"/>
        <v>791.06666666222736</v>
      </c>
      <c r="Q116" s="44"/>
      <c r="R116" s="44"/>
      <c r="S116" s="70">
        <f t="shared" si="53"/>
        <v>1</v>
      </c>
      <c r="T116" s="2" t="str">
        <f t="shared" si="63"/>
        <v>NorthBound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16:39:13-0600',mode:absolute,to:'2016-06-26 05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6" s="48" t="str">
        <f t="shared" si="65"/>
        <v>N</v>
      </c>
      <c r="X116" s="48">
        <f t="shared" si="66"/>
        <v>1</v>
      </c>
      <c r="Y116" s="48">
        <f t="shared" si="58"/>
        <v>4.7100000000000003E-2</v>
      </c>
      <c r="Z116" s="48">
        <f t="shared" si="59"/>
        <v>23.331199999999999</v>
      </c>
      <c r="AA116" s="48">
        <f t="shared" si="67"/>
        <v>23.284099999999999</v>
      </c>
      <c r="AB116" s="49" t="e">
        <f>VLOOKUP(A116,Enforcements!$C$7:$J$32,8,0)</f>
        <v>#N/A</v>
      </c>
      <c r="AC116" s="49" t="e">
        <f>VLOOKUP(A116,Enforcements!$C$7:$E$32,3,0)</f>
        <v>#N/A</v>
      </c>
    </row>
    <row r="117" spans="1:29" s="2" customFormat="1" x14ac:dyDescent="0.25">
      <c r="A117" s="43" t="s">
        <v>419</v>
      </c>
      <c r="B117" s="43">
        <v>4007</v>
      </c>
      <c r="C117" s="43" t="s">
        <v>60</v>
      </c>
      <c r="D117" s="43" t="s">
        <v>114</v>
      </c>
      <c r="E117" s="25">
        <v>42546.694594907407</v>
      </c>
      <c r="F117" s="25">
        <v>42546.697245370371</v>
      </c>
      <c r="G117" s="31">
        <v>3</v>
      </c>
      <c r="H117" s="25" t="s">
        <v>207</v>
      </c>
      <c r="I117" s="25">
        <v>42547.244884259257</v>
      </c>
      <c r="J117" s="43">
        <v>0</v>
      </c>
      <c r="K117" s="43" t="str">
        <f t="shared" si="60"/>
        <v>4007/4008</v>
      </c>
      <c r="L117" s="43" t="str">
        <f>VLOOKUP(A117,'Trips&amp;Operators'!$C$1:$E$10000,3,FALSE)</f>
        <v>YANAI</v>
      </c>
      <c r="M117" s="11">
        <f t="shared" si="61"/>
        <v>0.54763888888555812</v>
      </c>
      <c r="N117" s="12"/>
      <c r="O117" s="12"/>
      <c r="P117" s="12">
        <f t="shared" si="62"/>
        <v>788.59999999520369</v>
      </c>
      <c r="Q117" s="44"/>
      <c r="R117" s="44"/>
      <c r="S117" s="70">
        <f t="shared" si="53"/>
        <v>1</v>
      </c>
      <c r="T117" s="2" t="str">
        <f t="shared" si="63"/>
        <v>NorthBound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16:39:13-0600',mode:absolute,to:'2016-06-26 05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7" s="48" t="str">
        <f t="shared" si="65"/>
        <v>N</v>
      </c>
      <c r="X117" s="48">
        <f t="shared" si="66"/>
        <v>0</v>
      </c>
      <c r="Y117" s="48">
        <f t="shared" si="58"/>
        <v>4.6699999999999998E-2</v>
      </c>
      <c r="Z117" s="48">
        <f t="shared" si="59"/>
        <v>23.331199999999999</v>
      </c>
      <c r="AA117" s="48">
        <f t="shared" si="67"/>
        <v>23.284499999999998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s="2" customFormat="1" x14ac:dyDescent="0.25">
      <c r="A118" s="43" t="s">
        <v>420</v>
      </c>
      <c r="B118" s="43">
        <v>4008</v>
      </c>
      <c r="C118" s="43" t="s">
        <v>60</v>
      </c>
      <c r="D118" s="43" t="s">
        <v>121</v>
      </c>
      <c r="E118" s="25">
        <v>42546.734756944446</v>
      </c>
      <c r="F118" s="25">
        <v>42546.735960648148</v>
      </c>
      <c r="G118" s="31">
        <v>1</v>
      </c>
      <c r="H118" s="25" t="s">
        <v>421</v>
      </c>
      <c r="I118" s="25">
        <v>42546.76390046296</v>
      </c>
      <c r="J118" s="43">
        <v>0</v>
      </c>
      <c r="K118" s="43" t="str">
        <f t="shared" si="60"/>
        <v>4007/4008</v>
      </c>
      <c r="L118" s="43" t="str">
        <f>VLOOKUP(A118,'Trips&amp;Operators'!$C$1:$E$10000,3,FALSE)</f>
        <v>YANAI</v>
      </c>
      <c r="M118" s="11">
        <f t="shared" si="61"/>
        <v>2.7939814812270924E-2</v>
      </c>
      <c r="N118" s="12">
        <f t="shared" si="62"/>
        <v>40.233333329670131</v>
      </c>
      <c r="O118" s="12"/>
      <c r="P118" s="12"/>
      <c r="Q118" s="44"/>
      <c r="R118" s="44"/>
      <c r="S118" s="70">
        <f t="shared" si="53"/>
        <v>1</v>
      </c>
      <c r="T118" s="2" t="str">
        <f t="shared" si="63"/>
        <v>Southbound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17:37:03-0600',mode:absolute,to:'2016-06-25 18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8" s="48" t="str">
        <f t="shared" si="65"/>
        <v>N</v>
      </c>
      <c r="X118" s="48">
        <f t="shared" si="66"/>
        <v>1</v>
      </c>
      <c r="Y118" s="48">
        <f t="shared" si="58"/>
        <v>23.298300000000001</v>
      </c>
      <c r="Z118" s="48">
        <f t="shared" si="59"/>
        <v>0.1188</v>
      </c>
      <c r="AA118" s="48">
        <f t="shared" si="67"/>
        <v>23.179500000000001</v>
      </c>
      <c r="AB118" s="49" t="e">
        <f>VLOOKUP(A118,Enforcements!$C$7:$J$32,8,0)</f>
        <v>#N/A</v>
      </c>
      <c r="AC118" s="49" t="e">
        <f>VLOOKUP(A118,Enforcements!$C$7:$E$32,3,0)</f>
        <v>#N/A</v>
      </c>
    </row>
    <row r="119" spans="1:29" s="2" customFormat="1" x14ac:dyDescent="0.25">
      <c r="A119" s="43" t="s">
        <v>422</v>
      </c>
      <c r="B119" s="43">
        <v>4024</v>
      </c>
      <c r="C119" s="43" t="s">
        <v>60</v>
      </c>
      <c r="D119" s="43" t="s">
        <v>110</v>
      </c>
      <c r="E119" s="25">
        <v>42546.704259259262</v>
      </c>
      <c r="F119" s="25">
        <v>42546.70516203704</v>
      </c>
      <c r="G119" s="31">
        <v>1</v>
      </c>
      <c r="H119" s="25" t="s">
        <v>423</v>
      </c>
      <c r="I119" s="25">
        <v>42546.734548611108</v>
      </c>
      <c r="J119" s="43">
        <v>0</v>
      </c>
      <c r="K119" s="43" t="str">
        <f t="shared" si="60"/>
        <v>4023/4024</v>
      </c>
      <c r="L119" s="43" t="str">
        <f>VLOOKUP(A119,'Trips&amp;Operators'!$C$1:$E$10000,3,FALSE)</f>
        <v>LOCKLEAR</v>
      </c>
      <c r="M119" s="11">
        <f t="shared" si="61"/>
        <v>2.9386574067757465E-2</v>
      </c>
      <c r="N119" s="12">
        <f t="shared" si="62"/>
        <v>42.31666665757075</v>
      </c>
      <c r="O119" s="12"/>
      <c r="P119" s="12"/>
      <c r="Q119" s="44"/>
      <c r="R119" s="44"/>
      <c r="S119" s="70">
        <f t="shared" si="53"/>
        <v>1</v>
      </c>
      <c r="T119" s="2" t="str">
        <f t="shared" si="63"/>
        <v>NorthBound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16:53:08-0600',mode:absolute,to:'2016-06-25 17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9" s="48" t="str">
        <f t="shared" si="65"/>
        <v>N</v>
      </c>
      <c r="X119" s="48">
        <f t="shared" si="66"/>
        <v>1</v>
      </c>
      <c r="Y119" s="48">
        <f t="shared" si="58"/>
        <v>4.6899999999999997E-2</v>
      </c>
      <c r="Z119" s="48">
        <f t="shared" si="59"/>
        <v>23.3339</v>
      </c>
      <c r="AA119" s="48">
        <f t="shared" si="67"/>
        <v>23.286999999999999</v>
      </c>
      <c r="AB119" s="49" t="e">
        <f>VLOOKUP(A119,Enforcements!$C$7:$J$32,8,0)</f>
        <v>#N/A</v>
      </c>
      <c r="AC119" s="49" t="e">
        <f>VLOOKUP(A119,Enforcements!$C$7:$E$32,3,0)</f>
        <v>#N/A</v>
      </c>
    </row>
    <row r="120" spans="1:29" s="2" customFormat="1" x14ac:dyDescent="0.25">
      <c r="A120" s="43" t="s">
        <v>424</v>
      </c>
      <c r="B120" s="43">
        <v>4023</v>
      </c>
      <c r="C120" s="43" t="s">
        <v>60</v>
      </c>
      <c r="D120" s="43" t="s">
        <v>425</v>
      </c>
      <c r="E120" s="25">
        <v>42546.743842592594</v>
      </c>
      <c r="F120" s="25">
        <v>42546.744976851849</v>
      </c>
      <c r="G120" s="31">
        <v>1</v>
      </c>
      <c r="H120" s="25" t="s">
        <v>75</v>
      </c>
      <c r="I120" s="25">
        <v>42546.775520833333</v>
      </c>
      <c r="J120" s="43">
        <v>1</v>
      </c>
      <c r="K120" s="43" t="str">
        <f t="shared" si="60"/>
        <v>4023/4024</v>
      </c>
      <c r="L120" s="43" t="str">
        <f>VLOOKUP(A120,'Trips&amp;Operators'!$C$1:$E$10000,3,FALSE)</f>
        <v>LOCKLEAR</v>
      </c>
      <c r="M120" s="11">
        <f t="shared" si="61"/>
        <v>3.054398148378823E-2</v>
      </c>
      <c r="N120" s="12">
        <f t="shared" si="62"/>
        <v>43.983333336655051</v>
      </c>
      <c r="O120" s="12"/>
      <c r="P120" s="12"/>
      <c r="Q120" s="44"/>
      <c r="R120" s="44"/>
      <c r="S120" s="70">
        <f t="shared" si="53"/>
        <v>1</v>
      </c>
      <c r="T120" s="2" t="str">
        <f t="shared" si="63"/>
        <v>Southbound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17:50:08-0600',mode:absolute,to:'2016-06-25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0" s="48" t="str">
        <f t="shared" si="65"/>
        <v>N</v>
      </c>
      <c r="X120" s="48">
        <f t="shared" si="66"/>
        <v>1</v>
      </c>
      <c r="Y120" s="48">
        <f t="shared" si="58"/>
        <v>23.302099999999999</v>
      </c>
      <c r="Z120" s="48">
        <f t="shared" si="59"/>
        <v>1.5599999999999999E-2</v>
      </c>
      <c r="AA120" s="48">
        <f t="shared" si="67"/>
        <v>23.2865</v>
      </c>
      <c r="AB120" s="49">
        <f>VLOOKUP(A120,Enforcements!$C$7:$J$32,8,0)</f>
        <v>42961</v>
      </c>
      <c r="AC120" s="49" t="str">
        <f>VLOOKUP(A120,Enforcements!$C$7:$E$32,3,0)</f>
        <v>GRADE CROSSING</v>
      </c>
    </row>
    <row r="121" spans="1:29" s="2" customFormat="1" x14ac:dyDescent="0.25">
      <c r="A121" s="43" t="s">
        <v>426</v>
      </c>
      <c r="B121" s="43">
        <v>4014</v>
      </c>
      <c r="C121" s="43" t="s">
        <v>60</v>
      </c>
      <c r="D121" s="43" t="s">
        <v>110</v>
      </c>
      <c r="E121" s="25">
        <v>42546.717013888891</v>
      </c>
      <c r="F121" s="25">
        <v>42546.718078703707</v>
      </c>
      <c r="G121" s="31">
        <v>1</v>
      </c>
      <c r="H121" s="25" t="s">
        <v>427</v>
      </c>
      <c r="I121" s="25">
        <v>42546.744085648148</v>
      </c>
      <c r="J121" s="43">
        <v>0</v>
      </c>
      <c r="K121" s="43" t="str">
        <f t="shared" si="60"/>
        <v>4013/4014</v>
      </c>
      <c r="L121" s="43" t="str">
        <f>VLOOKUP(A121,'Trips&amp;Operators'!$C$1:$E$10000,3,FALSE)</f>
        <v>ACKERMAN</v>
      </c>
      <c r="M121" s="11">
        <f t="shared" si="61"/>
        <v>2.6006944441178348E-2</v>
      </c>
      <c r="N121" s="12">
        <f t="shared" si="62"/>
        <v>37.449999995296821</v>
      </c>
      <c r="O121" s="12"/>
      <c r="P121" s="12"/>
      <c r="Q121" s="44"/>
      <c r="R121" s="44"/>
      <c r="S121" s="70">
        <f t="shared" si="53"/>
        <v>1</v>
      </c>
      <c r="T121" s="2" t="str">
        <f t="shared" si="63"/>
        <v>NorthBound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17:11:30-0600',mode:absolute,to:'2016-06-25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1" s="48" t="str">
        <f t="shared" si="65"/>
        <v>N</v>
      </c>
      <c r="X121" s="48">
        <f t="shared" si="66"/>
        <v>1</v>
      </c>
      <c r="Y121" s="48">
        <f t="shared" si="58"/>
        <v>4.6899999999999997E-2</v>
      </c>
      <c r="Z121" s="48">
        <f t="shared" si="59"/>
        <v>23.332899999999999</v>
      </c>
      <c r="AA121" s="48">
        <f t="shared" si="67"/>
        <v>23.285999999999998</v>
      </c>
      <c r="AB121" s="49" t="e">
        <f>VLOOKUP(A121,Enforcements!$C$7:$J$32,8,0)</f>
        <v>#N/A</v>
      </c>
      <c r="AC121" s="49" t="e">
        <f>VLOOKUP(A121,Enforcements!$C$7:$E$32,3,0)</f>
        <v>#N/A</v>
      </c>
    </row>
    <row r="122" spans="1:29" s="2" customFormat="1" x14ac:dyDescent="0.25">
      <c r="A122" s="43" t="s">
        <v>428</v>
      </c>
      <c r="B122" s="43">
        <v>4013</v>
      </c>
      <c r="C122" s="43" t="s">
        <v>60</v>
      </c>
      <c r="D122" s="43" t="s">
        <v>404</v>
      </c>
      <c r="E122" s="25">
        <v>42546.750567129631</v>
      </c>
      <c r="F122" s="25">
        <v>42546.751643518517</v>
      </c>
      <c r="G122" s="31">
        <v>1</v>
      </c>
      <c r="H122" s="25" t="s">
        <v>182</v>
      </c>
      <c r="I122" s="25">
        <v>42546.786990740744</v>
      </c>
      <c r="J122" s="43">
        <v>0</v>
      </c>
      <c r="K122" s="43" t="str">
        <f t="shared" si="60"/>
        <v>4013/4014</v>
      </c>
      <c r="L122" s="43" t="str">
        <f>VLOOKUP(A122,'Trips&amp;Operators'!$C$1:$E$10000,3,FALSE)</f>
        <v>ACKERMAN</v>
      </c>
      <c r="M122" s="11">
        <f t="shared" si="61"/>
        <v>3.5347222226846498E-2</v>
      </c>
      <c r="N122" s="12">
        <f t="shared" si="62"/>
        <v>50.900000006658956</v>
      </c>
      <c r="O122" s="12"/>
      <c r="P122" s="12"/>
      <c r="Q122" s="44"/>
      <c r="R122" s="44"/>
      <c r="S122" s="70">
        <f t="shared" si="53"/>
        <v>1</v>
      </c>
      <c r="T122" s="2" t="str">
        <f t="shared" si="63"/>
        <v>Southbound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17:59:49-0600',mode:absolute,to:'2016-06-25 18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2" s="48" t="str">
        <f t="shared" si="65"/>
        <v>N</v>
      </c>
      <c r="X122" s="48">
        <f t="shared" si="66"/>
        <v>1</v>
      </c>
      <c r="Y122" s="48">
        <f t="shared" si="58"/>
        <v>23.300999999999998</v>
      </c>
      <c r="Z122" s="48">
        <f t="shared" si="59"/>
        <v>1.3599999999999999E-2</v>
      </c>
      <c r="AA122" s="48">
        <f t="shared" si="67"/>
        <v>23.287399999999998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s="2" customFormat="1" x14ac:dyDescent="0.25">
      <c r="A123" s="43" t="s">
        <v>429</v>
      </c>
      <c r="B123" s="43">
        <v>4018</v>
      </c>
      <c r="C123" s="43" t="s">
        <v>60</v>
      </c>
      <c r="D123" s="43" t="s">
        <v>102</v>
      </c>
      <c r="E123" s="25">
        <v>42546.727777777778</v>
      </c>
      <c r="F123" s="25">
        <v>42546.728726851848</v>
      </c>
      <c r="G123" s="31">
        <v>1</v>
      </c>
      <c r="H123" s="25" t="s">
        <v>430</v>
      </c>
      <c r="I123" s="25">
        <v>42546.756180555552</v>
      </c>
      <c r="J123" s="43">
        <v>1</v>
      </c>
      <c r="K123" s="43" t="str">
        <f t="shared" si="60"/>
        <v>4017/4018</v>
      </c>
      <c r="L123" s="43" t="str">
        <f>VLOOKUP(A123,'Trips&amp;Operators'!$C$1:$E$10000,3,FALSE)</f>
        <v>STEWART</v>
      </c>
      <c r="M123" s="11">
        <f t="shared" si="61"/>
        <v>2.7453703703940846E-2</v>
      </c>
      <c r="N123" s="12">
        <f t="shared" si="62"/>
        <v>39.533333333674818</v>
      </c>
      <c r="O123" s="12"/>
      <c r="P123" s="12"/>
      <c r="Q123" s="44"/>
      <c r="R123" s="44"/>
      <c r="S123" s="70">
        <f t="shared" si="53"/>
        <v>1</v>
      </c>
      <c r="T123" s="2" t="str">
        <f t="shared" si="63"/>
        <v>NorthBound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17:27:00-0600',mode:absolute,to:'2016-06-25 18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3" s="48" t="str">
        <f t="shared" si="65"/>
        <v>N</v>
      </c>
      <c r="X123" s="48">
        <f t="shared" si="66"/>
        <v>1</v>
      </c>
      <c r="Y123" s="48">
        <f t="shared" si="58"/>
        <v>4.4699999999999997E-2</v>
      </c>
      <c r="Z123" s="48">
        <f t="shared" si="59"/>
        <v>23.3232</v>
      </c>
      <c r="AA123" s="48">
        <f t="shared" si="67"/>
        <v>23.278500000000001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s="2" customFormat="1" x14ac:dyDescent="0.25">
      <c r="A124" s="43" t="s">
        <v>431</v>
      </c>
      <c r="B124" s="43">
        <v>4017</v>
      </c>
      <c r="C124" s="43" t="s">
        <v>60</v>
      </c>
      <c r="D124" s="43" t="s">
        <v>432</v>
      </c>
      <c r="E124" s="25">
        <v>42546.765694444446</v>
      </c>
      <c r="F124" s="25">
        <v>42546.766481481478</v>
      </c>
      <c r="G124" s="31">
        <v>1</v>
      </c>
      <c r="H124" s="25" t="s">
        <v>433</v>
      </c>
      <c r="I124" s="25">
        <v>42546.797754629632</v>
      </c>
      <c r="J124" s="43">
        <v>0</v>
      </c>
      <c r="K124" s="43" t="str">
        <f t="shared" si="60"/>
        <v>4017/4018</v>
      </c>
      <c r="L124" s="43" t="str">
        <f>VLOOKUP(A124,'Trips&amp;Operators'!$C$1:$E$10000,3,FALSE)</f>
        <v>STEWART</v>
      </c>
      <c r="M124" s="11">
        <f t="shared" si="61"/>
        <v>3.1273148153559305E-2</v>
      </c>
      <c r="N124" s="12">
        <f t="shared" si="62"/>
        <v>45.033333341125399</v>
      </c>
      <c r="O124" s="12"/>
      <c r="P124" s="12"/>
      <c r="Q124" s="44"/>
      <c r="R124" s="44"/>
      <c r="S124" s="70">
        <f t="shared" si="53"/>
        <v>1</v>
      </c>
      <c r="T124" s="2" t="str">
        <f t="shared" si="63"/>
        <v>Southbound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18:21:36-0600',mode:absolute,to:'2016-06-25 19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4" s="48" t="str">
        <f t="shared" si="65"/>
        <v>N</v>
      </c>
      <c r="X124" s="48">
        <f t="shared" si="66"/>
        <v>1</v>
      </c>
      <c r="Y124" s="48">
        <f t="shared" si="58"/>
        <v>23.290199999999999</v>
      </c>
      <c r="Z124" s="48">
        <f t="shared" si="59"/>
        <v>1.67E-2</v>
      </c>
      <c r="AA124" s="48">
        <f t="shared" si="67"/>
        <v>23.273499999999999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s="2" customFormat="1" x14ac:dyDescent="0.25">
      <c r="A125" s="43" t="s">
        <v>434</v>
      </c>
      <c r="B125" s="43">
        <v>4042</v>
      </c>
      <c r="C125" s="43" t="s">
        <v>60</v>
      </c>
      <c r="D125" s="43" t="s">
        <v>87</v>
      </c>
      <c r="E125" s="25">
        <v>42546.737743055557</v>
      </c>
      <c r="F125" s="25">
        <v>42546.738796296297</v>
      </c>
      <c r="G125" s="31">
        <v>1</v>
      </c>
      <c r="H125" s="25" t="s">
        <v>152</v>
      </c>
      <c r="I125" s="25">
        <v>42546.765370370369</v>
      </c>
      <c r="J125" s="43">
        <v>0</v>
      </c>
      <c r="K125" s="43" t="str">
        <f t="shared" si="60"/>
        <v>4041/4042</v>
      </c>
      <c r="L125" s="43" t="str">
        <f>VLOOKUP(A125,'Trips&amp;Operators'!$C$1:$E$10000,3,FALSE)</f>
        <v>LEVERE</v>
      </c>
      <c r="M125" s="11">
        <f t="shared" si="61"/>
        <v>2.6574074072414078E-2</v>
      </c>
      <c r="N125" s="12">
        <f t="shared" si="62"/>
        <v>38.266666664276272</v>
      </c>
      <c r="O125" s="12"/>
      <c r="P125" s="12"/>
      <c r="Q125" s="44"/>
      <c r="R125" s="44"/>
      <c r="S125" s="70">
        <f t="shared" si="53"/>
        <v>1</v>
      </c>
      <c r="T125" s="2" t="str">
        <f t="shared" si="63"/>
        <v>NorthBound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ref="V125:V132" si="68"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https://search-rtdc-monitor-bjffxe2xuh6vdkpspy63sjmuny.us-east-1.es.amazonaws.com/_plugin/kibana/#/discover/Steve-Slow-Train-Analysis-(2080s-and-2083s)?_g=(refreshInterval:(display:Off,section:0,value:0),time:(from:'2016-06-25 17:41:21-0600',mode:absolute,to:'2016-06-25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5" s="48" t="str">
        <f t="shared" ref="W125:W132" si="69">IF(AA125&lt;23,"Y","N")</f>
        <v>N</v>
      </c>
      <c r="X125" s="48">
        <f t="shared" ref="X125:X132" si="70">VALUE(LEFT(A125,3))-VALUE(LEFT(A124,3))</f>
        <v>1</v>
      </c>
      <c r="Y125" s="48">
        <f t="shared" ref="Y125:Y132" si="71">RIGHT(D125,LEN(D125)-4)/10000</f>
        <v>4.6399999999999997E-2</v>
      </c>
      <c r="Z125" s="48">
        <f t="shared" ref="Z125:Z132" si="72">RIGHT(H125,LEN(H125)-4)/10000</f>
        <v>23.3263</v>
      </c>
      <c r="AA125" s="48">
        <f t="shared" ref="AA125:AA132" si="73">ABS(Z125-Y125)</f>
        <v>23.279900000000001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s="2" customFormat="1" x14ac:dyDescent="0.25">
      <c r="A126" s="43" t="s">
        <v>435</v>
      </c>
      <c r="B126" s="43">
        <v>4041</v>
      </c>
      <c r="C126" s="43" t="s">
        <v>60</v>
      </c>
      <c r="D126" s="43" t="s">
        <v>436</v>
      </c>
      <c r="E126" s="25">
        <v>42546.769803240742</v>
      </c>
      <c r="F126" s="25">
        <v>42546.770868055559</v>
      </c>
      <c r="G126" s="31">
        <v>12</v>
      </c>
      <c r="H126" s="25" t="s">
        <v>68</v>
      </c>
      <c r="I126" s="25">
        <v>42546.805405092593</v>
      </c>
      <c r="J126" s="43">
        <v>0</v>
      </c>
      <c r="K126" s="43" t="str">
        <f t="shared" si="60"/>
        <v>4041/4042</v>
      </c>
      <c r="L126" s="43" t="str">
        <f>VLOOKUP(A126,'Trips&amp;Operators'!$C$1:$E$10000,3,FALSE)</f>
        <v>LEVERE</v>
      </c>
      <c r="M126" s="11">
        <f t="shared" si="61"/>
        <v>3.4537037034169771E-2</v>
      </c>
      <c r="N126" s="12">
        <f t="shared" si="62"/>
        <v>49.73333332920447</v>
      </c>
      <c r="O126" s="12"/>
      <c r="P126" s="12"/>
      <c r="Q126" s="44"/>
      <c r="R126" s="44" t="s">
        <v>495</v>
      </c>
      <c r="S126" s="70">
        <f t="shared" si="53"/>
        <v>1</v>
      </c>
      <c r="T126" s="2" t="str">
        <f t="shared" si="63"/>
        <v>Southbound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68"/>
        <v>https://search-rtdc-monitor-bjffxe2xuh6vdkpspy63sjmuny.us-east-1.es.amazonaws.com/_plugin/kibana/#/discover/Steve-Slow-Train-Analysis-(2080s-and-2083s)?_g=(refreshInterval:(display:Off,section:0,value:0),time:(from:'2016-06-25 18:27:31-0600',mode:absolute,to:'2016-06-25 19:20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6" s="48" t="str">
        <f t="shared" si="69"/>
        <v>N</v>
      </c>
      <c r="X126" s="48">
        <f t="shared" si="70"/>
        <v>1</v>
      </c>
      <c r="Y126" s="48">
        <f t="shared" si="71"/>
        <v>23.293199999999999</v>
      </c>
      <c r="Z126" s="48">
        <f t="shared" si="72"/>
        <v>1.6E-2</v>
      </c>
      <c r="AA126" s="48">
        <f t="shared" si="73"/>
        <v>23.277200000000001</v>
      </c>
      <c r="AB126" s="49" t="e">
        <f>VLOOKUP(A126,Enforcements!$C$7:$J$32,8,0)</f>
        <v>#N/A</v>
      </c>
      <c r="AC126" s="49" t="e">
        <f>VLOOKUP(A126,Enforcements!$C$7:$E$32,3,0)</f>
        <v>#N/A</v>
      </c>
    </row>
    <row r="127" spans="1:29" s="2" customFormat="1" x14ac:dyDescent="0.25">
      <c r="A127" s="43" t="s">
        <v>437</v>
      </c>
      <c r="B127" s="43">
        <v>4025</v>
      </c>
      <c r="C127" s="43" t="s">
        <v>60</v>
      </c>
      <c r="D127" s="43" t="s">
        <v>302</v>
      </c>
      <c r="E127" s="25">
        <v>42546.745995370373</v>
      </c>
      <c r="F127" s="25">
        <v>42546.74722222222</v>
      </c>
      <c r="G127" s="31">
        <v>1</v>
      </c>
      <c r="H127" s="25" t="s">
        <v>438</v>
      </c>
      <c r="I127" s="25">
        <v>42546.776574074072</v>
      </c>
      <c r="J127" s="43">
        <v>2</v>
      </c>
      <c r="K127" s="43" t="str">
        <f t="shared" si="60"/>
        <v>4025/4026</v>
      </c>
      <c r="L127" s="43" t="str">
        <f>VLOOKUP(A127,'Trips&amp;Operators'!$C$1:$E$10000,3,FALSE)</f>
        <v>WEBSTER</v>
      </c>
      <c r="M127" s="11">
        <f t="shared" si="61"/>
        <v>2.9351851851970423E-2</v>
      </c>
      <c r="N127" s="12">
        <f t="shared" si="62"/>
        <v>42.266666666837409</v>
      </c>
      <c r="O127" s="12"/>
      <c r="P127" s="12"/>
      <c r="Q127" s="44"/>
      <c r="R127" s="44"/>
      <c r="S127" s="70">
        <f t="shared" si="53"/>
        <v>1</v>
      </c>
      <c r="T127" s="2" t="str">
        <f t="shared" si="63"/>
        <v>NorthBound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 t="shared" si="68"/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7" s="48" t="str">
        <f t="shared" si="69"/>
        <v>N</v>
      </c>
      <c r="X127" s="48">
        <f t="shared" si="70"/>
        <v>1</v>
      </c>
      <c r="Y127" s="48">
        <f t="shared" si="71"/>
        <v>4.4200000000000003E-2</v>
      </c>
      <c r="Z127" s="48">
        <f t="shared" si="72"/>
        <v>23.332000000000001</v>
      </c>
      <c r="AA127" s="48">
        <f t="shared" si="73"/>
        <v>23.287800000000001</v>
      </c>
      <c r="AB127" s="49" t="e">
        <f>VLOOKUP(A127,Enforcements!$C$7:$J$32,8,0)</f>
        <v>#N/A</v>
      </c>
      <c r="AC127" s="49" t="e">
        <f>VLOOKUP(A127,Enforcements!$C$7:$E$32,3,0)</f>
        <v>#N/A</v>
      </c>
    </row>
    <row r="128" spans="1:29" s="2" customFormat="1" x14ac:dyDescent="0.25">
      <c r="A128" s="43" t="s">
        <v>439</v>
      </c>
      <c r="B128" s="43">
        <v>4026</v>
      </c>
      <c r="C128" s="43" t="s">
        <v>60</v>
      </c>
      <c r="D128" s="43" t="s">
        <v>216</v>
      </c>
      <c r="E128" s="25">
        <v>42546.784826388888</v>
      </c>
      <c r="F128" s="25">
        <v>42546.785671296297</v>
      </c>
      <c r="G128" s="31">
        <v>1</v>
      </c>
      <c r="H128" s="25" t="s">
        <v>103</v>
      </c>
      <c r="I128" s="25">
        <v>42546.81585648148</v>
      </c>
      <c r="J128" s="43">
        <v>0</v>
      </c>
      <c r="K128" s="43" t="str">
        <f t="shared" si="60"/>
        <v>4025/4026</v>
      </c>
      <c r="L128" s="43" t="str">
        <f>VLOOKUP(A128,'Trips&amp;Operators'!$C$1:$E$10000,3,FALSE)</f>
        <v>WEBSTER</v>
      </c>
      <c r="M128" s="11">
        <f t="shared" si="61"/>
        <v>3.0185185183654539E-2</v>
      </c>
      <c r="N128" s="12">
        <f t="shared" si="62"/>
        <v>43.466666664462537</v>
      </c>
      <c r="O128" s="12"/>
      <c r="P128" s="12"/>
      <c r="Q128" s="44"/>
      <c r="R128" s="44"/>
      <c r="S128" s="70">
        <f t="shared" si="53"/>
        <v>1</v>
      </c>
      <c r="T128" s="2" t="str">
        <f t="shared" si="63"/>
        <v>Southbound</v>
      </c>
      <c r="U128" s="2">
        <f>COUNTIFS(Variables!$M$2:$M$19,IF(T128="NorthBound","&gt;=","&lt;=")&amp;Y128,Variables!$M$2:$M$19,IF(T128="NorthBound","&lt;=","&gt;=")&amp;Z128)</f>
        <v>12</v>
      </c>
      <c r="V128" s="48" t="str">
        <f t="shared" si="68"/>
        <v>https://search-rtdc-monitor-bjffxe2xuh6vdkpspy63sjmuny.us-east-1.es.amazonaws.com/_plugin/kibana/#/discover/Steve-Slow-Train-Analysis-(2080s-and-2083s)?_g=(refreshInterval:(display:Off,section:0,value:0),time:(from:'2016-06-25 18:49:09-0600',mode:absolute,to:'2016-06-25 19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8" s="48" t="str">
        <f t="shared" si="69"/>
        <v>N</v>
      </c>
      <c r="X128" s="48">
        <f t="shared" si="70"/>
        <v>1</v>
      </c>
      <c r="Y128" s="48">
        <f t="shared" si="71"/>
        <v>23.299399999999999</v>
      </c>
      <c r="Z128" s="48">
        <f t="shared" si="72"/>
        <v>1.5800000000000002E-2</v>
      </c>
      <c r="AA128" s="48">
        <f t="shared" si="73"/>
        <v>23.2836</v>
      </c>
      <c r="AB128" s="49" t="e">
        <f>VLOOKUP(A128,Enforcements!$C$7:$J$32,8,0)</f>
        <v>#N/A</v>
      </c>
      <c r="AC128" s="49" t="e">
        <f>VLOOKUP(A128,Enforcements!$C$7:$E$32,3,0)</f>
        <v>#N/A</v>
      </c>
    </row>
    <row r="129" spans="1:29" s="2" customFormat="1" x14ac:dyDescent="0.25">
      <c r="A129" s="43" t="s">
        <v>440</v>
      </c>
      <c r="B129" s="43">
        <v>4044</v>
      </c>
      <c r="C129" s="43" t="s">
        <v>60</v>
      </c>
      <c r="D129" s="43" t="s">
        <v>290</v>
      </c>
      <c r="E129" s="25">
        <v>42546.757141203707</v>
      </c>
      <c r="F129" s="25">
        <v>42546.759120370371</v>
      </c>
      <c r="G129" s="31">
        <v>2</v>
      </c>
      <c r="H129" s="25" t="s">
        <v>180</v>
      </c>
      <c r="I129" s="25">
        <v>42546.786226851851</v>
      </c>
      <c r="J129" s="43">
        <v>1</v>
      </c>
      <c r="K129" s="43" t="str">
        <f t="shared" si="60"/>
        <v>4043/4044</v>
      </c>
      <c r="L129" s="43" t="str">
        <f>VLOOKUP(A129,'Trips&amp;Operators'!$C$1:$E$10000,3,FALSE)</f>
        <v>BRUDER</v>
      </c>
      <c r="M129" s="11">
        <f t="shared" si="61"/>
        <v>2.7106481480586808E-2</v>
      </c>
      <c r="N129" s="12">
        <f t="shared" si="62"/>
        <v>39.033333332045004</v>
      </c>
      <c r="O129" s="12"/>
      <c r="P129" s="12"/>
      <c r="Q129" s="44"/>
      <c r="R129" s="44"/>
      <c r="S129" s="70">
        <f t="shared" ref="S129:S157" si="74">SUM(U129:U129)/12</f>
        <v>1</v>
      </c>
      <c r="T129" s="2" t="str">
        <f t="shared" si="63"/>
        <v>NorthBound</v>
      </c>
      <c r="U129" s="2">
        <f>COUNTIFS(Variables!$M$2:$M$19,IF(T129="NorthBound","&gt;=","&lt;=")&amp;Y129,Variables!$M$2:$M$19,IF(T129="NorthBound","&lt;=","&gt;=")&amp;Z129)</f>
        <v>12</v>
      </c>
      <c r="V129" s="48" t="str">
        <f t="shared" si="68"/>
        <v>https://search-rtdc-monitor-bjffxe2xuh6vdkpspy63sjmuny.us-east-1.es.amazonaws.com/_plugin/kibana/#/discover/Steve-Slow-Train-Analysis-(2080s-and-2083s)?_g=(refreshInterval:(display:Off,section:0,value:0),time:(from:'2016-06-25 18:09:17-0600',mode:absolute,to:'2016-06-25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9" s="48" t="str">
        <f t="shared" si="69"/>
        <v>N</v>
      </c>
      <c r="X129" s="48">
        <f t="shared" si="70"/>
        <v>1</v>
      </c>
      <c r="Y129" s="48">
        <f t="shared" si="71"/>
        <v>4.6600000000000003E-2</v>
      </c>
      <c r="Z129" s="48">
        <f t="shared" si="72"/>
        <v>23.328299999999999</v>
      </c>
      <c r="AA129" s="48">
        <f t="shared" si="73"/>
        <v>23.281699999999997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s="2" customFormat="1" x14ac:dyDescent="0.25">
      <c r="A130" s="43" t="s">
        <v>441</v>
      </c>
      <c r="B130" s="43">
        <v>4043</v>
      </c>
      <c r="C130" s="43" t="s">
        <v>60</v>
      </c>
      <c r="D130" s="43" t="s">
        <v>415</v>
      </c>
      <c r="E130" s="25">
        <v>42546.793020833335</v>
      </c>
      <c r="F130" s="25">
        <v>42546.794259259259</v>
      </c>
      <c r="G130" s="31">
        <v>1</v>
      </c>
      <c r="H130" s="25" t="s">
        <v>76</v>
      </c>
      <c r="I130" s="25">
        <v>42546.825821759259</v>
      </c>
      <c r="J130" s="43">
        <v>0</v>
      </c>
      <c r="K130" s="43" t="str">
        <f t="shared" si="60"/>
        <v>4043/4044</v>
      </c>
      <c r="L130" s="43" t="str">
        <f>VLOOKUP(A130,'Trips&amp;Operators'!$C$1:$E$10000,3,FALSE)</f>
        <v>BRUDER</v>
      </c>
      <c r="M130" s="11">
        <f t="shared" si="61"/>
        <v>3.1562500000291038E-2</v>
      </c>
      <c r="N130" s="12">
        <f t="shared" si="62"/>
        <v>45.450000000419095</v>
      </c>
      <c r="O130" s="12"/>
      <c r="P130" s="12"/>
      <c r="Q130" s="44"/>
      <c r="R130" s="44"/>
      <c r="S130" s="70">
        <f t="shared" si="74"/>
        <v>1</v>
      </c>
      <c r="T130" s="2" t="str">
        <f t="shared" si="63"/>
        <v>Southbound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68"/>
        <v>https://search-rtdc-monitor-bjffxe2xuh6vdkpspy63sjmuny.us-east-1.es.amazonaws.com/_plugin/kibana/#/discover/Steve-Slow-Train-Analysis-(2080s-and-2083s)?_g=(refreshInterval:(display:Off,section:0,value:0),time:(from:'2016-06-25 19:00:57-0600',mode:absolute,to:'2016-06-25 19:50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0" s="48" t="str">
        <f t="shared" si="69"/>
        <v>N</v>
      </c>
      <c r="X130" s="48">
        <f t="shared" si="70"/>
        <v>1</v>
      </c>
      <c r="Y130" s="48">
        <f t="shared" si="71"/>
        <v>23.299099999999999</v>
      </c>
      <c r="Z130" s="48">
        <f t="shared" si="72"/>
        <v>1.49E-2</v>
      </c>
      <c r="AA130" s="48">
        <f t="shared" si="73"/>
        <v>23.284199999999998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s="2" customFormat="1" x14ac:dyDescent="0.25">
      <c r="A131" s="43" t="s">
        <v>442</v>
      </c>
      <c r="B131" s="43">
        <v>4027</v>
      </c>
      <c r="C131" s="43" t="s">
        <v>60</v>
      </c>
      <c r="D131" s="43" t="s">
        <v>73</v>
      </c>
      <c r="E131" s="25">
        <v>42546.768611111111</v>
      </c>
      <c r="F131" s="25">
        <v>42546.770972222221</v>
      </c>
      <c r="G131" s="31">
        <v>3</v>
      </c>
      <c r="H131" s="25" t="s">
        <v>327</v>
      </c>
      <c r="I131" s="25">
        <v>42546.804039351853</v>
      </c>
      <c r="J131" s="43">
        <v>0</v>
      </c>
      <c r="K131" s="43" t="str">
        <f t="shared" si="60"/>
        <v>4027/4028</v>
      </c>
      <c r="L131" s="43" t="str">
        <f>VLOOKUP(A131,'Trips&amp;Operators'!$C$1:$E$10000,3,FALSE)</f>
        <v>CHANDLER</v>
      </c>
      <c r="M131" s="11">
        <f t="shared" si="61"/>
        <v>3.3067129632399883E-2</v>
      </c>
      <c r="N131" s="12">
        <f t="shared" si="62"/>
        <v>47.616666670655832</v>
      </c>
      <c r="O131" s="12"/>
      <c r="P131" s="12"/>
      <c r="Q131" s="44"/>
      <c r="R131" s="44"/>
      <c r="S131" s="70">
        <f t="shared" si="74"/>
        <v>1</v>
      </c>
      <c r="T131" s="2" t="str">
        <f t="shared" si="63"/>
        <v>NorthBound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68"/>
        <v>https://search-rtdc-monitor-bjffxe2xuh6vdkpspy63sjmuny.us-east-1.es.amazonaws.com/_plugin/kibana/#/discover/Steve-Slow-Train-Analysis-(2080s-and-2083s)?_g=(refreshInterval:(display:Off,section:0,value:0),time:(from:'2016-06-25 18:25:48-0600',mode:absolute,to:'2016-06-25 19:18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1" s="48" t="str">
        <f t="shared" si="69"/>
        <v>N</v>
      </c>
      <c r="X131" s="48">
        <f t="shared" si="70"/>
        <v>1</v>
      </c>
      <c r="Y131" s="48">
        <f t="shared" si="71"/>
        <v>4.5699999999999998E-2</v>
      </c>
      <c r="Z131" s="48">
        <f t="shared" si="72"/>
        <v>23.331099999999999</v>
      </c>
      <c r="AA131" s="48">
        <f t="shared" si="73"/>
        <v>23.285399999999999</v>
      </c>
      <c r="AB131" s="49" t="e">
        <f>VLOOKUP(A131,Enforcements!$C$7:$J$32,8,0)</f>
        <v>#N/A</v>
      </c>
      <c r="AC131" s="49" t="e">
        <f>VLOOKUP(A131,Enforcements!$C$7:$E$32,3,0)</f>
        <v>#N/A</v>
      </c>
    </row>
    <row r="132" spans="1:29" s="2" customFormat="1" x14ac:dyDescent="0.25">
      <c r="A132" s="43" t="s">
        <v>443</v>
      </c>
      <c r="B132" s="43">
        <v>4028</v>
      </c>
      <c r="C132" s="43" t="s">
        <v>60</v>
      </c>
      <c r="D132" s="43" t="s">
        <v>71</v>
      </c>
      <c r="E132" s="25">
        <v>42546.806863425925</v>
      </c>
      <c r="F132" s="25">
        <v>42546.807870370372</v>
      </c>
      <c r="G132" s="31">
        <v>1</v>
      </c>
      <c r="H132" s="25" t="s">
        <v>196</v>
      </c>
      <c r="I132" s="25">
        <v>42546.837314814817</v>
      </c>
      <c r="J132" s="43">
        <v>3</v>
      </c>
      <c r="K132" s="43" t="str">
        <f t="shared" si="60"/>
        <v>4027/4028</v>
      </c>
      <c r="L132" s="43" t="str">
        <f>VLOOKUP(A132,'Trips&amp;Operators'!$C$1:$E$10000,3,FALSE)</f>
        <v>CHANDLER</v>
      </c>
      <c r="M132" s="11">
        <f t="shared" si="61"/>
        <v>2.9444444444379769E-2</v>
      </c>
      <c r="N132" s="12">
        <f t="shared" si="62"/>
        <v>42.399999999906868</v>
      </c>
      <c r="O132" s="12"/>
      <c r="P132" s="12"/>
      <c r="Q132" s="44"/>
      <c r="R132" s="44" t="s">
        <v>496</v>
      </c>
      <c r="S132" s="70">
        <f t="shared" si="74"/>
        <v>1</v>
      </c>
      <c r="T132" s="2" t="str">
        <f t="shared" si="63"/>
        <v>Southbound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68"/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2" s="48" t="str">
        <f t="shared" si="69"/>
        <v>N</v>
      </c>
      <c r="X132" s="48">
        <f t="shared" si="70"/>
        <v>1</v>
      </c>
      <c r="Y132" s="48">
        <f t="shared" si="71"/>
        <v>23.297699999999999</v>
      </c>
      <c r="Z132" s="48">
        <f t="shared" si="72"/>
        <v>1.72E-2</v>
      </c>
      <c r="AA132" s="48">
        <f t="shared" si="73"/>
        <v>23.2805</v>
      </c>
      <c r="AB132" s="49">
        <f>VLOOKUP(A132,Enforcements!$C$7:$J$32,8,0)</f>
        <v>63068</v>
      </c>
      <c r="AC132" s="49" t="str">
        <f>VLOOKUP(A132,Enforcements!$C$7:$E$32,3,0)</f>
        <v>GRADE CROSSING</v>
      </c>
    </row>
    <row r="133" spans="1:29" s="2" customFormat="1" x14ac:dyDescent="0.25">
      <c r="A133" s="43" t="s">
        <v>444</v>
      </c>
      <c r="B133" s="43">
        <v>4014</v>
      </c>
      <c r="C133" s="43" t="s">
        <v>60</v>
      </c>
      <c r="D133" s="43" t="s">
        <v>290</v>
      </c>
      <c r="E133" s="25">
        <v>42546.789548611108</v>
      </c>
      <c r="F133" s="25">
        <v>42546.790625000001</v>
      </c>
      <c r="G133" s="31">
        <v>1</v>
      </c>
      <c r="H133" s="25" t="s">
        <v>268</v>
      </c>
      <c r="I133" s="25">
        <v>42546.817858796298</v>
      </c>
      <c r="J133" s="43">
        <v>1</v>
      </c>
      <c r="K133" s="43" t="str">
        <f t="shared" si="60"/>
        <v>4013/4014</v>
      </c>
      <c r="L133" s="43" t="str">
        <f>VLOOKUP(A133,'Trips&amp;Operators'!$C$1:$E$10000,3,FALSE)</f>
        <v>ADANE</v>
      </c>
      <c r="M133" s="11">
        <f t="shared" si="61"/>
        <v>2.7233796296059154E-2</v>
      </c>
      <c r="N133" s="12">
        <f t="shared" si="62"/>
        <v>39.216666666325182</v>
      </c>
      <c r="O133" s="12"/>
      <c r="P133" s="12"/>
      <c r="Q133" s="44"/>
      <c r="R133" s="44"/>
      <c r="S133" s="70">
        <f t="shared" si="74"/>
        <v>1</v>
      </c>
      <c r="T133" s="2" t="str">
        <f t="shared" si="63"/>
        <v>NorthBound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18:55:57-0600',mode:absolute,to:'2016-06-25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3" s="48" t="str">
        <f t="shared" si="65"/>
        <v>N</v>
      </c>
      <c r="X133" s="48">
        <f t="shared" si="66"/>
        <v>1</v>
      </c>
      <c r="Y133" s="48">
        <f t="shared" ref="Y133:Y157" si="75">RIGHT(D133,LEN(D133)-4)/10000</f>
        <v>4.6600000000000003E-2</v>
      </c>
      <c r="Z133" s="48">
        <f t="shared" ref="Z133:Z157" si="76">RIGHT(H133,LEN(H133)-4)/10000</f>
        <v>23.331399999999999</v>
      </c>
      <c r="AA133" s="48">
        <f t="shared" si="67"/>
        <v>23.284799999999997</v>
      </c>
      <c r="AB133" s="49">
        <f>VLOOKUP(A133,Enforcements!$C$7:$J$32,8,0)</f>
        <v>27333</v>
      </c>
      <c r="AC133" s="49" t="str">
        <f>VLOOKUP(A133,Enforcements!$C$7:$E$32,3,0)</f>
        <v>PERMANENT SPEED RESTRICTION</v>
      </c>
    </row>
    <row r="134" spans="1:29" s="2" customFormat="1" x14ac:dyDescent="0.25">
      <c r="A134" s="43" t="s">
        <v>445</v>
      </c>
      <c r="B134" s="43">
        <v>4013</v>
      </c>
      <c r="C134" s="43" t="s">
        <v>60</v>
      </c>
      <c r="D134" s="43" t="s">
        <v>288</v>
      </c>
      <c r="E134" s="25">
        <v>42546.828888888886</v>
      </c>
      <c r="F134" s="25">
        <v>42546.830034722225</v>
      </c>
      <c r="G134" s="31">
        <v>1</v>
      </c>
      <c r="H134" s="25" t="s">
        <v>182</v>
      </c>
      <c r="I134" s="25">
        <v>42546.856689814813</v>
      </c>
      <c r="J134" s="43">
        <v>1</v>
      </c>
      <c r="K134" s="43" t="str">
        <f t="shared" ref="K134:K157" si="77">IF(ISEVEN(B134),(B134-1)&amp;"/"&amp;B134,B134&amp;"/"&amp;(B134+1))</f>
        <v>4013/4014</v>
      </c>
      <c r="L134" s="43" t="str">
        <f>VLOOKUP(A134,'Trips&amp;Operators'!$C$1:$E$10000,3,FALSE)</f>
        <v>ADANE</v>
      </c>
      <c r="M134" s="11">
        <f t="shared" ref="M134:M157" si="78">I134-F134</f>
        <v>2.6655092588043772E-2</v>
      </c>
      <c r="N134" s="12">
        <f t="shared" ref="N134:N157" si="79">24*60*SUM($M134:$M134)</f>
        <v>38.383333326783031</v>
      </c>
      <c r="O134" s="12"/>
      <c r="P134" s="12"/>
      <c r="Q134" s="44"/>
      <c r="R134" s="44"/>
      <c r="S134" s="70">
        <f t="shared" si="74"/>
        <v>1</v>
      </c>
      <c r="T134" s="2" t="str">
        <f t="shared" ref="T134:T157" si="80">IF(ISEVEN(LEFT(A134,3)),"Southbound","NorthBound")</f>
        <v>Southbound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ref="V134:V157" si="81"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https://search-rtdc-monitor-bjffxe2xuh6vdkpspy63sjmuny.us-east-1.es.amazonaws.com/_plugin/kibana/#/discover/Steve-Slow-Train-Analysis-(2080s-and-2083s)?_g=(refreshInterval:(display:Off,section:0,value:0),time:(from:'2016-06-25 19:52:36-0600',mode:absolute,to:'2016-06-25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4" s="48" t="str">
        <f t="shared" ref="W134:W157" si="82">IF(AA134&lt;23,"Y","N")</f>
        <v>N</v>
      </c>
      <c r="X134" s="48">
        <f t="shared" si="66"/>
        <v>1</v>
      </c>
      <c r="Y134" s="48">
        <f t="shared" si="75"/>
        <v>23.299299999999999</v>
      </c>
      <c r="Z134" s="48">
        <f t="shared" si="76"/>
        <v>1.3599999999999999E-2</v>
      </c>
      <c r="AA134" s="48">
        <f t="shared" ref="AA134:AA157" si="83">ABS(Z134-Y134)</f>
        <v>23.285699999999999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s="2" customFormat="1" x14ac:dyDescent="0.25">
      <c r="A135" s="43" t="s">
        <v>446</v>
      </c>
      <c r="B135" s="43">
        <v>4042</v>
      </c>
      <c r="C135" s="43" t="s">
        <v>60</v>
      </c>
      <c r="D135" s="43" t="s">
        <v>102</v>
      </c>
      <c r="E135" s="25">
        <v>42546.807395833333</v>
      </c>
      <c r="F135" s="25">
        <v>42546.808321759258</v>
      </c>
      <c r="G135" s="31">
        <v>1</v>
      </c>
      <c r="H135" s="25" t="s">
        <v>198</v>
      </c>
      <c r="I135" s="25">
        <v>42546.838391203702</v>
      </c>
      <c r="J135" s="43">
        <v>0</v>
      </c>
      <c r="K135" s="43" t="str">
        <f t="shared" si="77"/>
        <v>4041/4042</v>
      </c>
      <c r="L135" s="43" t="str">
        <f>VLOOKUP(A135,'Trips&amp;Operators'!$C$1:$E$10000,3,FALSE)</f>
        <v>LEVERE</v>
      </c>
      <c r="M135" s="11">
        <f t="shared" si="78"/>
        <v>3.0069444444961846E-2</v>
      </c>
      <c r="N135" s="12">
        <f t="shared" si="79"/>
        <v>43.300000000745058</v>
      </c>
      <c r="O135" s="12"/>
      <c r="P135" s="12"/>
      <c r="Q135" s="44"/>
      <c r="R135" s="44"/>
      <c r="S135" s="70">
        <f t="shared" si="74"/>
        <v>1</v>
      </c>
      <c r="T135" s="2" t="str">
        <f t="shared" si="80"/>
        <v>NorthBound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19:21:39-0600',mode:absolute,to:'2016-06-25 20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5" s="48" t="str">
        <f t="shared" si="82"/>
        <v>N</v>
      </c>
      <c r="X135" s="48">
        <f t="shared" si="66"/>
        <v>1</v>
      </c>
      <c r="Y135" s="48">
        <f t="shared" si="75"/>
        <v>4.4699999999999997E-2</v>
      </c>
      <c r="Z135" s="48">
        <f t="shared" si="76"/>
        <v>23.328399999999998</v>
      </c>
      <c r="AA135" s="48">
        <f t="shared" si="83"/>
        <v>23.2837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s="2" customFormat="1" x14ac:dyDescent="0.25">
      <c r="A136" s="43" t="s">
        <v>447</v>
      </c>
      <c r="B136" s="43">
        <v>4041</v>
      </c>
      <c r="C136" s="43" t="s">
        <v>60</v>
      </c>
      <c r="D136" s="43" t="s">
        <v>448</v>
      </c>
      <c r="E136" s="25">
        <v>42546.842847222222</v>
      </c>
      <c r="F136" s="25">
        <v>42546.843923611108</v>
      </c>
      <c r="G136" s="25">
        <v>1</v>
      </c>
      <c r="H136" s="25" t="s">
        <v>68</v>
      </c>
      <c r="I136" s="25">
        <v>42546.879131944443</v>
      </c>
      <c r="J136" s="43">
        <v>1</v>
      </c>
      <c r="K136" s="43" t="str">
        <f t="shared" si="77"/>
        <v>4041/4042</v>
      </c>
      <c r="L136" s="43" t="str">
        <f>VLOOKUP(A136,'Trips&amp;Operators'!$C$1:$E$10000,3,FALSE)</f>
        <v>LEVERE</v>
      </c>
      <c r="M136" s="11">
        <f t="shared" si="78"/>
        <v>3.5208333334594499E-2</v>
      </c>
      <c r="N136" s="12">
        <f t="shared" si="79"/>
        <v>50.700000001816079</v>
      </c>
      <c r="O136" s="12"/>
      <c r="P136" s="12"/>
      <c r="Q136" s="44"/>
      <c r="R136" s="44"/>
      <c r="S136" s="70">
        <f t="shared" si="74"/>
        <v>1</v>
      </c>
      <c r="T136" s="2" t="str">
        <f t="shared" si="80"/>
        <v>Southbound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20:12:42-0600',mode:absolute,to:'2016-06-25 21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6" s="48" t="str">
        <f t="shared" si="82"/>
        <v>N</v>
      </c>
      <c r="X136" s="48">
        <f t="shared" si="66"/>
        <v>1</v>
      </c>
      <c r="Y136" s="48">
        <f t="shared" si="75"/>
        <v>23.296700000000001</v>
      </c>
      <c r="Z136" s="48">
        <f t="shared" si="76"/>
        <v>1.6E-2</v>
      </c>
      <c r="AA136" s="48">
        <f t="shared" si="83"/>
        <v>23.280700000000003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s="2" customFormat="1" x14ac:dyDescent="0.25">
      <c r="A137" s="43" t="s">
        <v>449</v>
      </c>
      <c r="B137" s="43">
        <v>4044</v>
      </c>
      <c r="C137" s="43" t="s">
        <v>60</v>
      </c>
      <c r="D137" s="43" t="s">
        <v>83</v>
      </c>
      <c r="E137" s="25">
        <v>42546.827615740738</v>
      </c>
      <c r="F137" s="25">
        <v>42546.828703703701</v>
      </c>
      <c r="G137" s="25">
        <v>1</v>
      </c>
      <c r="H137" s="25" t="s">
        <v>118</v>
      </c>
      <c r="I137" s="25">
        <v>42546.864918981482</v>
      </c>
      <c r="J137" s="43">
        <v>0</v>
      </c>
      <c r="K137" s="43" t="str">
        <f t="shared" si="77"/>
        <v>4043/4044</v>
      </c>
      <c r="L137" s="43" t="str">
        <f>VLOOKUP(A137,'Trips&amp;Operators'!$C$1:$E$10000,3,FALSE)</f>
        <v>BRUDER</v>
      </c>
      <c r="M137" s="11">
        <f t="shared" si="78"/>
        <v>3.6215277781593613E-2</v>
      </c>
      <c r="N137" s="12">
        <f t="shared" si="79"/>
        <v>52.150000005494803</v>
      </c>
      <c r="O137" s="12"/>
      <c r="P137" s="12"/>
      <c r="Q137" s="44"/>
      <c r="R137" s="44"/>
      <c r="S137" s="70">
        <f t="shared" si="74"/>
        <v>1</v>
      </c>
      <c r="T137" s="2" t="str">
        <f t="shared" si="80"/>
        <v>NorthBound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19:50:46-0600',mode:absolute,to:'2016-06-25 20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7" s="48" t="str">
        <f t="shared" si="82"/>
        <v>N</v>
      </c>
      <c r="X137" s="48">
        <f t="shared" si="66"/>
        <v>1</v>
      </c>
      <c r="Y137" s="48">
        <f t="shared" si="75"/>
        <v>4.58E-2</v>
      </c>
      <c r="Z137" s="48">
        <f t="shared" si="76"/>
        <v>23.3307</v>
      </c>
      <c r="AA137" s="48">
        <f t="shared" si="83"/>
        <v>23.2849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s="2" customFormat="1" x14ac:dyDescent="0.25">
      <c r="A138" s="43" t="s">
        <v>450</v>
      </c>
      <c r="B138" s="43">
        <v>4043</v>
      </c>
      <c r="C138" s="43" t="s">
        <v>60</v>
      </c>
      <c r="D138" s="43" t="s">
        <v>214</v>
      </c>
      <c r="E138" s="25">
        <v>42546.866770833331</v>
      </c>
      <c r="F138" s="25">
        <v>42546.868634259263</v>
      </c>
      <c r="G138" s="25">
        <v>2</v>
      </c>
      <c r="H138" s="25" t="s">
        <v>62</v>
      </c>
      <c r="I138" s="25">
        <v>42546.899456018517</v>
      </c>
      <c r="J138" s="43">
        <v>0</v>
      </c>
      <c r="K138" s="43" t="str">
        <f t="shared" si="77"/>
        <v>4043/4044</v>
      </c>
      <c r="L138" s="43" t="str">
        <f>VLOOKUP(A138,'Trips&amp;Operators'!$C$1:$E$10000,3,FALSE)</f>
        <v>BRUDER</v>
      </c>
      <c r="M138" s="11">
        <f t="shared" si="78"/>
        <v>3.0821759253740311E-2</v>
      </c>
      <c r="N138" s="12">
        <f t="shared" si="79"/>
        <v>44.383333325386047</v>
      </c>
      <c r="O138" s="12"/>
      <c r="P138" s="12"/>
      <c r="Q138" s="44"/>
      <c r="R138" s="44"/>
      <c r="S138" s="70">
        <f t="shared" si="74"/>
        <v>1</v>
      </c>
      <c r="T138" s="2" t="str">
        <f t="shared" si="80"/>
        <v>Southbound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20:47:09-0600',mode:absolute,to:'2016-06-25 21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8" s="48" t="str">
        <f t="shared" si="82"/>
        <v>N</v>
      </c>
      <c r="X138" s="48">
        <f t="shared" si="66"/>
        <v>1</v>
      </c>
      <c r="Y138" s="48">
        <f t="shared" si="75"/>
        <v>23.298400000000001</v>
      </c>
      <c r="Z138" s="48">
        <f t="shared" si="76"/>
        <v>1.52E-2</v>
      </c>
      <c r="AA138" s="48">
        <f t="shared" si="83"/>
        <v>23.283200000000001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s="2" customFormat="1" x14ac:dyDescent="0.25">
      <c r="A139" s="43" t="s">
        <v>451</v>
      </c>
      <c r="B139" s="43">
        <v>4027</v>
      </c>
      <c r="C139" s="43" t="s">
        <v>60</v>
      </c>
      <c r="D139" s="43" t="s">
        <v>87</v>
      </c>
      <c r="E139" s="25">
        <v>42546.850462962961</v>
      </c>
      <c r="F139" s="25">
        <v>42546.852060185185</v>
      </c>
      <c r="G139" s="25">
        <v>2</v>
      </c>
      <c r="H139" s="25" t="s">
        <v>173</v>
      </c>
      <c r="I139" s="25">
        <v>42546.880879629629</v>
      </c>
      <c r="J139" s="43">
        <v>0</v>
      </c>
      <c r="K139" s="43" t="str">
        <f t="shared" si="77"/>
        <v>4027/4028</v>
      </c>
      <c r="L139" s="43" t="str">
        <f>VLOOKUP(A139,'Trips&amp;Operators'!$C$1:$E$10000,3,FALSE)</f>
        <v>CHANDLER</v>
      </c>
      <c r="M139" s="11">
        <f t="shared" si="78"/>
        <v>2.8819444443797693E-2</v>
      </c>
      <c r="N139" s="12">
        <f t="shared" si="79"/>
        <v>41.499999999068677</v>
      </c>
      <c r="O139" s="12"/>
      <c r="P139" s="12"/>
      <c r="Q139" s="44"/>
      <c r="R139" s="44"/>
      <c r="S139" s="70">
        <f t="shared" si="74"/>
        <v>1</v>
      </c>
      <c r="T139" s="2" t="str">
        <f t="shared" si="80"/>
        <v>NorthBound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20:23:40-0600',mode:absolute,to:'2016-06-25 21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9" s="48" t="str">
        <f t="shared" si="82"/>
        <v>N</v>
      </c>
      <c r="X139" s="48">
        <f t="shared" si="66"/>
        <v>1</v>
      </c>
      <c r="Y139" s="48">
        <f t="shared" si="75"/>
        <v>4.6399999999999997E-2</v>
      </c>
      <c r="Z139" s="48">
        <f t="shared" si="76"/>
        <v>23.33</v>
      </c>
      <c r="AA139" s="48">
        <f t="shared" si="83"/>
        <v>23.2836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s="2" customFormat="1" x14ac:dyDescent="0.25">
      <c r="A140" s="43" t="s">
        <v>452</v>
      </c>
      <c r="B140" s="43">
        <v>4014</v>
      </c>
      <c r="C140" s="43" t="s">
        <v>60</v>
      </c>
      <c r="D140" s="43" t="s">
        <v>114</v>
      </c>
      <c r="E140" s="25">
        <v>42546.87091435185</v>
      </c>
      <c r="F140" s="25">
        <v>42546.871863425928</v>
      </c>
      <c r="G140" s="25">
        <v>1</v>
      </c>
      <c r="H140" s="25" t="s">
        <v>101</v>
      </c>
      <c r="I140" s="25">
        <v>42546.90047453704</v>
      </c>
      <c r="J140" s="43">
        <v>0</v>
      </c>
      <c r="K140" s="43" t="str">
        <f t="shared" si="77"/>
        <v>4013/4014</v>
      </c>
      <c r="L140" s="43" t="str">
        <f>VLOOKUP(A140,'Trips&amp;Operators'!$C$1:$E$10000,3,FALSE)</f>
        <v>ADANE</v>
      </c>
      <c r="M140" s="11">
        <f t="shared" si="78"/>
        <v>2.8611111112695653E-2</v>
      </c>
      <c r="N140" s="12">
        <f t="shared" si="79"/>
        <v>41.20000000228174</v>
      </c>
      <c r="O140" s="12"/>
      <c r="P140" s="12"/>
      <c r="Q140" s="44"/>
      <c r="R140" s="44"/>
      <c r="S140" s="70">
        <f t="shared" si="74"/>
        <v>1</v>
      </c>
      <c r="T140" s="2" t="str">
        <f t="shared" si="80"/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20:53:07-0600',mode:absolute,to:'2016-06-25 21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0" s="48" t="str">
        <f t="shared" si="82"/>
        <v>N</v>
      </c>
      <c r="X140" s="48">
        <f t="shared" si="66"/>
        <v>2</v>
      </c>
      <c r="Y140" s="48">
        <f t="shared" si="75"/>
        <v>4.6699999999999998E-2</v>
      </c>
      <c r="Z140" s="48">
        <f t="shared" si="76"/>
        <v>23.329499999999999</v>
      </c>
      <c r="AA140" s="48">
        <f t="shared" si="83"/>
        <v>23.282799999999998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s="2" customFormat="1" x14ac:dyDescent="0.25">
      <c r="A141" s="43" t="s">
        <v>453</v>
      </c>
      <c r="B141" s="43">
        <v>4013</v>
      </c>
      <c r="C141" s="43" t="s">
        <v>60</v>
      </c>
      <c r="D141" s="43" t="s">
        <v>86</v>
      </c>
      <c r="E141" s="25">
        <v>42546.910949074074</v>
      </c>
      <c r="F141" s="25">
        <v>42546.9141087963</v>
      </c>
      <c r="G141" s="25">
        <v>4</v>
      </c>
      <c r="H141" s="25" t="s">
        <v>285</v>
      </c>
      <c r="I141" s="25">
        <v>42546.941006944442</v>
      </c>
      <c r="J141" s="43">
        <v>0</v>
      </c>
      <c r="K141" s="43" t="str">
        <f t="shared" si="77"/>
        <v>4013/4014</v>
      </c>
      <c r="L141" s="43" t="str">
        <f>VLOOKUP(A141,'Trips&amp;Operators'!$C$1:$E$10000,3,FALSE)</f>
        <v>ADANE</v>
      </c>
      <c r="M141" s="11">
        <f t="shared" si="78"/>
        <v>2.6898148142208811E-2</v>
      </c>
      <c r="N141" s="12">
        <f t="shared" si="79"/>
        <v>38.733333324780688</v>
      </c>
      <c r="O141" s="12"/>
      <c r="P141" s="12"/>
      <c r="Q141" s="44"/>
      <c r="R141" s="44"/>
      <c r="S141" s="70">
        <f t="shared" si="74"/>
        <v>1</v>
      </c>
      <c r="T141" s="2" t="str">
        <f t="shared" si="80"/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21:50:46-0600',mode:absolute,to:'2016-06-25 22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1" s="48" t="str">
        <f t="shared" si="82"/>
        <v>N</v>
      </c>
      <c r="X141" s="48">
        <f t="shared" si="66"/>
        <v>1</v>
      </c>
      <c r="Y141" s="48">
        <f t="shared" si="75"/>
        <v>23.297499999999999</v>
      </c>
      <c r="Z141" s="48">
        <f t="shared" si="76"/>
        <v>1.38E-2</v>
      </c>
      <c r="AA141" s="48">
        <f t="shared" si="83"/>
        <v>23.2837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s="2" customFormat="1" x14ac:dyDescent="0.25">
      <c r="A142" s="43" t="s">
        <v>454</v>
      </c>
      <c r="B142" s="43">
        <v>4042</v>
      </c>
      <c r="C142" s="43" t="s">
        <v>60</v>
      </c>
      <c r="D142" s="43" t="s">
        <v>213</v>
      </c>
      <c r="E142" s="25">
        <v>42546.889085648145</v>
      </c>
      <c r="F142" s="25">
        <v>42546.889826388891</v>
      </c>
      <c r="G142" s="25">
        <v>1</v>
      </c>
      <c r="H142" s="25" t="s">
        <v>215</v>
      </c>
      <c r="I142" s="25">
        <v>42546.922592592593</v>
      </c>
      <c r="J142" s="43">
        <v>0</v>
      </c>
      <c r="K142" s="43" t="str">
        <f t="shared" si="77"/>
        <v>4041/4042</v>
      </c>
      <c r="L142" s="43" t="str">
        <f>VLOOKUP(A142,'Trips&amp;Operators'!$C$1:$E$10000,3,FALSE)</f>
        <v>LEVERE</v>
      </c>
      <c r="M142" s="11">
        <f t="shared" si="78"/>
        <v>3.276620370161254E-2</v>
      </c>
      <c r="N142" s="12">
        <f t="shared" si="79"/>
        <v>47.183333330322057</v>
      </c>
      <c r="O142" s="12"/>
      <c r="P142" s="12"/>
      <c r="Q142" s="44"/>
      <c r="R142" s="44"/>
      <c r="S142" s="70">
        <f t="shared" si="74"/>
        <v>1</v>
      </c>
      <c r="T142" s="2" t="str">
        <f t="shared" si="80"/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21:19:17-0600',mode:absolute,to:'2016-06-25 22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2" s="48" t="str">
        <f t="shared" si="82"/>
        <v>N</v>
      </c>
      <c r="X142" s="48">
        <f t="shared" si="66"/>
        <v>1</v>
      </c>
      <c r="Y142" s="48">
        <f t="shared" si="75"/>
        <v>4.7800000000000002E-2</v>
      </c>
      <c r="Z142" s="48">
        <f t="shared" si="76"/>
        <v>23.3276</v>
      </c>
      <c r="AA142" s="48">
        <f t="shared" si="83"/>
        <v>23.279800000000002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s="2" customFormat="1" x14ac:dyDescent="0.25">
      <c r="A143" s="43" t="s">
        <v>455</v>
      </c>
      <c r="B143" s="43">
        <v>4041</v>
      </c>
      <c r="C143" s="43" t="s">
        <v>60</v>
      </c>
      <c r="D143" s="43" t="s">
        <v>456</v>
      </c>
      <c r="E143" s="25">
        <v>42546.929050925923</v>
      </c>
      <c r="F143" s="25">
        <v>42546.930150462962</v>
      </c>
      <c r="G143" s="25">
        <v>1</v>
      </c>
      <c r="H143" s="25" t="s">
        <v>457</v>
      </c>
      <c r="I143" s="25">
        <v>42546.964201388888</v>
      </c>
      <c r="J143" s="43">
        <v>1</v>
      </c>
      <c r="K143" s="43" t="str">
        <f t="shared" si="77"/>
        <v>4041/4042</v>
      </c>
      <c r="L143" s="43" t="str">
        <f>VLOOKUP(A143,'Trips&amp;Operators'!$C$1:$E$10000,3,FALSE)</f>
        <v>LEVERE</v>
      </c>
      <c r="M143" s="11">
        <f t="shared" si="78"/>
        <v>3.4050925925839692E-2</v>
      </c>
      <c r="N143" s="12">
        <f t="shared" si="79"/>
        <v>49.033333333209157</v>
      </c>
      <c r="O143" s="12"/>
      <c r="P143" s="12"/>
      <c r="Q143" s="44"/>
      <c r="R143" s="44"/>
      <c r="S143" s="70">
        <f t="shared" si="74"/>
        <v>1</v>
      </c>
      <c r="T143" s="2" t="str">
        <f t="shared" si="80"/>
        <v>Southbound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22:16:50-0600',mode:absolute,to:'2016-06-25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3" s="48" t="str">
        <f t="shared" si="82"/>
        <v>N</v>
      </c>
      <c r="X143" s="48">
        <f t="shared" si="66"/>
        <v>1</v>
      </c>
      <c r="Y143" s="48">
        <f t="shared" si="75"/>
        <v>23.295999999999999</v>
      </c>
      <c r="Z143" s="48">
        <f t="shared" si="76"/>
        <v>1.7399999999999999E-2</v>
      </c>
      <c r="AA143" s="48">
        <f t="shared" si="83"/>
        <v>23.278600000000001</v>
      </c>
      <c r="AB143" s="49" t="e">
        <f>VLOOKUP(A143,Enforcements!$C$7:$J$32,8,0)</f>
        <v>#N/A</v>
      </c>
      <c r="AC143" s="49" t="e">
        <f>VLOOKUP(A143,Enforcements!$C$7:$E$32,3,0)</f>
        <v>#N/A</v>
      </c>
    </row>
    <row r="144" spans="1:29" s="2" customFormat="1" x14ac:dyDescent="0.25">
      <c r="A144" s="43" t="s">
        <v>458</v>
      </c>
      <c r="B144" s="43">
        <v>4044</v>
      </c>
      <c r="C144" s="43" t="s">
        <v>60</v>
      </c>
      <c r="D144" s="43" t="s">
        <v>69</v>
      </c>
      <c r="E144" s="25">
        <v>42546.908622685187</v>
      </c>
      <c r="F144" s="25">
        <v>42546.909918981481</v>
      </c>
      <c r="G144" s="25">
        <v>1</v>
      </c>
      <c r="H144" s="25" t="s">
        <v>459</v>
      </c>
      <c r="I144" s="25">
        <v>42546.944525462961</v>
      </c>
      <c r="J144" s="43">
        <v>1</v>
      </c>
      <c r="K144" s="43" t="str">
        <f t="shared" si="77"/>
        <v>4043/4044</v>
      </c>
      <c r="L144" s="43" t="str">
        <f>VLOOKUP(A144,'Trips&amp;Operators'!$C$1:$E$10000,3,FALSE)</f>
        <v>BRUDER</v>
      </c>
      <c r="M144" s="11">
        <f t="shared" si="78"/>
        <v>3.460648148029577E-2</v>
      </c>
      <c r="N144" s="12">
        <f t="shared" si="79"/>
        <v>49.833333331625909</v>
      </c>
      <c r="O144" s="12"/>
      <c r="P144" s="12"/>
      <c r="Q144" s="44"/>
      <c r="R144" s="44" t="s">
        <v>495</v>
      </c>
      <c r="S144" s="70">
        <f t="shared" si="74"/>
        <v>1</v>
      </c>
      <c r="T144" s="2" t="str">
        <f t="shared" si="80"/>
        <v>NorthBound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21:47:25-0600',mode:absolute,to:'2016-06-25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4" s="48" t="str">
        <f t="shared" si="82"/>
        <v>N</v>
      </c>
      <c r="X144" s="48">
        <f t="shared" si="66"/>
        <v>1</v>
      </c>
      <c r="Y144" s="48">
        <f t="shared" si="75"/>
        <v>4.5999999999999999E-2</v>
      </c>
      <c r="Z144" s="48">
        <f t="shared" si="76"/>
        <v>23.327200000000001</v>
      </c>
      <c r="AA144" s="48">
        <f t="shared" si="83"/>
        <v>23.281200000000002</v>
      </c>
      <c r="AB144" s="49">
        <f>VLOOKUP(A144,Enforcements!$C$7:$J$32,8,0)</f>
        <v>110617</v>
      </c>
      <c r="AC144" s="49" t="str">
        <f>VLOOKUP(A144,Enforcements!$C$7:$E$32,3,0)</f>
        <v>EQUIPMENT RESTRICTION</v>
      </c>
    </row>
    <row r="145" spans="1:29" s="2" customFormat="1" x14ac:dyDescent="0.25">
      <c r="A145" s="43" t="s">
        <v>460</v>
      </c>
      <c r="B145" s="43">
        <v>4043</v>
      </c>
      <c r="C145" s="43" t="s">
        <v>60</v>
      </c>
      <c r="D145" s="43" t="s">
        <v>141</v>
      </c>
      <c r="E145" s="25">
        <v>42546.950937499998</v>
      </c>
      <c r="F145" s="25">
        <v>42546.951828703706</v>
      </c>
      <c r="G145" s="25">
        <v>1</v>
      </c>
      <c r="H145" s="25" t="s">
        <v>461</v>
      </c>
      <c r="I145" s="25">
        <v>42546.982430555552</v>
      </c>
      <c r="J145" s="43">
        <v>1</v>
      </c>
      <c r="K145" s="43" t="str">
        <f t="shared" si="77"/>
        <v>4043/4044</v>
      </c>
      <c r="L145" s="43" t="str">
        <f>VLOOKUP(A145,'Trips&amp;Operators'!$C$1:$E$10000,3,FALSE)</f>
        <v>BRUDER</v>
      </c>
      <c r="M145" s="11">
        <f t="shared" si="78"/>
        <v>3.0601851845858619E-2</v>
      </c>
      <c r="N145" s="12">
        <f t="shared" si="79"/>
        <v>44.066666658036411</v>
      </c>
      <c r="O145" s="12"/>
      <c r="P145" s="12"/>
      <c r="Q145" s="44"/>
      <c r="R145" s="44"/>
      <c r="S145" s="70">
        <f t="shared" si="74"/>
        <v>1</v>
      </c>
      <c r="T145" s="2" t="str">
        <f t="shared" si="80"/>
        <v>Southbound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22:48:21-0600',mode:absolute,to:'2016-06-25 23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5" s="48" t="str">
        <f t="shared" si="82"/>
        <v>N</v>
      </c>
      <c r="X145" s="48">
        <f t="shared" ref="X145:X151" si="84">VALUE(LEFT(A145,3))-VALUE(LEFT(A144,3))</f>
        <v>1</v>
      </c>
      <c r="Y145" s="48">
        <f t="shared" ref="Y145:Y151" si="85">RIGHT(D145,LEN(D145)-4)/10000</f>
        <v>23.298200000000001</v>
      </c>
      <c r="Z145" s="48">
        <f t="shared" ref="Z145:Z151" si="86">RIGHT(H145,LEN(H145)-4)/10000</f>
        <v>2.1100000000000001E-2</v>
      </c>
      <c r="AA145" s="48">
        <f t="shared" ref="AA145:AA151" si="87">ABS(Z145-Y145)</f>
        <v>23.277100000000001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s="2" customFormat="1" x14ac:dyDescent="0.25">
      <c r="A146" s="43" t="s">
        <v>462</v>
      </c>
      <c r="B146" s="43">
        <v>4027</v>
      </c>
      <c r="C146" s="43" t="s">
        <v>60</v>
      </c>
      <c r="D146" s="43" t="s">
        <v>161</v>
      </c>
      <c r="E146" s="25">
        <v>42546.934733796297</v>
      </c>
      <c r="F146" s="25">
        <v>42546.935833333337</v>
      </c>
      <c r="G146" s="25">
        <v>1</v>
      </c>
      <c r="H146" s="25" t="s">
        <v>101</v>
      </c>
      <c r="I146" s="25">
        <v>42546.963784722226</v>
      </c>
      <c r="J146" s="43">
        <v>0</v>
      </c>
      <c r="K146" s="43" t="str">
        <f t="shared" si="77"/>
        <v>4027/4028</v>
      </c>
      <c r="L146" s="43" t="str">
        <f>VLOOKUP(A146,'Trips&amp;Operators'!$C$1:$E$10000,3,FALSE)</f>
        <v>CHANDLER</v>
      </c>
      <c r="M146" s="11">
        <f t="shared" si="78"/>
        <v>2.7951388889050577E-2</v>
      </c>
      <c r="N146" s="12">
        <f t="shared" si="79"/>
        <v>40.250000000232831</v>
      </c>
      <c r="O146" s="12"/>
      <c r="P146" s="12"/>
      <c r="Q146" s="44"/>
      <c r="R146" s="44"/>
      <c r="S146" s="70">
        <f t="shared" si="74"/>
        <v>1</v>
      </c>
      <c r="T146" s="2" t="str">
        <f t="shared" si="80"/>
        <v>NorthBound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22:25:01-0600',mode:absolute,to:'2016-06-25 23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6" s="48" t="str">
        <f t="shared" si="82"/>
        <v>N</v>
      </c>
      <c r="X146" s="48">
        <f t="shared" si="84"/>
        <v>1</v>
      </c>
      <c r="Y146" s="48">
        <f t="shared" si="85"/>
        <v>4.9299999999999997E-2</v>
      </c>
      <c r="Z146" s="48">
        <f t="shared" si="86"/>
        <v>23.329499999999999</v>
      </c>
      <c r="AA146" s="48">
        <f t="shared" si="87"/>
        <v>23.280200000000001</v>
      </c>
      <c r="AB146" s="49" t="e">
        <f>VLOOKUP(A146,Enforcements!$C$7:$J$32,8,0)</f>
        <v>#N/A</v>
      </c>
      <c r="AC146" s="49" t="e">
        <f>VLOOKUP(A146,Enforcements!$C$7:$E$32,3,0)</f>
        <v>#N/A</v>
      </c>
    </row>
    <row r="147" spans="1:29" s="2" customFormat="1" x14ac:dyDescent="0.25">
      <c r="A147" s="43" t="s">
        <v>463</v>
      </c>
      <c r="B147" s="43">
        <v>4028</v>
      </c>
      <c r="C147" s="43" t="s">
        <v>60</v>
      </c>
      <c r="D147" s="43" t="s">
        <v>216</v>
      </c>
      <c r="E147" s="25">
        <v>42546.97383101852</v>
      </c>
      <c r="F147" s="25">
        <v>42546.975324074076</v>
      </c>
      <c r="G147" s="25">
        <v>2</v>
      </c>
      <c r="H147" s="25" t="s">
        <v>95</v>
      </c>
      <c r="I147" s="25">
        <v>42547.004490740743</v>
      </c>
      <c r="J147" s="43">
        <v>0</v>
      </c>
      <c r="K147" s="43" t="str">
        <f t="shared" si="77"/>
        <v>4027/4028</v>
      </c>
      <c r="L147" s="43" t="str">
        <f>VLOOKUP(A147,'Trips&amp;Operators'!$C$1:$E$10000,3,FALSE)</f>
        <v>CHANDLER</v>
      </c>
      <c r="M147" s="11">
        <f t="shared" si="78"/>
        <v>2.9166666667151731E-2</v>
      </c>
      <c r="N147" s="12">
        <f t="shared" si="79"/>
        <v>42.000000000698492</v>
      </c>
      <c r="O147" s="12"/>
      <c r="P147" s="12"/>
      <c r="Q147" s="44"/>
      <c r="R147" s="44"/>
      <c r="S147" s="70">
        <f t="shared" si="74"/>
        <v>1</v>
      </c>
      <c r="T147" s="2" t="str">
        <f t="shared" si="80"/>
        <v>Southbound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23:21:19-0600',mode:absolute,to:'2016-06-26 00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7" s="48" t="str">
        <f t="shared" si="82"/>
        <v>N</v>
      </c>
      <c r="X147" s="48">
        <f t="shared" si="84"/>
        <v>1</v>
      </c>
      <c r="Y147" s="48">
        <f t="shared" si="85"/>
        <v>23.299399999999999</v>
      </c>
      <c r="Z147" s="48">
        <f t="shared" si="86"/>
        <v>1.61E-2</v>
      </c>
      <c r="AA147" s="48">
        <f t="shared" si="87"/>
        <v>23.283299999999997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s="2" customFormat="1" x14ac:dyDescent="0.25">
      <c r="A148" s="43" t="s">
        <v>464</v>
      </c>
      <c r="B148" s="43">
        <v>4014</v>
      </c>
      <c r="C148" s="43" t="s">
        <v>60</v>
      </c>
      <c r="D148" s="43" t="s">
        <v>69</v>
      </c>
      <c r="E148" s="25">
        <v>42546.955925925926</v>
      </c>
      <c r="F148" s="25">
        <v>42546.956666666665</v>
      </c>
      <c r="G148" s="25">
        <v>1</v>
      </c>
      <c r="H148" s="25" t="s">
        <v>185</v>
      </c>
      <c r="I148" s="25">
        <v>42546.983506944445</v>
      </c>
      <c r="J148" s="43">
        <v>0</v>
      </c>
      <c r="K148" s="43" t="str">
        <f t="shared" si="77"/>
        <v>4013/4014</v>
      </c>
      <c r="L148" s="43" t="str">
        <f>VLOOKUP(A148,'Trips&amp;Operators'!$C$1:$E$10000,3,FALSE)</f>
        <v>ADANE</v>
      </c>
      <c r="M148" s="11">
        <f t="shared" si="78"/>
        <v>2.6840277780138422E-2</v>
      </c>
      <c r="N148" s="12">
        <f t="shared" si="79"/>
        <v>38.650000003399327</v>
      </c>
      <c r="O148" s="12"/>
      <c r="P148" s="12"/>
      <c r="Q148" s="44"/>
      <c r="R148" s="44"/>
      <c r="S148" s="70">
        <f t="shared" si="74"/>
        <v>1</v>
      </c>
      <c r="T148" s="2" t="str">
        <f t="shared" si="80"/>
        <v>NorthBound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22:55:32-0600',mode:absolute,to:'2016-06-25 23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8" s="48" t="str">
        <f t="shared" si="82"/>
        <v>N</v>
      </c>
      <c r="X148" s="48">
        <f t="shared" si="84"/>
        <v>1</v>
      </c>
      <c r="Y148" s="48">
        <f t="shared" si="85"/>
        <v>4.5999999999999999E-2</v>
      </c>
      <c r="Z148" s="48">
        <f t="shared" si="86"/>
        <v>23.329899999999999</v>
      </c>
      <c r="AA148" s="48">
        <f t="shared" si="87"/>
        <v>23.283899999999999</v>
      </c>
      <c r="AB148" s="49" t="e">
        <f>VLOOKUP(A148,Enforcements!$C$7:$J$32,8,0)</f>
        <v>#N/A</v>
      </c>
      <c r="AC148" s="49" t="e">
        <f>VLOOKUP(A148,Enforcements!$C$7:$E$32,3,0)</f>
        <v>#N/A</v>
      </c>
    </row>
    <row r="149" spans="1:29" s="2" customFormat="1" x14ac:dyDescent="0.25">
      <c r="A149" s="43" t="s">
        <v>465</v>
      </c>
      <c r="B149" s="43">
        <v>4013</v>
      </c>
      <c r="C149" s="43" t="s">
        <v>60</v>
      </c>
      <c r="D149" s="43" t="s">
        <v>71</v>
      </c>
      <c r="E149" s="25">
        <v>42546.993946759256</v>
      </c>
      <c r="F149" s="25">
        <v>42546.996030092596</v>
      </c>
      <c r="G149" s="25">
        <v>3</v>
      </c>
      <c r="H149" s="25" t="s">
        <v>75</v>
      </c>
      <c r="I149" s="25">
        <v>42547.023865740739</v>
      </c>
      <c r="J149" s="43">
        <v>2</v>
      </c>
      <c r="K149" s="43" t="str">
        <f t="shared" si="77"/>
        <v>4013/4014</v>
      </c>
      <c r="L149" s="43" t="str">
        <f>VLOOKUP(A149,'Trips&amp;Operators'!$C$1:$E$10000,3,FALSE)</f>
        <v>ADANE</v>
      </c>
      <c r="M149" s="11">
        <f t="shared" si="78"/>
        <v>2.7835648143081926E-2</v>
      </c>
      <c r="N149" s="12">
        <f t="shared" si="79"/>
        <v>40.083333326037973</v>
      </c>
      <c r="O149" s="12"/>
      <c r="P149" s="12"/>
      <c r="Q149" s="44"/>
      <c r="R149" s="44"/>
      <c r="S149" s="70">
        <f t="shared" si="74"/>
        <v>1</v>
      </c>
      <c r="T149" s="2" t="str">
        <f t="shared" si="80"/>
        <v>Southbound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9" s="48" t="str">
        <f t="shared" si="82"/>
        <v>N</v>
      </c>
      <c r="X149" s="48">
        <f t="shared" si="84"/>
        <v>1</v>
      </c>
      <c r="Y149" s="48">
        <f t="shared" si="85"/>
        <v>23.297699999999999</v>
      </c>
      <c r="Z149" s="48">
        <f t="shared" si="86"/>
        <v>1.5599999999999999E-2</v>
      </c>
      <c r="AA149" s="48">
        <f t="shared" si="87"/>
        <v>23.2821</v>
      </c>
      <c r="AB149" s="49">
        <f>VLOOKUP(A149,Enforcements!$C$7:$J$32,8,0)</f>
        <v>183829</v>
      </c>
      <c r="AC149" s="49" t="str">
        <f>VLOOKUP(A149,Enforcements!$C$7:$E$32,3,0)</f>
        <v>PERMANENT SPEED RESTRICTION</v>
      </c>
    </row>
    <row r="150" spans="1:29" x14ac:dyDescent="0.25">
      <c r="A150" s="43" t="s">
        <v>466</v>
      </c>
      <c r="B150" s="43">
        <v>4042</v>
      </c>
      <c r="C150" s="43" t="s">
        <v>60</v>
      </c>
      <c r="D150" s="43" t="s">
        <v>467</v>
      </c>
      <c r="E150" s="25">
        <v>42546.969583333332</v>
      </c>
      <c r="F150" s="25">
        <v>42546.970451388886</v>
      </c>
      <c r="G150" s="25">
        <v>1</v>
      </c>
      <c r="H150" s="25" t="s">
        <v>101</v>
      </c>
      <c r="I150" s="25">
        <v>42547.006944444445</v>
      </c>
      <c r="J150" s="43">
        <v>0</v>
      </c>
      <c r="K150" s="43" t="str">
        <f t="shared" si="77"/>
        <v>4041/4042</v>
      </c>
      <c r="L150" s="43" t="str">
        <f>VLOOKUP(A150,'Trips&amp;Operators'!$C$1:$E$10000,3,FALSE)</f>
        <v>LEVERE</v>
      </c>
      <c r="M150" s="11">
        <f t="shared" si="78"/>
        <v>3.6493055558821652E-2</v>
      </c>
      <c r="N150" s="12">
        <f t="shared" si="79"/>
        <v>52.550000004703179</v>
      </c>
      <c r="O150" s="12"/>
      <c r="P150" s="12"/>
      <c r="Q150" s="44"/>
      <c r="R150" s="44"/>
      <c r="S150" s="70">
        <f t="shared" si="74"/>
        <v>1</v>
      </c>
      <c r="T150" s="2" t="str">
        <f t="shared" si="80"/>
        <v>NorthBound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23:15:12-0600',mode:absolute,to:'2016-06-26 00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0" s="48" t="str">
        <f t="shared" si="82"/>
        <v>N</v>
      </c>
      <c r="X150" s="48">
        <f t="shared" si="84"/>
        <v>1</v>
      </c>
      <c r="Y150" s="48">
        <f t="shared" si="85"/>
        <v>4.82E-2</v>
      </c>
      <c r="Z150" s="48">
        <f t="shared" si="86"/>
        <v>23.329499999999999</v>
      </c>
      <c r="AA150" s="48">
        <f t="shared" si="87"/>
        <v>23.281299999999998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x14ac:dyDescent="0.25">
      <c r="A151" s="43" t="s">
        <v>468</v>
      </c>
      <c r="B151" s="43">
        <v>4041</v>
      </c>
      <c r="C151" s="43" t="s">
        <v>60</v>
      </c>
      <c r="D151" s="43" t="s">
        <v>177</v>
      </c>
      <c r="E151" s="25">
        <v>42547.01258101852</v>
      </c>
      <c r="F151" s="25">
        <v>42547.013680555552</v>
      </c>
      <c r="G151" s="25">
        <v>1</v>
      </c>
      <c r="H151" s="25" t="s">
        <v>75</v>
      </c>
      <c r="I151" s="25">
        <v>42547.044988425929</v>
      </c>
      <c r="J151" s="43">
        <v>1</v>
      </c>
      <c r="K151" s="43" t="str">
        <f t="shared" si="77"/>
        <v>4041/4042</v>
      </c>
      <c r="L151" s="43" t="str">
        <f>VLOOKUP(A151,'Trips&amp;Operators'!$C$1:$E$10000,3,FALSE)</f>
        <v>LEVERE</v>
      </c>
      <c r="M151" s="11">
        <f t="shared" si="78"/>
        <v>3.1307870376622304E-2</v>
      </c>
      <c r="N151" s="12">
        <f t="shared" si="79"/>
        <v>45.083333342336118</v>
      </c>
      <c r="O151" s="12"/>
      <c r="P151" s="12"/>
      <c r="Q151" s="44"/>
      <c r="R151" s="44"/>
      <c r="S151" s="70">
        <f t="shared" si="74"/>
        <v>1</v>
      </c>
      <c r="T151" s="2" t="str">
        <f t="shared" si="80"/>
        <v>Southbound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https://search-rtdc-monitor-bjffxe2xuh6vdkpspy63sjmuny.us-east-1.es.amazonaws.com/_plugin/kibana/#/discover/Steve-Slow-Train-Analysis-(2080s-and-2083s)?_g=(refreshInterval:(display:Off,section:0,value:0),time:(from:'2016-06-26 00:17:07-0600',mode:absolute,to:'2016-06-26 01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1" s="48" t="str">
        <f t="shared" si="82"/>
        <v>N</v>
      </c>
      <c r="X151" s="48">
        <f t="shared" si="84"/>
        <v>1</v>
      </c>
      <c r="Y151" s="48">
        <f t="shared" si="85"/>
        <v>23.296099999999999</v>
      </c>
      <c r="Z151" s="48">
        <f t="shared" si="86"/>
        <v>1.5599999999999999E-2</v>
      </c>
      <c r="AA151" s="48">
        <f t="shared" si="87"/>
        <v>23.2805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s="2" customFormat="1" x14ac:dyDescent="0.25">
      <c r="A152" s="43" t="s">
        <v>469</v>
      </c>
      <c r="B152" s="43">
        <v>4044</v>
      </c>
      <c r="C152" s="43" t="s">
        <v>60</v>
      </c>
      <c r="D152" s="43" t="s">
        <v>470</v>
      </c>
      <c r="E152" s="25">
        <v>42546.99082175926</v>
      </c>
      <c r="F152" s="25">
        <v>42546.991782407407</v>
      </c>
      <c r="G152" s="25">
        <v>1</v>
      </c>
      <c r="H152" s="25" t="s">
        <v>471</v>
      </c>
      <c r="I152" s="25">
        <v>42547.025787037041</v>
      </c>
      <c r="J152" s="43">
        <v>0</v>
      </c>
      <c r="K152" s="43" t="str">
        <f t="shared" si="77"/>
        <v>4043/4044</v>
      </c>
      <c r="L152" s="43" t="str">
        <f>VLOOKUP(A152,'Trips&amp;Operators'!$C$1:$E$10000,3,FALSE)</f>
        <v>BRUDER</v>
      </c>
      <c r="M152" s="11">
        <f t="shared" si="78"/>
        <v>3.4004629633272998E-2</v>
      </c>
      <c r="N152" s="12">
        <f t="shared" si="79"/>
        <v>48.966666671913117</v>
      </c>
      <c r="O152" s="12"/>
      <c r="P152" s="12"/>
      <c r="Q152" s="44"/>
      <c r="R152" s="44"/>
      <c r="S152" s="70">
        <f t="shared" si="74"/>
        <v>1</v>
      </c>
      <c r="T152" s="2" t="str">
        <f t="shared" si="80"/>
        <v>NorthBound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https://search-rtdc-monitor-bjffxe2xuh6vdkpspy63sjmuny.us-east-1.es.amazonaws.com/_plugin/kibana/#/discover/Steve-Slow-Train-Analysis-(2080s-and-2083s)?_g=(refreshInterval:(display:Off,section:0,value:0),time:(from:'2016-06-25 23:45:47-0600',mode:absolute,to:'2016-06-26 00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2" s="48" t="str">
        <f t="shared" si="82"/>
        <v>N</v>
      </c>
      <c r="X152" s="48">
        <f t="shared" si="66"/>
        <v>1</v>
      </c>
      <c r="Y152" s="48">
        <f t="shared" si="75"/>
        <v>5.2200000000000003E-2</v>
      </c>
      <c r="Z152" s="48">
        <f t="shared" si="76"/>
        <v>23.334499999999998</v>
      </c>
      <c r="AA152" s="48">
        <f t="shared" si="83"/>
        <v>23.282299999999999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x14ac:dyDescent="0.25">
      <c r="A153" s="43" t="s">
        <v>472</v>
      </c>
      <c r="B153" s="43">
        <v>4043</v>
      </c>
      <c r="C153" s="43" t="s">
        <v>60</v>
      </c>
      <c r="D153" s="43" t="s">
        <v>214</v>
      </c>
      <c r="E153" s="25">
        <v>42547.032326388886</v>
      </c>
      <c r="F153" s="25">
        <v>42547.033564814818</v>
      </c>
      <c r="G153" s="25">
        <v>1</v>
      </c>
      <c r="H153" s="25" t="s">
        <v>204</v>
      </c>
      <c r="I153" s="25">
        <v>42547.064895833333</v>
      </c>
      <c r="J153" s="43">
        <v>1</v>
      </c>
      <c r="K153" s="43" t="str">
        <f t="shared" si="77"/>
        <v>4043/4044</v>
      </c>
      <c r="L153" s="43" t="str">
        <f>VLOOKUP(A153,'Trips&amp;Operators'!$C$1:$E$10000,3,FALSE)</f>
        <v>BRUDER</v>
      </c>
      <c r="M153" s="11">
        <f t="shared" si="78"/>
        <v>3.1331018515629694E-2</v>
      </c>
      <c r="N153" s="12">
        <f t="shared" si="79"/>
        <v>45.116666662506759</v>
      </c>
      <c r="O153" s="12"/>
      <c r="P153" s="12"/>
      <c r="Q153" s="44"/>
      <c r="R153" s="44"/>
      <c r="S153" s="70">
        <f t="shared" si="74"/>
        <v>1</v>
      </c>
      <c r="T153" s="2" t="str">
        <f t="shared" si="80"/>
        <v>Southbound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https://search-rtdc-monitor-bjffxe2xuh6vdkpspy63sjmuny.us-east-1.es.amazonaws.com/_plugin/kibana/#/discover/Steve-Slow-Train-Analysis-(2080s-and-2083s)?_g=(refreshInterval:(display:Off,section:0,value:0),time:(from:'2016-06-26 00:45:33-0600',mode:absolute,to:'2016-06-26 01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3" s="48" t="str">
        <f t="shared" si="82"/>
        <v>N</v>
      </c>
      <c r="X153" s="48">
        <f t="shared" si="66"/>
        <v>1</v>
      </c>
      <c r="Y153" s="48">
        <f t="shared" si="75"/>
        <v>23.298400000000001</v>
      </c>
      <c r="Z153" s="48">
        <f t="shared" si="76"/>
        <v>2.23E-2</v>
      </c>
      <c r="AA153" s="48">
        <f t="shared" si="83"/>
        <v>23.2761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x14ac:dyDescent="0.25">
      <c r="A154" s="43" t="s">
        <v>473</v>
      </c>
      <c r="B154" s="43">
        <v>4027</v>
      </c>
      <c r="C154" s="43" t="s">
        <v>60</v>
      </c>
      <c r="D154" s="43" t="s">
        <v>290</v>
      </c>
      <c r="E154" s="25">
        <v>42547.015405092592</v>
      </c>
      <c r="F154" s="25">
        <v>42547.016597222224</v>
      </c>
      <c r="G154" s="25">
        <v>1</v>
      </c>
      <c r="H154" s="25" t="s">
        <v>197</v>
      </c>
      <c r="I154" s="25">
        <v>42547.046574074076</v>
      </c>
      <c r="J154" s="43">
        <v>0</v>
      </c>
      <c r="K154" s="43" t="str">
        <f t="shared" si="77"/>
        <v>4027/4028</v>
      </c>
      <c r="L154" s="43" t="str">
        <f>VLOOKUP(A154,'Trips&amp;Operators'!$C$1:$E$10000,3,FALSE)</f>
        <v>CHANDLER</v>
      </c>
      <c r="M154" s="11">
        <f t="shared" si="78"/>
        <v>2.99768518525525E-2</v>
      </c>
      <c r="N154" s="12">
        <f t="shared" si="79"/>
        <v>43.166666667675599</v>
      </c>
      <c r="O154" s="12"/>
      <c r="P154" s="12"/>
      <c r="Q154" s="44"/>
      <c r="R154" s="44"/>
      <c r="S154" s="70">
        <f t="shared" si="74"/>
        <v>1</v>
      </c>
      <c r="T154" s="2" t="str">
        <f t="shared" si="80"/>
        <v>NorthBound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https://search-rtdc-monitor-bjffxe2xuh6vdkpspy63sjmuny.us-east-1.es.amazonaws.com/_plugin/kibana/#/discover/Steve-Slow-Train-Analysis-(2080s-and-2083s)?_g=(refreshInterval:(display:Off,section:0,value:0),time:(from:'2016-06-26 00:21:11-0600',mode:absolute,to:'2016-06-26 01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4" s="48" t="str">
        <f t="shared" si="82"/>
        <v>N</v>
      </c>
      <c r="X154" s="48">
        <f t="shared" si="66"/>
        <v>1</v>
      </c>
      <c r="Y154" s="48">
        <f t="shared" si="75"/>
        <v>4.6600000000000003E-2</v>
      </c>
      <c r="Z154" s="48">
        <f t="shared" si="76"/>
        <v>23.328900000000001</v>
      </c>
      <c r="AA154" s="48">
        <f t="shared" si="83"/>
        <v>23.282299999999999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x14ac:dyDescent="0.25">
      <c r="A155" s="43" t="s">
        <v>474</v>
      </c>
      <c r="B155" s="43">
        <v>4028</v>
      </c>
      <c r="C155" s="43" t="s">
        <v>60</v>
      </c>
      <c r="D155" s="43" t="s">
        <v>80</v>
      </c>
      <c r="E155" s="25">
        <v>42547.05773148148</v>
      </c>
      <c r="F155" s="25">
        <v>42547.058738425927</v>
      </c>
      <c r="G155" s="25">
        <v>1</v>
      </c>
      <c r="H155" s="25" t="s">
        <v>108</v>
      </c>
      <c r="I155" s="25">
        <v>42547.087326388886</v>
      </c>
      <c r="J155" s="43">
        <v>0</v>
      </c>
      <c r="K155" s="43" t="str">
        <f t="shared" si="77"/>
        <v>4027/4028</v>
      </c>
      <c r="L155" s="43" t="str">
        <f>VLOOKUP(A155,'Trips&amp;Operators'!$C$1:$E$10000,3,FALSE)</f>
        <v>CHANDLER</v>
      </c>
      <c r="M155" s="11">
        <f t="shared" si="78"/>
        <v>2.8587962959136348E-2</v>
      </c>
      <c r="N155" s="12">
        <f t="shared" si="79"/>
        <v>41.166666661156341</v>
      </c>
      <c r="O155" s="12"/>
      <c r="P155" s="12"/>
      <c r="Q155" s="44"/>
      <c r="R155" s="44"/>
      <c r="S155" s="70">
        <f t="shared" si="74"/>
        <v>1</v>
      </c>
      <c r="T155" s="2" t="str">
        <f t="shared" si="80"/>
        <v>Southbound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https://search-rtdc-monitor-bjffxe2xuh6vdkpspy63sjmuny.us-east-1.es.amazonaws.com/_plugin/kibana/#/discover/Steve-Slow-Train-Analysis-(2080s-and-2083s)?_g=(refreshInterval:(display:Off,section:0,value:0),time:(from:'2016-06-26 01:22:08-0600',mode:absolute,to:'2016-06-26 02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5" s="48" t="str">
        <f t="shared" si="82"/>
        <v>N</v>
      </c>
      <c r="X155" s="48">
        <f t="shared" si="66"/>
        <v>1</v>
      </c>
      <c r="Y155" s="48">
        <f t="shared" si="75"/>
        <v>23.297799999999999</v>
      </c>
      <c r="Z155" s="48">
        <f t="shared" si="76"/>
        <v>1.7000000000000001E-2</v>
      </c>
      <c r="AA155" s="48">
        <f t="shared" si="83"/>
        <v>23.280799999999999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x14ac:dyDescent="0.25">
      <c r="A156" s="43" t="s">
        <v>475</v>
      </c>
      <c r="B156" s="43">
        <v>4014</v>
      </c>
      <c r="C156" s="43" t="s">
        <v>60</v>
      </c>
      <c r="D156" s="43" t="s">
        <v>114</v>
      </c>
      <c r="E156" s="25">
        <v>42547.035787037035</v>
      </c>
      <c r="F156" s="25">
        <v>42547.036620370367</v>
      </c>
      <c r="G156" s="25">
        <v>1</v>
      </c>
      <c r="H156" s="25" t="s">
        <v>185</v>
      </c>
      <c r="I156" s="25">
        <v>42547.066504629627</v>
      </c>
      <c r="J156" s="43">
        <v>0</v>
      </c>
      <c r="K156" s="43" t="str">
        <f t="shared" si="77"/>
        <v>4013/4014</v>
      </c>
      <c r="L156" s="43" t="str">
        <f>VLOOKUP(A156,'Trips&amp;Operators'!$C$1:$E$10000,3,FALSE)</f>
        <v>ADANE</v>
      </c>
      <c r="M156" s="11">
        <f t="shared" si="78"/>
        <v>2.9884259260143153E-2</v>
      </c>
      <c r="N156" s="12">
        <f t="shared" si="79"/>
        <v>43.033333334606141</v>
      </c>
      <c r="O156" s="12"/>
      <c r="P156" s="12"/>
      <c r="Q156" s="44"/>
      <c r="R156" s="44"/>
      <c r="S156" s="70">
        <f t="shared" si="74"/>
        <v>1</v>
      </c>
      <c r="T156" s="2" t="str">
        <f t="shared" si="80"/>
        <v>NorthBound</v>
      </c>
      <c r="U156" s="2">
        <f>COUNTIFS(Variables!$M$2:$M$19,IF(T156="NorthBound","&gt;=","&lt;=")&amp;Y156,Variables!$M$2:$M$19,IF(T156="NorthBound","&lt;=","&gt;=")&amp;Z156)</f>
        <v>12</v>
      </c>
      <c r="V156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https://search-rtdc-monitor-bjffxe2xuh6vdkpspy63sjmuny.us-east-1.es.amazonaws.com/_plugin/kibana/#/discover/Steve-Slow-Train-Analysis-(2080s-and-2083s)?_g=(refreshInterval:(display:Off,section:0,value:0),time:(from:'2016-06-26 00:50:32-0600',mode:absolute,to:'2016-06-26 01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6" s="48" t="str">
        <f t="shared" si="82"/>
        <v>N</v>
      </c>
      <c r="X156" s="48">
        <f t="shared" si="66"/>
        <v>1</v>
      </c>
      <c r="Y156" s="48">
        <f t="shared" si="75"/>
        <v>4.6699999999999998E-2</v>
      </c>
      <c r="Z156" s="48">
        <f t="shared" si="76"/>
        <v>23.329899999999999</v>
      </c>
      <c r="AA156" s="48">
        <f t="shared" si="83"/>
        <v>23.283199999999997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x14ac:dyDescent="0.25">
      <c r="A157" s="43" t="s">
        <v>476</v>
      </c>
      <c r="B157" s="43">
        <v>4013</v>
      </c>
      <c r="C157" s="43" t="s">
        <v>60</v>
      </c>
      <c r="D157" s="43" t="s">
        <v>80</v>
      </c>
      <c r="E157" s="25">
        <v>42547.077685185184</v>
      </c>
      <c r="F157" s="25">
        <v>42547.078634259262</v>
      </c>
      <c r="G157" s="25">
        <v>1</v>
      </c>
      <c r="H157" s="25" t="s">
        <v>477</v>
      </c>
      <c r="I157" s="25">
        <v>42547.107372685183</v>
      </c>
      <c r="J157" s="43">
        <v>0</v>
      </c>
      <c r="K157" s="43" t="str">
        <f t="shared" si="77"/>
        <v>4013/4014</v>
      </c>
      <c r="L157" s="43" t="e">
        <f>VLOOKUP(A157,'Trips&amp;Operators'!$C$1:$E$10000,3,FALSE)</f>
        <v>#N/A</v>
      </c>
      <c r="M157" s="11">
        <f t="shared" si="78"/>
        <v>2.8738425920892041E-2</v>
      </c>
      <c r="N157" s="12">
        <f t="shared" si="79"/>
        <v>41.383333326084539</v>
      </c>
      <c r="O157" s="12"/>
      <c r="P157" s="12"/>
      <c r="Q157" s="44"/>
      <c r="R157" s="44"/>
      <c r="S157" s="70">
        <f t="shared" si="74"/>
        <v>1</v>
      </c>
      <c r="T157" s="2" t="str">
        <f t="shared" si="80"/>
        <v>Southbound</v>
      </c>
      <c r="U157" s="2">
        <f>COUNTIFS(Variables!$M$2:$M$19,IF(T157="NorthBound","&gt;=","&lt;=")&amp;Y157,Variables!$M$2:$M$19,IF(T157="NorthBound","&lt;=","&gt;=")&amp;Z157)</f>
        <v>12</v>
      </c>
      <c r="V157" s="48" t="str">
        <f t="shared" si="81"/>
        <v>https://search-rtdc-monitor-bjffxe2xuh6vdkpspy63sjmuny.us-east-1.es.amazonaws.com/_plugin/kibana/#/discover/Steve-Slow-Train-Analysis-(2080s-and-2083s)?_g=(refreshInterval:(display:Off,section:0,value:0),time:(from:'2016-06-26 01:50:52-0600',mode:absolute,to:'2016-06-26 02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7" s="48" t="str">
        <f t="shared" si="82"/>
        <v>N</v>
      </c>
      <c r="X157" s="48">
        <f t="shared" si="66"/>
        <v>1</v>
      </c>
      <c r="Y157" s="48">
        <f t="shared" si="75"/>
        <v>23.297799999999999</v>
      </c>
      <c r="Z157" s="48">
        <f t="shared" si="76"/>
        <v>1.78E-2</v>
      </c>
      <c r="AA157" s="48">
        <f t="shared" si="83"/>
        <v>23.279999999999998</v>
      </c>
      <c r="AB157" s="49" t="e">
        <f>VLOOKUP(A157,Enforcements!$C$7:$J$32,8,0)</f>
        <v>#N/A</v>
      </c>
      <c r="AC157" s="49" t="e">
        <f>VLOOKUP(A157,Enforcements!$C$7:$E$32,3,0)</f>
        <v>#N/A</v>
      </c>
    </row>
    <row r="158" spans="1:29" x14ac:dyDescent="0.25">
      <c r="B158" s="42"/>
      <c r="C158" s="42"/>
      <c r="D158" s="42"/>
      <c r="J158" s="42"/>
    </row>
    <row r="159" spans="1:29" x14ac:dyDescent="0.25">
      <c r="B159" s="42"/>
      <c r="C159" s="42"/>
      <c r="D159" s="42"/>
      <c r="J159" s="42"/>
    </row>
    <row r="160" spans="1:29" x14ac:dyDescent="0.25">
      <c r="B160" s="42"/>
      <c r="C160" s="42"/>
      <c r="D160" s="42"/>
      <c r="J160" s="42"/>
    </row>
    <row r="161" spans="2:10" x14ac:dyDescent="0.25">
      <c r="B161" s="42"/>
      <c r="C161" s="42"/>
      <c r="D161" s="42"/>
      <c r="J161" s="42"/>
    </row>
    <row r="162" spans="2:10" x14ac:dyDescent="0.25">
      <c r="B162" s="42"/>
      <c r="C162" s="42"/>
      <c r="D162" s="42"/>
      <c r="J162" s="42"/>
    </row>
    <row r="163" spans="2:10" x14ac:dyDescent="0.25">
      <c r="B163" s="42"/>
      <c r="C163" s="42"/>
      <c r="D163" s="42"/>
      <c r="J163" s="42"/>
    </row>
    <row r="164" spans="2:10" x14ac:dyDescent="0.25">
      <c r="B164" s="42"/>
      <c r="C164" s="42"/>
      <c r="D164" s="42"/>
      <c r="J164" s="42"/>
    </row>
    <row r="165" spans="2:10" x14ac:dyDescent="0.25">
      <c r="B165" s="42"/>
      <c r="C165" s="42"/>
      <c r="D165" s="42"/>
      <c r="J165" s="42"/>
    </row>
    <row r="166" spans="2:10" x14ac:dyDescent="0.25">
      <c r="B166" s="42"/>
      <c r="C166" s="42"/>
      <c r="D166" s="42"/>
      <c r="J166" s="42"/>
    </row>
    <row r="167" spans="2:10" x14ac:dyDescent="0.25">
      <c r="B167" s="42"/>
      <c r="C167" s="42"/>
      <c r="D167" s="42"/>
      <c r="J167" s="42"/>
    </row>
  </sheetData>
  <autoFilter ref="A12:AC157"/>
  <sortState ref="A13:AC166">
    <sortCondition ref="A13:A166"/>
    <sortCondition ref="F13:F166"/>
  </sortState>
  <mergeCells count="4">
    <mergeCell ref="A11:P11"/>
    <mergeCell ref="I2:J2"/>
    <mergeCell ref="M2:O2"/>
    <mergeCell ref="I3:J3"/>
  </mergeCells>
  <conditionalFormatting sqref="W11:W12 W13:X1048576">
    <cfRule type="cellIs" dxfId="23" priority="69" operator="equal">
      <formula>"Y"</formula>
    </cfRule>
  </conditionalFormatting>
  <conditionalFormatting sqref="X13:X1048576">
    <cfRule type="cellIs" dxfId="22" priority="52" operator="greaterThan">
      <formula>1</formula>
    </cfRule>
  </conditionalFormatting>
  <conditionalFormatting sqref="X12:X1048576">
    <cfRule type="cellIs" dxfId="21" priority="49" operator="equal">
      <formula>0</formula>
    </cfRule>
  </conditionalFormatting>
  <conditionalFormatting sqref="B136:M136 A13:S13 S13:S29 A137:M144 A145:S157 A14:M135 N49:R157 N14:S144">
    <cfRule type="expression" dxfId="20" priority="45">
      <formula>$O13&gt;0</formula>
    </cfRule>
  </conditionalFormatting>
  <conditionalFormatting sqref="A13:S157">
    <cfRule type="expression" dxfId="19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B136:M136 A13:S13 S13:S29 A137:M144 A145:S157 A14:M135 N49:R157 N14:S144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zoomScale="85" zoomScaleNormal="85" workbookViewId="0">
      <selection activeCell="E23" sqref="E23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150</v>
      </c>
      <c r="L2" s="73"/>
      <c r="M2" s="74">
        <f>COUNTIF($M$7:$M$874,"=Y")</f>
        <v>19</v>
      </c>
      <c r="P2" s="55"/>
    </row>
    <row r="3" spans="1:17" s="42" customFormat="1" ht="15.75" thickBot="1" x14ac:dyDescent="0.3">
      <c r="A3" s="13"/>
      <c r="K3" s="75" t="s">
        <v>151</v>
      </c>
      <c r="L3" s="76"/>
      <c r="M3" s="77">
        <f>COUNTA($M$7:$M$874)-M2</f>
        <v>34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7" t="str">
        <f>"Eagle P3 Braking Events - "&amp;TEXT(Variables!$A$2,"YYYY-mm-dd")</f>
        <v>Eagle P3 Braking Events - 2016-06-25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18">
        <v>42546.343553240738</v>
      </c>
      <c r="B7" s="17" t="s">
        <v>219</v>
      </c>
      <c r="C7" s="17" t="s">
        <v>286</v>
      </c>
      <c r="D7" s="17" t="s">
        <v>50</v>
      </c>
      <c r="E7" s="17" t="s">
        <v>223</v>
      </c>
      <c r="F7" s="17">
        <v>790</v>
      </c>
      <c r="G7" s="17">
        <v>794</v>
      </c>
      <c r="H7" s="17">
        <v>144642</v>
      </c>
      <c r="I7" s="17" t="s">
        <v>59</v>
      </c>
      <c r="J7" s="17">
        <v>110617</v>
      </c>
      <c r="K7" s="16" t="s">
        <v>53</v>
      </c>
      <c r="L7" s="16" t="str">
        <f>VLOOKUP(C7,'Trips&amp;Operators'!$C$2:$E$10000,3,FALSE)</f>
        <v>MALAVE</v>
      </c>
      <c r="M7" s="15" t="s">
        <v>148</v>
      </c>
      <c r="N7" s="16"/>
      <c r="P7" s="54" t="str">
        <f>VLOOKUP(C7,'Train Runs'!$A$13:$V$209,22,0)</f>
        <v>https://search-rtdc-monitor-bjffxe2xuh6vdkpspy63sjmuny.us-east-1.es.amazonaws.com/_plugin/kibana/#/discover/Steve-Slow-Train-Analysis-(2080s-and-2083s)?_g=(refreshInterval:(display:Off,section:0,value:0),time:(from:'2016-06-25 08:10:43-0600',mode:absolute,to:'2016-06-25 08:16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" s="14" t="str">
        <f>MID(B7,13,4)</f>
        <v>4024</v>
      </c>
    </row>
    <row r="8" spans="1:17" s="2" customFormat="1" x14ac:dyDescent="0.25">
      <c r="A8" s="78">
        <v>42546.910891203705</v>
      </c>
      <c r="B8" s="66" t="s">
        <v>486</v>
      </c>
      <c r="C8" s="66" t="s">
        <v>458</v>
      </c>
      <c r="D8" s="66" t="s">
        <v>50</v>
      </c>
      <c r="E8" s="66" t="s">
        <v>223</v>
      </c>
      <c r="F8" s="66">
        <v>790</v>
      </c>
      <c r="G8" s="66">
        <v>802</v>
      </c>
      <c r="H8" s="66">
        <v>145615</v>
      </c>
      <c r="I8" s="66" t="s">
        <v>59</v>
      </c>
      <c r="J8" s="66">
        <v>110617</v>
      </c>
      <c r="K8" s="66" t="s">
        <v>53</v>
      </c>
      <c r="L8" s="16" t="str">
        <f>VLOOKUP(C8,'Trips&amp;Operators'!$C$2:$E$10000,3,FALSE)</f>
        <v>BRUDER</v>
      </c>
      <c r="M8" s="15" t="s">
        <v>148</v>
      </c>
      <c r="N8" s="16"/>
      <c r="P8" s="54" t="str">
        <f>VLOOKUP(C8,'Train Runs'!$A$13:$V$209,22,0)</f>
        <v>https://search-rtdc-monitor-bjffxe2xuh6vdkpspy63sjmuny.us-east-1.es.amazonaws.com/_plugin/kibana/#/discover/Steve-Slow-Train-Analysis-(2080s-and-2083s)?_g=(refreshInterval:(display:Off,section:0,value:0),time:(from:'2016-06-25 21:47:25-0600',mode:absolute,to:'2016-06-25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8" s="14" t="str">
        <f>MID(B8,13,4)</f>
        <v>4044</v>
      </c>
    </row>
    <row r="9" spans="1:17" s="2" customFormat="1" x14ac:dyDescent="0.25">
      <c r="A9" s="18">
        <v>42546.207083333335</v>
      </c>
      <c r="B9" s="17" t="s">
        <v>219</v>
      </c>
      <c r="C9" s="17" t="s">
        <v>246</v>
      </c>
      <c r="D9" s="17" t="s">
        <v>50</v>
      </c>
      <c r="E9" s="17" t="s">
        <v>77</v>
      </c>
      <c r="F9" s="17">
        <v>0</v>
      </c>
      <c r="G9" s="17">
        <v>42</v>
      </c>
      <c r="H9" s="17">
        <v>62946</v>
      </c>
      <c r="I9" s="17" t="s">
        <v>78</v>
      </c>
      <c r="J9" s="17">
        <v>63068</v>
      </c>
      <c r="K9" s="16" t="s">
        <v>53</v>
      </c>
      <c r="L9" s="16" t="str">
        <f>VLOOKUP(C9,'Trips&amp;Operators'!$C$2:$E$10000,3,FALSE)</f>
        <v>MALAVE</v>
      </c>
      <c r="M9" s="15" t="s">
        <v>148</v>
      </c>
      <c r="N9" s="16"/>
      <c r="P9" s="54" t="str">
        <f>VLOOKUP(C9,'Train Runs'!$A$13:$V$209,22,0)</f>
        <v>https://search-rtdc-monitor-bjffxe2xuh6vdkpspy63sjmuny.us-east-1.es.amazonaws.com/_plugin/kibana/#/discover/Steve-Slow-Train-Analysis-(2080s-and-2083s)?_g=(refreshInterval:(display:Off,section:0,value:0),time:(from:'2016-06-25 04:41:17-0600',mode:absolute,to:'2016-06-25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9" s="14" t="str">
        <f>MID(B9,13,4)</f>
        <v>4024</v>
      </c>
    </row>
    <row r="10" spans="1:17" s="2" customFormat="1" x14ac:dyDescent="0.25">
      <c r="A10" s="78">
        <v>42546.415497685186</v>
      </c>
      <c r="B10" s="66" t="s">
        <v>91</v>
      </c>
      <c r="C10" s="66" t="s">
        <v>304</v>
      </c>
      <c r="D10" s="66" t="s">
        <v>50</v>
      </c>
      <c r="E10" s="66" t="s">
        <v>77</v>
      </c>
      <c r="F10" s="66">
        <v>0</v>
      </c>
      <c r="G10" s="66">
        <v>165</v>
      </c>
      <c r="H10" s="66">
        <v>62286</v>
      </c>
      <c r="I10" s="66" t="s">
        <v>78</v>
      </c>
      <c r="J10" s="66">
        <v>63068</v>
      </c>
      <c r="K10" s="66" t="s">
        <v>53</v>
      </c>
      <c r="L10" s="16" t="str">
        <f>VLOOKUP(C10,'Trips&amp;Operators'!$C$2:$E$10000,3,FALSE)</f>
        <v>SANTIZO</v>
      </c>
      <c r="M10" s="15" t="s">
        <v>148</v>
      </c>
      <c r="N10" s="16"/>
      <c r="P10" s="54" t="str">
        <f>VLOOKUP(C10,'Train Runs'!$A$13:$V$209,22,0)</f>
        <v>https://search-rtdc-monitor-bjffxe2xuh6vdkpspy63sjmuny.us-east-1.es.amazonaws.com/_plugin/kibana/#/discover/Steve-Slow-Train-Analysis-(2080s-and-2083s)?_g=(refreshInterval:(display:Off,section:0,value:0),time:(from:'2016-06-25 09:39:39-0600',mode:absolute,to:'2016-06-25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0" s="14" t="str">
        <f>MID(B10,13,4)</f>
        <v>4007</v>
      </c>
    </row>
    <row r="11" spans="1:17" s="2" customFormat="1" x14ac:dyDescent="0.25">
      <c r="A11" s="78">
        <v>42546.677002314813</v>
      </c>
      <c r="B11" s="66" t="s">
        <v>105</v>
      </c>
      <c r="C11" s="66" t="s">
        <v>393</v>
      </c>
      <c r="D11" s="66" t="s">
        <v>50</v>
      </c>
      <c r="E11" s="66" t="s">
        <v>77</v>
      </c>
      <c r="F11" s="66">
        <v>0</v>
      </c>
      <c r="G11" s="66">
        <v>85</v>
      </c>
      <c r="H11" s="66">
        <v>62479</v>
      </c>
      <c r="I11" s="66" t="s">
        <v>78</v>
      </c>
      <c r="J11" s="66">
        <v>63068</v>
      </c>
      <c r="K11" s="66" t="s">
        <v>53</v>
      </c>
      <c r="L11" s="16" t="str">
        <f>VLOOKUP(C11,'Trips&amp;Operators'!$C$2:$E$10000,3,FALSE)</f>
        <v>MAYBERRY</v>
      </c>
      <c r="M11" s="15" t="s">
        <v>148</v>
      </c>
      <c r="N11" s="16"/>
      <c r="P11" s="54" t="str">
        <f>VLOOKUP(C11,'Train Runs'!$A$13:$V$209,22,0)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1" s="14" t="str">
        <f>MID(B11,13,4)</f>
        <v>4041</v>
      </c>
    </row>
    <row r="12" spans="1:17" s="2" customFormat="1" x14ac:dyDescent="0.25">
      <c r="A12" s="78">
        <v>42546.67769675926</v>
      </c>
      <c r="B12" s="66" t="s">
        <v>105</v>
      </c>
      <c r="C12" s="66" t="s">
        <v>393</v>
      </c>
      <c r="D12" s="66" t="s">
        <v>55</v>
      </c>
      <c r="E12" s="66" t="s">
        <v>77</v>
      </c>
      <c r="F12" s="66">
        <v>0</v>
      </c>
      <c r="G12" s="66">
        <v>3</v>
      </c>
      <c r="H12" s="66">
        <v>63117</v>
      </c>
      <c r="I12" s="66" t="s">
        <v>78</v>
      </c>
      <c r="J12" s="66">
        <v>63068</v>
      </c>
      <c r="K12" s="66" t="s">
        <v>53</v>
      </c>
      <c r="L12" s="16" t="str">
        <f>VLOOKUP(C12,'Trips&amp;Operators'!$C$2:$E$10000,3,FALSE)</f>
        <v>MAYBERRY</v>
      </c>
      <c r="M12" s="15" t="s">
        <v>148</v>
      </c>
      <c r="N12" s="16"/>
      <c r="P12" s="54" t="str">
        <f>VLOOKUP(C12,'Train Runs'!$A$13:$V$209,22,0)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2" s="14" t="str">
        <f t="shared" ref="Q12:Q30" si="0">MID(B12,13,4)</f>
        <v>4041</v>
      </c>
    </row>
    <row r="13" spans="1:17" s="2" customFormat="1" x14ac:dyDescent="0.25">
      <c r="A13" s="78">
        <v>42546.683703703704</v>
      </c>
      <c r="B13" s="66" t="s">
        <v>105</v>
      </c>
      <c r="C13" s="66" t="s">
        <v>393</v>
      </c>
      <c r="D13" s="66" t="s">
        <v>50</v>
      </c>
      <c r="E13" s="66" t="s">
        <v>77</v>
      </c>
      <c r="F13" s="66">
        <v>600</v>
      </c>
      <c r="G13" s="66">
        <v>713</v>
      </c>
      <c r="H13" s="66">
        <v>106107</v>
      </c>
      <c r="I13" s="66" t="s">
        <v>78</v>
      </c>
      <c r="J13" s="66">
        <v>108954</v>
      </c>
      <c r="K13" s="66" t="s">
        <v>53</v>
      </c>
      <c r="L13" s="16" t="str">
        <f>VLOOKUP(C13,'Trips&amp;Operators'!$C$2:$E$10000,3,FALSE)</f>
        <v>MAYBERRY</v>
      </c>
      <c r="M13" s="15" t="s">
        <v>148</v>
      </c>
      <c r="N13" s="16"/>
      <c r="P13" s="54" t="str">
        <f>VLOOKUP(C13,'Train Runs'!$A$13:$V$209,22,0)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3" s="14" t="str">
        <f t="shared" si="0"/>
        <v>4041</v>
      </c>
    </row>
    <row r="14" spans="1:17" s="2" customFormat="1" x14ac:dyDescent="0.25">
      <c r="A14" s="18">
        <v>42546.766782407409</v>
      </c>
      <c r="B14" s="17" t="s">
        <v>220</v>
      </c>
      <c r="C14" s="17" t="s">
        <v>424</v>
      </c>
      <c r="D14" s="17" t="s">
        <v>55</v>
      </c>
      <c r="E14" s="17" t="s">
        <v>77</v>
      </c>
      <c r="F14" s="17">
        <v>0</v>
      </c>
      <c r="G14" s="17">
        <v>493</v>
      </c>
      <c r="H14" s="17">
        <v>42903</v>
      </c>
      <c r="I14" s="17" t="s">
        <v>78</v>
      </c>
      <c r="J14" s="17">
        <v>42961</v>
      </c>
      <c r="K14" s="16" t="s">
        <v>54</v>
      </c>
      <c r="L14" s="16" t="str">
        <f>VLOOKUP(C14,'Trips&amp;Operators'!$C$2:$E$10000,3,FALSE)</f>
        <v>LOCKLEAR</v>
      </c>
      <c r="M14" s="15" t="s">
        <v>148</v>
      </c>
      <c r="N14" s="16"/>
      <c r="P14" s="54" t="str">
        <f>VLOOKUP(C14,'Train Runs'!$A$13:$V$209,22,0)</f>
        <v>https://search-rtdc-monitor-bjffxe2xuh6vdkpspy63sjmuny.us-east-1.es.amazonaws.com/_plugin/kibana/#/discover/Steve-Slow-Train-Analysis-(2080s-and-2083s)?_g=(refreshInterval:(display:Off,section:0,value:0),time:(from:'2016-06-25 17:50:08-0600',mode:absolute,to:'2016-06-25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4" t="str">
        <f t="shared" si="0"/>
        <v>4023</v>
      </c>
    </row>
    <row r="15" spans="1:17" s="2" customFormat="1" x14ac:dyDescent="0.25">
      <c r="A15" s="18">
        <v>42546.864814814813</v>
      </c>
      <c r="B15" s="17" t="s">
        <v>487</v>
      </c>
      <c r="C15" s="17" t="s">
        <v>443</v>
      </c>
      <c r="D15" s="17" t="s">
        <v>50</v>
      </c>
      <c r="E15" s="17" t="s">
        <v>77</v>
      </c>
      <c r="F15" s="17">
        <v>0</v>
      </c>
      <c r="G15" s="17">
        <v>88</v>
      </c>
      <c r="H15" s="17">
        <v>62418</v>
      </c>
      <c r="I15" s="17" t="s">
        <v>78</v>
      </c>
      <c r="J15" s="17">
        <v>63068</v>
      </c>
      <c r="K15" s="16" t="s">
        <v>53</v>
      </c>
      <c r="L15" s="16" t="str">
        <f>VLOOKUP(C15,'Trips&amp;Operators'!$C$2:$E$10000,3,FALSE)</f>
        <v>CHANDLER</v>
      </c>
      <c r="M15" s="15" t="s">
        <v>148</v>
      </c>
      <c r="N15" s="16"/>
      <c r="P15" s="54" t="str">
        <f>VLOOKUP(C15,'Train Runs'!$A$13:$V$209,22,0)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5" s="14" t="str">
        <f t="shared" si="0"/>
        <v>4028</v>
      </c>
    </row>
    <row r="16" spans="1:17" s="2" customFormat="1" x14ac:dyDescent="0.25">
      <c r="A16" s="18">
        <v>42546.865486111114</v>
      </c>
      <c r="B16" s="17" t="s">
        <v>487</v>
      </c>
      <c r="C16" s="17" t="s">
        <v>443</v>
      </c>
      <c r="D16" s="17" t="s">
        <v>55</v>
      </c>
      <c r="E16" s="17" t="s">
        <v>77</v>
      </c>
      <c r="F16" s="17">
        <v>0</v>
      </c>
      <c r="G16" s="17">
        <v>3</v>
      </c>
      <c r="H16" s="17">
        <v>63115</v>
      </c>
      <c r="I16" s="17" t="s">
        <v>78</v>
      </c>
      <c r="J16" s="17">
        <v>63068</v>
      </c>
      <c r="K16" s="16" t="s">
        <v>53</v>
      </c>
      <c r="L16" s="16" t="str">
        <f>VLOOKUP(C16,'Trips&amp;Operators'!$C$2:$E$10000,3,FALSE)</f>
        <v>CHANDLER</v>
      </c>
      <c r="M16" s="15" t="s">
        <v>148</v>
      </c>
      <c r="N16" s="16"/>
      <c r="P16" s="54" t="str">
        <f>VLOOKUP(C16,'Train Runs'!$A$13:$V$209,22,0)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6" s="14" t="str">
        <f t="shared" si="0"/>
        <v>4028</v>
      </c>
    </row>
    <row r="17" spans="1:17" s="2" customFormat="1" x14ac:dyDescent="0.25">
      <c r="A17" s="18">
        <v>42546.871481481481</v>
      </c>
      <c r="B17" s="17" t="s">
        <v>487</v>
      </c>
      <c r="C17" s="17" t="s">
        <v>443</v>
      </c>
      <c r="D17" s="17" t="s">
        <v>50</v>
      </c>
      <c r="E17" s="17" t="s">
        <v>77</v>
      </c>
      <c r="F17" s="17">
        <v>270</v>
      </c>
      <c r="G17" s="17">
        <v>351</v>
      </c>
      <c r="H17" s="17">
        <v>127466</v>
      </c>
      <c r="I17" s="17" t="s">
        <v>78</v>
      </c>
      <c r="J17" s="17">
        <v>127562</v>
      </c>
      <c r="K17" s="16" t="s">
        <v>53</v>
      </c>
      <c r="L17" s="16" t="str">
        <f>VLOOKUP(C17,'Trips&amp;Operators'!$C$2:$E$10000,3,FALSE)</f>
        <v>CHANDLER</v>
      </c>
      <c r="M17" s="15" t="s">
        <v>148</v>
      </c>
      <c r="N17" s="16"/>
      <c r="P17" s="54" t="str">
        <f>VLOOKUP(C17,'Train Runs'!$A$13:$V$209,22,0)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7" s="14" t="str">
        <f t="shared" si="0"/>
        <v>4028</v>
      </c>
    </row>
    <row r="18" spans="1:17" s="2" customFormat="1" x14ac:dyDescent="0.25">
      <c r="A18" s="18">
        <v>42546.369560185187</v>
      </c>
      <c r="B18" s="17" t="s">
        <v>479</v>
      </c>
      <c r="C18" s="17" t="s">
        <v>293</v>
      </c>
      <c r="D18" s="17" t="s">
        <v>55</v>
      </c>
      <c r="E18" s="17" t="s">
        <v>58</v>
      </c>
      <c r="F18" s="17">
        <v>200</v>
      </c>
      <c r="G18" s="17">
        <v>254</v>
      </c>
      <c r="H18" s="17">
        <v>27525</v>
      </c>
      <c r="I18" s="17" t="s">
        <v>59</v>
      </c>
      <c r="J18" s="17">
        <v>27333</v>
      </c>
      <c r="K18" s="16" t="s">
        <v>53</v>
      </c>
      <c r="L18" s="16" t="str">
        <f>VLOOKUP(C18,'Trips&amp;Operators'!$C$2:$E$10000,3,FALSE)</f>
        <v>CANFIELD</v>
      </c>
      <c r="M18" s="15" t="s">
        <v>149</v>
      </c>
      <c r="N18" s="16"/>
      <c r="P18" s="54" t="str">
        <f>VLOOKUP(C18,'Train Runs'!$A$13:$V$209,22,0)</f>
        <v>https://search-rtdc-monitor-bjffxe2xuh6vdkpspy63sjmuny.us-east-1.es.amazonaws.com/_plugin/kibana/#/discover/Steve-Slow-Train-Analysis-(2080s-and-2083s)?_g=(refreshInterval:(display:Off,section:0,value:0),time:(from:'2016-06-25 08:38:06-0600',mode:absolute,to:'2016-06-25 09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8" s="14" t="str">
        <f t="shared" si="0"/>
        <v>4027</v>
      </c>
    </row>
    <row r="19" spans="1:17" s="2" customFormat="1" x14ac:dyDescent="0.25">
      <c r="A19" s="78">
        <v>42546.523923611108</v>
      </c>
      <c r="B19" s="66" t="s">
        <v>106</v>
      </c>
      <c r="C19" s="66" t="s">
        <v>340</v>
      </c>
      <c r="D19" s="66" t="s">
        <v>50</v>
      </c>
      <c r="E19" s="66" t="s">
        <v>58</v>
      </c>
      <c r="F19" s="66">
        <v>400</v>
      </c>
      <c r="G19" s="66">
        <v>524</v>
      </c>
      <c r="H19" s="66">
        <v>16241</v>
      </c>
      <c r="I19" s="66" t="s">
        <v>59</v>
      </c>
      <c r="J19" s="66">
        <v>17867</v>
      </c>
      <c r="K19" s="66" t="s">
        <v>53</v>
      </c>
      <c r="L19" s="16" t="str">
        <f>VLOOKUP(C19,'Trips&amp;Operators'!$C$2:$E$10000,3,FALSE)</f>
        <v>MAYBERRY</v>
      </c>
      <c r="M19" s="15" t="s">
        <v>149</v>
      </c>
      <c r="N19" s="16"/>
      <c r="P19" s="54" t="str">
        <f>VLOOKUP(C19,'Train Runs'!$A$13:$V$209,22,0)</f>
        <v>https://search-rtdc-monitor-bjffxe2xuh6vdkpspy63sjmuny.us-east-1.es.amazonaws.com/_plugin/kibana/#/discover/Steve-Slow-Train-Analysis-(2080s-and-2083s)?_g=(refreshInterval:(display:Off,section:0,value:0),time:(from:'2016-06-25 12:24:13-0600',mode:absolute,to:'2016-06-25 13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9" s="14" t="str">
        <f t="shared" si="0"/>
        <v>4042</v>
      </c>
    </row>
    <row r="20" spans="1:17" s="2" customFormat="1" x14ac:dyDescent="0.25">
      <c r="A20" s="18">
        <v>42546.660416666666</v>
      </c>
      <c r="B20" s="17" t="s">
        <v>219</v>
      </c>
      <c r="C20" s="17" t="s">
        <v>401</v>
      </c>
      <c r="D20" s="17" t="s">
        <v>50</v>
      </c>
      <c r="E20" s="17" t="s">
        <v>58</v>
      </c>
      <c r="F20" s="17">
        <v>150</v>
      </c>
      <c r="G20" s="17">
        <v>141</v>
      </c>
      <c r="H20" s="17">
        <v>231519</v>
      </c>
      <c r="I20" s="17" t="s">
        <v>59</v>
      </c>
      <c r="J20" s="17">
        <v>232107</v>
      </c>
      <c r="K20" s="16" t="s">
        <v>53</v>
      </c>
      <c r="L20" s="16" t="str">
        <f>VLOOKUP(C20,'Trips&amp;Operators'!$C$2:$E$10000,3,FALSE)</f>
        <v>LOCKLEAR</v>
      </c>
      <c r="M20" s="15" t="s">
        <v>149</v>
      </c>
      <c r="N20" s="16"/>
      <c r="P20" s="54" t="str">
        <f>VLOOKUP(C20,'Train Runs'!$A$13:$V$209,22,0)</f>
        <v>https://search-rtdc-monitor-bjffxe2xuh6vdkpspy63sjmuny.us-east-1.es.amazonaws.com/_plugin/kibana/#/discover/Steve-Slow-Train-Analysis-(2080s-and-2083s)?_g=(refreshInterval:(display:Off,section:0,value:0),time:(from:'2016-06-25 15:08:47-0600',mode:absolute,to:'2016-06-25 15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0" s="14" t="str">
        <f t="shared" si="0"/>
        <v>4024</v>
      </c>
    </row>
    <row r="21" spans="1:17" s="2" customFormat="1" x14ac:dyDescent="0.25">
      <c r="A21" s="78">
        <v>42546.691122685188</v>
      </c>
      <c r="B21" s="66" t="s">
        <v>481</v>
      </c>
      <c r="C21" s="66" t="s">
        <v>407</v>
      </c>
      <c r="D21" s="66" t="s">
        <v>55</v>
      </c>
      <c r="E21" s="66" t="s">
        <v>58</v>
      </c>
      <c r="F21" s="66">
        <v>600</v>
      </c>
      <c r="G21" s="66">
        <v>651</v>
      </c>
      <c r="H21" s="66">
        <v>184550</v>
      </c>
      <c r="I21" s="66" t="s">
        <v>59</v>
      </c>
      <c r="J21" s="66">
        <v>190834</v>
      </c>
      <c r="K21" s="66" t="s">
        <v>54</v>
      </c>
      <c r="L21" s="16" t="str">
        <f>VLOOKUP(C21,'Trips&amp;Operators'!$C$2:$E$10000,3,FALSE)</f>
        <v>ACKERMAN</v>
      </c>
      <c r="M21" s="15" t="s">
        <v>149</v>
      </c>
      <c r="N21" s="16"/>
      <c r="P21" s="54" t="str">
        <f>VLOOKUP(C21,'Train Runs'!$A$13:$V$209,22,0)</f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1" s="14" t="str">
        <f t="shared" si="0"/>
        <v>4013</v>
      </c>
    </row>
    <row r="22" spans="1:17" s="2" customFormat="1" x14ac:dyDescent="0.25">
      <c r="A22" s="18">
        <v>42546.797349537039</v>
      </c>
      <c r="B22" s="17" t="s">
        <v>480</v>
      </c>
      <c r="C22" s="17" t="s">
        <v>444</v>
      </c>
      <c r="D22" s="17" t="s">
        <v>55</v>
      </c>
      <c r="E22" s="17" t="s">
        <v>58</v>
      </c>
      <c r="F22" s="17">
        <v>200</v>
      </c>
      <c r="G22" s="17">
        <v>251</v>
      </c>
      <c r="H22" s="17">
        <v>28850</v>
      </c>
      <c r="I22" s="17" t="s">
        <v>59</v>
      </c>
      <c r="J22" s="17">
        <v>27333</v>
      </c>
      <c r="K22" s="16" t="s">
        <v>53</v>
      </c>
      <c r="L22" s="16" t="str">
        <f>VLOOKUP(C22,'Trips&amp;Operators'!$C$2:$E$10000,3,FALSE)</f>
        <v>ADANE</v>
      </c>
      <c r="M22" s="15" t="s">
        <v>149</v>
      </c>
      <c r="N22" s="16"/>
      <c r="P22" s="54" t="str">
        <f>VLOOKUP(C22,'Train Runs'!$A$13:$V$209,22,0)</f>
        <v>https://search-rtdc-monitor-bjffxe2xuh6vdkpspy63sjmuny.us-east-1.es.amazonaws.com/_plugin/kibana/#/discover/Steve-Slow-Train-Analysis-(2080s-and-2083s)?_g=(refreshInterval:(display:Off,section:0,value:0),time:(from:'2016-06-25 18:55:57-0600',mode:absolute,to:'2016-06-25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2" s="14" t="str">
        <f t="shared" si="0"/>
        <v>4014</v>
      </c>
    </row>
    <row r="23" spans="1:17" s="2" customFormat="1" x14ac:dyDescent="0.25">
      <c r="A23" s="78">
        <v>42547.003668981481</v>
      </c>
      <c r="B23" s="66" t="s">
        <v>481</v>
      </c>
      <c r="C23" s="66" t="s">
        <v>465</v>
      </c>
      <c r="D23" s="66" t="s">
        <v>55</v>
      </c>
      <c r="E23" s="66" t="s">
        <v>58</v>
      </c>
      <c r="F23" s="66">
        <v>700</v>
      </c>
      <c r="G23" s="66">
        <v>751</v>
      </c>
      <c r="H23" s="66">
        <v>180940</v>
      </c>
      <c r="I23" s="66" t="s">
        <v>59</v>
      </c>
      <c r="J23" s="66">
        <v>183829</v>
      </c>
      <c r="K23" s="66" t="s">
        <v>54</v>
      </c>
      <c r="L23" s="16" t="str">
        <f>VLOOKUP(C23,'Trips&amp;Operators'!$C$2:$E$10000,3,FALSE)</f>
        <v>ADANE</v>
      </c>
      <c r="M23" s="15" t="s">
        <v>149</v>
      </c>
      <c r="N23" s="16"/>
      <c r="P23" s="54" t="str">
        <f>VLOOKUP(C23,'Train Runs'!$A$13:$V$209,22,0)</f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3" s="14" t="str">
        <f t="shared" si="0"/>
        <v>4013</v>
      </c>
    </row>
    <row r="24" spans="1:17" s="2" customFormat="1" x14ac:dyDescent="0.25">
      <c r="A24" s="18">
        <v>42546.391655092593</v>
      </c>
      <c r="B24" s="17" t="s">
        <v>220</v>
      </c>
      <c r="C24" s="17" t="s">
        <v>287</v>
      </c>
      <c r="D24" s="17" t="s">
        <v>50</v>
      </c>
      <c r="E24" s="17" t="s">
        <v>56</v>
      </c>
      <c r="F24" s="17">
        <v>0</v>
      </c>
      <c r="G24" s="17">
        <v>396</v>
      </c>
      <c r="H24" s="17">
        <v>129103</v>
      </c>
      <c r="I24" s="17" t="s">
        <v>57</v>
      </c>
      <c r="J24" s="17">
        <v>127587</v>
      </c>
      <c r="K24" s="16" t="s">
        <v>54</v>
      </c>
      <c r="L24" s="16" t="str">
        <f>VLOOKUP(C24,'Trips&amp;Operators'!$C$2:$E$10000,3,FALSE)</f>
        <v>MALAVE</v>
      </c>
      <c r="M24" s="15" t="s">
        <v>148</v>
      </c>
      <c r="N24" s="16"/>
      <c r="P24" s="54" t="str">
        <f>VLOOKUP(C24,'Train Runs'!$A$13:$V$209,22,0)</f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4" s="14" t="str">
        <f t="shared" si="0"/>
        <v>4023</v>
      </c>
    </row>
    <row r="25" spans="1:17" s="2" customFormat="1" x14ac:dyDescent="0.25">
      <c r="A25" s="18">
        <v>42546.427465277775</v>
      </c>
      <c r="B25" s="17" t="s">
        <v>480</v>
      </c>
      <c r="C25" s="17" t="s">
        <v>311</v>
      </c>
      <c r="D25" s="17" t="s">
        <v>55</v>
      </c>
      <c r="E25" s="17" t="s">
        <v>56</v>
      </c>
      <c r="F25" s="17">
        <v>0</v>
      </c>
      <c r="G25" s="17">
        <v>48</v>
      </c>
      <c r="H25" s="17">
        <v>1865</v>
      </c>
      <c r="I25" s="17" t="s">
        <v>57</v>
      </c>
      <c r="J25" s="17">
        <v>1692</v>
      </c>
      <c r="K25" s="16" t="s">
        <v>53</v>
      </c>
      <c r="L25" s="16" t="str">
        <f>VLOOKUP(C25,'Trips&amp;Operators'!$C$2:$E$10000,3,FALSE)</f>
        <v>ACKERMAN</v>
      </c>
      <c r="M25" s="15" t="s">
        <v>148</v>
      </c>
      <c r="N25" s="16"/>
      <c r="P25" s="54" t="str">
        <f>VLOOKUP(C25,'Train Runs'!$A$13:$V$209,22,0)</f>
        <v>https://search-rtdc-monitor-bjffxe2xuh6vdkpspy63sjmuny.us-east-1.es.amazonaws.com/_plugin/kibana/#/discover/Steve-Slow-Train-Analysis-(2080s-and-2083s)?_g=(refreshInterval:(display:Off,section:0,value:0),time:(from:'2016-06-25 10:11:21-0600',mode:absolute,to:'2016-06-25 10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4" t="str">
        <f t="shared" si="0"/>
        <v>4014</v>
      </c>
    </row>
    <row r="26" spans="1:17" s="2" customFormat="1" x14ac:dyDescent="0.25">
      <c r="A26" s="78">
        <v>42546.538611111115</v>
      </c>
      <c r="B26" s="66" t="s">
        <v>220</v>
      </c>
      <c r="C26" s="66" t="s">
        <v>331</v>
      </c>
      <c r="D26" s="66" t="s">
        <v>50</v>
      </c>
      <c r="E26" s="66" t="s">
        <v>56</v>
      </c>
      <c r="F26" s="66">
        <v>0</v>
      </c>
      <c r="G26" s="66">
        <v>86</v>
      </c>
      <c r="H26" s="66">
        <v>127805</v>
      </c>
      <c r="I26" s="66" t="s">
        <v>57</v>
      </c>
      <c r="J26" s="66">
        <v>127587</v>
      </c>
      <c r="K26" s="66" t="s">
        <v>54</v>
      </c>
      <c r="L26" s="16" t="str">
        <f>VLOOKUP(C26,'Trips&amp;Operators'!$C$2:$E$10000,3,FALSE)</f>
        <v>LOCKLEAR</v>
      </c>
      <c r="M26" s="15" t="s">
        <v>148</v>
      </c>
      <c r="N26" s="16"/>
      <c r="P26" s="54" t="str">
        <f>VLOOKUP(C26,'Train Runs'!$A$13:$V$209,22,0)</f>
        <v>https://search-rtdc-monitor-bjffxe2xuh6vdkpspy63sjmuny.us-east-1.es.amazonaws.com/_plugin/kibana/#/discover/Steve-Slow-Train-Analysis-(2080s-and-2083s)?_g=(refreshInterval:(display:Off,section:0,value:0),time:(from:'2016-06-25 12:37:12-0600',mode:absolute,to:'2016-06-25 13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6" s="14" t="str">
        <f t="shared" si="0"/>
        <v>4023</v>
      </c>
    </row>
    <row r="27" spans="1:17" s="2" customFormat="1" x14ac:dyDescent="0.25">
      <c r="A27" s="18">
        <v>42546.559930555559</v>
      </c>
      <c r="B27" s="17" t="s">
        <v>481</v>
      </c>
      <c r="C27" s="17" t="s">
        <v>334</v>
      </c>
      <c r="D27" s="17" t="s">
        <v>50</v>
      </c>
      <c r="E27" s="17" t="s">
        <v>56</v>
      </c>
      <c r="F27" s="17">
        <v>0</v>
      </c>
      <c r="G27" s="17">
        <v>39</v>
      </c>
      <c r="H27" s="17">
        <v>36746</v>
      </c>
      <c r="I27" s="17" t="s">
        <v>57</v>
      </c>
      <c r="J27" s="17">
        <v>36657</v>
      </c>
      <c r="K27" s="16" t="s">
        <v>54</v>
      </c>
      <c r="L27" s="16" t="str">
        <f>VLOOKUP(C27,'Trips&amp;Operators'!$C$2:$E$10000,3,FALSE)</f>
        <v>ACKERMAN</v>
      </c>
      <c r="M27" s="15" t="s">
        <v>148</v>
      </c>
      <c r="N27" s="16"/>
      <c r="P27" s="54" t="str">
        <f>VLOOKUP(C27,'Train Runs'!$A$13:$V$209,22,0)</f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7" s="14" t="str">
        <f t="shared" si="0"/>
        <v>4013</v>
      </c>
    </row>
    <row r="28" spans="1:17" s="2" customFormat="1" x14ac:dyDescent="0.25">
      <c r="A28" s="78">
        <v>42546.706817129627</v>
      </c>
      <c r="B28" s="66" t="s">
        <v>481</v>
      </c>
      <c r="C28" s="66" t="s">
        <v>407</v>
      </c>
      <c r="D28" s="66" t="s">
        <v>50</v>
      </c>
      <c r="E28" s="66" t="s">
        <v>56</v>
      </c>
      <c r="F28" s="66">
        <v>0</v>
      </c>
      <c r="G28" s="66">
        <v>334</v>
      </c>
      <c r="H28" s="66">
        <v>37790</v>
      </c>
      <c r="I28" s="66" t="s">
        <v>57</v>
      </c>
      <c r="J28" s="66">
        <v>36657</v>
      </c>
      <c r="K28" s="66" t="s">
        <v>54</v>
      </c>
      <c r="L28" s="16" t="str">
        <f>VLOOKUP(C28,'Trips&amp;Operators'!$C$2:$E$10000,3,FALSE)</f>
        <v>ACKERMAN</v>
      </c>
      <c r="M28" s="15" t="s">
        <v>148</v>
      </c>
      <c r="N28" s="16"/>
      <c r="P28" s="54" t="str">
        <f>VLOOKUP(C28,'Train Runs'!$A$13:$V$209,22,0)</f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8" s="14" t="str">
        <f t="shared" si="0"/>
        <v>4013</v>
      </c>
    </row>
    <row r="29" spans="1:17" s="2" customFormat="1" x14ac:dyDescent="0.25">
      <c r="A29" s="78">
        <v>42546.222719907404</v>
      </c>
      <c r="B29" s="66" t="s">
        <v>478</v>
      </c>
      <c r="C29" s="66" t="s">
        <v>241</v>
      </c>
      <c r="D29" s="66" t="s">
        <v>50</v>
      </c>
      <c r="E29" s="66" t="s">
        <v>146</v>
      </c>
      <c r="F29" s="66">
        <v>0</v>
      </c>
      <c r="G29" s="66">
        <v>471</v>
      </c>
      <c r="H29" s="66">
        <v>158091</v>
      </c>
      <c r="I29" s="66" t="s">
        <v>147</v>
      </c>
      <c r="J29" s="66">
        <v>156300</v>
      </c>
      <c r="K29" s="66" t="s">
        <v>54</v>
      </c>
      <c r="L29" s="16" t="str">
        <f>VLOOKUP(C29,'Trips&amp;Operators'!$C$2:$E$10000,3,FALSE)</f>
        <v>YORK</v>
      </c>
      <c r="M29" s="15" t="s">
        <v>148</v>
      </c>
      <c r="N29" s="16"/>
      <c r="P29" s="54" t="str">
        <f>VLOOKUP(C29,'Train Runs'!$A$13:$V$209,22,0)</f>
        <v>https://search-rtdc-monitor-bjffxe2xuh6vdkpspy63sjmuny.us-east-1.es.amazonaws.com/_plugin/kibana/#/discover/Steve-Slow-Train-Analysis-(2080s-and-2083s)?_g=(refreshInterval:(display:Off,section:0,value:0),time:(from:'2016-06-25 04:53:05-0600',mode:absolute,to:'2016-06-25 05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9" s="14" t="str">
        <f t="shared" si="0"/>
        <v>4026</v>
      </c>
    </row>
    <row r="30" spans="1:17" s="2" customFormat="1" x14ac:dyDescent="0.25">
      <c r="A30" s="78">
        <v>42546.539814814816</v>
      </c>
      <c r="B30" s="66" t="s">
        <v>481</v>
      </c>
      <c r="C30" s="66" t="s">
        <v>334</v>
      </c>
      <c r="D30" s="66" t="s">
        <v>55</v>
      </c>
      <c r="E30" s="66" t="s">
        <v>146</v>
      </c>
      <c r="F30" s="66">
        <v>0</v>
      </c>
      <c r="G30" s="66">
        <v>172</v>
      </c>
      <c r="H30" s="66">
        <v>230786</v>
      </c>
      <c r="I30" s="66" t="s">
        <v>147</v>
      </c>
      <c r="J30" s="66">
        <v>231147</v>
      </c>
      <c r="K30" s="66" t="s">
        <v>54</v>
      </c>
      <c r="L30" s="16" t="str">
        <f>VLOOKUP(C30,'Trips&amp;Operators'!$C$2:$E$10000,3,FALSE)</f>
        <v>ACKERMAN</v>
      </c>
      <c r="M30" s="15" t="s">
        <v>148</v>
      </c>
      <c r="N30" s="16"/>
      <c r="P30" s="54" t="str">
        <f>VLOOKUP(C30,'Train Runs'!$A$13:$V$209,22,0)</f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4" t="str">
        <f t="shared" si="0"/>
        <v>4013</v>
      </c>
    </row>
    <row r="31" spans="1:17" s="2" customFormat="1" x14ac:dyDescent="0.25">
      <c r="A31" s="78">
        <v>42546.182488425926</v>
      </c>
      <c r="B31" s="66" t="s">
        <v>106</v>
      </c>
      <c r="C31" s="66" t="s">
        <v>237</v>
      </c>
      <c r="D31" s="66" t="s">
        <v>50</v>
      </c>
      <c r="E31" s="66" t="s">
        <v>51</v>
      </c>
      <c r="F31" s="66">
        <v>0</v>
      </c>
      <c r="G31" s="66">
        <v>9</v>
      </c>
      <c r="H31" s="66">
        <v>233322</v>
      </c>
      <c r="I31" s="66" t="s">
        <v>52</v>
      </c>
      <c r="J31" s="66">
        <v>233491</v>
      </c>
      <c r="K31" s="66" t="s">
        <v>53</v>
      </c>
      <c r="L31" s="16" t="str">
        <f>VLOOKUP(C31,'Trips&amp;Operators'!$C$2:$E$10000,3,FALSE)</f>
        <v>STURGEON</v>
      </c>
      <c r="M31" s="15" t="s">
        <v>149</v>
      </c>
      <c r="N31" s="16"/>
      <c r="P31" s="54" t="str">
        <f>VLOOKUP(C31,'Train Runs'!$A$13:$V$209,22,0)</f>
        <v>https://search-rtdc-monitor-bjffxe2xuh6vdkpspy63sjmuny.us-east-1.es.amazonaws.com/_plugin/kibana/#/discover/Steve-Slow-Train-Analysis-(2080s-and-2083s)?_g=(refreshInterval:(display:Off,section:0,value:0),time:(from:'2016-06-25 03:36:56-0600',mode:absolute,to:'2016-06-25 04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1" s="14" t="str">
        <f t="shared" ref="Q31:Q32" si="1">MID(B31,13,4)</f>
        <v>4042</v>
      </c>
    </row>
    <row r="32" spans="1:17" s="2" customFormat="1" x14ac:dyDescent="0.25">
      <c r="A32" s="78">
        <v>42546.263854166667</v>
      </c>
      <c r="B32" s="66" t="s">
        <v>220</v>
      </c>
      <c r="C32" s="66" t="s">
        <v>248</v>
      </c>
      <c r="D32" s="66" t="s">
        <v>50</v>
      </c>
      <c r="E32" s="66" t="s">
        <v>51</v>
      </c>
      <c r="F32" s="66">
        <v>0</v>
      </c>
      <c r="G32" s="66">
        <v>6</v>
      </c>
      <c r="H32" s="66">
        <v>121</v>
      </c>
      <c r="I32" s="66" t="s">
        <v>52</v>
      </c>
      <c r="J32" s="66">
        <v>1</v>
      </c>
      <c r="K32" s="66" t="s">
        <v>54</v>
      </c>
      <c r="L32" s="16" t="str">
        <f>VLOOKUP(C32,'Trips&amp;Operators'!$C$2:$E$10000,3,FALSE)</f>
        <v>MALAVE</v>
      </c>
      <c r="M32" s="15" t="s">
        <v>149</v>
      </c>
      <c r="N32" s="16"/>
      <c r="P32" s="54" t="str">
        <f>VLOOKUP(C32,'Train Runs'!$A$13:$V$209,22,0)</f>
        <v>https://search-rtdc-monitor-bjffxe2xuh6vdkpspy63sjmuny.us-east-1.es.amazonaws.com/_plugin/kibana/#/discover/Steve-Slow-Train-Analysis-(2080s-and-2083s)?_g=(refreshInterval:(display:Off,section:0,value:0),time:(from:'2016-06-25 05:35:18-0600',mode:absolute,to:'2016-06-25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2" s="14" t="str">
        <f t="shared" si="1"/>
        <v>4023</v>
      </c>
    </row>
    <row r="33" spans="1:17" x14ac:dyDescent="0.25">
      <c r="A33" s="18">
        <v>42546.296400462961</v>
      </c>
      <c r="B33" s="17" t="s">
        <v>219</v>
      </c>
      <c r="C33" s="17" t="s">
        <v>265</v>
      </c>
      <c r="D33" s="17" t="s">
        <v>50</v>
      </c>
      <c r="E33" s="17" t="s">
        <v>51</v>
      </c>
      <c r="F33" s="17">
        <v>0</v>
      </c>
      <c r="G33" s="17">
        <v>6</v>
      </c>
      <c r="H33" s="17">
        <v>233318</v>
      </c>
      <c r="I33" s="17" t="s">
        <v>52</v>
      </c>
      <c r="J33" s="17">
        <v>233491</v>
      </c>
      <c r="K33" s="16" t="s">
        <v>53</v>
      </c>
      <c r="L33" s="16" t="str">
        <f>VLOOKUP(C33,'Trips&amp;Operators'!$C$2:$E$10000,3,FALSE)</f>
        <v>MALAVE</v>
      </c>
      <c r="M33" s="15" t="s">
        <v>149</v>
      </c>
      <c r="N33" s="16"/>
      <c r="O33" s="2"/>
      <c r="P33" s="54" t="str">
        <f>VLOOKUP(C33,'Train Runs'!$A$13:$V$209,22,0)</f>
        <v>https://search-rtdc-monitor-bjffxe2xuh6vdkpspy63sjmuny.us-east-1.es.amazonaws.com/_plugin/kibana/#/discover/Steve-Slow-Train-Analysis-(2080s-and-2083s)?_g=(refreshInterval:(display:Off,section:0,value:0),time:(from:'2016-06-25 06:27:07-0600',mode:absolute,to:'2016-06-25 07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3" s="14" t="str">
        <f t="shared" ref="Q33:Q81" si="2">MID(B33,13,4)</f>
        <v>4024</v>
      </c>
    </row>
    <row r="34" spans="1:17" x14ac:dyDescent="0.25">
      <c r="A34" s="78">
        <v>42546.336643518516</v>
      </c>
      <c r="B34" s="66" t="s">
        <v>220</v>
      </c>
      <c r="C34" s="66" t="s">
        <v>266</v>
      </c>
      <c r="D34" s="66" t="s">
        <v>50</v>
      </c>
      <c r="E34" s="66" t="s">
        <v>51</v>
      </c>
      <c r="F34" s="66">
        <v>0</v>
      </c>
      <c r="G34" s="66">
        <v>7</v>
      </c>
      <c r="H34" s="66">
        <v>127</v>
      </c>
      <c r="I34" s="66" t="s">
        <v>52</v>
      </c>
      <c r="J34" s="66">
        <v>1</v>
      </c>
      <c r="K34" s="66" t="s">
        <v>54</v>
      </c>
      <c r="L34" s="16" t="str">
        <f>VLOOKUP(C34,'Trips&amp;Operators'!$C$2:$E$10000,3,FALSE)</f>
        <v>MALAVE</v>
      </c>
      <c r="M34" s="15" t="s">
        <v>149</v>
      </c>
      <c r="N34" s="16"/>
      <c r="O34" s="2"/>
      <c r="P34" s="54" t="str">
        <f>VLOOKUP(C34,'Train Runs'!$A$13:$V$209,22,0)</f>
        <v>https://search-rtdc-monitor-bjffxe2xuh6vdkpspy63sjmuny.us-east-1.es.amazonaws.com/_plugin/kibana/#/discover/Steve-Slow-Train-Analysis-(2080s-and-2083s)?_g=(refreshInterval:(display:Off,section:0,value:0),time:(from:'2016-06-25 07:21:50-0600',mode:absolute,to:'2016-06-25 08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4" s="14" t="str">
        <f t="shared" si="2"/>
        <v>4023</v>
      </c>
    </row>
    <row r="35" spans="1:17" x14ac:dyDescent="0.25">
      <c r="A35" s="18">
        <v>42546.307152777779</v>
      </c>
      <c r="B35" s="17" t="s">
        <v>82</v>
      </c>
      <c r="C35" s="17" t="s">
        <v>267</v>
      </c>
      <c r="D35" s="17" t="s">
        <v>50</v>
      </c>
      <c r="E35" s="17" t="s">
        <v>51</v>
      </c>
      <c r="F35" s="17">
        <v>0</v>
      </c>
      <c r="G35" s="17">
        <v>4</v>
      </c>
      <c r="H35" s="17">
        <v>233338</v>
      </c>
      <c r="I35" s="17" t="s">
        <v>52</v>
      </c>
      <c r="J35" s="17">
        <v>233491</v>
      </c>
      <c r="K35" s="16" t="s">
        <v>53</v>
      </c>
      <c r="L35" s="16" t="str">
        <f>VLOOKUP(C35,'Trips&amp;Operators'!$C$2:$E$10000,3,FALSE)</f>
        <v>GEBRETEKLE</v>
      </c>
      <c r="M35" s="15" t="s">
        <v>149</v>
      </c>
      <c r="N35" s="16"/>
      <c r="O35" s="2"/>
      <c r="P35" s="54" t="str">
        <f>VLOOKUP(C35,'Train Runs'!$A$13:$V$209,22,0)</f>
        <v>https://search-rtdc-monitor-bjffxe2xuh6vdkpspy63sjmuny.us-east-1.es.amazonaws.com/_plugin/kibana/#/discover/Steve-Slow-Train-Analysis-(2080s-and-2083s)?_g=(refreshInterval:(display:Off,section:0,value:0),time:(from:'2016-06-25 06:38:17-0600',mode:absolute,to:'2016-06-25 07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5" s="14" t="str">
        <f t="shared" si="2"/>
        <v>4020</v>
      </c>
    </row>
    <row r="36" spans="1:17" x14ac:dyDescent="0.25">
      <c r="A36" s="18">
        <v>42546.39916666667</v>
      </c>
      <c r="B36" s="17" t="s">
        <v>89</v>
      </c>
      <c r="C36" s="17" t="s">
        <v>284</v>
      </c>
      <c r="D36" s="17" t="s">
        <v>50</v>
      </c>
      <c r="E36" s="17" t="s">
        <v>51</v>
      </c>
      <c r="F36" s="17">
        <v>0</v>
      </c>
      <c r="G36" s="17">
        <v>35</v>
      </c>
      <c r="H36" s="17">
        <v>129</v>
      </c>
      <c r="I36" s="17" t="s">
        <v>52</v>
      </c>
      <c r="J36" s="17">
        <v>1</v>
      </c>
      <c r="K36" s="16" t="s">
        <v>54</v>
      </c>
      <c r="L36" s="16" t="str">
        <f>VLOOKUP(C36,'Trips&amp;Operators'!$C$2:$E$10000,3,FALSE)</f>
        <v>SANTIZO</v>
      </c>
      <c r="M36" s="15" t="s">
        <v>149</v>
      </c>
      <c r="N36" s="16"/>
      <c r="O36" s="2"/>
      <c r="P36" s="54" t="str">
        <f>VLOOKUP(C36,'Train Runs'!$A$13:$V$209,22,0)</f>
        <v>https://search-rtdc-monitor-bjffxe2xuh6vdkpspy63sjmuny.us-east-1.es.amazonaws.com/_plugin/kibana/#/discover/Steve-Slow-Train-Analysis-(2080s-and-2083s)?_g=(refreshInterval:(display:Off,section:0,value:0),time:(from:'2016-06-25 08:38:05-0600',mode:absolute,to:'2016-06-25 09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6" s="14" t="str">
        <f t="shared" si="2"/>
        <v>4008</v>
      </c>
    </row>
    <row r="37" spans="1:17" x14ac:dyDescent="0.25">
      <c r="A37" s="18">
        <v>42546.410069444442</v>
      </c>
      <c r="B37" s="17" t="s">
        <v>220</v>
      </c>
      <c r="C37" s="17" t="s">
        <v>287</v>
      </c>
      <c r="D37" s="17" t="s">
        <v>50</v>
      </c>
      <c r="E37" s="17" t="s">
        <v>51</v>
      </c>
      <c r="F37" s="17">
        <v>0</v>
      </c>
      <c r="G37" s="17">
        <v>6</v>
      </c>
      <c r="H37" s="17">
        <v>129</v>
      </c>
      <c r="I37" s="17" t="s">
        <v>52</v>
      </c>
      <c r="J37" s="17">
        <v>1</v>
      </c>
      <c r="K37" s="16" t="s">
        <v>54</v>
      </c>
      <c r="L37" s="16" t="str">
        <f>VLOOKUP(C37,'Trips&amp;Operators'!$C$2:$E$10000,3,FALSE)</f>
        <v>MALAVE</v>
      </c>
      <c r="M37" s="15" t="s">
        <v>149</v>
      </c>
      <c r="N37" s="16"/>
      <c r="O37" s="2"/>
      <c r="P37" s="54" t="str">
        <f>VLOOKUP(C37,'Train Runs'!$A$13:$V$209,22,0)</f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7" s="14" t="str">
        <f t="shared" si="2"/>
        <v>4023</v>
      </c>
    </row>
    <row r="38" spans="1:17" x14ac:dyDescent="0.25">
      <c r="A38" s="78">
        <v>42546.419050925928</v>
      </c>
      <c r="B38" s="66" t="s">
        <v>81</v>
      </c>
      <c r="C38" s="66" t="s">
        <v>291</v>
      </c>
      <c r="D38" s="66" t="s">
        <v>50</v>
      </c>
      <c r="E38" s="66" t="s">
        <v>51</v>
      </c>
      <c r="F38" s="66">
        <v>0</v>
      </c>
      <c r="G38" s="66">
        <v>9</v>
      </c>
      <c r="H38" s="66">
        <v>172</v>
      </c>
      <c r="I38" s="66" t="s">
        <v>52</v>
      </c>
      <c r="J38" s="66">
        <v>1</v>
      </c>
      <c r="K38" s="66" t="s">
        <v>54</v>
      </c>
      <c r="L38" s="16" t="str">
        <f>VLOOKUP(C38,'Trips&amp;Operators'!$C$2:$E$10000,3,FALSE)</f>
        <v>GEBRETEKLE</v>
      </c>
      <c r="M38" s="15" t="s">
        <v>149</v>
      </c>
      <c r="N38" s="16"/>
      <c r="O38" s="2"/>
      <c r="P38" s="54" t="str">
        <f>VLOOKUP(C38,'Train Runs'!$A$13:$V$209,22,0)</f>
        <v>https://search-rtdc-monitor-bjffxe2xuh6vdkpspy63sjmuny.us-east-1.es.amazonaws.com/_plugin/kibana/#/discover/Steve-Slow-Train-Analysis-(2080s-and-2083s)?_g=(refreshInterval:(display:Off,section:0,value:0),time:(from:'2016-06-25 09:17:42-0600',mode:absolute,to:'2016-06-25 10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8" s="14" t="str">
        <f t="shared" si="2"/>
        <v>4019</v>
      </c>
    </row>
    <row r="39" spans="1:17" x14ac:dyDescent="0.25">
      <c r="A39" s="78">
        <v>42546.440706018519</v>
      </c>
      <c r="B39" s="66" t="s">
        <v>105</v>
      </c>
      <c r="C39" s="66" t="s">
        <v>297</v>
      </c>
      <c r="D39" s="66" t="s">
        <v>50</v>
      </c>
      <c r="E39" s="66" t="s">
        <v>51</v>
      </c>
      <c r="F39" s="66">
        <v>0</v>
      </c>
      <c r="G39" s="66">
        <v>8</v>
      </c>
      <c r="H39" s="66">
        <v>324</v>
      </c>
      <c r="I39" s="66" t="s">
        <v>52</v>
      </c>
      <c r="J39" s="66">
        <v>1</v>
      </c>
      <c r="K39" s="66" t="s">
        <v>54</v>
      </c>
      <c r="L39" s="16" t="str">
        <f>VLOOKUP(C39,'Trips&amp;Operators'!$C$2:$E$10000,3,FALSE)</f>
        <v>NELSON</v>
      </c>
      <c r="M39" s="15" t="s">
        <v>149</v>
      </c>
      <c r="N39" s="16"/>
      <c r="O39" s="2"/>
      <c r="P39" s="54" t="str">
        <f>VLOOKUP(C39,'Train Runs'!$A$13:$V$209,22,0)</f>
        <v>https://search-rtdc-monitor-bjffxe2xuh6vdkpspy63sjmuny.us-east-1.es.amazonaws.com/_plugin/kibana/#/discover/Steve-Slow-Train-Analysis-(2080s-and-2083s)?_g=(refreshInterval:(display:Off,section:0,value:0),time:(from:'2016-06-25 09:49:00-0600',mode:absolute,to:'2016-06-25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4" t="str">
        <f t="shared" si="2"/>
        <v>4041</v>
      </c>
    </row>
    <row r="40" spans="1:17" x14ac:dyDescent="0.25">
      <c r="A40" s="18">
        <v>42546.474120370367</v>
      </c>
      <c r="B40" s="17" t="s">
        <v>106</v>
      </c>
      <c r="C40" s="17" t="s">
        <v>319</v>
      </c>
      <c r="D40" s="17" t="s">
        <v>50</v>
      </c>
      <c r="E40" s="17" t="s">
        <v>51</v>
      </c>
      <c r="F40" s="17">
        <v>0</v>
      </c>
      <c r="G40" s="17">
        <v>52</v>
      </c>
      <c r="H40" s="17">
        <v>233298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MAYBERRY</v>
      </c>
      <c r="M40" s="15" t="s">
        <v>149</v>
      </c>
      <c r="N40" s="16"/>
      <c r="O40" s="2"/>
      <c r="P40" s="54" t="str">
        <f>VLOOKUP(C40,'Train Runs'!$A$13:$V$209,22,0)</f>
        <v>https://search-rtdc-monitor-bjffxe2xuh6vdkpspy63sjmuny.us-east-1.es.amazonaws.com/_plugin/kibana/#/discover/Steve-Slow-Train-Analysis-(2080s-and-2083s)?_g=(refreshInterval:(display:Off,section:0,value:0),time:(from:'2016-06-25 10:38:18-0600',mode:absolute,to:'2016-06-25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0" s="14" t="str">
        <f t="shared" si="2"/>
        <v>4042</v>
      </c>
    </row>
    <row r="41" spans="1:17" x14ac:dyDescent="0.25">
      <c r="A41" s="78">
        <v>42546.524444444447</v>
      </c>
      <c r="B41" s="66" t="s">
        <v>478</v>
      </c>
      <c r="C41" s="66" t="s">
        <v>323</v>
      </c>
      <c r="D41" s="66" t="s">
        <v>50</v>
      </c>
      <c r="E41" s="66" t="s">
        <v>51</v>
      </c>
      <c r="F41" s="66">
        <v>0</v>
      </c>
      <c r="G41" s="66">
        <v>44</v>
      </c>
      <c r="H41" s="66">
        <v>143</v>
      </c>
      <c r="I41" s="66" t="s">
        <v>52</v>
      </c>
      <c r="J41" s="66">
        <v>1</v>
      </c>
      <c r="K41" s="66" t="s">
        <v>54</v>
      </c>
      <c r="L41" s="16" t="str">
        <f>VLOOKUP(C41,'Trips&amp;Operators'!$C$2:$E$10000,3,FALSE)</f>
        <v>NELSON</v>
      </c>
      <c r="M41" s="15" t="s">
        <v>149</v>
      </c>
      <c r="N41" s="16"/>
      <c r="O41" s="2"/>
      <c r="P41" s="54" t="str">
        <f>VLOOKUP(C41,'Train Runs'!$A$13:$V$209,22,0)</f>
        <v>https://search-rtdc-monitor-bjffxe2xuh6vdkpspy63sjmuny.us-east-1.es.amazonaws.com/_plugin/kibana/#/discover/Steve-Slow-Train-Analysis-(2080s-and-2083s)?_g=(refreshInterval:(display:Off,section:0,value:0),time:(from:'2016-06-25 11:48:35-0600',mode:absolute,to:'2016-06-25 12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1" s="14" t="str">
        <f t="shared" si="2"/>
        <v>4026</v>
      </c>
    </row>
    <row r="42" spans="1:17" x14ac:dyDescent="0.25">
      <c r="A42" s="18">
        <v>42546.55741898148</v>
      </c>
      <c r="B42" s="17" t="s">
        <v>482</v>
      </c>
      <c r="C42" s="17" t="s">
        <v>342</v>
      </c>
      <c r="D42" s="17" t="s">
        <v>50</v>
      </c>
      <c r="E42" s="17" t="s">
        <v>51</v>
      </c>
      <c r="F42" s="17">
        <v>0</v>
      </c>
      <c r="G42" s="17">
        <v>7</v>
      </c>
      <c r="H42" s="17">
        <v>233342</v>
      </c>
      <c r="I42" s="17" t="s">
        <v>52</v>
      </c>
      <c r="J42" s="17">
        <v>233491</v>
      </c>
      <c r="K42" s="16" t="s">
        <v>53</v>
      </c>
      <c r="L42" s="16" t="str">
        <f>VLOOKUP(C42,'Trips&amp;Operators'!$C$2:$E$10000,3,FALSE)</f>
        <v>WEBSTER</v>
      </c>
      <c r="M42" s="15" t="s">
        <v>149</v>
      </c>
      <c r="N42" s="16"/>
      <c r="O42" s="2"/>
      <c r="P42" s="54" t="str">
        <f>VLOOKUP(C42,'Train Runs'!$A$13:$V$209,22,0)</f>
        <v>https://search-rtdc-monitor-bjffxe2xuh6vdkpspy63sjmuny.us-east-1.es.amazonaws.com/_plugin/kibana/#/discover/Steve-Slow-Train-Analysis-(2080s-and-2083s)?_g=(refreshInterval:(display:Off,section:0,value:0),time:(from:'2016-06-25 12:37:58-0600',mode:absolute,to:'2016-06-25 13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2" s="14" t="str">
        <f t="shared" si="2"/>
        <v>4025</v>
      </c>
    </row>
    <row r="43" spans="1:17" x14ac:dyDescent="0.25">
      <c r="A43" s="18">
        <v>42546.608206018522</v>
      </c>
      <c r="B43" s="17" t="s">
        <v>483</v>
      </c>
      <c r="C43" s="17" t="s">
        <v>345</v>
      </c>
      <c r="D43" s="17" t="s">
        <v>50</v>
      </c>
      <c r="E43" s="17" t="s">
        <v>51</v>
      </c>
      <c r="F43" s="17">
        <v>0</v>
      </c>
      <c r="G43" s="17">
        <v>9</v>
      </c>
      <c r="H43" s="17">
        <v>134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RIVERA</v>
      </c>
      <c r="M43" s="15" t="s">
        <v>149</v>
      </c>
      <c r="N43" s="16"/>
      <c r="O43" s="2"/>
      <c r="P43" s="54" t="str">
        <f>VLOOKUP(C43,'Train Runs'!$A$13:$V$209,22,0)</f>
        <v>https://search-rtdc-monitor-bjffxe2xuh6vdkpspy63sjmuny.us-east-1.es.amazonaws.com/_plugin/kibana/#/discover/Steve-Slow-Train-Analysis-(2080s-and-2083s)?_g=(refreshInterval:(display:Off,section:0,value:0),time:(from:'2016-06-25 13:46:17-0600',mode:absolute,to:'2016-06-25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3" s="14" t="str">
        <f t="shared" si="2"/>
        <v>4043</v>
      </c>
    </row>
    <row r="44" spans="1:17" x14ac:dyDescent="0.25">
      <c r="A44" s="18">
        <v>42546.616944444446</v>
      </c>
      <c r="B44" s="17" t="s">
        <v>89</v>
      </c>
      <c r="C44" s="17" t="s">
        <v>349</v>
      </c>
      <c r="D44" s="17" t="s">
        <v>50</v>
      </c>
      <c r="E44" s="17" t="s">
        <v>51</v>
      </c>
      <c r="F44" s="17">
        <v>0</v>
      </c>
      <c r="G44" s="17">
        <v>5</v>
      </c>
      <c r="H44" s="17">
        <v>138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YANAI</v>
      </c>
      <c r="M44" s="15" t="s">
        <v>149</v>
      </c>
      <c r="N44" s="16"/>
      <c r="O44" s="2"/>
      <c r="P44" s="54" t="str">
        <f>VLOOKUP(C44,'Train Runs'!$A$13:$V$209,22,0)</f>
        <v>https://search-rtdc-monitor-bjffxe2xuh6vdkpspy63sjmuny.us-east-1.es.amazonaws.com/_plugin/kibana/#/discover/Steve-Slow-Train-Analysis-(2080s-and-2083s)?_g=(refreshInterval:(display:Off,section:0,value:0),time:(from:'2016-06-25 14:05:20-0600',mode:absolute,to:'2016-06-25 14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4" s="14" t="str">
        <f t="shared" si="2"/>
        <v>4008</v>
      </c>
    </row>
    <row r="45" spans="1:17" x14ac:dyDescent="0.25">
      <c r="A45" s="18">
        <v>42546.610358796293</v>
      </c>
      <c r="B45" s="17" t="s">
        <v>84</v>
      </c>
      <c r="C45" s="17" t="s">
        <v>386</v>
      </c>
      <c r="D45" s="17" t="s">
        <v>50</v>
      </c>
      <c r="E45" s="17" t="s">
        <v>51</v>
      </c>
      <c r="F45" s="17">
        <v>0</v>
      </c>
      <c r="G45" s="17">
        <v>9</v>
      </c>
      <c r="H45" s="17">
        <v>233322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STEWART</v>
      </c>
      <c r="M45" s="15" t="s">
        <v>149</v>
      </c>
      <c r="N45" s="16"/>
      <c r="O45" s="2"/>
      <c r="P45" s="54" t="str">
        <f>VLOOKUP(C45,'Train Runs'!$A$13:$V$209,22,0)</f>
        <v>https://search-rtdc-monitor-bjffxe2xuh6vdkpspy63sjmuny.us-east-1.es.amazonaws.com/_plugin/kibana/#/discover/Steve-Slow-Train-Analysis-(2080s-and-2083s)?_g=(refreshInterval:(display:Off,section:0,value:0),time:(from:'2016-06-25 13:51:55-0600',mode:absolute,to:'2016-06-25 14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5" s="14" t="str">
        <f t="shared" si="2"/>
        <v>4018</v>
      </c>
    </row>
    <row r="46" spans="1:17" x14ac:dyDescent="0.25">
      <c r="A46" s="18">
        <v>42546.620729166665</v>
      </c>
      <c r="B46" s="17" t="s">
        <v>106</v>
      </c>
      <c r="C46" s="17" t="s">
        <v>392</v>
      </c>
      <c r="D46" s="17" t="s">
        <v>50</v>
      </c>
      <c r="E46" s="17" t="s">
        <v>51</v>
      </c>
      <c r="F46" s="17">
        <v>0</v>
      </c>
      <c r="G46" s="17">
        <v>50</v>
      </c>
      <c r="H46" s="17">
        <v>233302</v>
      </c>
      <c r="I46" s="17" t="s">
        <v>52</v>
      </c>
      <c r="J46" s="17">
        <v>233491</v>
      </c>
      <c r="K46" s="16" t="s">
        <v>53</v>
      </c>
      <c r="L46" s="16" t="str">
        <f>VLOOKUP(C46,'Trips&amp;Operators'!$C$2:$E$10000,3,FALSE)</f>
        <v>MAYBERRY</v>
      </c>
      <c r="M46" s="15" t="s">
        <v>149</v>
      </c>
      <c r="N46" s="16"/>
      <c r="O46" s="2"/>
      <c r="P46" s="54" t="str">
        <f>VLOOKUP(C46,'Train Runs'!$A$13:$V$209,22,0)</f>
        <v>https://search-rtdc-monitor-bjffxe2xuh6vdkpspy63sjmuny.us-east-1.es.amazonaws.com/_plugin/kibana/#/discover/Steve-Slow-Train-Analysis-(2080s-and-2083s)?_g=(refreshInterval:(display:Off,section:0,value:0),time:(from:'2016-06-25 14:06:27-0600',mode:absolute,to:'2016-06-25 14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6" s="14" t="str">
        <f t="shared" si="2"/>
        <v>4042</v>
      </c>
    </row>
    <row r="47" spans="1:17" x14ac:dyDescent="0.25">
      <c r="A47" s="78">
        <v>42546.67083333333</v>
      </c>
      <c r="B47" s="66" t="s">
        <v>478</v>
      </c>
      <c r="C47" s="66" t="s">
        <v>395</v>
      </c>
      <c r="D47" s="66" t="s">
        <v>50</v>
      </c>
      <c r="E47" s="66" t="s">
        <v>51</v>
      </c>
      <c r="F47" s="66">
        <v>0</v>
      </c>
      <c r="G47" s="66">
        <v>5</v>
      </c>
      <c r="H47" s="66">
        <v>118</v>
      </c>
      <c r="I47" s="66" t="s">
        <v>52</v>
      </c>
      <c r="J47" s="66">
        <v>1</v>
      </c>
      <c r="K47" s="66" t="s">
        <v>54</v>
      </c>
      <c r="L47" s="16" t="str">
        <f>VLOOKUP(C47,'Trips&amp;Operators'!$C$2:$E$10000,3,FALSE)</f>
        <v>WEBSTER</v>
      </c>
      <c r="M47" s="15" t="s">
        <v>149</v>
      </c>
      <c r="N47" s="16"/>
      <c r="O47" s="2"/>
      <c r="P47" s="54" t="str">
        <f>VLOOKUP(C47,'Train Runs'!$A$13:$V$209,22,0)</f>
        <v>https://search-rtdc-monitor-bjffxe2xuh6vdkpspy63sjmuny.us-east-1.es.amazonaws.com/_plugin/kibana/#/discover/Steve-Slow-Train-Analysis-(2080s-and-2083s)?_g=(refreshInterval:(display:Off,section:0,value:0),time:(from:'2016-06-25 15:23:13-0600',mode:absolute,to:'2016-06-25 16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7" s="14" t="str">
        <f t="shared" si="2"/>
        <v>4026</v>
      </c>
    </row>
    <row r="48" spans="1:17" x14ac:dyDescent="0.25">
      <c r="A48" s="78">
        <v>42546.705474537041</v>
      </c>
      <c r="B48" s="66" t="s">
        <v>482</v>
      </c>
      <c r="C48" s="66" t="s">
        <v>413</v>
      </c>
      <c r="D48" s="66" t="s">
        <v>50</v>
      </c>
      <c r="E48" s="66" t="s">
        <v>51</v>
      </c>
      <c r="F48" s="66">
        <v>0</v>
      </c>
      <c r="G48" s="66">
        <v>6</v>
      </c>
      <c r="H48" s="66">
        <v>233344</v>
      </c>
      <c r="I48" s="66" t="s">
        <v>52</v>
      </c>
      <c r="J48" s="66">
        <v>233491</v>
      </c>
      <c r="K48" s="66" t="s">
        <v>53</v>
      </c>
      <c r="L48" s="16" t="str">
        <f>VLOOKUP(C48,'Trips&amp;Operators'!$C$2:$E$10000,3,FALSE)</f>
        <v>WEBSTER</v>
      </c>
      <c r="M48" s="15" t="s">
        <v>149</v>
      </c>
      <c r="N48" s="16"/>
      <c r="O48" s="2"/>
      <c r="P48" s="54" t="str">
        <f>VLOOKUP(C48,'Train Runs'!$A$13:$V$209,22,0)</f>
        <v>https://search-rtdc-monitor-bjffxe2xuh6vdkpspy63sjmuny.us-east-1.es.amazonaws.com/_plugin/kibana/#/discover/Steve-Slow-Train-Analysis-(2080s-and-2083s)?_g=(refreshInterval:(display:Off,section:0,value:0),time:(from:'2016-06-25 16:09:49-0600',mode:absolute,to:'2016-06-25 16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8" s="14" t="str">
        <f t="shared" si="2"/>
        <v>4025</v>
      </c>
    </row>
    <row r="49" spans="1:17" x14ac:dyDescent="0.25">
      <c r="A49" s="18">
        <v>42546.763854166667</v>
      </c>
      <c r="B49" s="17" t="s">
        <v>89</v>
      </c>
      <c r="C49" s="17" t="s">
        <v>420</v>
      </c>
      <c r="D49" s="17" t="s">
        <v>50</v>
      </c>
      <c r="E49" s="17" t="s">
        <v>51</v>
      </c>
      <c r="F49" s="17">
        <v>0</v>
      </c>
      <c r="G49" s="17">
        <v>8</v>
      </c>
      <c r="H49" s="17">
        <v>1158</v>
      </c>
      <c r="I49" s="17" t="s">
        <v>52</v>
      </c>
      <c r="J49" s="17">
        <v>839</v>
      </c>
      <c r="K49" s="16" t="s">
        <v>54</v>
      </c>
      <c r="L49" s="16" t="str">
        <f>VLOOKUP(C49,'Trips&amp;Operators'!$C$2:$E$10000,3,FALSE)</f>
        <v>YANAI</v>
      </c>
      <c r="M49" s="15" t="s">
        <v>149</v>
      </c>
      <c r="N49" s="16"/>
      <c r="O49" s="2"/>
      <c r="P49" s="54" t="str">
        <f>VLOOKUP(C49,'Train Runs'!$A$13:$V$209,22,0)</f>
        <v>https://search-rtdc-monitor-bjffxe2xuh6vdkpspy63sjmuny.us-east-1.es.amazonaws.com/_plugin/kibana/#/discover/Steve-Slow-Train-Analysis-(2080s-and-2083s)?_g=(refreshInterval:(display:Off,section:0,value:0),time:(from:'2016-06-25 17:37:03-0600',mode:absolute,to:'2016-06-25 18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9" s="14" t="str">
        <f t="shared" si="2"/>
        <v>4008</v>
      </c>
    </row>
    <row r="50" spans="1:17" x14ac:dyDescent="0.25">
      <c r="A50" s="18">
        <v>42546.756041666667</v>
      </c>
      <c r="B50" s="17" t="s">
        <v>84</v>
      </c>
      <c r="C50" s="17" t="s">
        <v>429</v>
      </c>
      <c r="D50" s="17" t="s">
        <v>50</v>
      </c>
      <c r="E50" s="17" t="s">
        <v>51</v>
      </c>
      <c r="F50" s="17">
        <v>0</v>
      </c>
      <c r="G50" s="17">
        <v>91</v>
      </c>
      <c r="H50" s="17">
        <v>233167</v>
      </c>
      <c r="I50" s="17" t="s">
        <v>52</v>
      </c>
      <c r="J50" s="17">
        <v>233491</v>
      </c>
      <c r="K50" s="16" t="s">
        <v>53</v>
      </c>
      <c r="L50" s="16" t="str">
        <f>VLOOKUP(C50,'Trips&amp;Operators'!$C$2:$E$10000,3,FALSE)</f>
        <v>STEWART</v>
      </c>
      <c r="M50" s="15" t="s">
        <v>149</v>
      </c>
      <c r="N50" s="16"/>
      <c r="O50" s="2"/>
      <c r="P50" s="54" t="str">
        <f>VLOOKUP(C50,'Train Runs'!$A$13:$V$209,22,0)</f>
        <v>https://search-rtdc-monitor-bjffxe2xuh6vdkpspy63sjmuny.us-east-1.es.amazonaws.com/_plugin/kibana/#/discover/Steve-Slow-Train-Analysis-(2080s-and-2083s)?_g=(refreshInterval:(display:Off,section:0,value:0),time:(from:'2016-06-25 17:27:00-0600',mode:absolute,to:'2016-06-25 18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0" s="14" t="str">
        <f t="shared" si="2"/>
        <v>4018</v>
      </c>
    </row>
    <row r="51" spans="1:17" x14ac:dyDescent="0.25">
      <c r="A51" s="18">
        <v>42546.776446759257</v>
      </c>
      <c r="B51" s="17" t="s">
        <v>482</v>
      </c>
      <c r="C51" s="17" t="s">
        <v>437</v>
      </c>
      <c r="D51" s="17" t="s">
        <v>50</v>
      </c>
      <c r="E51" s="17" t="s">
        <v>51</v>
      </c>
      <c r="F51" s="17">
        <v>0</v>
      </c>
      <c r="G51" s="17">
        <v>7</v>
      </c>
      <c r="H51" s="17">
        <v>233339</v>
      </c>
      <c r="I51" s="17" t="s">
        <v>52</v>
      </c>
      <c r="J51" s="17">
        <v>233491</v>
      </c>
      <c r="K51" s="16" t="s">
        <v>53</v>
      </c>
      <c r="L51" s="16" t="str">
        <f>VLOOKUP(C51,'Trips&amp;Operators'!$C$2:$E$10000,3,FALSE)</f>
        <v>WEBSTER</v>
      </c>
      <c r="M51" s="15" t="s">
        <v>149</v>
      </c>
      <c r="N51" s="16"/>
      <c r="O51" s="2"/>
      <c r="P51" s="54" t="str">
        <f>VLOOKUP(C51,'Train Runs'!$A$13:$V$209,22,0)</f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1" s="14" t="str">
        <f t="shared" si="2"/>
        <v>4025</v>
      </c>
    </row>
    <row r="52" spans="1:17" x14ac:dyDescent="0.25">
      <c r="A52" s="18">
        <v>42546.786111111112</v>
      </c>
      <c r="B52" s="17" t="s">
        <v>486</v>
      </c>
      <c r="C52" s="17" t="s">
        <v>440</v>
      </c>
      <c r="D52" s="17" t="s">
        <v>50</v>
      </c>
      <c r="E52" s="17" t="s">
        <v>51</v>
      </c>
      <c r="F52" s="17">
        <v>0</v>
      </c>
      <c r="G52" s="17">
        <v>4</v>
      </c>
      <c r="H52" s="17">
        <v>233323</v>
      </c>
      <c r="I52" s="17" t="s">
        <v>52</v>
      </c>
      <c r="J52" s="17">
        <v>233491</v>
      </c>
      <c r="K52" s="16" t="s">
        <v>53</v>
      </c>
      <c r="L52" s="16" t="str">
        <f>VLOOKUP(C52,'Trips&amp;Operators'!$C$2:$E$10000,3,FALSE)</f>
        <v>BRUDER</v>
      </c>
      <c r="M52" s="15" t="s">
        <v>149</v>
      </c>
      <c r="N52" s="16"/>
      <c r="O52" s="2"/>
      <c r="P52" s="54" t="str">
        <f>VLOOKUP(C52,'Train Runs'!$A$13:$V$209,22,0)</f>
        <v>https://search-rtdc-monitor-bjffxe2xuh6vdkpspy63sjmuny.us-east-1.es.amazonaws.com/_plugin/kibana/#/discover/Steve-Slow-Train-Analysis-(2080s-and-2083s)?_g=(refreshInterval:(display:Off,section:0,value:0),time:(from:'2016-06-25 18:09:17-0600',mode:absolute,to:'2016-06-25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2" s="14" t="str">
        <f t="shared" si="2"/>
        <v>4044</v>
      </c>
    </row>
    <row r="53" spans="1:17" x14ac:dyDescent="0.25">
      <c r="A53" s="18">
        <v>42546.856585648151</v>
      </c>
      <c r="B53" s="17" t="s">
        <v>481</v>
      </c>
      <c r="C53" s="17" t="s">
        <v>445</v>
      </c>
      <c r="D53" s="17" t="s">
        <v>50</v>
      </c>
      <c r="E53" s="17" t="s">
        <v>51</v>
      </c>
      <c r="F53" s="17">
        <v>0</v>
      </c>
      <c r="G53" s="17">
        <v>7</v>
      </c>
      <c r="H53" s="17">
        <v>105</v>
      </c>
      <c r="I53" s="17" t="s">
        <v>52</v>
      </c>
      <c r="J53" s="17">
        <v>1</v>
      </c>
      <c r="K53" s="16" t="s">
        <v>54</v>
      </c>
      <c r="L53" s="16" t="str">
        <f>VLOOKUP(C53,'Trips&amp;Operators'!$C$2:$E$10000,3,FALSE)</f>
        <v>ADANE</v>
      </c>
      <c r="M53" s="15" t="s">
        <v>149</v>
      </c>
      <c r="N53" s="16"/>
      <c r="O53" s="2"/>
      <c r="P53" s="54" t="str">
        <f>VLOOKUP(C53,'Train Runs'!$A$13:$V$209,22,0)</f>
        <v>https://search-rtdc-monitor-bjffxe2xuh6vdkpspy63sjmuny.us-east-1.es.amazonaws.com/_plugin/kibana/#/discover/Steve-Slow-Train-Analysis-(2080s-and-2083s)?_g=(refreshInterval:(display:Off,section:0,value:0),time:(from:'2016-06-25 19:52:36-0600',mode:absolute,to:'2016-06-25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3" s="14" t="str">
        <f t="shared" si="2"/>
        <v>4013</v>
      </c>
    </row>
    <row r="54" spans="1:17" x14ac:dyDescent="0.25">
      <c r="A54" s="78">
        <v>42546.879027777781</v>
      </c>
      <c r="B54" s="66" t="s">
        <v>105</v>
      </c>
      <c r="C54" s="66" t="s">
        <v>447</v>
      </c>
      <c r="D54" s="66" t="s">
        <v>50</v>
      </c>
      <c r="E54" s="66" t="s">
        <v>51</v>
      </c>
      <c r="F54" s="66">
        <v>0</v>
      </c>
      <c r="G54" s="66">
        <v>6</v>
      </c>
      <c r="H54" s="66">
        <v>129</v>
      </c>
      <c r="I54" s="66" t="s">
        <v>52</v>
      </c>
      <c r="J54" s="66">
        <v>1</v>
      </c>
      <c r="K54" s="66" t="s">
        <v>54</v>
      </c>
      <c r="L54" s="16" t="str">
        <f>VLOOKUP(C54,'Trips&amp;Operators'!$C$2:$E$10000,3,FALSE)</f>
        <v>LEVERE</v>
      </c>
      <c r="M54" s="15" t="s">
        <v>149</v>
      </c>
      <c r="N54" s="16"/>
      <c r="O54" s="2"/>
      <c r="P54" s="54" t="str">
        <f>VLOOKUP(C54,'Train Runs'!$A$13:$V$209,22,0)</f>
        <v>https://search-rtdc-monitor-bjffxe2xuh6vdkpspy63sjmuny.us-east-1.es.amazonaws.com/_plugin/kibana/#/discover/Steve-Slow-Train-Analysis-(2080s-and-2083s)?_g=(refreshInterval:(display:Off,section:0,value:0),time:(from:'2016-06-25 20:12:42-0600',mode:absolute,to:'2016-06-25 21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4" s="14" t="str">
        <f t="shared" si="2"/>
        <v>4041</v>
      </c>
    </row>
    <row r="55" spans="1:17" x14ac:dyDescent="0.25">
      <c r="A55" s="78">
        <v>42546.964097222219</v>
      </c>
      <c r="B55" s="66" t="s">
        <v>105</v>
      </c>
      <c r="C55" s="66" t="s">
        <v>455</v>
      </c>
      <c r="D55" s="66" t="s">
        <v>50</v>
      </c>
      <c r="E55" s="66" t="s">
        <v>51</v>
      </c>
      <c r="F55" s="66">
        <v>0</v>
      </c>
      <c r="G55" s="66">
        <v>54</v>
      </c>
      <c r="H55" s="66">
        <v>185</v>
      </c>
      <c r="I55" s="66" t="s">
        <v>52</v>
      </c>
      <c r="J55" s="66">
        <v>1</v>
      </c>
      <c r="K55" s="66" t="s">
        <v>54</v>
      </c>
      <c r="L55" s="16" t="str">
        <f>VLOOKUP(C55,'Trips&amp;Operators'!$C$2:$E$10000,3,FALSE)</f>
        <v>LEVERE</v>
      </c>
      <c r="M55" s="15" t="s">
        <v>149</v>
      </c>
      <c r="N55" s="16"/>
      <c r="O55" s="2"/>
      <c r="P55" s="54" t="str">
        <f>VLOOKUP(C55,'Train Runs'!$A$13:$V$209,22,0)</f>
        <v>https://search-rtdc-monitor-bjffxe2xuh6vdkpspy63sjmuny.us-east-1.es.amazonaws.com/_plugin/kibana/#/discover/Steve-Slow-Train-Analysis-(2080s-and-2083s)?_g=(refreshInterval:(display:Off,section:0,value:0),time:(from:'2016-06-25 22:16:50-0600',mode:absolute,to:'2016-06-25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5" s="14" t="str">
        <f t="shared" si="2"/>
        <v>4041</v>
      </c>
    </row>
    <row r="56" spans="1:17" x14ac:dyDescent="0.25">
      <c r="A56" s="78">
        <v>42546.98232638889</v>
      </c>
      <c r="B56" s="66" t="s">
        <v>483</v>
      </c>
      <c r="C56" s="66" t="s">
        <v>460</v>
      </c>
      <c r="D56" s="66" t="s">
        <v>50</v>
      </c>
      <c r="E56" s="66" t="s">
        <v>51</v>
      </c>
      <c r="F56" s="66">
        <v>0</v>
      </c>
      <c r="G56" s="66">
        <v>8</v>
      </c>
      <c r="H56" s="66">
        <v>187</v>
      </c>
      <c r="I56" s="66" t="s">
        <v>52</v>
      </c>
      <c r="J56" s="66">
        <v>1</v>
      </c>
      <c r="K56" s="66" t="s">
        <v>54</v>
      </c>
      <c r="L56" s="16" t="str">
        <f>VLOOKUP(C56,'Trips&amp;Operators'!$C$2:$E$10000,3,FALSE)</f>
        <v>BRUDER</v>
      </c>
      <c r="M56" s="15" t="s">
        <v>149</v>
      </c>
      <c r="N56" s="16"/>
      <c r="O56" s="2"/>
      <c r="P56" s="54" t="str">
        <f>VLOOKUP(C56,'Train Runs'!$A$13:$V$209,22,0)</f>
        <v>https://search-rtdc-monitor-bjffxe2xuh6vdkpspy63sjmuny.us-east-1.es.amazonaws.com/_plugin/kibana/#/discover/Steve-Slow-Train-Analysis-(2080s-and-2083s)?_g=(refreshInterval:(display:Off,section:0,value:0),time:(from:'2016-06-25 22:48:21-0600',mode:absolute,to:'2016-06-25 23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6" s="14" t="str">
        <f t="shared" si="2"/>
        <v>4043</v>
      </c>
    </row>
    <row r="57" spans="1:17" x14ac:dyDescent="0.25">
      <c r="A57" s="78">
        <v>42547.023611111108</v>
      </c>
      <c r="B57" s="66" t="s">
        <v>481</v>
      </c>
      <c r="C57" s="66" t="s">
        <v>465</v>
      </c>
      <c r="D57" s="66" t="s">
        <v>50</v>
      </c>
      <c r="E57" s="66" t="s">
        <v>51</v>
      </c>
      <c r="F57" s="66">
        <v>0</v>
      </c>
      <c r="G57" s="66">
        <v>52</v>
      </c>
      <c r="H57" s="66">
        <v>161</v>
      </c>
      <c r="I57" s="66" t="s">
        <v>52</v>
      </c>
      <c r="J57" s="66">
        <v>1</v>
      </c>
      <c r="K57" s="66" t="s">
        <v>54</v>
      </c>
      <c r="L57" s="16" t="str">
        <f>VLOOKUP(C57,'Trips&amp;Operators'!$C$2:$E$10000,3,FALSE)</f>
        <v>ADANE</v>
      </c>
      <c r="M57" s="15" t="s">
        <v>149</v>
      </c>
      <c r="N57" s="16"/>
      <c r="O57" s="2"/>
      <c r="P57" s="54" t="str">
        <f>VLOOKUP(C57,'Train Runs'!$A$13:$V$209,22,0)</f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7" s="14" t="str">
        <f t="shared" si="2"/>
        <v>4013</v>
      </c>
    </row>
    <row r="58" spans="1:17" x14ac:dyDescent="0.25">
      <c r="A58" s="78">
        <v>42547.04488425926</v>
      </c>
      <c r="B58" s="66" t="s">
        <v>105</v>
      </c>
      <c r="C58" s="66" t="s">
        <v>468</v>
      </c>
      <c r="D58" s="66" t="s">
        <v>50</v>
      </c>
      <c r="E58" s="66" t="s">
        <v>51</v>
      </c>
      <c r="F58" s="66">
        <v>0</v>
      </c>
      <c r="G58" s="66">
        <v>9</v>
      </c>
      <c r="H58" s="66">
        <v>125</v>
      </c>
      <c r="I58" s="66" t="s">
        <v>52</v>
      </c>
      <c r="J58" s="66">
        <v>1</v>
      </c>
      <c r="K58" s="66" t="s">
        <v>54</v>
      </c>
      <c r="L58" s="16" t="str">
        <f>VLOOKUP(C58,'Trips&amp;Operators'!$C$2:$E$10000,3,FALSE)</f>
        <v>LEVERE</v>
      </c>
      <c r="M58" s="15" t="s">
        <v>149</v>
      </c>
      <c r="N58" s="16"/>
      <c r="O58" s="2"/>
      <c r="P58" s="54" t="str">
        <f>VLOOKUP(C58,'Train Runs'!$A$13:$V$209,22,0)</f>
        <v>https://search-rtdc-monitor-bjffxe2xuh6vdkpspy63sjmuny.us-east-1.es.amazonaws.com/_plugin/kibana/#/discover/Steve-Slow-Train-Analysis-(2080s-and-2083s)?_g=(refreshInterval:(display:Off,section:0,value:0),time:(from:'2016-06-26 00:17:07-0600',mode:absolute,to:'2016-06-26 01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8" s="14" t="str">
        <f t="shared" si="2"/>
        <v>4041</v>
      </c>
    </row>
    <row r="59" spans="1:17" x14ac:dyDescent="0.25">
      <c r="A59" s="18">
        <v>42546.758125</v>
      </c>
      <c r="B59" s="17" t="s">
        <v>482</v>
      </c>
      <c r="C59" s="17" t="s">
        <v>437</v>
      </c>
      <c r="D59" s="17" t="s">
        <v>50</v>
      </c>
      <c r="E59" s="17" t="s">
        <v>484</v>
      </c>
      <c r="F59" s="17">
        <v>690</v>
      </c>
      <c r="G59" s="17">
        <v>732</v>
      </c>
      <c r="H59" s="17">
        <v>47432</v>
      </c>
      <c r="I59" s="17" t="s">
        <v>485</v>
      </c>
      <c r="J59" s="17">
        <v>47866</v>
      </c>
      <c r="K59" s="16" t="s">
        <v>53</v>
      </c>
      <c r="L59" s="16" t="str">
        <f>VLOOKUP(C59,'Trips&amp;Operators'!$C$2:$E$10000,3,FALSE)</f>
        <v>WEBSTER</v>
      </c>
      <c r="M59" s="15" t="s">
        <v>148</v>
      </c>
      <c r="N59" s="16"/>
      <c r="O59" s="2"/>
      <c r="P59" s="54" t="str">
        <f>VLOOKUP(C59,'Train Runs'!$A$13:$V$209,22,0)</f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9" s="14" t="str">
        <f t="shared" si="2"/>
        <v>4025</v>
      </c>
    </row>
    <row r="60" spans="1:17" x14ac:dyDescent="0.25">
      <c r="A60" s="78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16"/>
      <c r="M60" s="15"/>
      <c r="N60" s="16"/>
      <c r="O60" s="2"/>
      <c r="P60" s="54" t="e">
        <f>VLOOKUP(C60,'Train Runs'!$A$13:$V$209,22,0)</f>
        <v>#N/A</v>
      </c>
      <c r="Q60" s="14" t="str">
        <f t="shared" si="2"/>
        <v/>
      </c>
    </row>
    <row r="61" spans="1:17" x14ac:dyDescent="0.25">
      <c r="A61" s="78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16"/>
      <c r="M61" s="15"/>
      <c r="N61" s="16"/>
      <c r="O61" s="2"/>
      <c r="P61" s="54" t="e">
        <f>VLOOKUP(C61,'Train Runs'!$A$13:$V$209,22,0)</f>
        <v>#N/A</v>
      </c>
      <c r="Q61" s="14" t="str">
        <f t="shared" si="2"/>
        <v/>
      </c>
    </row>
    <row r="62" spans="1:17" x14ac:dyDescent="0.25">
      <c r="A62" s="78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16"/>
      <c r="M62" s="15"/>
      <c r="N62" s="16"/>
      <c r="O62" s="2"/>
      <c r="P62" s="54" t="e">
        <f>VLOOKUP(C62,'Train Runs'!$A$13:$V$209,22,0)</f>
        <v>#N/A</v>
      </c>
      <c r="Q62" s="14" t="str">
        <f t="shared" si="2"/>
        <v/>
      </c>
    </row>
    <row r="63" spans="1:17" x14ac:dyDescent="0.25">
      <c r="A63" s="78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16"/>
      <c r="M63" s="15"/>
      <c r="N63" s="16"/>
      <c r="O63" s="2"/>
      <c r="P63" s="54" t="e">
        <f>VLOOKUP(C63,'Train Runs'!$A$13:$V$209,22,0)</f>
        <v>#N/A</v>
      </c>
      <c r="Q63" s="14" t="str">
        <f t="shared" si="2"/>
        <v/>
      </c>
    </row>
    <row r="64" spans="1:17" x14ac:dyDescent="0.25">
      <c r="A64" s="78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16"/>
      <c r="M64" s="15"/>
      <c r="N64" s="16"/>
      <c r="O64" s="2"/>
      <c r="P64" s="54" t="e">
        <f>VLOOKUP(C64,'Train Runs'!$A$13:$V$209,22,0)</f>
        <v>#N/A</v>
      </c>
      <c r="Q64" s="14" t="str">
        <f t="shared" si="2"/>
        <v/>
      </c>
    </row>
    <row r="65" spans="1:17" x14ac:dyDescent="0.25">
      <c r="A65" s="78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16"/>
      <c r="M65" s="15"/>
      <c r="N65" s="16"/>
      <c r="O65" s="2"/>
      <c r="P65" s="54" t="e">
        <f>VLOOKUP(C65,'Train Runs'!$A$13:$V$209,22,0)</f>
        <v>#N/A</v>
      </c>
      <c r="Q65" s="14" t="str">
        <f t="shared" si="2"/>
        <v/>
      </c>
    </row>
    <row r="66" spans="1:17" x14ac:dyDescent="0.25">
      <c r="A66" s="78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16"/>
      <c r="M66" s="15"/>
      <c r="N66" s="16"/>
      <c r="O66" s="2"/>
      <c r="P66" s="54" t="e">
        <f>VLOOKUP(C66,'Train Runs'!$A$13:$V$209,22,0)</f>
        <v>#N/A</v>
      </c>
      <c r="Q66" s="14" t="str">
        <f t="shared" si="2"/>
        <v/>
      </c>
    </row>
    <row r="67" spans="1:17" x14ac:dyDescent="0.25">
      <c r="A67" s="78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16"/>
      <c r="M67" s="15"/>
      <c r="N67" s="16"/>
      <c r="O67" s="2"/>
      <c r="P67" s="54" t="e">
        <f>VLOOKUP(C67,'Train Runs'!$A$13:$V$209,22,0)</f>
        <v>#N/A</v>
      </c>
      <c r="Q67" s="14" t="str">
        <f t="shared" si="2"/>
        <v/>
      </c>
    </row>
    <row r="68" spans="1:17" x14ac:dyDescent="0.25">
      <c r="A68" s="78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16"/>
      <c r="M68" s="15"/>
      <c r="N68" s="16"/>
      <c r="O68" s="2"/>
      <c r="P68" s="54" t="e">
        <f>VLOOKUP(C68,'Train Runs'!$A$13:$V$209,22,0)</f>
        <v>#N/A</v>
      </c>
      <c r="Q68" s="14" t="str">
        <f t="shared" si="2"/>
        <v/>
      </c>
    </row>
    <row r="69" spans="1:17" x14ac:dyDescent="0.25">
      <c r="A69" s="78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16"/>
      <c r="M69" s="15"/>
      <c r="N69" s="16"/>
      <c r="O69" s="2"/>
      <c r="P69" s="54" t="e">
        <f>VLOOKUP(C69,'Train Runs'!$A$13:$V$209,22,0)</f>
        <v>#N/A</v>
      </c>
      <c r="Q69" s="14" t="str">
        <f t="shared" si="2"/>
        <v/>
      </c>
    </row>
    <row r="70" spans="1:17" x14ac:dyDescent="0.25">
      <c r="A70" s="78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16"/>
      <c r="M70" s="15"/>
      <c r="N70" s="16"/>
      <c r="O70" s="2"/>
      <c r="P70" s="54" t="e">
        <f>VLOOKUP(C70,'Train Runs'!$A$13:$V$209,22,0)</f>
        <v>#N/A</v>
      </c>
      <c r="Q70" s="14" t="str">
        <f t="shared" si="2"/>
        <v/>
      </c>
    </row>
    <row r="71" spans="1:17" x14ac:dyDescent="0.25">
      <c r="A71" s="78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16"/>
      <c r="M71" s="15"/>
      <c r="N71" s="16"/>
      <c r="O71" s="2"/>
      <c r="P71" s="54" t="e">
        <f>VLOOKUP(C71,'Train Runs'!$A$13:$V$209,22,0)</f>
        <v>#N/A</v>
      </c>
      <c r="Q71" s="14" t="str">
        <f t="shared" si="2"/>
        <v/>
      </c>
    </row>
    <row r="72" spans="1:17" x14ac:dyDescent="0.25">
      <c r="A72" s="78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16"/>
      <c r="M72" s="15"/>
      <c r="N72" s="16"/>
      <c r="O72" s="2"/>
      <c r="P72" s="54" t="e">
        <f>VLOOKUP(C72,'Train Runs'!$A$13:$V$209,22,0)</f>
        <v>#N/A</v>
      </c>
      <c r="Q72" s="14" t="str">
        <f t="shared" si="2"/>
        <v/>
      </c>
    </row>
    <row r="73" spans="1:17" x14ac:dyDescent="0.25">
      <c r="A73" s="78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16"/>
      <c r="M73" s="15"/>
      <c r="N73" s="16"/>
      <c r="O73" s="2"/>
      <c r="P73" s="54" t="e">
        <f>VLOOKUP(C73,'Train Runs'!$A$13:$V$209,22,0)</f>
        <v>#N/A</v>
      </c>
      <c r="Q73" s="14" t="str">
        <f t="shared" si="2"/>
        <v/>
      </c>
    </row>
    <row r="74" spans="1:17" x14ac:dyDescent="0.25">
      <c r="A74" s="78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16"/>
      <c r="M74" s="15"/>
      <c r="N74" s="16"/>
      <c r="O74" s="2"/>
      <c r="P74" s="54" t="e">
        <f>VLOOKUP(C74,'Train Runs'!$A$13:$V$209,22,0)</f>
        <v>#N/A</v>
      </c>
      <c r="Q74" s="14" t="str">
        <f t="shared" si="2"/>
        <v/>
      </c>
    </row>
    <row r="75" spans="1:17" x14ac:dyDescent="0.25">
      <c r="A75" s="78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16"/>
      <c r="M75" s="15"/>
      <c r="N75" s="16"/>
      <c r="O75" s="2"/>
      <c r="P75" s="54" t="e">
        <f>VLOOKUP(C75,'Train Runs'!$A$13:$V$209,22,0)</f>
        <v>#N/A</v>
      </c>
      <c r="Q75" s="14" t="str">
        <f t="shared" si="2"/>
        <v/>
      </c>
    </row>
    <row r="76" spans="1:17" x14ac:dyDescent="0.25">
      <c r="A76" s="78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16"/>
      <c r="M76" s="15"/>
      <c r="N76" s="16"/>
      <c r="O76" s="2"/>
      <c r="P76" s="54" t="e">
        <f>VLOOKUP(C76,'Train Runs'!$A$13:$V$209,22,0)</f>
        <v>#N/A</v>
      </c>
      <c r="Q76" s="14" t="str">
        <f t="shared" si="2"/>
        <v/>
      </c>
    </row>
    <row r="77" spans="1:17" x14ac:dyDescent="0.25">
      <c r="A77" s="78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16"/>
      <c r="M77" s="15"/>
      <c r="N77" s="16"/>
      <c r="O77" s="2"/>
      <c r="P77" s="54" t="e">
        <f>VLOOKUP(C77,'Train Runs'!$A$13:$V$209,22,0)</f>
        <v>#N/A</v>
      </c>
      <c r="Q77" s="14" t="str">
        <f t="shared" si="2"/>
        <v/>
      </c>
    </row>
    <row r="78" spans="1:17" x14ac:dyDescent="0.25">
      <c r="A78" s="78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16"/>
      <c r="M78" s="15"/>
      <c r="N78" s="16"/>
      <c r="O78" s="2"/>
      <c r="P78" s="54" t="e">
        <f>VLOOKUP(C78,'Train Runs'!$A$13:$V$209,22,0)</f>
        <v>#N/A</v>
      </c>
      <c r="Q78" s="14" t="str">
        <f t="shared" si="2"/>
        <v/>
      </c>
    </row>
    <row r="79" spans="1:17" x14ac:dyDescent="0.25">
      <c r="A79" s="78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16"/>
      <c r="M79" s="15"/>
      <c r="N79" s="16"/>
      <c r="O79" s="2"/>
      <c r="P79" s="54" t="e">
        <f>VLOOKUP(C79,'Train Runs'!$A$13:$V$209,22,0)</f>
        <v>#N/A</v>
      </c>
      <c r="Q79" s="14" t="str">
        <f t="shared" si="2"/>
        <v/>
      </c>
    </row>
    <row r="80" spans="1:17" x14ac:dyDescent="0.25">
      <c r="A80" s="78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16"/>
      <c r="M80" s="15"/>
      <c r="N80" s="16"/>
      <c r="O80" s="2"/>
      <c r="P80" s="54" t="e">
        <f>VLOOKUP(C80,'Train Runs'!$A$13:$V$209,22,0)</f>
        <v>#N/A</v>
      </c>
      <c r="Q80" s="14" t="str">
        <f t="shared" si="2"/>
        <v/>
      </c>
    </row>
    <row r="81" spans="1:17" x14ac:dyDescent="0.25">
      <c r="A81" s="78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16"/>
      <c r="M81" s="15"/>
      <c r="N81" s="16"/>
      <c r="O81" s="2"/>
      <c r="P81" s="54" t="e">
        <f>VLOOKUP(C81,'Train Runs'!$A$13:$V$209,22,0)</f>
        <v>#N/A</v>
      </c>
      <c r="Q81" s="14" t="str">
        <f t="shared" si="2"/>
        <v/>
      </c>
    </row>
  </sheetData>
  <autoFilter ref="A6:N59"/>
  <sortState ref="A7:N12">
    <sortCondition ref="F7:F12"/>
  </sortState>
  <mergeCells count="1">
    <mergeCell ref="A5:M5"/>
  </mergeCells>
  <conditionalFormatting sqref="P6 M6:N6 M7:M1048576">
    <cfRule type="cellIs" dxfId="17" priority="10" operator="equal">
      <formula>"Y"</formula>
    </cfRule>
  </conditionalFormatting>
  <conditionalFormatting sqref="A7:N81">
    <cfRule type="expression" dxfId="16" priority="3">
      <formula>$M7="Y"</formula>
    </cfRule>
  </conditionalFormatting>
  <conditionalFormatting sqref="M2:M3">
    <cfRule type="cellIs" dxfId="15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5" sqref="A5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8" t="str">
        <f>"Trips that did not appear in PTC Data "&amp;TEXT(Variables!$A$2,"YYYY-mm-dd")</f>
        <v>Trips that did not appear in PTC Data 2016-06-25</v>
      </c>
      <c r="B1" s="88"/>
      <c r="C1" s="88"/>
      <c r="D1" s="88"/>
      <c r="E1" s="88"/>
    </row>
    <row r="2" spans="1:10" s="52" customFormat="1" ht="45" x14ac:dyDescent="0.25">
      <c r="A2" s="51" t="s">
        <v>98</v>
      </c>
      <c r="B2" s="63" t="s">
        <v>99</v>
      </c>
      <c r="C2" s="61" t="s">
        <v>100</v>
      </c>
      <c r="D2" s="52" t="s">
        <v>96</v>
      </c>
      <c r="E2" s="52" t="s">
        <v>97</v>
      </c>
      <c r="F2" s="52" t="s">
        <v>115</v>
      </c>
      <c r="G2" s="64" t="s">
        <v>116</v>
      </c>
    </row>
    <row r="3" spans="1:10" x14ac:dyDescent="0.25">
      <c r="A3" s="66" t="s">
        <v>259</v>
      </c>
      <c r="B3" s="66"/>
      <c r="C3" s="66"/>
      <c r="D3" s="66"/>
      <c r="E3" s="43" t="str">
        <f>VLOOKUP(A3,'Trips&amp;Operators'!$C$2:$E$10000,3,FALSE)</f>
        <v>STURGEON</v>
      </c>
      <c r="F3" s="43" t="str">
        <f>VLOOKUP(A3,'Trips&amp;Operators'!$C$1:$F$10000,4,FALSE)</f>
        <v>rtdc.l.rtdc.4013:itc</v>
      </c>
      <c r="G3" s="65">
        <f>VLOOKUP(A3,'Trips&amp;Operators'!$C$1:$H$10000,5,FALSE)</f>
        <v>42546.277858796297</v>
      </c>
      <c r="H3" s="42"/>
      <c r="I3" s="42"/>
      <c r="J3" s="42"/>
    </row>
    <row r="4" spans="1:10" x14ac:dyDescent="0.25">
      <c r="A4" s="66" t="s">
        <v>289</v>
      </c>
      <c r="B4" s="66"/>
      <c r="C4" s="66"/>
      <c r="D4" s="66"/>
      <c r="E4" s="43" t="str">
        <f>VLOOKUP(A4,'Trips&amp;Operators'!$C$2:$E$10000,3,FALSE)</f>
        <v>MADLOM</v>
      </c>
      <c r="F4" s="43" t="str">
        <f>VLOOKUP(A4,'Trips&amp;Operators'!$C$1:$F$10000,4,FALSE)</f>
        <v>rtdc.l.rtdc.4020:itc</v>
      </c>
      <c r="G4" s="65">
        <f>VLOOKUP(A4,'Trips&amp;Operators'!$C$1:$H$10000,5,FALSE)</f>
        <v>42546.349456018521</v>
      </c>
      <c r="H4" s="42"/>
      <c r="I4" s="42"/>
      <c r="J4" s="42"/>
    </row>
    <row r="5" spans="1:10" x14ac:dyDescent="0.25">
      <c r="A5" s="66" t="s">
        <v>494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7"/>
  <sheetViews>
    <sheetView workbookViewId="0">
      <selection activeCell="E34" sqref="A1:G227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42546.130682870367</v>
      </c>
      <c r="B1" s="42" t="s">
        <v>82</v>
      </c>
      <c r="C1" s="42" t="s">
        <v>232</v>
      </c>
      <c r="D1" s="42">
        <v>1840000</v>
      </c>
      <c r="E1" s="42" t="s">
        <v>167</v>
      </c>
      <c r="F1" s="42" t="s">
        <v>82</v>
      </c>
      <c r="G1" s="13">
        <v>42546.130682870367</v>
      </c>
    </row>
    <row r="2" spans="1:7" x14ac:dyDescent="0.25">
      <c r="A2" s="13">
        <v>42546.570081018515</v>
      </c>
      <c r="B2" s="42" t="s">
        <v>480</v>
      </c>
      <c r="C2" s="42" t="s">
        <v>363</v>
      </c>
      <c r="D2" s="42">
        <v>1260000</v>
      </c>
      <c r="E2" s="42" t="s">
        <v>488</v>
      </c>
      <c r="F2" s="42" t="s">
        <v>480</v>
      </c>
      <c r="G2" s="13">
        <v>42546.570081018515</v>
      </c>
    </row>
    <row r="3" spans="1:7" x14ac:dyDescent="0.25">
      <c r="A3" s="13">
        <v>42546.349456018521</v>
      </c>
      <c r="B3" s="42" t="s">
        <v>82</v>
      </c>
      <c r="C3" s="42" t="s">
        <v>289</v>
      </c>
      <c r="D3" s="42">
        <v>540000</v>
      </c>
      <c r="E3" s="42" t="s">
        <v>224</v>
      </c>
      <c r="F3" s="42" t="s">
        <v>82</v>
      </c>
      <c r="G3" s="13">
        <v>42546.349456018521</v>
      </c>
    </row>
    <row r="4" spans="1:7" x14ac:dyDescent="0.25">
      <c r="A4" s="13">
        <v>42546.414942129632</v>
      </c>
      <c r="B4" s="42" t="s">
        <v>219</v>
      </c>
      <c r="C4" s="42" t="s">
        <v>308</v>
      </c>
      <c r="D4" s="42">
        <v>1310000</v>
      </c>
      <c r="E4" s="42" t="s">
        <v>169</v>
      </c>
      <c r="F4" s="42" t="s">
        <v>219</v>
      </c>
      <c r="G4" s="13">
        <v>42546.414942129632</v>
      </c>
    </row>
    <row r="5" spans="1:7" x14ac:dyDescent="0.25">
      <c r="A5" s="13">
        <v>42546.547106481485</v>
      </c>
      <c r="B5" s="42" t="s">
        <v>85</v>
      </c>
      <c r="C5" s="42" t="s">
        <v>338</v>
      </c>
      <c r="D5" s="42">
        <v>1540000</v>
      </c>
      <c r="E5" s="42" t="s">
        <v>489</v>
      </c>
      <c r="F5" s="42" t="s">
        <v>85</v>
      </c>
      <c r="G5" s="13">
        <v>42546.547106481485</v>
      </c>
    </row>
    <row r="6" spans="1:7" x14ac:dyDescent="0.25">
      <c r="A6" s="13">
        <v>42546.518055555556</v>
      </c>
      <c r="B6" s="42" t="s">
        <v>106</v>
      </c>
      <c r="C6" s="42" t="s">
        <v>340</v>
      </c>
      <c r="D6" s="42">
        <v>1520000</v>
      </c>
      <c r="E6" s="42" t="s">
        <v>163</v>
      </c>
      <c r="F6" s="42" t="s">
        <v>106</v>
      </c>
      <c r="G6" s="13">
        <v>42546.518055555556</v>
      </c>
    </row>
    <row r="7" spans="1:7" x14ac:dyDescent="0.25">
      <c r="A7" s="13">
        <v>42546.207511574074</v>
      </c>
      <c r="B7" s="42" t="s">
        <v>479</v>
      </c>
      <c r="C7" s="42" t="s">
        <v>252</v>
      </c>
      <c r="D7" s="42">
        <v>1840000</v>
      </c>
      <c r="E7" s="42" t="s">
        <v>167</v>
      </c>
      <c r="F7" s="42" t="s">
        <v>479</v>
      </c>
      <c r="G7" s="13">
        <v>42546.207511574074</v>
      </c>
    </row>
    <row r="8" spans="1:7" x14ac:dyDescent="0.25">
      <c r="A8" s="13">
        <v>42546.431585648148</v>
      </c>
      <c r="B8" s="42" t="s">
        <v>480</v>
      </c>
      <c r="C8" s="42" t="s">
        <v>311</v>
      </c>
      <c r="D8" s="42">
        <v>1260000</v>
      </c>
      <c r="E8" s="42" t="s">
        <v>488</v>
      </c>
      <c r="F8" s="42" t="s">
        <v>480</v>
      </c>
      <c r="G8" s="13">
        <v>42546.431585648148</v>
      </c>
    </row>
    <row r="9" spans="1:7" ht="15.75" thickBot="1" x14ac:dyDescent="0.3">
      <c r="A9" s="57">
        <v>42546.495648148149</v>
      </c>
      <c r="B9" s="42" t="s">
        <v>480</v>
      </c>
      <c r="C9" s="42" t="s">
        <v>333</v>
      </c>
      <c r="D9" s="42">
        <v>1260000</v>
      </c>
      <c r="E9" s="42" t="s">
        <v>488</v>
      </c>
      <c r="F9" s="42" t="s">
        <v>480</v>
      </c>
      <c r="G9" s="57">
        <v>42546.495648148149</v>
      </c>
    </row>
    <row r="10" spans="1:7" x14ac:dyDescent="0.25">
      <c r="A10" s="13">
        <v>42546.545937499999</v>
      </c>
      <c r="B10" s="42" t="s">
        <v>85</v>
      </c>
      <c r="C10" s="42" t="s">
        <v>338</v>
      </c>
      <c r="D10" s="42">
        <v>1540000</v>
      </c>
      <c r="E10" s="42" t="s">
        <v>489</v>
      </c>
      <c r="F10" s="42" t="s">
        <v>85</v>
      </c>
      <c r="G10" s="13">
        <v>42546.545937499999</v>
      </c>
    </row>
    <row r="11" spans="1:7" x14ac:dyDescent="0.25">
      <c r="A11" s="13">
        <v>42546.425636574073</v>
      </c>
      <c r="B11" s="42" t="s">
        <v>480</v>
      </c>
      <c r="C11" s="42" t="s">
        <v>311</v>
      </c>
      <c r="D11" s="42">
        <v>1260000</v>
      </c>
      <c r="E11" s="42" t="s">
        <v>488</v>
      </c>
      <c r="F11" s="42" t="s">
        <v>480</v>
      </c>
      <c r="G11" s="13">
        <v>42546.425636574073</v>
      </c>
    </row>
    <row r="12" spans="1:7" x14ac:dyDescent="0.25">
      <c r="A12" s="13">
        <v>42546.318715277775</v>
      </c>
      <c r="B12" s="42" t="s">
        <v>81</v>
      </c>
      <c r="C12" s="42" t="s">
        <v>269</v>
      </c>
      <c r="D12" s="42">
        <v>540000</v>
      </c>
      <c r="E12" s="42" t="s">
        <v>224</v>
      </c>
      <c r="F12" s="42" t="s">
        <v>81</v>
      </c>
      <c r="G12" s="13">
        <v>42546.318715277775</v>
      </c>
    </row>
    <row r="13" spans="1:7" x14ac:dyDescent="0.25">
      <c r="A13" s="13">
        <v>42546.574895833335</v>
      </c>
      <c r="B13" s="42" t="s">
        <v>483</v>
      </c>
      <c r="C13" s="42" t="s">
        <v>345</v>
      </c>
      <c r="D13" s="42">
        <v>1470000</v>
      </c>
      <c r="E13" s="42" t="s">
        <v>228</v>
      </c>
      <c r="F13" s="42" t="s">
        <v>483</v>
      </c>
      <c r="G13" s="13">
        <v>42546.574895833335</v>
      </c>
    </row>
    <row r="14" spans="1:7" x14ac:dyDescent="0.25">
      <c r="A14" s="13">
        <v>42546.381504629629</v>
      </c>
      <c r="B14" s="42" t="s">
        <v>220</v>
      </c>
      <c r="C14" s="42" t="s">
        <v>287</v>
      </c>
      <c r="D14" s="42">
        <v>1310000</v>
      </c>
      <c r="E14" s="42" t="s">
        <v>169</v>
      </c>
      <c r="F14" s="42" t="s">
        <v>220</v>
      </c>
      <c r="G14" s="13">
        <v>42546.381504629629</v>
      </c>
    </row>
    <row r="15" spans="1:7" x14ac:dyDescent="0.25">
      <c r="A15" s="13">
        <v>42546.651747685188</v>
      </c>
      <c r="B15" s="42" t="s">
        <v>70</v>
      </c>
      <c r="C15" s="42" t="s">
        <v>376</v>
      </c>
      <c r="D15" s="42">
        <v>1740000</v>
      </c>
      <c r="E15" s="42" t="s">
        <v>88</v>
      </c>
      <c r="F15" s="42" t="s">
        <v>70</v>
      </c>
      <c r="G15" s="13">
        <v>42546.651747685188</v>
      </c>
    </row>
    <row r="16" spans="1:7" x14ac:dyDescent="0.25">
      <c r="A16" s="13">
        <v>42546.433657407404</v>
      </c>
      <c r="B16" s="42" t="s">
        <v>84</v>
      </c>
      <c r="C16" s="42" t="s">
        <v>316</v>
      </c>
      <c r="D16" s="42">
        <v>1100000</v>
      </c>
      <c r="E16" s="42" t="s">
        <v>490</v>
      </c>
      <c r="F16" s="42" t="s">
        <v>84</v>
      </c>
      <c r="G16" s="13">
        <v>42546.433657407404</v>
      </c>
    </row>
    <row r="17" spans="1:7" x14ac:dyDescent="0.25">
      <c r="A17" s="13">
        <v>42546.348749999997</v>
      </c>
      <c r="B17" s="42" t="s">
        <v>483</v>
      </c>
      <c r="C17" s="42" t="s">
        <v>280</v>
      </c>
      <c r="D17" s="42">
        <v>1830000</v>
      </c>
      <c r="E17" s="42" t="s">
        <v>165</v>
      </c>
      <c r="F17" s="42" t="s">
        <v>483</v>
      </c>
      <c r="G17" s="13">
        <v>42546.348749999997</v>
      </c>
    </row>
    <row r="18" spans="1:7" x14ac:dyDescent="0.25">
      <c r="A18" s="13">
        <v>42546.4450462963</v>
      </c>
      <c r="B18" s="42" t="s">
        <v>106</v>
      </c>
      <c r="C18" s="42" t="s">
        <v>319</v>
      </c>
      <c r="D18" s="42">
        <v>1520000</v>
      </c>
      <c r="E18" s="42" t="s">
        <v>163</v>
      </c>
      <c r="F18" s="42" t="s">
        <v>106</v>
      </c>
      <c r="G18" s="13">
        <v>42546.4450462963</v>
      </c>
    </row>
    <row r="19" spans="1:7" x14ac:dyDescent="0.25">
      <c r="A19" s="13">
        <v>42546.26394675926</v>
      </c>
      <c r="B19" s="42" t="s">
        <v>105</v>
      </c>
      <c r="C19" s="42" t="s">
        <v>256</v>
      </c>
      <c r="D19" s="42">
        <v>1460000</v>
      </c>
      <c r="E19" s="42" t="s">
        <v>168</v>
      </c>
      <c r="F19" s="42" t="s">
        <v>105</v>
      </c>
      <c r="G19" s="13">
        <v>42546.26394675926</v>
      </c>
    </row>
    <row r="20" spans="1:7" x14ac:dyDescent="0.25">
      <c r="A20" s="13">
        <v>42546.486967592595</v>
      </c>
      <c r="B20" s="42" t="s">
        <v>219</v>
      </c>
      <c r="C20" s="42" t="s">
        <v>330</v>
      </c>
      <c r="D20" s="42">
        <v>1120000</v>
      </c>
      <c r="E20" s="42" t="s">
        <v>229</v>
      </c>
      <c r="F20" s="42" t="s">
        <v>219</v>
      </c>
      <c r="G20" s="13">
        <v>42546.486967592595</v>
      </c>
    </row>
    <row r="21" spans="1:7" x14ac:dyDescent="0.25">
      <c r="A21" s="13">
        <v>42546.25341435185</v>
      </c>
      <c r="B21" s="42" t="s">
        <v>487</v>
      </c>
      <c r="C21" s="42" t="s">
        <v>253</v>
      </c>
      <c r="D21" s="42">
        <v>1840000</v>
      </c>
      <c r="E21" s="42" t="s">
        <v>167</v>
      </c>
      <c r="F21" s="42" t="s">
        <v>487</v>
      </c>
      <c r="G21" s="13">
        <v>42546.25341435185</v>
      </c>
    </row>
    <row r="22" spans="1:7" x14ac:dyDescent="0.25">
      <c r="A22" s="59">
        <v>42546.588113425925</v>
      </c>
      <c r="B22" s="42" t="s">
        <v>89</v>
      </c>
      <c r="C22" s="42" t="s">
        <v>349</v>
      </c>
      <c r="D22" s="42">
        <v>1230000</v>
      </c>
      <c r="E22" s="42" t="s">
        <v>491</v>
      </c>
      <c r="F22" s="42" t="s">
        <v>89</v>
      </c>
      <c r="G22" s="59">
        <v>42546.588113425925</v>
      </c>
    </row>
    <row r="23" spans="1:7" x14ac:dyDescent="0.25">
      <c r="A23" s="13">
        <v>42546.25203703704</v>
      </c>
      <c r="B23" s="42" t="s">
        <v>487</v>
      </c>
      <c r="C23" s="42" t="s">
        <v>253</v>
      </c>
      <c r="D23" s="42">
        <v>1840000</v>
      </c>
      <c r="E23" s="42" t="s">
        <v>167</v>
      </c>
      <c r="F23" s="42" t="s">
        <v>487</v>
      </c>
      <c r="G23" s="13">
        <v>42546.25203703704</v>
      </c>
    </row>
    <row r="24" spans="1:7" x14ac:dyDescent="0.25">
      <c r="A24" s="13">
        <v>42546.598576388889</v>
      </c>
      <c r="B24" s="42" t="s">
        <v>482</v>
      </c>
      <c r="C24" s="42" t="s">
        <v>394</v>
      </c>
      <c r="D24" s="42">
        <v>950000</v>
      </c>
      <c r="E24" s="42" t="s">
        <v>227</v>
      </c>
      <c r="F24" s="42" t="s">
        <v>482</v>
      </c>
      <c r="G24" s="13">
        <v>42546.598576388889</v>
      </c>
    </row>
    <row r="25" spans="1:7" x14ac:dyDescent="0.25">
      <c r="A25" s="13">
        <v>42546.247546296298</v>
      </c>
      <c r="B25" s="42" t="s">
        <v>486</v>
      </c>
      <c r="C25" s="42" t="s">
        <v>260</v>
      </c>
      <c r="D25" s="42">
        <v>1830000</v>
      </c>
      <c r="E25" s="42" t="s">
        <v>165</v>
      </c>
      <c r="F25" s="42" t="s">
        <v>486</v>
      </c>
      <c r="G25" s="13">
        <v>42546.247546296298</v>
      </c>
    </row>
    <row r="26" spans="1:7" x14ac:dyDescent="0.25">
      <c r="A26" s="13">
        <v>42546.735162037039</v>
      </c>
      <c r="B26" s="42" t="s">
        <v>89</v>
      </c>
      <c r="C26" s="42" t="s">
        <v>420</v>
      </c>
      <c r="D26" s="42">
        <v>1230000</v>
      </c>
      <c r="E26" s="42" t="s">
        <v>491</v>
      </c>
      <c r="F26" s="42" t="s">
        <v>89</v>
      </c>
      <c r="G26" s="13">
        <v>42546.735162037039</v>
      </c>
    </row>
    <row r="27" spans="1:7" x14ac:dyDescent="0.25">
      <c r="A27" s="13">
        <v>42546.209317129629</v>
      </c>
      <c r="B27" s="42" t="s">
        <v>479</v>
      </c>
      <c r="C27" s="42" t="s">
        <v>252</v>
      </c>
      <c r="D27" s="42">
        <v>1840000</v>
      </c>
      <c r="E27" s="42" t="s">
        <v>167</v>
      </c>
      <c r="F27" s="42" t="s">
        <v>479</v>
      </c>
      <c r="G27" s="13">
        <v>42546.209317129629</v>
      </c>
    </row>
    <row r="28" spans="1:7" x14ac:dyDescent="0.25">
      <c r="A28" s="13">
        <v>42546.84574074074</v>
      </c>
      <c r="B28" s="42" t="s">
        <v>92</v>
      </c>
      <c r="C28" s="42" t="s">
        <v>385</v>
      </c>
      <c r="D28" s="42">
        <v>1740000</v>
      </c>
      <c r="E28" s="42" t="s">
        <v>88</v>
      </c>
      <c r="F28" s="42" t="s">
        <v>92</v>
      </c>
      <c r="G28" s="13">
        <v>42546.84574074074</v>
      </c>
    </row>
    <row r="29" spans="1:7" x14ac:dyDescent="0.25">
      <c r="A29" s="13">
        <v>42546.166909722226</v>
      </c>
      <c r="B29" s="42" t="s">
        <v>486</v>
      </c>
      <c r="C29" s="42" t="s">
        <v>239</v>
      </c>
      <c r="D29" s="42">
        <v>1830000</v>
      </c>
      <c r="E29" s="42" t="s">
        <v>165</v>
      </c>
      <c r="F29" s="42" t="s">
        <v>486</v>
      </c>
      <c r="G29" s="13">
        <v>42546.166909722226</v>
      </c>
    </row>
    <row r="30" spans="1:7" x14ac:dyDescent="0.25">
      <c r="A30" s="13">
        <v>42546.886192129627</v>
      </c>
      <c r="B30" s="42" t="s">
        <v>92</v>
      </c>
      <c r="C30" s="42" t="s">
        <v>388</v>
      </c>
      <c r="D30" s="42">
        <v>1740000</v>
      </c>
      <c r="E30" s="42" t="s">
        <v>88</v>
      </c>
      <c r="F30" s="42" t="s">
        <v>92</v>
      </c>
      <c r="G30" s="13">
        <v>42546.886192129627</v>
      </c>
    </row>
    <row r="31" spans="1:7" x14ac:dyDescent="0.25">
      <c r="A31" s="13">
        <v>42546.551307870373</v>
      </c>
      <c r="B31" s="42" t="s">
        <v>105</v>
      </c>
      <c r="C31" s="42" t="s">
        <v>341</v>
      </c>
      <c r="D31" s="42">
        <v>1520000</v>
      </c>
      <c r="E31" s="42" t="s">
        <v>163</v>
      </c>
      <c r="F31" s="42" t="s">
        <v>105</v>
      </c>
      <c r="G31" s="13">
        <v>42546.551307870373</v>
      </c>
    </row>
    <row r="32" spans="1:7" x14ac:dyDescent="0.25">
      <c r="A32" s="13">
        <v>42546.689953703702</v>
      </c>
      <c r="B32" s="42" t="s">
        <v>85</v>
      </c>
      <c r="C32" s="42" t="s">
        <v>410</v>
      </c>
      <c r="D32" s="42">
        <v>880000</v>
      </c>
      <c r="E32" s="42" t="s">
        <v>164</v>
      </c>
      <c r="F32" s="42" t="s">
        <v>85</v>
      </c>
      <c r="G32" s="13">
        <v>42546.689953703702</v>
      </c>
    </row>
    <row r="33" spans="1:7" x14ac:dyDescent="0.25">
      <c r="A33" s="13">
        <v>42546.409166666665</v>
      </c>
      <c r="B33" s="42" t="s">
        <v>105</v>
      </c>
      <c r="C33" s="42" t="s">
        <v>297</v>
      </c>
      <c r="D33" s="42">
        <v>1460000</v>
      </c>
      <c r="E33" s="42" t="s">
        <v>168</v>
      </c>
      <c r="F33" s="42" t="s">
        <v>105</v>
      </c>
      <c r="G33" s="13">
        <v>42546.409166666665</v>
      </c>
    </row>
    <row r="34" spans="1:7" x14ac:dyDescent="0.25">
      <c r="A34" s="13">
        <v>42546.762199074074</v>
      </c>
      <c r="B34" s="42" t="s">
        <v>92</v>
      </c>
      <c r="C34" s="42" t="s">
        <v>381</v>
      </c>
      <c r="D34" s="42">
        <v>1740000</v>
      </c>
      <c r="E34" s="42" t="s">
        <v>88</v>
      </c>
      <c r="F34" s="42" t="s">
        <v>92</v>
      </c>
      <c r="G34" s="13">
        <v>42546.762199074074</v>
      </c>
    </row>
    <row r="35" spans="1:7" x14ac:dyDescent="0.25">
      <c r="A35" s="13">
        <v>42546.337476851855</v>
      </c>
      <c r="B35" s="42" t="s">
        <v>105</v>
      </c>
      <c r="C35" s="42" t="s">
        <v>274</v>
      </c>
      <c r="D35" s="42">
        <v>1460000</v>
      </c>
      <c r="E35" s="42" t="s">
        <v>168</v>
      </c>
      <c r="F35" s="42" t="s">
        <v>105</v>
      </c>
      <c r="G35" s="13">
        <v>42546.337476851855</v>
      </c>
    </row>
    <row r="36" spans="1:7" x14ac:dyDescent="0.25">
      <c r="A36" s="13">
        <v>42546.819641203707</v>
      </c>
      <c r="B36" s="42" t="s">
        <v>70</v>
      </c>
      <c r="C36" s="42" t="s">
        <v>384</v>
      </c>
      <c r="D36" s="42">
        <v>1740000</v>
      </c>
      <c r="E36" s="42" t="s">
        <v>88</v>
      </c>
      <c r="F36" s="42" t="s">
        <v>70</v>
      </c>
      <c r="G36" s="13">
        <v>42546.819641203707</v>
      </c>
    </row>
    <row r="37" spans="1:7" x14ac:dyDescent="0.25">
      <c r="A37" s="13">
        <v>42546.32540509259</v>
      </c>
      <c r="B37" s="42" t="s">
        <v>487</v>
      </c>
      <c r="C37" s="42" t="s">
        <v>271</v>
      </c>
      <c r="D37" s="42">
        <v>1840000</v>
      </c>
      <c r="E37" s="42" t="s">
        <v>167</v>
      </c>
      <c r="F37" s="42" t="s">
        <v>487</v>
      </c>
      <c r="G37" s="13">
        <v>42546.32540509259</v>
      </c>
    </row>
    <row r="38" spans="1:7" x14ac:dyDescent="0.25">
      <c r="A38" s="13">
        <v>42546.678946759261</v>
      </c>
      <c r="B38" s="42" t="s">
        <v>92</v>
      </c>
      <c r="C38" s="42" t="s">
        <v>377</v>
      </c>
      <c r="D38" s="42">
        <v>1740000</v>
      </c>
      <c r="E38" s="42" t="s">
        <v>88</v>
      </c>
      <c r="F38" s="42" t="s">
        <v>92</v>
      </c>
      <c r="G38" s="13">
        <v>42546.678946759261</v>
      </c>
    </row>
    <row r="39" spans="1:7" x14ac:dyDescent="0.25">
      <c r="A39" s="13">
        <v>42546.867210648146</v>
      </c>
      <c r="B39" s="42" t="s">
        <v>483</v>
      </c>
      <c r="C39" s="42" t="s">
        <v>450</v>
      </c>
      <c r="D39" s="42">
        <v>1770000</v>
      </c>
      <c r="E39" s="42" t="s">
        <v>170</v>
      </c>
      <c r="F39" s="42" t="s">
        <v>483</v>
      </c>
      <c r="G39" s="13">
        <v>42546.867210648146</v>
      </c>
    </row>
    <row r="40" spans="1:7" x14ac:dyDescent="0.25">
      <c r="A40" s="13">
        <v>42546.798935185187</v>
      </c>
      <c r="B40" s="58" t="s">
        <v>92</v>
      </c>
      <c r="C40" s="42" t="s">
        <v>383</v>
      </c>
      <c r="D40" s="42">
        <v>1740000</v>
      </c>
      <c r="E40" s="42" t="s">
        <v>88</v>
      </c>
      <c r="F40" s="58" t="s">
        <v>92</v>
      </c>
      <c r="G40" s="13">
        <v>42546.798935185187</v>
      </c>
    </row>
    <row r="41" spans="1:7" x14ac:dyDescent="0.25">
      <c r="A41" s="13">
        <v>42546.738321759258</v>
      </c>
      <c r="B41" s="42" t="s">
        <v>106</v>
      </c>
      <c r="C41" s="42" t="s">
        <v>434</v>
      </c>
      <c r="D41" s="42">
        <v>1180000</v>
      </c>
      <c r="E41" s="42" t="s">
        <v>492</v>
      </c>
      <c r="F41" s="42" t="s">
        <v>106</v>
      </c>
      <c r="G41" s="13">
        <v>42546.738321759258</v>
      </c>
    </row>
    <row r="42" spans="1:7" x14ac:dyDescent="0.25">
      <c r="A42" s="13">
        <v>42546.785312499997</v>
      </c>
      <c r="B42" s="42" t="s">
        <v>478</v>
      </c>
      <c r="C42" s="42" t="s">
        <v>439</v>
      </c>
      <c r="D42" s="42">
        <v>950000</v>
      </c>
      <c r="E42" s="42" t="s">
        <v>227</v>
      </c>
      <c r="F42" s="42" t="s">
        <v>478</v>
      </c>
      <c r="G42" s="13">
        <v>42546.785312499997</v>
      </c>
    </row>
    <row r="43" spans="1:7" x14ac:dyDescent="0.25">
      <c r="A43" s="13">
        <v>42546.642326388886</v>
      </c>
      <c r="B43" s="42" t="s">
        <v>478</v>
      </c>
      <c r="C43" s="42" t="s">
        <v>395</v>
      </c>
      <c r="D43" s="42">
        <v>950000</v>
      </c>
      <c r="E43" s="42" t="s">
        <v>227</v>
      </c>
      <c r="F43" s="42" t="s">
        <v>478</v>
      </c>
      <c r="G43" s="13">
        <v>42546.642326388886</v>
      </c>
    </row>
    <row r="44" spans="1:7" x14ac:dyDescent="0.25">
      <c r="A44" s="13">
        <v>42546.24664351852</v>
      </c>
      <c r="B44" s="42" t="s">
        <v>486</v>
      </c>
      <c r="C44" s="42" t="s">
        <v>260</v>
      </c>
      <c r="D44" s="42">
        <v>1830000</v>
      </c>
      <c r="E44" s="42" t="s">
        <v>165</v>
      </c>
      <c r="F44" s="42" t="s">
        <v>486</v>
      </c>
      <c r="G44" s="13">
        <v>42546.24664351852</v>
      </c>
    </row>
    <row r="45" spans="1:7" x14ac:dyDescent="0.25">
      <c r="A45" s="13">
        <v>42546.579027777778</v>
      </c>
      <c r="B45" s="42" t="s">
        <v>84</v>
      </c>
      <c r="C45" s="42" t="s">
        <v>386</v>
      </c>
      <c r="D45" s="42">
        <v>880000</v>
      </c>
      <c r="E45" s="42" t="s">
        <v>164</v>
      </c>
      <c r="F45" s="42" t="s">
        <v>84</v>
      </c>
      <c r="G45" s="13">
        <v>42546.579027777778</v>
      </c>
    </row>
    <row r="46" spans="1:7" x14ac:dyDescent="0.25">
      <c r="A46" s="13">
        <v>42546.277743055558</v>
      </c>
      <c r="B46" s="42" t="s">
        <v>82</v>
      </c>
      <c r="C46" s="42" t="s">
        <v>267</v>
      </c>
      <c r="D46" s="42">
        <v>1100000</v>
      </c>
      <c r="E46" s="42" t="s">
        <v>490</v>
      </c>
      <c r="F46" s="42" t="s">
        <v>82</v>
      </c>
      <c r="G46" s="13">
        <v>42546.277743055558</v>
      </c>
    </row>
    <row r="47" spans="1:7" x14ac:dyDescent="0.25">
      <c r="A47" s="13">
        <v>42546.390393518515</v>
      </c>
      <c r="B47" s="42" t="s">
        <v>486</v>
      </c>
      <c r="C47" s="42" t="s">
        <v>301</v>
      </c>
      <c r="D47" s="42">
        <v>1830000</v>
      </c>
      <c r="E47" s="42" t="s">
        <v>165</v>
      </c>
      <c r="F47" s="42" t="s">
        <v>486</v>
      </c>
      <c r="G47" s="13">
        <v>42546.390393518515</v>
      </c>
    </row>
    <row r="48" spans="1:7" x14ac:dyDescent="0.25">
      <c r="A48" s="13">
        <v>42546.317453703705</v>
      </c>
      <c r="B48" s="42" t="s">
        <v>486</v>
      </c>
      <c r="C48" s="42" t="s">
        <v>278</v>
      </c>
      <c r="D48" s="42">
        <v>1830000</v>
      </c>
      <c r="E48" s="42" t="s">
        <v>165</v>
      </c>
      <c r="F48" s="42" t="s">
        <v>486</v>
      </c>
      <c r="G48" s="13">
        <v>42546.317453703705</v>
      </c>
    </row>
    <row r="49" spans="1:7" x14ac:dyDescent="0.25">
      <c r="A49" s="13">
        <v>42546.277858796297</v>
      </c>
      <c r="B49" s="42" t="s">
        <v>481</v>
      </c>
      <c r="C49" s="42" t="s">
        <v>259</v>
      </c>
      <c r="D49" s="42">
        <v>1480000</v>
      </c>
      <c r="E49" s="42" t="s">
        <v>226</v>
      </c>
      <c r="F49" s="42" t="s">
        <v>481</v>
      </c>
      <c r="G49" s="13">
        <v>42546.277858796297</v>
      </c>
    </row>
    <row r="50" spans="1:7" x14ac:dyDescent="0.25">
      <c r="A50" s="13">
        <v>42546.336331018516</v>
      </c>
      <c r="B50" s="42" t="s">
        <v>105</v>
      </c>
      <c r="C50" s="42" t="s">
        <v>274</v>
      </c>
      <c r="D50" s="42">
        <v>1460000</v>
      </c>
      <c r="E50" s="42" t="s">
        <v>168</v>
      </c>
      <c r="F50" s="42" t="s">
        <v>105</v>
      </c>
      <c r="G50" s="13">
        <v>42546.336331018516</v>
      </c>
    </row>
    <row r="51" spans="1:7" x14ac:dyDescent="0.25">
      <c r="A51" s="13">
        <v>42546.234803240739</v>
      </c>
      <c r="B51" s="42" t="s">
        <v>70</v>
      </c>
      <c r="C51" s="42" t="s">
        <v>353</v>
      </c>
      <c r="D51" s="42">
        <v>1500000</v>
      </c>
      <c r="E51" s="42" t="s">
        <v>93</v>
      </c>
      <c r="F51" s="42" t="s">
        <v>70</v>
      </c>
      <c r="G51" s="13">
        <v>42546.234803240739</v>
      </c>
    </row>
    <row r="52" spans="1:7" x14ac:dyDescent="0.25">
      <c r="A52" s="13">
        <v>42546.393541666665</v>
      </c>
      <c r="B52" s="42" t="s">
        <v>487</v>
      </c>
      <c r="C52" s="42" t="s">
        <v>294</v>
      </c>
      <c r="D52" s="42">
        <v>1840000</v>
      </c>
      <c r="E52" s="42" t="s">
        <v>167</v>
      </c>
      <c r="F52" s="42" t="s">
        <v>487</v>
      </c>
      <c r="G52" s="13">
        <v>42546.393541666665</v>
      </c>
    </row>
    <row r="53" spans="1:7" x14ac:dyDescent="0.25">
      <c r="A53" s="13">
        <v>42546.694930555554</v>
      </c>
      <c r="B53" s="42" t="s">
        <v>91</v>
      </c>
      <c r="C53" s="42" t="s">
        <v>419</v>
      </c>
      <c r="D53" s="42">
        <v>1230000</v>
      </c>
      <c r="E53" s="42" t="s">
        <v>491</v>
      </c>
      <c r="F53" s="42" t="s">
        <v>91</v>
      </c>
      <c r="G53" s="13">
        <v>42546.694930555554</v>
      </c>
    </row>
    <row r="54" spans="1:7" x14ac:dyDescent="0.25">
      <c r="A54" s="13">
        <v>42546.632152777776</v>
      </c>
      <c r="B54" s="42" t="s">
        <v>219</v>
      </c>
      <c r="C54" s="42" t="s">
        <v>401</v>
      </c>
      <c r="D54" s="42">
        <v>1120000</v>
      </c>
      <c r="E54" s="42" t="s">
        <v>229</v>
      </c>
      <c r="F54" s="42" t="s">
        <v>219</v>
      </c>
      <c r="G54" s="13">
        <v>42546.632152777776</v>
      </c>
    </row>
    <row r="55" spans="1:7" x14ac:dyDescent="0.25">
      <c r="A55" s="13">
        <v>42546.659780092596</v>
      </c>
      <c r="B55" s="42" t="s">
        <v>89</v>
      </c>
      <c r="C55" s="42" t="s">
        <v>400</v>
      </c>
      <c r="D55" s="42">
        <v>1230000</v>
      </c>
      <c r="E55" s="42" t="s">
        <v>491</v>
      </c>
      <c r="F55" s="42" t="s">
        <v>89</v>
      </c>
      <c r="G55" s="13">
        <v>42546.659780092596</v>
      </c>
    </row>
    <row r="56" spans="1:7" x14ac:dyDescent="0.25">
      <c r="A56" s="13">
        <v>42546.256435185183</v>
      </c>
      <c r="B56" s="42" t="s">
        <v>91</v>
      </c>
      <c r="C56" s="42" t="s">
        <v>263</v>
      </c>
      <c r="D56" s="42">
        <v>1360000</v>
      </c>
      <c r="E56" s="42" t="s">
        <v>493</v>
      </c>
      <c r="F56" s="42" t="s">
        <v>91</v>
      </c>
      <c r="G56" s="13">
        <v>42546.256435185183</v>
      </c>
    </row>
    <row r="57" spans="1:7" x14ac:dyDescent="0.25">
      <c r="A57" s="13">
        <v>42546.454467592594</v>
      </c>
      <c r="B57" s="42" t="s">
        <v>220</v>
      </c>
      <c r="C57" s="42" t="s">
        <v>309</v>
      </c>
      <c r="D57" s="42">
        <v>1310000</v>
      </c>
      <c r="E57" s="42" t="s">
        <v>169</v>
      </c>
      <c r="F57" s="42" t="s">
        <v>220</v>
      </c>
      <c r="G57" s="13">
        <v>42546.454467592594</v>
      </c>
    </row>
    <row r="58" spans="1:7" x14ac:dyDescent="0.25">
      <c r="A58" s="13">
        <v>42546.360763888886</v>
      </c>
      <c r="B58" s="42" t="s">
        <v>89</v>
      </c>
      <c r="C58" s="42" t="s">
        <v>284</v>
      </c>
      <c r="D58" s="42">
        <v>1360000</v>
      </c>
      <c r="E58" s="42" t="s">
        <v>493</v>
      </c>
      <c r="F58" s="42" t="s">
        <v>89</v>
      </c>
      <c r="G58" s="13">
        <v>42546.360763888886</v>
      </c>
    </row>
    <row r="59" spans="1:7" x14ac:dyDescent="0.25">
      <c r="A59" s="13">
        <v>42546.285752314812</v>
      </c>
      <c r="B59" s="42" t="s">
        <v>479</v>
      </c>
      <c r="C59" s="42" t="s">
        <v>270</v>
      </c>
      <c r="D59" s="42">
        <v>1840000</v>
      </c>
      <c r="E59" s="42" t="s">
        <v>167</v>
      </c>
      <c r="F59" s="42" t="s">
        <v>479</v>
      </c>
      <c r="G59" s="13">
        <v>42546.285752314812</v>
      </c>
    </row>
    <row r="60" spans="1:7" x14ac:dyDescent="0.25">
      <c r="A60" s="13">
        <v>42546.453009259261</v>
      </c>
      <c r="B60" s="42" t="s">
        <v>482</v>
      </c>
      <c r="C60" s="42" t="s">
        <v>322</v>
      </c>
      <c r="D60" s="42">
        <v>1460000</v>
      </c>
      <c r="E60" s="42" t="s">
        <v>168</v>
      </c>
      <c r="F60" s="42" t="s">
        <v>482</v>
      </c>
      <c r="G60" s="13">
        <v>42546.453009259261</v>
      </c>
    </row>
    <row r="61" spans="1:7" x14ac:dyDescent="0.25">
      <c r="A61" s="13">
        <v>42547.015787037039</v>
      </c>
      <c r="B61" s="42" t="s">
        <v>479</v>
      </c>
      <c r="C61" s="42" t="s">
        <v>473</v>
      </c>
      <c r="D61" s="42">
        <v>1800000</v>
      </c>
      <c r="E61" s="42" t="s">
        <v>230</v>
      </c>
      <c r="F61" s="42" t="s">
        <v>479</v>
      </c>
      <c r="G61" s="13">
        <v>42547.015787037039</v>
      </c>
    </row>
    <row r="62" spans="1:7" x14ac:dyDescent="0.25">
      <c r="A62" s="13">
        <v>42546.474687499998</v>
      </c>
      <c r="B62" s="42" t="s">
        <v>85</v>
      </c>
      <c r="C62" s="42" t="s">
        <v>318</v>
      </c>
      <c r="D62" s="42">
        <v>1100000</v>
      </c>
      <c r="E62" s="42" t="s">
        <v>490</v>
      </c>
      <c r="F62" s="42" t="s">
        <v>85</v>
      </c>
      <c r="G62" s="13">
        <v>42546.474687499998</v>
      </c>
    </row>
    <row r="63" spans="1:7" x14ac:dyDescent="0.25">
      <c r="A63" s="13">
        <v>42546.970011574071</v>
      </c>
      <c r="B63" s="42" t="s">
        <v>106</v>
      </c>
      <c r="C63" s="42" t="s">
        <v>466</v>
      </c>
      <c r="D63" s="42">
        <v>1180000</v>
      </c>
      <c r="E63" s="42" t="s">
        <v>492</v>
      </c>
      <c r="F63" s="42" t="s">
        <v>106</v>
      </c>
      <c r="G63" s="13">
        <v>42546.970011574071</v>
      </c>
    </row>
    <row r="64" spans="1:7" x14ac:dyDescent="0.25">
      <c r="A64" s="59">
        <v>42546.481493055559</v>
      </c>
      <c r="B64" s="42" t="s">
        <v>105</v>
      </c>
      <c r="C64" s="42" t="s">
        <v>321</v>
      </c>
      <c r="D64" s="42">
        <v>1520000</v>
      </c>
      <c r="E64" s="42" t="s">
        <v>163</v>
      </c>
      <c r="F64" s="42" t="s">
        <v>105</v>
      </c>
      <c r="G64" s="59">
        <v>42546.481493055559</v>
      </c>
    </row>
    <row r="65" spans="1:7" x14ac:dyDescent="0.25">
      <c r="A65" s="13">
        <v>42546.860555555555</v>
      </c>
      <c r="B65" s="42" t="s">
        <v>70</v>
      </c>
      <c r="C65" s="42" t="s">
        <v>387</v>
      </c>
      <c r="D65" s="42">
        <v>1740000</v>
      </c>
      <c r="E65" s="42" t="s">
        <v>88</v>
      </c>
      <c r="F65" s="42" t="s">
        <v>70</v>
      </c>
      <c r="G65" s="13">
        <v>42546.860555555555</v>
      </c>
    </row>
    <row r="66" spans="1:7" x14ac:dyDescent="0.25">
      <c r="A66" s="13">
        <v>42546.518877314818</v>
      </c>
      <c r="B66" s="42" t="s">
        <v>84</v>
      </c>
      <c r="C66" s="42" t="s">
        <v>336</v>
      </c>
      <c r="D66" s="42">
        <v>1540000</v>
      </c>
      <c r="E66" s="42" t="s">
        <v>489</v>
      </c>
      <c r="F66" s="42" t="s">
        <v>84</v>
      </c>
      <c r="G66" s="13">
        <v>42546.518877314818</v>
      </c>
    </row>
    <row r="67" spans="1:7" x14ac:dyDescent="0.25">
      <c r="A67" s="13">
        <v>42546.477094907408</v>
      </c>
      <c r="B67" s="42" t="s">
        <v>85</v>
      </c>
      <c r="C67" s="42" t="s">
        <v>318</v>
      </c>
      <c r="D67" s="42">
        <v>1100000</v>
      </c>
      <c r="E67" s="42" t="s">
        <v>490</v>
      </c>
      <c r="F67" s="42" t="s">
        <v>85</v>
      </c>
      <c r="G67" s="13">
        <v>42546.477094907408</v>
      </c>
    </row>
    <row r="68" spans="1:7" x14ac:dyDescent="0.25">
      <c r="A68" s="13">
        <v>42546.550196759257</v>
      </c>
      <c r="B68" s="42" t="s">
        <v>105</v>
      </c>
      <c r="C68" s="42" t="s">
        <v>341</v>
      </c>
      <c r="D68" s="42">
        <v>1520000</v>
      </c>
      <c r="E68" s="42" t="s">
        <v>163</v>
      </c>
      <c r="F68" s="42" t="s">
        <v>105</v>
      </c>
      <c r="G68" s="13">
        <v>42546.550196759257</v>
      </c>
    </row>
    <row r="69" spans="1:7" x14ac:dyDescent="0.25">
      <c r="A69" s="13">
        <v>42546.347280092596</v>
      </c>
      <c r="B69" s="42" t="s">
        <v>478</v>
      </c>
      <c r="C69" s="42" t="s">
        <v>277</v>
      </c>
      <c r="D69" s="42">
        <v>1480000</v>
      </c>
      <c r="E69" s="42" t="s">
        <v>226</v>
      </c>
      <c r="F69" s="42" t="s">
        <v>478</v>
      </c>
      <c r="G69" s="13">
        <v>42546.347280092596</v>
      </c>
    </row>
    <row r="70" spans="1:7" x14ac:dyDescent="0.25">
      <c r="A70" s="13">
        <v>42546.610254629632</v>
      </c>
      <c r="B70" s="42" t="s">
        <v>70</v>
      </c>
      <c r="C70" s="42" t="s">
        <v>373</v>
      </c>
      <c r="D70" s="42">
        <v>1740000</v>
      </c>
      <c r="E70" s="42" t="s">
        <v>88</v>
      </c>
      <c r="F70" s="42" t="s">
        <v>70</v>
      </c>
      <c r="G70" s="13">
        <v>42546.610254629632</v>
      </c>
    </row>
    <row r="71" spans="1:7" x14ac:dyDescent="0.25">
      <c r="A71" s="13">
        <v>42546.22552083333</v>
      </c>
      <c r="B71" s="42" t="s">
        <v>106</v>
      </c>
      <c r="C71" s="42" t="s">
        <v>254</v>
      </c>
      <c r="D71" s="42">
        <v>1460000</v>
      </c>
      <c r="E71" s="42" t="s">
        <v>168</v>
      </c>
      <c r="F71" s="42" t="s">
        <v>106</v>
      </c>
      <c r="G71" s="13">
        <v>42546.22552083333</v>
      </c>
    </row>
    <row r="72" spans="1:7" x14ac:dyDescent="0.25">
      <c r="A72" s="13">
        <v>42546.298738425925</v>
      </c>
      <c r="B72" s="42" t="s">
        <v>106</v>
      </c>
      <c r="C72" s="42" t="s">
        <v>272</v>
      </c>
      <c r="D72" s="42">
        <v>1460000</v>
      </c>
      <c r="E72" s="42" t="s">
        <v>168</v>
      </c>
      <c r="F72" s="42" t="s">
        <v>106</v>
      </c>
      <c r="G72" s="13">
        <v>42546.298738425925</v>
      </c>
    </row>
    <row r="73" spans="1:7" x14ac:dyDescent="0.25">
      <c r="A73" s="13">
        <v>42546.169421296298</v>
      </c>
      <c r="B73" s="42" t="s">
        <v>487</v>
      </c>
      <c r="C73" s="42" t="s">
        <v>235</v>
      </c>
      <c r="D73" s="42">
        <v>1840000</v>
      </c>
      <c r="E73" s="42" t="s">
        <v>167</v>
      </c>
      <c r="F73" s="42" t="s">
        <v>487</v>
      </c>
      <c r="G73" s="13">
        <v>42546.169421296298</v>
      </c>
    </row>
    <row r="74" spans="1:7" x14ac:dyDescent="0.25">
      <c r="A74" s="13">
        <v>42546.359386574077</v>
      </c>
      <c r="B74" s="42" t="s">
        <v>479</v>
      </c>
      <c r="C74" s="42" t="s">
        <v>293</v>
      </c>
      <c r="D74" s="42">
        <v>1840000</v>
      </c>
      <c r="E74" s="42" t="s">
        <v>167</v>
      </c>
      <c r="F74" s="42" t="s">
        <v>479</v>
      </c>
      <c r="G74" s="13">
        <v>42546.359386574077</v>
      </c>
    </row>
    <row r="75" spans="1:7" x14ac:dyDescent="0.25">
      <c r="A75" s="13">
        <v>42546.744247685187</v>
      </c>
      <c r="B75" s="42" t="s">
        <v>220</v>
      </c>
      <c r="C75" s="42" t="s">
        <v>424</v>
      </c>
      <c r="D75" s="42">
        <v>1120000</v>
      </c>
      <c r="E75" s="42" t="s">
        <v>229</v>
      </c>
      <c r="F75" s="42" t="s">
        <v>220</v>
      </c>
      <c r="G75" s="13">
        <v>42546.744247685187</v>
      </c>
    </row>
    <row r="76" spans="1:7" x14ac:dyDescent="0.25">
      <c r="A76" s="13">
        <v>42546.382557870369</v>
      </c>
      <c r="B76" s="42" t="s">
        <v>482</v>
      </c>
      <c r="C76" s="42" t="s">
        <v>299</v>
      </c>
      <c r="D76" s="42">
        <v>1480000</v>
      </c>
      <c r="E76" s="42" t="s">
        <v>226</v>
      </c>
      <c r="F76" s="42" t="s">
        <v>482</v>
      </c>
      <c r="G76" s="13">
        <v>42546.382557870369</v>
      </c>
    </row>
    <row r="77" spans="1:7" x14ac:dyDescent="0.25">
      <c r="A77" s="13">
        <v>42546.623738425929</v>
      </c>
      <c r="B77" s="42" t="s">
        <v>105</v>
      </c>
      <c r="C77" s="42" t="s">
        <v>393</v>
      </c>
      <c r="D77" s="42">
        <v>1520000</v>
      </c>
      <c r="E77" s="42" t="s">
        <v>163</v>
      </c>
      <c r="F77" s="42" t="s">
        <v>105</v>
      </c>
      <c r="G77" s="13">
        <v>42546.623738425929</v>
      </c>
    </row>
    <row r="78" spans="1:7" x14ac:dyDescent="0.25">
      <c r="A78" s="13">
        <v>42546.400729166664</v>
      </c>
      <c r="B78" s="42" t="s">
        <v>70</v>
      </c>
      <c r="C78" s="42" t="s">
        <v>361</v>
      </c>
      <c r="D78" s="42">
        <v>1500000</v>
      </c>
      <c r="E78" s="42" t="s">
        <v>93</v>
      </c>
      <c r="F78" s="42" t="s">
        <v>70</v>
      </c>
      <c r="G78" s="13">
        <v>42546.400729166664</v>
      </c>
    </row>
    <row r="79" spans="1:7" x14ac:dyDescent="0.25">
      <c r="A79" s="13">
        <v>42546.423263888886</v>
      </c>
      <c r="B79" s="42" t="s">
        <v>483</v>
      </c>
      <c r="C79" s="42" t="s">
        <v>303</v>
      </c>
      <c r="D79" s="42">
        <v>1830000</v>
      </c>
      <c r="E79" s="42" t="s">
        <v>165</v>
      </c>
      <c r="F79" s="42" t="s">
        <v>483</v>
      </c>
      <c r="G79" s="13">
        <v>42546.423263888886</v>
      </c>
    </row>
    <row r="80" spans="1:7" x14ac:dyDescent="0.25">
      <c r="A80" s="13">
        <v>42546.482430555552</v>
      </c>
      <c r="B80" s="42" t="s">
        <v>105</v>
      </c>
      <c r="C80" s="42" t="s">
        <v>321</v>
      </c>
      <c r="D80" s="42">
        <v>1520000</v>
      </c>
      <c r="E80" s="42" t="s">
        <v>163</v>
      </c>
      <c r="F80" s="42" t="s">
        <v>105</v>
      </c>
      <c r="G80" s="13">
        <v>42546.482430555552</v>
      </c>
    </row>
    <row r="81" spans="1:7" x14ac:dyDescent="0.25">
      <c r="A81" s="13">
        <v>42546.277604166666</v>
      </c>
      <c r="B81" s="42" t="s">
        <v>70</v>
      </c>
      <c r="C81" s="42" t="s">
        <v>355</v>
      </c>
      <c r="D81" s="42">
        <v>1500000</v>
      </c>
      <c r="E81" s="42" t="s">
        <v>93</v>
      </c>
      <c r="F81" s="42" t="s">
        <v>70</v>
      </c>
      <c r="G81" s="13">
        <v>42546.277604166666</v>
      </c>
    </row>
    <row r="82" spans="1:7" x14ac:dyDescent="0.25">
      <c r="A82" s="13">
        <v>42546.491932870369</v>
      </c>
      <c r="B82" s="42" t="s">
        <v>478</v>
      </c>
      <c r="C82" s="42" t="s">
        <v>323</v>
      </c>
      <c r="D82" s="42">
        <v>1460000</v>
      </c>
      <c r="E82" s="42" t="s">
        <v>168</v>
      </c>
      <c r="F82" s="42" t="s">
        <v>478</v>
      </c>
      <c r="G82" s="13">
        <v>42546.491932870369</v>
      </c>
    </row>
    <row r="83" spans="1:7" x14ac:dyDescent="0.25">
      <c r="A83" s="13">
        <v>42546.269907407404</v>
      </c>
      <c r="B83" s="42" t="s">
        <v>219</v>
      </c>
      <c r="C83" s="42" t="s">
        <v>265</v>
      </c>
      <c r="D83" s="42">
        <v>1310000</v>
      </c>
      <c r="E83" s="42" t="s">
        <v>169</v>
      </c>
      <c r="F83" s="42" t="s">
        <v>219</v>
      </c>
      <c r="G83" s="13">
        <v>42546.269907407404</v>
      </c>
    </row>
    <row r="84" spans="1:7" x14ac:dyDescent="0.25">
      <c r="A84" s="13">
        <v>42546.540243055555</v>
      </c>
      <c r="B84" s="42" t="s">
        <v>92</v>
      </c>
      <c r="C84" s="42" t="s">
        <v>370</v>
      </c>
      <c r="D84" s="42">
        <v>1500000</v>
      </c>
      <c r="E84" s="42" t="s">
        <v>93</v>
      </c>
      <c r="F84" s="42" t="s">
        <v>92</v>
      </c>
      <c r="G84" s="13">
        <v>42546.540243055555</v>
      </c>
    </row>
    <row r="85" spans="1:7" x14ac:dyDescent="0.25">
      <c r="A85" s="13">
        <v>42546.871377314812</v>
      </c>
      <c r="B85" s="42" t="s">
        <v>480</v>
      </c>
      <c r="C85" s="42" t="s">
        <v>452</v>
      </c>
      <c r="D85" s="42">
        <v>1820000</v>
      </c>
      <c r="E85" s="42" t="s">
        <v>145</v>
      </c>
      <c r="F85" s="42" t="s">
        <v>480</v>
      </c>
      <c r="G85" s="13">
        <v>42546.871377314812</v>
      </c>
    </row>
    <row r="86" spans="1:7" x14ac:dyDescent="0.25">
      <c r="A86" s="13">
        <v>42546.605555555558</v>
      </c>
      <c r="B86" s="42" t="s">
        <v>481</v>
      </c>
      <c r="C86" s="42" t="s">
        <v>375</v>
      </c>
      <c r="D86" s="42">
        <v>1260000</v>
      </c>
      <c r="E86" s="42" t="s">
        <v>488</v>
      </c>
      <c r="F86" s="42" t="s">
        <v>481</v>
      </c>
      <c r="G86" s="13">
        <v>42546.605555555558</v>
      </c>
    </row>
    <row r="87" spans="1:7" x14ac:dyDescent="0.25">
      <c r="A87" s="13">
        <v>42546.766111111108</v>
      </c>
      <c r="B87" s="42" t="s">
        <v>85</v>
      </c>
      <c r="C87" s="42" t="s">
        <v>431</v>
      </c>
      <c r="D87" s="42">
        <v>880000</v>
      </c>
      <c r="E87" s="42" t="s">
        <v>164</v>
      </c>
      <c r="F87" s="42" t="s">
        <v>85</v>
      </c>
      <c r="G87" s="13">
        <v>42546.766111111108</v>
      </c>
    </row>
    <row r="88" spans="1:7" x14ac:dyDescent="0.25">
      <c r="A88" s="13">
        <v>42546.619976851849</v>
      </c>
      <c r="B88" s="42" t="s">
        <v>85</v>
      </c>
      <c r="C88" s="42" t="s">
        <v>391</v>
      </c>
      <c r="D88" s="42">
        <v>880000</v>
      </c>
      <c r="E88" s="42" t="s">
        <v>164</v>
      </c>
      <c r="F88" s="42" t="s">
        <v>85</v>
      </c>
      <c r="G88" s="13">
        <v>42546.619976851849</v>
      </c>
    </row>
    <row r="89" spans="1:7" x14ac:dyDescent="0.25">
      <c r="A89" s="13">
        <v>42546.735474537039</v>
      </c>
      <c r="B89" s="42" t="s">
        <v>70</v>
      </c>
      <c r="C89" s="42" t="s">
        <v>380</v>
      </c>
      <c r="D89" s="42">
        <v>1740000</v>
      </c>
      <c r="E89" s="42" t="s">
        <v>88</v>
      </c>
      <c r="F89" s="42" t="s">
        <v>70</v>
      </c>
      <c r="G89" s="13">
        <v>42546.735474537039</v>
      </c>
    </row>
    <row r="90" spans="1:7" x14ac:dyDescent="0.25">
      <c r="A90" s="13">
        <v>42546.64329861111</v>
      </c>
      <c r="B90" s="42" t="s">
        <v>480</v>
      </c>
      <c r="C90" s="42" t="s">
        <v>405</v>
      </c>
      <c r="D90" s="42">
        <v>1260000</v>
      </c>
      <c r="E90" s="42" t="s">
        <v>488</v>
      </c>
      <c r="F90" s="42" t="s">
        <v>480</v>
      </c>
      <c r="G90" s="13">
        <v>42546.64329861111</v>
      </c>
    </row>
    <row r="91" spans="1:7" x14ac:dyDescent="0.25">
      <c r="A91" s="13">
        <v>42546.704571759263</v>
      </c>
      <c r="B91" s="42" t="s">
        <v>219</v>
      </c>
      <c r="C91" s="42" t="s">
        <v>422</v>
      </c>
      <c r="D91" s="42">
        <v>1120000</v>
      </c>
      <c r="E91" s="42" t="s">
        <v>229</v>
      </c>
      <c r="F91" s="42" t="s">
        <v>219</v>
      </c>
      <c r="G91" s="13">
        <v>42546.704571759263</v>
      </c>
    </row>
    <row r="92" spans="1:7" x14ac:dyDescent="0.25">
      <c r="A92" s="13">
        <v>42546.653333333335</v>
      </c>
      <c r="B92" s="42" t="s">
        <v>84</v>
      </c>
      <c r="C92" s="42" t="s">
        <v>409</v>
      </c>
      <c r="D92" s="42">
        <v>880000</v>
      </c>
      <c r="E92" s="42" t="s">
        <v>164</v>
      </c>
      <c r="F92" s="42" t="s">
        <v>84</v>
      </c>
      <c r="G92" s="13">
        <v>42546.653333333335</v>
      </c>
    </row>
    <row r="93" spans="1:7" x14ac:dyDescent="0.25">
      <c r="A93" s="13">
        <v>42546.62263888889</v>
      </c>
      <c r="B93" s="42" t="s">
        <v>105</v>
      </c>
      <c r="C93" s="42" t="s">
        <v>393</v>
      </c>
      <c r="D93" s="42">
        <v>1520000</v>
      </c>
      <c r="E93" s="42" t="s">
        <v>163</v>
      </c>
      <c r="F93" s="42" t="s">
        <v>105</v>
      </c>
      <c r="G93" s="13">
        <v>42546.62263888889</v>
      </c>
    </row>
    <row r="94" spans="1:7" x14ac:dyDescent="0.25">
      <c r="A94" s="13">
        <v>42546.671585648146</v>
      </c>
      <c r="B94" s="42" t="s">
        <v>220</v>
      </c>
      <c r="C94" s="42" t="s">
        <v>403</v>
      </c>
      <c r="D94" s="42">
        <v>1120000</v>
      </c>
      <c r="E94" s="42" t="s">
        <v>229</v>
      </c>
      <c r="F94" s="42" t="s">
        <v>220</v>
      </c>
      <c r="G94" s="13">
        <v>42546.671585648146</v>
      </c>
    </row>
    <row r="95" spans="1:7" x14ac:dyDescent="0.25">
      <c r="A95" s="13">
        <v>42546.588958333334</v>
      </c>
      <c r="B95" s="42" t="s">
        <v>106</v>
      </c>
      <c r="C95" s="42" t="s">
        <v>392</v>
      </c>
      <c r="D95" s="42">
        <v>1520000</v>
      </c>
      <c r="E95" s="42" t="s">
        <v>163</v>
      </c>
      <c r="F95" s="42" t="s">
        <v>106</v>
      </c>
      <c r="G95" s="13">
        <v>42546.588958333334</v>
      </c>
    </row>
    <row r="96" spans="1:7" x14ac:dyDescent="0.25">
      <c r="A96" s="13">
        <v>42546.746435185189</v>
      </c>
      <c r="B96" s="42" t="s">
        <v>482</v>
      </c>
      <c r="C96" s="42" t="s">
        <v>437</v>
      </c>
      <c r="D96" s="42">
        <v>950000</v>
      </c>
      <c r="E96" s="42" t="s">
        <v>227</v>
      </c>
      <c r="F96" s="42" t="s">
        <v>482</v>
      </c>
      <c r="G96" s="13">
        <v>42546.746435185189</v>
      </c>
    </row>
    <row r="97" spans="1:7" x14ac:dyDescent="0.25">
      <c r="A97" s="13">
        <v>42546.563842592594</v>
      </c>
      <c r="B97" s="42" t="s">
        <v>478</v>
      </c>
      <c r="C97" s="42" t="s">
        <v>343</v>
      </c>
      <c r="D97" s="42">
        <v>950000</v>
      </c>
      <c r="E97" s="42" t="s">
        <v>227</v>
      </c>
      <c r="F97" s="42" t="s">
        <v>478</v>
      </c>
      <c r="G97" s="13">
        <v>42546.563842592594</v>
      </c>
    </row>
    <row r="98" spans="1:7" x14ac:dyDescent="0.25">
      <c r="A98" s="13">
        <v>42546.770312499997</v>
      </c>
      <c r="B98" s="42" t="s">
        <v>479</v>
      </c>
      <c r="C98" s="42" t="s">
        <v>442</v>
      </c>
      <c r="D98" s="42">
        <v>1800000</v>
      </c>
      <c r="E98" s="42" t="s">
        <v>230</v>
      </c>
      <c r="F98" s="42" t="s">
        <v>479</v>
      </c>
      <c r="G98" s="13">
        <v>42546.770312499997</v>
      </c>
    </row>
    <row r="99" spans="1:7" x14ac:dyDescent="0.25">
      <c r="A99" s="13">
        <v>42546.326620370368</v>
      </c>
      <c r="B99" s="42" t="s">
        <v>487</v>
      </c>
      <c r="C99" s="42" t="s">
        <v>271</v>
      </c>
      <c r="D99" s="42">
        <v>1840000</v>
      </c>
      <c r="E99" s="42" t="s">
        <v>167</v>
      </c>
      <c r="F99" s="42" t="s">
        <v>487</v>
      </c>
      <c r="G99" s="13">
        <v>42546.326620370368</v>
      </c>
    </row>
    <row r="100" spans="1:7" x14ac:dyDescent="0.25">
      <c r="A100" s="13">
        <v>42546.807835648149</v>
      </c>
      <c r="B100" s="42" t="s">
        <v>106</v>
      </c>
      <c r="C100" s="42" t="s">
        <v>446</v>
      </c>
      <c r="D100" s="42">
        <v>1180000</v>
      </c>
      <c r="E100" s="42" t="s">
        <v>492</v>
      </c>
      <c r="F100" s="42" t="s">
        <v>106</v>
      </c>
      <c r="G100" s="13">
        <v>42546.807835648149</v>
      </c>
    </row>
    <row r="101" spans="1:7" x14ac:dyDescent="0.25">
      <c r="A101" s="13">
        <v>42546.301979166667</v>
      </c>
      <c r="B101" s="42" t="s">
        <v>92</v>
      </c>
      <c r="C101" s="42" t="s">
        <v>356</v>
      </c>
      <c r="D101" s="42">
        <v>1500000</v>
      </c>
      <c r="E101" s="42" t="s">
        <v>93</v>
      </c>
      <c r="F101" s="42" t="s">
        <v>92</v>
      </c>
      <c r="G101" s="13">
        <v>42546.301979166667</v>
      </c>
    </row>
    <row r="102" spans="1:7" x14ac:dyDescent="0.25">
      <c r="A102" s="13">
        <v>42546.828113425923</v>
      </c>
      <c r="B102" s="42" t="s">
        <v>486</v>
      </c>
      <c r="C102" s="42" t="s">
        <v>449</v>
      </c>
      <c r="D102" s="42">
        <v>1770000</v>
      </c>
      <c r="E102" s="42" t="s">
        <v>170</v>
      </c>
      <c r="F102" s="42" t="s">
        <v>486</v>
      </c>
      <c r="G102" s="13">
        <v>42546.828113425923</v>
      </c>
    </row>
    <row r="103" spans="1:7" x14ac:dyDescent="0.25">
      <c r="A103" s="13">
        <v>42546.793680555558</v>
      </c>
      <c r="B103" s="42" t="s">
        <v>483</v>
      </c>
      <c r="C103" s="42" t="s">
        <v>441</v>
      </c>
      <c r="D103" s="42">
        <v>1770000</v>
      </c>
      <c r="E103" s="42" t="s">
        <v>170</v>
      </c>
      <c r="F103" s="42" t="s">
        <v>483</v>
      </c>
      <c r="G103" s="13">
        <v>42546.793680555558</v>
      </c>
    </row>
    <row r="104" spans="1:7" x14ac:dyDescent="0.25">
      <c r="A104" s="13">
        <v>42546.851435185185</v>
      </c>
      <c r="B104" s="42" t="s">
        <v>479</v>
      </c>
      <c r="C104" s="42" t="s">
        <v>451</v>
      </c>
      <c r="D104" s="42">
        <v>1800000</v>
      </c>
      <c r="E104" s="42" t="s">
        <v>230</v>
      </c>
      <c r="F104" s="42" t="s">
        <v>479</v>
      </c>
      <c r="G104" s="13">
        <v>42546.851435185185</v>
      </c>
    </row>
    <row r="105" spans="1:7" x14ac:dyDescent="0.25">
      <c r="A105" s="13">
        <v>42546.662777777776</v>
      </c>
      <c r="B105" s="42" t="s">
        <v>106</v>
      </c>
      <c r="C105" s="42" t="s">
        <v>411</v>
      </c>
      <c r="D105" s="42">
        <v>1520000</v>
      </c>
      <c r="E105" s="42" t="s">
        <v>163</v>
      </c>
      <c r="F105" s="42" t="s">
        <v>106</v>
      </c>
      <c r="G105" s="13">
        <v>42546.662777777776</v>
      </c>
    </row>
    <row r="106" spans="1:7" x14ac:dyDescent="0.25">
      <c r="A106" s="13">
        <v>42546.93509259259</v>
      </c>
      <c r="B106" s="42" t="s">
        <v>479</v>
      </c>
      <c r="C106" s="42" t="s">
        <v>462</v>
      </c>
      <c r="D106" s="42">
        <v>1800000</v>
      </c>
      <c r="E106" s="42" t="s">
        <v>230</v>
      </c>
      <c r="F106" s="42" t="s">
        <v>479</v>
      </c>
      <c r="G106" s="13">
        <v>42546.93509259259</v>
      </c>
    </row>
    <row r="107" spans="1:7" x14ac:dyDescent="0.25">
      <c r="A107" s="13">
        <v>42546.423784722225</v>
      </c>
      <c r="B107" s="42" t="s">
        <v>480</v>
      </c>
      <c r="C107" s="42" t="s">
        <v>311</v>
      </c>
      <c r="D107" s="42">
        <v>1260000</v>
      </c>
      <c r="E107" s="42" t="s">
        <v>488</v>
      </c>
      <c r="F107" s="42" t="s">
        <v>480</v>
      </c>
      <c r="G107" s="13">
        <v>42546.423784722225</v>
      </c>
    </row>
    <row r="108" spans="1:7" x14ac:dyDescent="0.25">
      <c r="A108" s="13">
        <v>42546.991226851853</v>
      </c>
      <c r="B108" s="42" t="s">
        <v>486</v>
      </c>
      <c r="C108" s="42" t="s">
        <v>469</v>
      </c>
      <c r="D108" s="42">
        <v>1770000</v>
      </c>
      <c r="E108" s="42" t="s">
        <v>170</v>
      </c>
      <c r="F108" s="42" t="s">
        <v>486</v>
      </c>
      <c r="G108" s="13">
        <v>42546.991226851853</v>
      </c>
    </row>
    <row r="109" spans="1:7" x14ac:dyDescent="0.25">
      <c r="A109" s="13">
        <v>42546.289201388892</v>
      </c>
      <c r="B109" s="42" t="s">
        <v>89</v>
      </c>
      <c r="C109" s="42" t="s">
        <v>264</v>
      </c>
      <c r="D109" s="42">
        <v>1360000</v>
      </c>
      <c r="E109" s="42" t="s">
        <v>493</v>
      </c>
      <c r="F109" s="42" t="s">
        <v>89</v>
      </c>
      <c r="G109" s="13">
        <v>42546.289201388892</v>
      </c>
    </row>
    <row r="110" spans="1:7" x14ac:dyDescent="0.25">
      <c r="A110" s="13">
        <v>42546.714884259258</v>
      </c>
      <c r="B110" s="42" t="s">
        <v>478</v>
      </c>
      <c r="C110" s="42" t="s">
        <v>414</v>
      </c>
      <c r="D110" s="42">
        <v>950000</v>
      </c>
      <c r="E110" s="42" t="s">
        <v>227</v>
      </c>
      <c r="F110" s="42" t="s">
        <v>478</v>
      </c>
      <c r="G110" s="13">
        <v>42546.714884259258</v>
      </c>
    </row>
    <row r="111" spans="1:7" x14ac:dyDescent="0.25">
      <c r="A111" s="13">
        <v>42546.233935185184</v>
      </c>
      <c r="B111" s="42" t="s">
        <v>220</v>
      </c>
      <c r="C111" s="42" t="s">
        <v>248</v>
      </c>
      <c r="D111" s="42">
        <v>1310000</v>
      </c>
      <c r="E111" s="42" t="s">
        <v>169</v>
      </c>
      <c r="F111" s="42" t="s">
        <v>220</v>
      </c>
      <c r="G111" s="13">
        <v>42546.233935185184</v>
      </c>
    </row>
    <row r="112" spans="1:7" x14ac:dyDescent="0.25">
      <c r="A112" s="13">
        <v>42546.721145833333</v>
      </c>
      <c r="B112" s="42" t="s">
        <v>92</v>
      </c>
      <c r="C112" s="42" t="s">
        <v>379</v>
      </c>
      <c r="D112" s="42">
        <v>1740000</v>
      </c>
      <c r="E112" s="42" t="s">
        <v>88</v>
      </c>
      <c r="F112" s="42" t="s">
        <v>92</v>
      </c>
      <c r="G112" s="13">
        <v>42546.721145833333</v>
      </c>
    </row>
    <row r="113" spans="1:7" x14ac:dyDescent="0.25">
      <c r="A113" s="13">
        <v>42546.179699074077</v>
      </c>
      <c r="B113" s="42" t="s">
        <v>91</v>
      </c>
      <c r="C113" s="42" t="s">
        <v>243</v>
      </c>
      <c r="D113" s="42">
        <v>1360000</v>
      </c>
      <c r="E113" s="42" t="s">
        <v>493</v>
      </c>
      <c r="F113" s="42" t="s">
        <v>91</v>
      </c>
      <c r="G113" s="13">
        <v>42546.179699074077</v>
      </c>
    </row>
    <row r="114" spans="1:7" x14ac:dyDescent="0.25">
      <c r="A114" s="13">
        <v>42546.777025462965</v>
      </c>
      <c r="B114" s="42" t="s">
        <v>70</v>
      </c>
      <c r="C114" s="42" t="s">
        <v>382</v>
      </c>
      <c r="D114" s="42">
        <v>1740000</v>
      </c>
      <c r="E114" s="42" t="s">
        <v>88</v>
      </c>
      <c r="F114" s="42" t="s">
        <v>70</v>
      </c>
      <c r="G114" s="13">
        <v>42546.777025462965</v>
      </c>
    </row>
    <row r="115" spans="1:7" x14ac:dyDescent="0.25">
      <c r="A115" s="13">
        <v>42546.928055555552</v>
      </c>
      <c r="B115" s="42" t="s">
        <v>92</v>
      </c>
      <c r="C115" s="42" t="s">
        <v>390</v>
      </c>
      <c r="D115" s="42">
        <v>1740000</v>
      </c>
      <c r="E115" s="42" t="s">
        <v>88</v>
      </c>
      <c r="F115" s="42" t="s">
        <v>92</v>
      </c>
      <c r="G115" s="13">
        <v>42546.928055555552</v>
      </c>
    </row>
    <row r="116" spans="1:7" x14ac:dyDescent="0.25">
      <c r="A116" s="13">
        <v>42546.843321759261</v>
      </c>
      <c r="B116" s="42" t="s">
        <v>105</v>
      </c>
      <c r="C116" s="42" t="s">
        <v>447</v>
      </c>
      <c r="D116" s="42">
        <v>1180000</v>
      </c>
      <c r="E116" s="42" t="s">
        <v>492</v>
      </c>
      <c r="F116" s="42" t="s">
        <v>105</v>
      </c>
      <c r="G116" s="13">
        <v>42546.843321759261</v>
      </c>
    </row>
    <row r="117" spans="1:7" x14ac:dyDescent="0.25">
      <c r="A117" s="13">
        <v>42546.461296296293</v>
      </c>
      <c r="B117" s="42" t="s">
        <v>481</v>
      </c>
      <c r="C117" s="42" t="s">
        <v>315</v>
      </c>
      <c r="D117" s="42">
        <v>1260000</v>
      </c>
      <c r="E117" s="42" t="s">
        <v>488</v>
      </c>
      <c r="F117" s="42" t="s">
        <v>481</v>
      </c>
      <c r="G117" s="13">
        <v>42546.461296296293</v>
      </c>
    </row>
    <row r="118" spans="1:7" x14ac:dyDescent="0.25">
      <c r="A118" s="13">
        <v>42546.909016203703</v>
      </c>
      <c r="B118" s="42" t="s">
        <v>486</v>
      </c>
      <c r="C118" s="42" t="s">
        <v>458</v>
      </c>
      <c r="D118" s="42">
        <v>1770000</v>
      </c>
      <c r="E118" s="42" t="s">
        <v>170</v>
      </c>
      <c r="F118" s="42" t="s">
        <v>486</v>
      </c>
      <c r="G118" s="13">
        <v>42546.909016203703</v>
      </c>
    </row>
    <row r="119" spans="1:7" x14ac:dyDescent="0.25">
      <c r="A119" s="13">
        <v>42546.431458333333</v>
      </c>
      <c r="B119" s="42" t="s">
        <v>84</v>
      </c>
      <c r="C119" s="42" t="s">
        <v>316</v>
      </c>
      <c r="D119" s="42">
        <v>1100000</v>
      </c>
      <c r="E119" s="42" t="s">
        <v>490</v>
      </c>
      <c r="F119" s="42" t="s">
        <v>84</v>
      </c>
      <c r="G119" s="13">
        <v>42546.431458333333</v>
      </c>
    </row>
    <row r="120" spans="1:7" x14ac:dyDescent="0.25">
      <c r="A120" s="13">
        <v>42546.91741898148</v>
      </c>
      <c r="B120" s="42" t="s">
        <v>486</v>
      </c>
      <c r="C120" s="42" t="s">
        <v>458</v>
      </c>
      <c r="D120" s="42">
        <v>1770000</v>
      </c>
      <c r="E120" s="42" t="s">
        <v>170</v>
      </c>
      <c r="F120" s="42" t="s">
        <v>486</v>
      </c>
      <c r="G120" s="13">
        <v>42546.91741898148</v>
      </c>
    </row>
    <row r="121" spans="1:7" x14ac:dyDescent="0.25">
      <c r="A121" s="13">
        <v>42546.38140046296</v>
      </c>
      <c r="B121" s="42" t="s">
        <v>482</v>
      </c>
      <c r="C121" s="42" t="s">
        <v>299</v>
      </c>
      <c r="D121" s="42">
        <v>1480000</v>
      </c>
      <c r="E121" s="42" t="s">
        <v>226</v>
      </c>
      <c r="F121" s="42" t="s">
        <v>482</v>
      </c>
      <c r="G121" s="13">
        <v>42546.38140046296</v>
      </c>
    </row>
    <row r="122" spans="1:7" x14ac:dyDescent="0.25">
      <c r="A122" s="13">
        <v>42546.951354166667</v>
      </c>
      <c r="B122" s="58" t="s">
        <v>483</v>
      </c>
      <c r="C122" s="42" t="s">
        <v>460</v>
      </c>
      <c r="D122" s="42">
        <v>1770000</v>
      </c>
      <c r="E122" s="42" t="s">
        <v>170</v>
      </c>
      <c r="F122" s="58" t="s">
        <v>483</v>
      </c>
      <c r="G122" s="13">
        <v>42546.951354166667</v>
      </c>
    </row>
    <row r="123" spans="1:7" x14ac:dyDescent="0.25">
      <c r="A123" s="13">
        <v>42546.279224537036</v>
      </c>
      <c r="B123" s="42" t="s">
        <v>483</v>
      </c>
      <c r="C123" s="42" t="s">
        <v>262</v>
      </c>
      <c r="D123" s="42">
        <v>1830000</v>
      </c>
      <c r="E123" s="42" t="s">
        <v>165</v>
      </c>
      <c r="F123" s="42" t="s">
        <v>483</v>
      </c>
      <c r="G123" s="13">
        <v>42546.279224537036</v>
      </c>
    </row>
    <row r="124" spans="1:7" x14ac:dyDescent="0.25">
      <c r="A124" s="13">
        <v>42547.013043981482</v>
      </c>
      <c r="B124" s="42" t="s">
        <v>105</v>
      </c>
      <c r="C124" s="42" t="s">
        <v>468</v>
      </c>
      <c r="D124" s="42">
        <v>1180000</v>
      </c>
      <c r="E124" s="42" t="s">
        <v>492</v>
      </c>
      <c r="F124" s="42" t="s">
        <v>105</v>
      </c>
      <c r="G124" s="13">
        <v>42547.013043981482</v>
      </c>
    </row>
    <row r="125" spans="1:7" x14ac:dyDescent="0.25">
      <c r="A125" s="13">
        <v>42546.455520833333</v>
      </c>
      <c r="B125" s="42" t="s">
        <v>92</v>
      </c>
      <c r="C125" s="42" t="s">
        <v>366</v>
      </c>
      <c r="D125" s="42">
        <v>1500000</v>
      </c>
      <c r="E125" s="42" t="s">
        <v>93</v>
      </c>
      <c r="F125" s="42" t="s">
        <v>92</v>
      </c>
      <c r="G125" s="13">
        <v>42546.455520833333</v>
      </c>
    </row>
    <row r="126" spans="1:7" x14ac:dyDescent="0.25">
      <c r="A126" s="13">
        <v>42547.033090277779</v>
      </c>
      <c r="B126" s="42" t="s">
        <v>483</v>
      </c>
      <c r="C126" s="42" t="s">
        <v>472</v>
      </c>
      <c r="D126" s="42">
        <v>1770000</v>
      </c>
      <c r="E126" s="42" t="s">
        <v>170</v>
      </c>
      <c r="F126" s="42" t="s">
        <v>483</v>
      </c>
      <c r="G126" s="13">
        <v>42547.033090277779</v>
      </c>
    </row>
    <row r="127" spans="1:7" x14ac:dyDescent="0.25">
      <c r="A127" s="13">
        <v>42546.433703703704</v>
      </c>
      <c r="B127" s="42" t="s">
        <v>89</v>
      </c>
      <c r="C127" s="42" t="s">
        <v>306</v>
      </c>
      <c r="D127" s="42">
        <v>1360000</v>
      </c>
      <c r="E127" s="42" t="s">
        <v>493</v>
      </c>
      <c r="F127" s="42" t="s">
        <v>89</v>
      </c>
      <c r="G127" s="13">
        <v>42546.433703703704</v>
      </c>
    </row>
    <row r="128" spans="1:7" x14ac:dyDescent="0.25">
      <c r="A128" s="13">
        <v>42547.058113425926</v>
      </c>
      <c r="B128" s="42" t="s">
        <v>487</v>
      </c>
      <c r="C128" s="42" t="s">
        <v>474</v>
      </c>
      <c r="D128" s="42">
        <v>1800000</v>
      </c>
      <c r="E128" s="42" t="s">
        <v>230</v>
      </c>
      <c r="F128" s="42" t="s">
        <v>487</v>
      </c>
      <c r="G128" s="13">
        <v>42547.058113425926</v>
      </c>
    </row>
    <row r="129" spans="1:7" x14ac:dyDescent="0.25">
      <c r="A129" s="13">
        <v>42546.389560185184</v>
      </c>
      <c r="B129" s="42" t="s">
        <v>486</v>
      </c>
      <c r="C129" s="42" t="s">
        <v>301</v>
      </c>
      <c r="D129" s="42">
        <v>1830000</v>
      </c>
      <c r="E129" s="42" t="s">
        <v>165</v>
      </c>
      <c r="F129" s="42" t="s">
        <v>486</v>
      </c>
      <c r="G129" s="13">
        <v>42546.389560185184</v>
      </c>
    </row>
    <row r="130" spans="1:7" x14ac:dyDescent="0.25">
      <c r="A130" s="13">
        <v>42546.204745370371</v>
      </c>
      <c r="B130" s="42" t="s">
        <v>478</v>
      </c>
      <c r="C130" s="42" t="s">
        <v>241</v>
      </c>
      <c r="D130" s="42">
        <v>1830000</v>
      </c>
      <c r="E130" s="42" t="s">
        <v>165</v>
      </c>
      <c r="F130" s="42" t="s">
        <v>478</v>
      </c>
      <c r="G130" s="13">
        <v>42546.204745370371</v>
      </c>
    </row>
    <row r="131" spans="1:7" x14ac:dyDescent="0.25">
      <c r="A131" s="13">
        <v>42546.341736111113</v>
      </c>
      <c r="B131" s="42" t="s">
        <v>219</v>
      </c>
      <c r="C131" s="42" t="s">
        <v>286</v>
      </c>
      <c r="D131" s="42">
        <v>1310000</v>
      </c>
      <c r="E131" s="42" t="s">
        <v>169</v>
      </c>
      <c r="F131" s="42" t="s">
        <v>219</v>
      </c>
      <c r="G131" s="13">
        <v>42546.341736111113</v>
      </c>
    </row>
    <row r="132" spans="1:7" x14ac:dyDescent="0.25">
      <c r="A132" s="13">
        <v>42546.205555555556</v>
      </c>
      <c r="B132" s="42" t="s">
        <v>82</v>
      </c>
      <c r="C132" s="42" t="s">
        <v>249</v>
      </c>
      <c r="D132" s="42">
        <v>1100000</v>
      </c>
      <c r="E132" s="42" t="s">
        <v>490</v>
      </c>
      <c r="F132" s="42" t="s">
        <v>82</v>
      </c>
      <c r="G132" s="13">
        <v>42546.205555555556</v>
      </c>
    </row>
    <row r="133" spans="1:7" x14ac:dyDescent="0.25">
      <c r="A133" s="13">
        <v>42547.036203703705</v>
      </c>
      <c r="B133" s="42" t="s">
        <v>480</v>
      </c>
      <c r="C133" s="42" t="s">
        <v>475</v>
      </c>
      <c r="D133" s="42">
        <v>1820000</v>
      </c>
      <c r="E133" s="42" t="s">
        <v>145</v>
      </c>
      <c r="F133" s="42" t="s">
        <v>480</v>
      </c>
      <c r="G133" s="13">
        <v>42547.036203703705</v>
      </c>
    </row>
    <row r="134" spans="1:7" x14ac:dyDescent="0.25">
      <c r="A134" s="13">
        <v>42546.234050925923</v>
      </c>
      <c r="B134" s="42" t="s">
        <v>480</v>
      </c>
      <c r="C134" s="42" t="s">
        <v>257</v>
      </c>
      <c r="D134" s="42">
        <v>1480000</v>
      </c>
      <c r="E134" s="42" t="s">
        <v>226</v>
      </c>
      <c r="F134" s="42" t="s">
        <v>480</v>
      </c>
      <c r="G134" s="13">
        <v>42546.234050925923</v>
      </c>
    </row>
    <row r="135" spans="1:7" x14ac:dyDescent="0.25">
      <c r="A135" s="13">
        <v>42546.994456018518</v>
      </c>
      <c r="B135" s="42" t="s">
        <v>481</v>
      </c>
      <c r="C135" s="42" t="s">
        <v>465</v>
      </c>
      <c r="D135" s="42">
        <v>1820000</v>
      </c>
      <c r="E135" s="42" t="s">
        <v>145</v>
      </c>
      <c r="F135" s="42" t="s">
        <v>481</v>
      </c>
      <c r="G135" s="13">
        <v>42546.994456018518</v>
      </c>
    </row>
    <row r="136" spans="1:7" x14ac:dyDescent="0.25">
      <c r="A136" s="13">
        <v>42546.243784722225</v>
      </c>
      <c r="B136" s="42" t="s">
        <v>81</v>
      </c>
      <c r="C136" s="42" t="s">
        <v>251</v>
      </c>
      <c r="D136" s="42">
        <v>1100000</v>
      </c>
      <c r="E136" s="42" t="s">
        <v>490</v>
      </c>
      <c r="F136" s="42" t="s">
        <v>81</v>
      </c>
      <c r="G136" s="13">
        <v>42546.243784722225</v>
      </c>
    </row>
    <row r="137" spans="1:7" x14ac:dyDescent="0.25">
      <c r="A137" s="13">
        <v>42546.974386574075</v>
      </c>
      <c r="B137" s="42" t="s">
        <v>487</v>
      </c>
      <c r="C137" s="42" t="s">
        <v>463</v>
      </c>
      <c r="D137" s="42">
        <v>1800000</v>
      </c>
      <c r="E137" s="42" t="s">
        <v>230</v>
      </c>
      <c r="F137" s="42" t="s">
        <v>487</v>
      </c>
      <c r="G137" s="13">
        <v>42546.974386574075</v>
      </c>
    </row>
    <row r="138" spans="1:7" x14ac:dyDescent="0.25">
      <c r="A138" s="13">
        <v>42546.247418981482</v>
      </c>
      <c r="B138" s="42" t="s">
        <v>92</v>
      </c>
      <c r="C138" s="42" t="s">
        <v>354</v>
      </c>
      <c r="D138" s="42">
        <v>1500000</v>
      </c>
      <c r="E138" s="42" t="s">
        <v>93</v>
      </c>
      <c r="F138" s="42" t="s">
        <v>92</v>
      </c>
      <c r="G138" s="13">
        <v>42546.247418981482</v>
      </c>
    </row>
    <row r="139" spans="1:7" x14ac:dyDescent="0.25">
      <c r="A139" s="13">
        <v>42546.956331018519</v>
      </c>
      <c r="B139" s="42" t="s">
        <v>480</v>
      </c>
      <c r="C139" s="42" t="s">
        <v>464</v>
      </c>
      <c r="D139" s="42">
        <v>1820000</v>
      </c>
      <c r="E139" s="42" t="s">
        <v>145</v>
      </c>
      <c r="F139" s="42" t="s">
        <v>480</v>
      </c>
      <c r="G139" s="13">
        <v>42546.956331018519</v>
      </c>
    </row>
    <row r="140" spans="1:7" x14ac:dyDescent="0.25">
      <c r="A140" s="13">
        <v>42546.265081018515</v>
      </c>
      <c r="B140" s="42" t="s">
        <v>105</v>
      </c>
      <c r="C140" s="42" t="s">
        <v>256</v>
      </c>
      <c r="D140" s="42">
        <v>1460000</v>
      </c>
      <c r="E140" s="42" t="s">
        <v>168</v>
      </c>
      <c r="F140" s="42" t="s">
        <v>105</v>
      </c>
      <c r="G140" s="13">
        <v>42546.265081018515</v>
      </c>
    </row>
    <row r="141" spans="1:7" x14ac:dyDescent="0.25">
      <c r="A141" s="13">
        <v>42546.911539351851</v>
      </c>
      <c r="B141" s="42" t="s">
        <v>481</v>
      </c>
      <c r="C141" s="42" t="s">
        <v>453</v>
      </c>
      <c r="D141" s="42">
        <v>1820000</v>
      </c>
      <c r="E141" s="42" t="s">
        <v>145</v>
      </c>
      <c r="F141" s="42" t="s">
        <v>481</v>
      </c>
      <c r="G141" s="13">
        <v>42546.911539351851</v>
      </c>
    </row>
    <row r="142" spans="1:7" x14ac:dyDescent="0.25">
      <c r="A142" s="13">
        <v>42546.314398148148</v>
      </c>
      <c r="B142" s="42" t="s">
        <v>482</v>
      </c>
      <c r="C142" s="42" t="s">
        <v>275</v>
      </c>
      <c r="D142" s="42">
        <v>1480000</v>
      </c>
      <c r="E142" s="42" t="s">
        <v>226</v>
      </c>
      <c r="F142" s="42" t="s">
        <v>482</v>
      </c>
      <c r="G142" s="13">
        <v>42546.314398148148</v>
      </c>
    </row>
    <row r="143" spans="1:7" x14ac:dyDescent="0.25">
      <c r="A143" s="13">
        <v>42546.889467592591</v>
      </c>
      <c r="B143" s="42" t="s">
        <v>106</v>
      </c>
      <c r="C143" s="42" t="s">
        <v>454</v>
      </c>
      <c r="D143" s="42">
        <v>1180000</v>
      </c>
      <c r="E143" s="42" t="s">
        <v>492</v>
      </c>
      <c r="F143" s="42" t="s">
        <v>106</v>
      </c>
      <c r="G143" s="13">
        <v>42546.889467592591</v>
      </c>
    </row>
    <row r="144" spans="1:7" x14ac:dyDescent="0.25">
      <c r="A144" s="13">
        <v>42546.316689814812</v>
      </c>
      <c r="B144" s="42" t="s">
        <v>70</v>
      </c>
      <c r="C144" s="42" t="s">
        <v>357</v>
      </c>
      <c r="D144" s="42">
        <v>1500000</v>
      </c>
      <c r="E144" s="42" t="s">
        <v>93</v>
      </c>
      <c r="F144" s="42" t="s">
        <v>70</v>
      </c>
      <c r="G144" s="13">
        <v>42546.316689814812</v>
      </c>
    </row>
    <row r="145" spans="1:7" x14ac:dyDescent="0.25">
      <c r="A145" s="13">
        <v>42546.829456018517</v>
      </c>
      <c r="B145" s="42" t="s">
        <v>481</v>
      </c>
      <c r="C145" s="42" t="s">
        <v>445</v>
      </c>
      <c r="D145" s="42">
        <v>1820000</v>
      </c>
      <c r="E145" s="42" t="s">
        <v>145</v>
      </c>
      <c r="F145" s="42" t="s">
        <v>481</v>
      </c>
      <c r="G145" s="13">
        <v>42546.829456018517</v>
      </c>
    </row>
    <row r="146" spans="1:7" x14ac:dyDescent="0.25">
      <c r="A146" s="13">
        <v>42546.323020833333</v>
      </c>
      <c r="B146" s="42" t="s">
        <v>482</v>
      </c>
      <c r="C146" s="42" t="s">
        <v>275</v>
      </c>
      <c r="D146" s="42">
        <v>1480000</v>
      </c>
      <c r="E146" s="42" t="s">
        <v>226</v>
      </c>
      <c r="F146" s="42" t="s">
        <v>482</v>
      </c>
      <c r="G146" s="13">
        <v>42546.323020833333</v>
      </c>
    </row>
    <row r="147" spans="1:7" x14ac:dyDescent="0.25">
      <c r="A147" s="13">
        <v>42546.807326388887</v>
      </c>
      <c r="B147" s="42" t="s">
        <v>487</v>
      </c>
      <c r="C147" s="42" t="s">
        <v>443</v>
      </c>
      <c r="D147" s="42">
        <v>1800000</v>
      </c>
      <c r="E147" s="42" t="s">
        <v>230</v>
      </c>
      <c r="F147" s="42" t="s">
        <v>487</v>
      </c>
      <c r="G147" s="13">
        <v>42546.807326388887</v>
      </c>
    </row>
    <row r="148" spans="1:7" x14ac:dyDescent="0.25">
      <c r="A148" s="13">
        <v>42546.331550925926</v>
      </c>
      <c r="B148" s="42" t="s">
        <v>91</v>
      </c>
      <c r="C148" s="42" t="s">
        <v>282</v>
      </c>
      <c r="D148" s="42">
        <v>1360000</v>
      </c>
      <c r="E148" s="42" t="s">
        <v>493</v>
      </c>
      <c r="F148" s="42" t="s">
        <v>91</v>
      </c>
      <c r="G148" s="13">
        <v>42546.331550925926</v>
      </c>
    </row>
    <row r="149" spans="1:7" x14ac:dyDescent="0.25">
      <c r="A149" s="13">
        <v>42546.717499999999</v>
      </c>
      <c r="B149" s="42" t="s">
        <v>480</v>
      </c>
      <c r="C149" s="42" t="s">
        <v>426</v>
      </c>
      <c r="D149" s="42">
        <v>1260000</v>
      </c>
      <c r="E149" s="42" t="s">
        <v>488</v>
      </c>
      <c r="F149" s="42" t="s">
        <v>480</v>
      </c>
      <c r="G149" s="13">
        <v>42546.717499999999</v>
      </c>
    </row>
    <row r="150" spans="1:7" x14ac:dyDescent="0.25">
      <c r="A150" s="13">
        <v>42546.358611111114</v>
      </c>
      <c r="B150" s="42" t="s">
        <v>70</v>
      </c>
      <c r="C150" s="42" t="s">
        <v>359</v>
      </c>
      <c r="D150" s="42">
        <v>1500000</v>
      </c>
      <c r="E150" s="42" t="s">
        <v>93</v>
      </c>
      <c r="F150" s="42" t="s">
        <v>70</v>
      </c>
      <c r="G150" s="13">
        <v>42546.358611111114</v>
      </c>
    </row>
    <row r="151" spans="1:7" x14ac:dyDescent="0.25">
      <c r="A151" s="13">
        <v>42546.698009259257</v>
      </c>
      <c r="B151" s="42" t="s">
        <v>105</v>
      </c>
      <c r="C151" s="42" t="s">
        <v>412</v>
      </c>
      <c r="D151" s="42">
        <v>1520000</v>
      </c>
      <c r="E151" s="42" t="s">
        <v>163</v>
      </c>
      <c r="F151" s="42" t="s">
        <v>105</v>
      </c>
      <c r="G151" s="13">
        <v>42546.698009259257</v>
      </c>
    </row>
    <row r="152" spans="1:7" x14ac:dyDescent="0.25">
      <c r="A152" s="13">
        <v>42546.371134259258</v>
      </c>
      <c r="B152" s="42" t="s">
        <v>106</v>
      </c>
      <c r="C152" s="42" t="s">
        <v>296</v>
      </c>
      <c r="D152" s="42">
        <v>1460000</v>
      </c>
      <c r="E152" s="42" t="s">
        <v>168</v>
      </c>
      <c r="F152" s="42" t="s">
        <v>106</v>
      </c>
      <c r="G152" s="13">
        <v>42546.371134259258</v>
      </c>
    </row>
    <row r="153" spans="1:7" x14ac:dyDescent="0.25">
      <c r="A153" s="13">
        <v>42546.674560185187</v>
      </c>
      <c r="B153" s="42" t="s">
        <v>482</v>
      </c>
      <c r="C153" s="42" t="s">
        <v>413</v>
      </c>
      <c r="D153" s="42">
        <v>950000</v>
      </c>
      <c r="E153" s="42" t="s">
        <v>227</v>
      </c>
      <c r="F153" s="42" t="s">
        <v>482</v>
      </c>
      <c r="G153" s="13">
        <v>42546.674560185187</v>
      </c>
    </row>
    <row r="154" spans="1:7" x14ac:dyDescent="0.25">
      <c r="A154" s="13">
        <v>42546.410081018519</v>
      </c>
      <c r="B154" s="42" t="s">
        <v>105</v>
      </c>
      <c r="C154" s="42" t="s">
        <v>297</v>
      </c>
      <c r="D154" s="42">
        <v>1460000</v>
      </c>
      <c r="E154" s="42" t="s">
        <v>168</v>
      </c>
      <c r="F154" s="42" t="s">
        <v>105</v>
      </c>
      <c r="G154" s="13">
        <v>42546.410081018519</v>
      </c>
    </row>
    <row r="155" spans="1:7" x14ac:dyDescent="0.25">
      <c r="A155" s="13">
        <v>42546.649537037039</v>
      </c>
      <c r="B155" s="42" t="s">
        <v>483</v>
      </c>
      <c r="C155" s="42" t="s">
        <v>397</v>
      </c>
      <c r="D155" s="42">
        <v>1470000</v>
      </c>
      <c r="E155" s="42" t="s">
        <v>228</v>
      </c>
      <c r="F155" s="42" t="s">
        <v>483</v>
      </c>
      <c r="G155" s="13">
        <v>42546.649537037039</v>
      </c>
    </row>
    <row r="156" spans="1:7" x14ac:dyDescent="0.25">
      <c r="A156" s="13">
        <v>42546.441493055558</v>
      </c>
      <c r="B156" s="42" t="s">
        <v>70</v>
      </c>
      <c r="C156" s="42" t="s">
        <v>365</v>
      </c>
      <c r="D156" s="42">
        <v>1500000</v>
      </c>
      <c r="E156" s="42" t="s">
        <v>93</v>
      </c>
      <c r="F156" s="42" t="s">
        <v>70</v>
      </c>
      <c r="G156" s="13">
        <v>42546.441493055558</v>
      </c>
    </row>
    <row r="157" spans="1:7" x14ac:dyDescent="0.25">
      <c r="A157" s="13">
        <v>42546.636319444442</v>
      </c>
      <c r="B157" s="42" t="s">
        <v>92</v>
      </c>
      <c r="C157" s="42" t="s">
        <v>374</v>
      </c>
      <c r="D157" s="42">
        <v>1740000</v>
      </c>
      <c r="E157" s="42" t="s">
        <v>88</v>
      </c>
      <c r="F157" s="42" t="s">
        <v>92</v>
      </c>
      <c r="G157" s="13">
        <v>42546.636319444442</v>
      </c>
    </row>
    <row r="158" spans="1:7" x14ac:dyDescent="0.25">
      <c r="A158" s="13">
        <v>42546.476539351854</v>
      </c>
      <c r="B158" s="42" t="s">
        <v>91</v>
      </c>
      <c r="C158" s="42" t="s">
        <v>326</v>
      </c>
      <c r="D158" s="42">
        <v>1230000</v>
      </c>
      <c r="E158" s="42" t="s">
        <v>491</v>
      </c>
      <c r="F158" s="42" t="s">
        <v>91</v>
      </c>
      <c r="G158" s="13">
        <v>42546.476539351854</v>
      </c>
    </row>
    <row r="159" spans="1:7" x14ac:dyDescent="0.25">
      <c r="A159" s="13">
        <v>42546.621562499997</v>
      </c>
      <c r="B159" s="42" t="s">
        <v>91</v>
      </c>
      <c r="C159" s="42" t="s">
        <v>399</v>
      </c>
      <c r="D159" s="42">
        <v>1230000</v>
      </c>
      <c r="E159" s="42" t="s">
        <v>491</v>
      </c>
      <c r="F159" s="42" t="s">
        <v>91</v>
      </c>
      <c r="G159" s="13">
        <v>42546.621562499997</v>
      </c>
    </row>
    <row r="160" spans="1:7" x14ac:dyDescent="0.25">
      <c r="A160" s="13">
        <v>42546.484803240739</v>
      </c>
      <c r="B160" s="42" t="s">
        <v>70</v>
      </c>
      <c r="C160" s="42" t="s">
        <v>367</v>
      </c>
      <c r="D160" s="42">
        <v>1500000</v>
      </c>
      <c r="E160" s="42" t="s">
        <v>93</v>
      </c>
      <c r="F160" s="42" t="s">
        <v>70</v>
      </c>
      <c r="G160" s="13">
        <v>42546.484803240739</v>
      </c>
    </row>
    <row r="161" spans="1:7" x14ac:dyDescent="0.25">
      <c r="A161" s="13">
        <v>42546.611805555556</v>
      </c>
      <c r="B161" s="42" t="s">
        <v>486</v>
      </c>
      <c r="C161" s="42" t="s">
        <v>396</v>
      </c>
      <c r="D161" s="42">
        <v>1470000</v>
      </c>
      <c r="E161" s="42" t="s">
        <v>228</v>
      </c>
      <c r="F161" s="42" t="s">
        <v>486</v>
      </c>
      <c r="G161" s="13">
        <v>42546.611805555556</v>
      </c>
    </row>
    <row r="162" spans="1:7" x14ac:dyDescent="0.25">
      <c r="A162" s="13">
        <v>42546.493310185186</v>
      </c>
      <c r="B162" s="42" t="s">
        <v>478</v>
      </c>
      <c r="C162" s="42" t="s">
        <v>323</v>
      </c>
      <c r="D162" s="42">
        <v>1460000</v>
      </c>
      <c r="E162" s="42" t="s">
        <v>168</v>
      </c>
      <c r="F162" s="42" t="s">
        <v>478</v>
      </c>
      <c r="G162" s="13">
        <v>42546.493310185186</v>
      </c>
    </row>
    <row r="163" spans="1:7" x14ac:dyDescent="0.25">
      <c r="A163" s="13">
        <v>42546.610729166663</v>
      </c>
      <c r="B163" s="42" t="s">
        <v>486</v>
      </c>
      <c r="C163" s="42" t="s">
        <v>396</v>
      </c>
      <c r="D163" s="42">
        <v>1470000</v>
      </c>
      <c r="E163" s="42" t="s">
        <v>228</v>
      </c>
      <c r="F163" s="42" t="s">
        <v>486</v>
      </c>
      <c r="G163" s="13">
        <v>42546.610729166663</v>
      </c>
    </row>
    <row r="164" spans="1:7" x14ac:dyDescent="0.25">
      <c r="A164" s="13">
        <v>42546.496898148151</v>
      </c>
      <c r="B164" s="42" t="s">
        <v>480</v>
      </c>
      <c r="C164" s="42" t="s">
        <v>333</v>
      </c>
      <c r="D164" s="42">
        <v>1260000</v>
      </c>
      <c r="E164" s="42" t="s">
        <v>488</v>
      </c>
      <c r="F164" s="42" t="s">
        <v>480</v>
      </c>
      <c r="G164" s="13">
        <v>42546.496898148151</v>
      </c>
    </row>
    <row r="165" spans="1:7" x14ac:dyDescent="0.25">
      <c r="A165" s="13">
        <v>42546.566863425927</v>
      </c>
      <c r="B165" s="42" t="s">
        <v>70</v>
      </c>
      <c r="C165" s="42" t="s">
        <v>371</v>
      </c>
      <c r="D165" s="42">
        <v>1500000</v>
      </c>
      <c r="E165" s="42" t="s">
        <v>93</v>
      </c>
      <c r="F165" s="42" t="s">
        <v>70</v>
      </c>
      <c r="G165" s="13">
        <v>42546.566863425927</v>
      </c>
    </row>
    <row r="166" spans="1:7" x14ac:dyDescent="0.25">
      <c r="A166" s="13">
        <v>42546.49790509259</v>
      </c>
      <c r="B166" s="42" t="s">
        <v>92</v>
      </c>
      <c r="C166" s="42" t="s">
        <v>368</v>
      </c>
      <c r="D166" s="42">
        <v>1500000</v>
      </c>
      <c r="E166" s="42" t="s">
        <v>93</v>
      </c>
      <c r="F166" s="42" t="s">
        <v>92</v>
      </c>
      <c r="G166" s="13">
        <v>42546.49790509259</v>
      </c>
    </row>
    <row r="167" spans="1:7" x14ac:dyDescent="0.25">
      <c r="A167" s="13">
        <v>42546.560856481483</v>
      </c>
      <c r="B167" s="42" t="s">
        <v>219</v>
      </c>
      <c r="C167" s="42" t="s">
        <v>350</v>
      </c>
      <c r="D167" s="42">
        <v>1120000</v>
      </c>
      <c r="E167" s="42" t="s">
        <v>229</v>
      </c>
      <c r="F167" s="42" t="s">
        <v>219</v>
      </c>
      <c r="G167" s="13">
        <v>42546.560856481483</v>
      </c>
    </row>
    <row r="168" spans="1:7" x14ac:dyDescent="0.25">
      <c r="A168" s="13">
        <v>42546.549305555556</v>
      </c>
      <c r="B168" s="42" t="s">
        <v>91</v>
      </c>
      <c r="C168" s="42" t="s">
        <v>346</v>
      </c>
      <c r="D168" s="42">
        <v>1230000</v>
      </c>
      <c r="E168" s="42" t="s">
        <v>491</v>
      </c>
      <c r="F168" s="42" t="s">
        <v>91</v>
      </c>
      <c r="G168" s="13">
        <v>42546.549305555556</v>
      </c>
    </row>
    <row r="169" spans="1:7" x14ac:dyDescent="0.25">
      <c r="A169" s="13">
        <v>42546.539502314816</v>
      </c>
      <c r="B169" s="42" t="s">
        <v>486</v>
      </c>
      <c r="C169" s="42" t="s">
        <v>344</v>
      </c>
      <c r="D169" s="42">
        <v>1470000</v>
      </c>
      <c r="E169" s="42" t="s">
        <v>228</v>
      </c>
      <c r="F169" s="42" t="s">
        <v>486</v>
      </c>
      <c r="G169" s="13">
        <v>42546.539502314816</v>
      </c>
    </row>
    <row r="170" spans="1:7" x14ac:dyDescent="0.25">
      <c r="A170" s="13">
        <v>42546.770324074074</v>
      </c>
      <c r="B170" s="42" t="s">
        <v>105</v>
      </c>
      <c r="C170" s="42" t="s">
        <v>435</v>
      </c>
      <c r="D170" s="42">
        <v>1180000</v>
      </c>
      <c r="E170" s="42" t="s">
        <v>492</v>
      </c>
      <c r="F170" s="42" t="s">
        <v>105</v>
      </c>
      <c r="G170" s="13">
        <v>42546.770324074074</v>
      </c>
    </row>
    <row r="171" spans="1:7" x14ac:dyDescent="0.25">
      <c r="A171" s="13">
        <v>42546.535150462965</v>
      </c>
      <c r="B171" s="42" t="s">
        <v>481</v>
      </c>
      <c r="C171" s="42" t="s">
        <v>334</v>
      </c>
      <c r="D171" s="42">
        <v>1260000</v>
      </c>
      <c r="E171" s="42" t="s">
        <v>488</v>
      </c>
      <c r="F171" s="42" t="s">
        <v>481</v>
      </c>
      <c r="G171" s="13">
        <v>42546.535150462965</v>
      </c>
    </row>
    <row r="172" spans="1:7" x14ac:dyDescent="0.25">
      <c r="A172" s="13">
        <v>42546.528298611112</v>
      </c>
      <c r="B172" s="42" t="s">
        <v>482</v>
      </c>
      <c r="C172" s="42" t="s">
        <v>342</v>
      </c>
      <c r="D172" s="42">
        <v>950000</v>
      </c>
      <c r="E172" s="42" t="s">
        <v>227</v>
      </c>
      <c r="F172" s="42" t="s">
        <v>482</v>
      </c>
      <c r="G172" s="13">
        <v>42546.528298611112</v>
      </c>
    </row>
    <row r="173" spans="1:7" x14ac:dyDescent="0.25">
      <c r="A173" s="13">
        <v>42546.526967592596</v>
      </c>
      <c r="B173" s="42" t="s">
        <v>220</v>
      </c>
      <c r="C173" s="42" t="s">
        <v>331</v>
      </c>
      <c r="D173" s="42">
        <v>1120000</v>
      </c>
      <c r="E173" s="42" t="s">
        <v>229</v>
      </c>
      <c r="F173" s="42" t="s">
        <v>220</v>
      </c>
      <c r="G173" s="13">
        <v>42546.526967592596</v>
      </c>
    </row>
    <row r="174" spans="1:7" x14ac:dyDescent="0.25">
      <c r="A174" s="13">
        <v>42546.56287037037</v>
      </c>
      <c r="B174" s="42" t="s">
        <v>478</v>
      </c>
      <c r="C174" s="42" t="s">
        <v>343</v>
      </c>
      <c r="D174" s="42">
        <v>950000</v>
      </c>
      <c r="E174" s="42" t="s">
        <v>227</v>
      </c>
      <c r="F174" s="42" t="s">
        <v>478</v>
      </c>
      <c r="G174" s="13">
        <v>42546.56287037037</v>
      </c>
    </row>
    <row r="175" spans="1:7" x14ac:dyDescent="0.25">
      <c r="A175" s="13">
        <v>42546.513726851852</v>
      </c>
      <c r="B175" s="42" t="s">
        <v>89</v>
      </c>
      <c r="C175" s="42" t="s">
        <v>328</v>
      </c>
      <c r="D175" s="42">
        <v>1230000</v>
      </c>
      <c r="E175" s="42" t="s">
        <v>491</v>
      </c>
      <c r="F175" s="42" t="s">
        <v>89</v>
      </c>
      <c r="G175" s="13">
        <v>42546.513726851852</v>
      </c>
    </row>
    <row r="176" spans="1:7" x14ac:dyDescent="0.25">
      <c r="A176" s="13">
        <v>42546.591296296298</v>
      </c>
      <c r="B176" s="42" t="s">
        <v>92</v>
      </c>
      <c r="C176" s="42" t="s">
        <v>372</v>
      </c>
      <c r="D176" s="42">
        <v>1740000</v>
      </c>
      <c r="E176" s="42" t="s">
        <v>88</v>
      </c>
      <c r="F176" s="42" t="s">
        <v>92</v>
      </c>
      <c r="G176" s="13">
        <v>42546.591296296298</v>
      </c>
    </row>
    <row r="177" spans="1:7" x14ac:dyDescent="0.25">
      <c r="A177" s="13">
        <v>42546.50309027778</v>
      </c>
      <c r="B177" s="42" t="s">
        <v>483</v>
      </c>
      <c r="C177" s="42" t="s">
        <v>325</v>
      </c>
      <c r="D177" s="42">
        <v>1470000</v>
      </c>
      <c r="E177" s="42" t="s">
        <v>228</v>
      </c>
      <c r="F177" s="42" t="s">
        <v>483</v>
      </c>
      <c r="G177" s="13">
        <v>42546.50309027778</v>
      </c>
    </row>
    <row r="178" spans="1:7" x14ac:dyDescent="0.25">
      <c r="A178" s="13">
        <v>42546.641250000001</v>
      </c>
      <c r="B178" s="42" t="s">
        <v>478</v>
      </c>
      <c r="C178" s="42" t="s">
        <v>395</v>
      </c>
      <c r="D178" s="42">
        <v>950000</v>
      </c>
      <c r="E178" s="42" t="s">
        <v>227</v>
      </c>
      <c r="F178" s="42" t="s">
        <v>478</v>
      </c>
      <c r="G178" s="13">
        <v>42546.641250000001</v>
      </c>
    </row>
    <row r="179" spans="1:7" x14ac:dyDescent="0.25">
      <c r="A179" s="13">
        <v>42546.476527777777</v>
      </c>
      <c r="B179" s="42" t="s">
        <v>85</v>
      </c>
      <c r="C179" s="42" t="s">
        <v>318</v>
      </c>
      <c r="D179" s="42">
        <v>1100000</v>
      </c>
      <c r="E179" s="42" t="s">
        <v>490</v>
      </c>
      <c r="F179" s="42" t="s">
        <v>85</v>
      </c>
      <c r="G179" s="13">
        <v>42546.476527777777</v>
      </c>
    </row>
    <row r="180" spans="1:7" x14ac:dyDescent="0.25">
      <c r="A180" s="13">
        <v>42546.942256944443</v>
      </c>
      <c r="B180" s="42" t="s">
        <v>70</v>
      </c>
      <c r="C180" s="42" t="s">
        <v>398</v>
      </c>
      <c r="D180" s="42">
        <v>1740000</v>
      </c>
      <c r="E180" s="42" t="s">
        <v>88</v>
      </c>
      <c r="F180" s="42" t="s">
        <v>70</v>
      </c>
      <c r="G180" s="13">
        <v>42546.942256944443</v>
      </c>
    </row>
    <row r="181" spans="1:7" x14ac:dyDescent="0.25">
      <c r="A181" s="13">
        <v>42546.464571759258</v>
      </c>
      <c r="B181" s="42" t="s">
        <v>486</v>
      </c>
      <c r="C181" s="42" t="s">
        <v>324</v>
      </c>
      <c r="D181" s="42">
        <v>1470000</v>
      </c>
      <c r="E181" s="42" t="s">
        <v>228</v>
      </c>
      <c r="F181" s="42" t="s">
        <v>486</v>
      </c>
      <c r="G181" s="13">
        <v>42546.464571759258</v>
      </c>
    </row>
    <row r="182" spans="1:7" x14ac:dyDescent="0.25">
      <c r="A182" s="13">
        <v>42546.526076388887</v>
      </c>
      <c r="B182" s="42" t="s">
        <v>70</v>
      </c>
      <c r="C182" s="42" t="s">
        <v>369</v>
      </c>
      <c r="D182" s="42">
        <v>1500000</v>
      </c>
      <c r="E182" s="42" t="s">
        <v>93</v>
      </c>
      <c r="F182" s="42" t="s">
        <v>70</v>
      </c>
      <c r="G182" s="13">
        <v>42546.526076388887</v>
      </c>
    </row>
    <row r="183" spans="1:7" x14ac:dyDescent="0.25">
      <c r="A183" s="13">
        <v>42546.465798611112</v>
      </c>
      <c r="B183" s="42" t="s">
        <v>486</v>
      </c>
      <c r="C183" s="42" t="s">
        <v>324</v>
      </c>
      <c r="D183" s="42">
        <v>1470000</v>
      </c>
      <c r="E183" s="42" t="s">
        <v>228</v>
      </c>
      <c r="F183" s="42" t="s">
        <v>486</v>
      </c>
      <c r="G183" s="13">
        <v>42546.465798611112</v>
      </c>
    </row>
    <row r="184" spans="1:7" x14ac:dyDescent="0.25">
      <c r="A184" s="13">
        <v>42546.600219907406</v>
      </c>
      <c r="B184" s="42" t="s">
        <v>220</v>
      </c>
      <c r="C184" s="42" t="s">
        <v>351</v>
      </c>
      <c r="D184" s="42">
        <v>1120000</v>
      </c>
      <c r="E184" s="42" t="s">
        <v>229</v>
      </c>
      <c r="F184" s="42" t="s">
        <v>220</v>
      </c>
      <c r="G184" s="13">
        <v>42546.600219907406</v>
      </c>
    </row>
    <row r="185" spans="1:7" x14ac:dyDescent="0.25">
      <c r="A185" s="13">
        <v>42546.41810185185</v>
      </c>
      <c r="B185" s="42" t="s">
        <v>478</v>
      </c>
      <c r="C185" s="42" t="s">
        <v>300</v>
      </c>
      <c r="D185" s="42">
        <v>1480000</v>
      </c>
      <c r="E185" s="42" t="s">
        <v>226</v>
      </c>
      <c r="F185" s="42" t="s">
        <v>478</v>
      </c>
      <c r="G185" s="13">
        <v>42546.41810185185</v>
      </c>
    </row>
    <row r="186" spans="1:7" x14ac:dyDescent="0.25">
      <c r="A186" s="13">
        <v>42546.680266203701</v>
      </c>
      <c r="B186" s="42" t="s">
        <v>481</v>
      </c>
      <c r="C186" s="42" t="s">
        <v>407</v>
      </c>
      <c r="D186" s="42">
        <v>1260000</v>
      </c>
      <c r="E186" s="42" t="s">
        <v>488</v>
      </c>
      <c r="F186" s="42" t="s">
        <v>481</v>
      </c>
      <c r="G186" s="13">
        <v>42546.680266203701</v>
      </c>
    </row>
    <row r="187" spans="1:7" x14ac:dyDescent="0.25">
      <c r="A187" s="13">
        <v>42546.416678240741</v>
      </c>
      <c r="B187" s="42" t="s">
        <v>478</v>
      </c>
      <c r="C187" s="42" t="s">
        <v>300</v>
      </c>
      <c r="D187" s="42">
        <v>1480000</v>
      </c>
      <c r="E187" s="42" t="s">
        <v>226</v>
      </c>
      <c r="F187" s="42" t="s">
        <v>478</v>
      </c>
      <c r="G187" s="13">
        <v>42546.416678240741</v>
      </c>
    </row>
    <row r="188" spans="1:7" x14ac:dyDescent="0.25">
      <c r="A188" s="13">
        <v>42546.682534722226</v>
      </c>
      <c r="B188" s="42" t="s">
        <v>486</v>
      </c>
      <c r="C188" s="42" t="s">
        <v>416</v>
      </c>
      <c r="D188" s="42">
        <v>1470000</v>
      </c>
      <c r="E188" s="42" t="s">
        <v>228</v>
      </c>
      <c r="F188" s="42" t="s">
        <v>486</v>
      </c>
      <c r="G188" s="13">
        <v>42546.682534722226</v>
      </c>
    </row>
    <row r="189" spans="1:7" x14ac:dyDescent="0.25">
      <c r="A189" s="13">
        <v>42546.403634259259</v>
      </c>
      <c r="B189" s="42" t="s">
        <v>91</v>
      </c>
      <c r="C189" s="42" t="s">
        <v>304</v>
      </c>
      <c r="D189" s="42">
        <v>1360000</v>
      </c>
      <c r="E189" s="42" t="s">
        <v>493</v>
      </c>
      <c r="F189" s="42" t="s">
        <v>91</v>
      </c>
      <c r="G189" s="13">
        <v>42546.403634259259</v>
      </c>
    </row>
    <row r="190" spans="1:7" x14ac:dyDescent="0.25">
      <c r="A190" s="13">
        <v>42546.777997685182</v>
      </c>
      <c r="B190" s="42" t="s">
        <v>105</v>
      </c>
      <c r="C190" s="42" t="s">
        <v>435</v>
      </c>
      <c r="D190" s="42">
        <v>1180000</v>
      </c>
      <c r="E190" s="42" t="s">
        <v>492</v>
      </c>
      <c r="F190" s="42" t="s">
        <v>105</v>
      </c>
      <c r="G190" s="13">
        <v>42546.777997685182</v>
      </c>
    </row>
    <row r="191" spans="1:7" x14ac:dyDescent="0.25">
      <c r="A191" s="13">
        <v>42546.388680555552</v>
      </c>
      <c r="B191" s="42" t="s">
        <v>81</v>
      </c>
      <c r="C191" s="42" t="s">
        <v>291</v>
      </c>
      <c r="D191" s="42">
        <v>1100000</v>
      </c>
      <c r="E191" s="42" t="s">
        <v>490</v>
      </c>
      <c r="F191" s="42" t="s">
        <v>81</v>
      </c>
      <c r="G191" s="13">
        <v>42546.388680555552</v>
      </c>
    </row>
    <row r="192" spans="1:7" x14ac:dyDescent="0.25">
      <c r="A192" s="13">
        <v>42546.929560185185</v>
      </c>
      <c r="B192" s="42" t="s">
        <v>105</v>
      </c>
      <c r="C192" s="42" t="s">
        <v>455</v>
      </c>
      <c r="D192" s="42">
        <v>1180000</v>
      </c>
      <c r="E192" s="42" t="s">
        <v>492</v>
      </c>
      <c r="F192" s="42" t="s">
        <v>105</v>
      </c>
      <c r="G192" s="13">
        <v>42546.929560185185</v>
      </c>
    </row>
    <row r="193" spans="1:7" x14ac:dyDescent="0.25">
      <c r="A193" s="13">
        <v>42546.373668981483</v>
      </c>
      <c r="B193" s="42" t="s">
        <v>92</v>
      </c>
      <c r="C193" s="42" t="s">
        <v>360</v>
      </c>
      <c r="D193" s="42">
        <v>1500000</v>
      </c>
      <c r="E193" s="42" t="s">
        <v>93</v>
      </c>
      <c r="F193" s="42" t="s">
        <v>92</v>
      </c>
      <c r="G193" s="13">
        <v>42546.373668981483</v>
      </c>
    </row>
    <row r="194" spans="1:7" x14ac:dyDescent="0.25">
      <c r="A194" s="13">
        <v>42546.538564814815</v>
      </c>
      <c r="B194" s="42" t="s">
        <v>486</v>
      </c>
      <c r="C194" s="42" t="s">
        <v>344</v>
      </c>
      <c r="D194" s="42">
        <v>1470000</v>
      </c>
      <c r="E194" s="42" t="s">
        <v>228</v>
      </c>
      <c r="F194" s="42" t="s">
        <v>486</v>
      </c>
      <c r="G194" s="13">
        <v>42546.538564814815</v>
      </c>
    </row>
    <row r="195" spans="1:7" x14ac:dyDescent="0.25">
      <c r="A195" s="13">
        <v>42546.31659722222</v>
      </c>
      <c r="B195" s="42" t="s">
        <v>486</v>
      </c>
      <c r="C195" s="42" t="s">
        <v>278</v>
      </c>
      <c r="D195" s="42">
        <v>1830000</v>
      </c>
      <c r="E195" s="42" t="s">
        <v>165</v>
      </c>
      <c r="F195" s="42" t="s">
        <v>486</v>
      </c>
      <c r="G195" s="13">
        <v>42546.31659722222</v>
      </c>
    </row>
    <row r="196" spans="1:7" x14ac:dyDescent="0.25">
      <c r="A196" s="13">
        <v>42546.571111111109</v>
      </c>
      <c r="B196" s="42" t="s">
        <v>480</v>
      </c>
      <c r="C196" s="42" t="s">
        <v>363</v>
      </c>
      <c r="D196" s="42">
        <v>1260000</v>
      </c>
      <c r="E196" s="42" t="s">
        <v>488</v>
      </c>
      <c r="F196" s="42" t="s">
        <v>480</v>
      </c>
      <c r="G196" s="13">
        <v>42546.571111111109</v>
      </c>
    </row>
    <row r="197" spans="1:7" x14ac:dyDescent="0.25">
      <c r="A197" s="13">
        <v>42546.307847222219</v>
      </c>
      <c r="B197" s="42" t="s">
        <v>220</v>
      </c>
      <c r="C197" s="42" t="s">
        <v>266</v>
      </c>
      <c r="D197" s="42">
        <v>1310000</v>
      </c>
      <c r="E197" s="42" t="s">
        <v>169</v>
      </c>
      <c r="F197" s="42" t="s">
        <v>220</v>
      </c>
      <c r="G197" s="13">
        <v>42546.307847222219</v>
      </c>
    </row>
    <row r="198" spans="1:7" x14ac:dyDescent="0.25">
      <c r="A198" s="13">
        <v>42546.621041666665</v>
      </c>
      <c r="B198" s="42" t="s">
        <v>85</v>
      </c>
      <c r="C198" s="42" t="s">
        <v>391</v>
      </c>
      <c r="D198" s="42">
        <v>880000</v>
      </c>
      <c r="E198" s="42" t="s">
        <v>164</v>
      </c>
      <c r="F198" s="42" t="s">
        <v>85</v>
      </c>
      <c r="G198" s="13">
        <v>42546.621041666665</v>
      </c>
    </row>
    <row r="199" spans="1:7" x14ac:dyDescent="0.25">
      <c r="A199" s="13">
        <v>42546.216145833336</v>
      </c>
      <c r="B199" s="42" t="s">
        <v>89</v>
      </c>
      <c r="C199" s="42" t="s">
        <v>245</v>
      </c>
      <c r="D199" s="42">
        <v>1360000</v>
      </c>
      <c r="E199" s="42" t="s">
        <v>493</v>
      </c>
      <c r="F199" s="42" t="s">
        <v>89</v>
      </c>
      <c r="G199" s="13">
        <v>42546.216145833336</v>
      </c>
    </row>
    <row r="200" spans="1:7" x14ac:dyDescent="0.25">
      <c r="A200" s="13">
        <v>42546.692997685182</v>
      </c>
      <c r="B200" s="42" t="s">
        <v>70</v>
      </c>
      <c r="C200" s="42" t="s">
        <v>378</v>
      </c>
      <c r="D200" s="42">
        <v>1740000</v>
      </c>
      <c r="E200" s="42" t="s">
        <v>88</v>
      </c>
      <c r="F200" s="42" t="s">
        <v>70</v>
      </c>
      <c r="G200" s="13">
        <v>42546.692997685182</v>
      </c>
    </row>
    <row r="201" spans="1:7" x14ac:dyDescent="0.25">
      <c r="A201" s="13">
        <v>42546.191666666666</v>
      </c>
      <c r="B201" s="42" t="s">
        <v>481</v>
      </c>
      <c r="C201" s="42" t="s">
        <v>238</v>
      </c>
      <c r="D201" s="42">
        <v>1480000</v>
      </c>
      <c r="E201" s="42" t="s">
        <v>226</v>
      </c>
      <c r="F201" s="42" t="s">
        <v>481</v>
      </c>
      <c r="G201" s="13">
        <v>42546.191666666666</v>
      </c>
    </row>
    <row r="202" spans="1:7" x14ac:dyDescent="0.25">
      <c r="A202" s="59">
        <v>42546.721319444441</v>
      </c>
      <c r="B202" s="42" t="s">
        <v>483</v>
      </c>
      <c r="C202" s="42" t="s">
        <v>418</v>
      </c>
      <c r="D202" s="42">
        <v>1470000</v>
      </c>
      <c r="E202" s="42" t="s">
        <v>228</v>
      </c>
      <c r="F202" s="42" t="s">
        <v>483</v>
      </c>
      <c r="G202" s="59">
        <v>42546.721319444441</v>
      </c>
    </row>
    <row r="203" spans="1:7" x14ac:dyDescent="0.25">
      <c r="A203" s="13">
        <v>42546.360879629632</v>
      </c>
      <c r="B203" s="42" t="s">
        <v>479</v>
      </c>
      <c r="C203" s="42" t="s">
        <v>293</v>
      </c>
      <c r="D203" s="42">
        <v>1840000</v>
      </c>
      <c r="E203" s="42" t="s">
        <v>167</v>
      </c>
      <c r="F203" s="42" t="s">
        <v>479</v>
      </c>
      <c r="G203" s="13">
        <v>42546.360879629632</v>
      </c>
    </row>
    <row r="204" spans="1:7" x14ac:dyDescent="0.25">
      <c r="A204" s="13">
        <v>42546.751030092593</v>
      </c>
      <c r="B204" s="42" t="s">
        <v>481</v>
      </c>
      <c r="C204" s="42" t="s">
        <v>428</v>
      </c>
      <c r="D204" s="42">
        <v>1260000</v>
      </c>
      <c r="E204" s="42" t="s">
        <v>488</v>
      </c>
      <c r="F204" s="42" t="s">
        <v>481</v>
      </c>
      <c r="G204" s="13">
        <v>42546.751030092593</v>
      </c>
    </row>
    <row r="205" spans="1:7" x14ac:dyDescent="0.25">
      <c r="A205" s="13">
        <v>42546.350370370368</v>
      </c>
      <c r="B205" s="42" t="s">
        <v>82</v>
      </c>
      <c r="C205" s="42" t="s">
        <v>289</v>
      </c>
      <c r="D205" s="42">
        <v>540000</v>
      </c>
      <c r="E205" s="42" t="s">
        <v>224</v>
      </c>
      <c r="F205" s="42" t="s">
        <v>82</v>
      </c>
      <c r="G205" s="13">
        <v>42546.350370370368</v>
      </c>
    </row>
    <row r="206" spans="1:7" x14ac:dyDescent="0.25">
      <c r="A206" s="13">
        <v>42546.728391203702</v>
      </c>
      <c r="B206" s="42" t="s">
        <v>84</v>
      </c>
      <c r="C206" s="42" t="s">
        <v>429</v>
      </c>
      <c r="D206" s="42">
        <v>880000</v>
      </c>
      <c r="E206" s="42" t="s">
        <v>164</v>
      </c>
      <c r="F206" s="42" t="s">
        <v>84</v>
      </c>
      <c r="G206" s="13">
        <v>42546.728391203702</v>
      </c>
    </row>
    <row r="207" spans="1:7" x14ac:dyDescent="0.25">
      <c r="A207" s="13">
        <v>42546.331967592596</v>
      </c>
      <c r="B207" s="42" t="s">
        <v>92</v>
      </c>
      <c r="C207" s="42" t="s">
        <v>358</v>
      </c>
      <c r="D207" s="42">
        <v>1500000</v>
      </c>
      <c r="E207" s="42" t="s">
        <v>93</v>
      </c>
      <c r="F207" s="42" t="s">
        <v>92</v>
      </c>
      <c r="G207" s="13">
        <v>42546.331967592596</v>
      </c>
    </row>
    <row r="208" spans="1:7" x14ac:dyDescent="0.25">
      <c r="A208" s="13">
        <v>42546.758229166669</v>
      </c>
      <c r="B208" s="42" t="s">
        <v>486</v>
      </c>
      <c r="C208" s="42" t="s">
        <v>440</v>
      </c>
      <c r="D208" s="42">
        <v>1770000</v>
      </c>
      <c r="E208" s="42" t="s">
        <v>170</v>
      </c>
      <c r="F208" s="42" t="s">
        <v>486</v>
      </c>
      <c r="G208" s="13">
        <v>42546.758229166669</v>
      </c>
    </row>
    <row r="209" spans="1:7" x14ac:dyDescent="0.25">
      <c r="A209" s="13">
        <v>42546.276516203703</v>
      </c>
      <c r="B209" s="42" t="s">
        <v>82</v>
      </c>
      <c r="C209" s="42" t="s">
        <v>267</v>
      </c>
      <c r="D209" s="42">
        <v>1100000</v>
      </c>
      <c r="E209" s="42" t="s">
        <v>490</v>
      </c>
      <c r="F209" s="42" t="s">
        <v>82</v>
      </c>
      <c r="G209" s="13">
        <v>42546.276516203703</v>
      </c>
    </row>
    <row r="210" spans="1:7" x14ac:dyDescent="0.25">
      <c r="A210" s="13">
        <v>42546.790150462963</v>
      </c>
      <c r="B210" s="42" t="s">
        <v>480</v>
      </c>
      <c r="C210" s="42" t="s">
        <v>444</v>
      </c>
      <c r="D210" s="42">
        <v>1820000</v>
      </c>
      <c r="E210" s="42" t="s">
        <v>145</v>
      </c>
      <c r="F210" s="42" t="s">
        <v>480</v>
      </c>
      <c r="G210" s="13">
        <v>42546.790150462963</v>
      </c>
    </row>
    <row r="211" spans="1:7" x14ac:dyDescent="0.25">
      <c r="A211" s="13">
        <v>42546.196423611109</v>
      </c>
      <c r="B211" s="42" t="s">
        <v>219</v>
      </c>
      <c r="C211" s="42" t="s">
        <v>246</v>
      </c>
      <c r="D211" s="42">
        <v>1310000</v>
      </c>
      <c r="E211" s="42" t="s">
        <v>169</v>
      </c>
      <c r="F211" s="42" t="s">
        <v>219</v>
      </c>
      <c r="G211" s="13">
        <v>42546.196423611109</v>
      </c>
    </row>
    <row r="212" spans="1:7" x14ac:dyDescent="0.25">
      <c r="A212" s="13">
        <v>42546.903194444443</v>
      </c>
      <c r="B212" s="42" t="s">
        <v>70</v>
      </c>
      <c r="C212" s="42" t="s">
        <v>389</v>
      </c>
      <c r="D212" s="42">
        <v>1740000</v>
      </c>
      <c r="E212" s="42" t="s">
        <v>88</v>
      </c>
      <c r="F212" s="42" t="s">
        <v>70</v>
      </c>
      <c r="G212" s="13">
        <v>42546.903194444443</v>
      </c>
    </row>
    <row r="213" spans="1:7" x14ac:dyDescent="0.25">
      <c r="A213" s="13">
        <v>42546.151875000003</v>
      </c>
      <c r="B213" s="42" t="s">
        <v>106</v>
      </c>
      <c r="C213" s="42" t="s">
        <v>237</v>
      </c>
      <c r="D213" s="42">
        <v>1480000</v>
      </c>
      <c r="E213" s="42" t="s">
        <v>226</v>
      </c>
      <c r="F213" s="42" t="s">
        <v>106</v>
      </c>
      <c r="G213" s="13">
        <v>42546.151875000003</v>
      </c>
    </row>
    <row r="214" spans="1:7" x14ac:dyDescent="0.25">
      <c r="A214" s="13">
        <v>42546.642060185186</v>
      </c>
      <c r="B214" s="42" t="s">
        <v>480</v>
      </c>
      <c r="C214" s="42" t="s">
        <v>405</v>
      </c>
      <c r="D214" s="42">
        <v>1260000</v>
      </c>
      <c r="E214" s="42" t="s">
        <v>488</v>
      </c>
      <c r="F214" s="42" t="s">
        <v>480</v>
      </c>
      <c r="G214" s="13">
        <v>42546.642060185186</v>
      </c>
    </row>
    <row r="215" spans="1:7" x14ac:dyDescent="0.25">
      <c r="A215" s="13">
        <v>42546.428032407406</v>
      </c>
      <c r="B215" s="42" t="s">
        <v>92</v>
      </c>
      <c r="C215" s="42" t="s">
        <v>362</v>
      </c>
      <c r="D215" s="42">
        <v>1500000</v>
      </c>
      <c r="E215" s="42" t="s">
        <v>93</v>
      </c>
      <c r="F215" s="42" t="s">
        <v>92</v>
      </c>
      <c r="G215" s="13">
        <v>42546.428032407406</v>
      </c>
    </row>
    <row r="216" spans="1:7" x14ac:dyDescent="0.25">
      <c r="A216" s="13">
        <v>42545.239502314813</v>
      </c>
      <c r="B216" s="42" t="s">
        <v>162</v>
      </c>
      <c r="C216" s="42" t="s">
        <v>217</v>
      </c>
      <c r="D216" s="42">
        <v>1460000</v>
      </c>
      <c r="E216" s="42" t="s">
        <v>168</v>
      </c>
      <c r="F216" s="42" t="s">
        <v>162</v>
      </c>
      <c r="G216" s="13">
        <v>42545.239502314813</v>
      </c>
    </row>
    <row r="217" spans="1:7" x14ac:dyDescent="0.25">
      <c r="A217" s="13">
        <v>42545.300937499997</v>
      </c>
      <c r="B217" s="42" t="s">
        <v>94</v>
      </c>
      <c r="C217" s="42" t="s">
        <v>193</v>
      </c>
      <c r="D217" s="42">
        <v>2020000</v>
      </c>
      <c r="E217" s="42" t="s">
        <v>225</v>
      </c>
      <c r="F217" s="42" t="s">
        <v>94</v>
      </c>
      <c r="G217" s="13">
        <v>42545.300937499997</v>
      </c>
    </row>
    <row r="218" spans="1:7" x14ac:dyDescent="0.25">
      <c r="A218" s="13">
        <v>42545.279583333337</v>
      </c>
      <c r="B218" s="42" t="s">
        <v>166</v>
      </c>
      <c r="C218" s="42" t="s">
        <v>190</v>
      </c>
      <c r="D218" s="42">
        <v>2000000</v>
      </c>
      <c r="E218" s="42" t="s">
        <v>123</v>
      </c>
      <c r="F218" s="42" t="s">
        <v>166</v>
      </c>
      <c r="G218" s="13">
        <v>42545.279583333337</v>
      </c>
    </row>
    <row r="219" spans="1:7" x14ac:dyDescent="0.25">
      <c r="A219" s="13">
        <v>42545.22755787037</v>
      </c>
      <c r="B219" s="42" t="s">
        <v>94</v>
      </c>
      <c r="C219" s="42" t="s">
        <v>187</v>
      </c>
      <c r="D219" s="42">
        <v>2020000</v>
      </c>
      <c r="E219" s="42" t="s">
        <v>225</v>
      </c>
      <c r="F219" s="42" t="s">
        <v>94</v>
      </c>
      <c r="G219" s="13">
        <v>42545.22755787037</v>
      </c>
    </row>
    <row r="220" spans="1:7" x14ac:dyDescent="0.25">
      <c r="A220" s="13">
        <v>42545.303541666668</v>
      </c>
      <c r="B220" s="42" t="s">
        <v>105</v>
      </c>
      <c r="C220" s="42" t="s">
        <v>189</v>
      </c>
      <c r="D220" s="42">
        <v>1310000</v>
      </c>
      <c r="E220" s="42" t="s">
        <v>169</v>
      </c>
      <c r="F220" s="42" t="s">
        <v>105</v>
      </c>
      <c r="G220" s="13">
        <v>42545.303541666668</v>
      </c>
    </row>
    <row r="221" spans="1:7" x14ac:dyDescent="0.25">
      <c r="A221" s="13">
        <v>42545.204965277779</v>
      </c>
      <c r="B221" s="42" t="s">
        <v>166</v>
      </c>
      <c r="C221" s="42" t="s">
        <v>231</v>
      </c>
      <c r="D221" s="42">
        <v>2000000</v>
      </c>
      <c r="E221" s="42" t="s">
        <v>123</v>
      </c>
      <c r="F221" s="42" t="s">
        <v>166</v>
      </c>
      <c r="G221" s="13">
        <v>42545.204965277779</v>
      </c>
    </row>
    <row r="222" spans="1:7" x14ac:dyDescent="0.25">
      <c r="A222" s="13">
        <v>42545.315972222219</v>
      </c>
      <c r="B222" s="42" t="s">
        <v>220</v>
      </c>
      <c r="C222" s="42" t="s">
        <v>218</v>
      </c>
      <c r="D222" s="42">
        <v>1500000</v>
      </c>
      <c r="E222" s="42" t="s">
        <v>93</v>
      </c>
      <c r="F222" s="42" t="s">
        <v>220</v>
      </c>
      <c r="G222" s="13">
        <v>42545.315972222219</v>
      </c>
    </row>
    <row r="223" spans="1:7" x14ac:dyDescent="0.25">
      <c r="A223" s="13">
        <v>42545.162465277775</v>
      </c>
      <c r="B223" s="42" t="s">
        <v>222</v>
      </c>
      <c r="C223" s="42" t="s">
        <v>183</v>
      </c>
      <c r="D223" s="42">
        <v>1830000</v>
      </c>
      <c r="E223" s="42" t="s">
        <v>165</v>
      </c>
      <c r="F223" s="42" t="s">
        <v>222</v>
      </c>
      <c r="G223" s="13">
        <v>42545.162465277775</v>
      </c>
    </row>
    <row r="224" spans="1:7" x14ac:dyDescent="0.25">
      <c r="A224" s="13">
        <v>42545.285381944443</v>
      </c>
      <c r="B224" t="s">
        <v>221</v>
      </c>
      <c r="C224" t="s">
        <v>191</v>
      </c>
      <c r="D224">
        <v>1830000</v>
      </c>
      <c r="E224" t="s">
        <v>165</v>
      </c>
      <c r="F224" s="42" t="s">
        <v>221</v>
      </c>
      <c r="G224" s="13">
        <v>42545.285381944443</v>
      </c>
    </row>
    <row r="225" spans="1:7" x14ac:dyDescent="0.25">
      <c r="A225" s="13">
        <v>42545.351111111115</v>
      </c>
      <c r="B225" t="s">
        <v>90</v>
      </c>
      <c r="C225" t="s">
        <v>194</v>
      </c>
      <c r="D225">
        <v>2020000</v>
      </c>
      <c r="E225" t="s">
        <v>225</v>
      </c>
      <c r="F225" s="42" t="s">
        <v>90</v>
      </c>
      <c r="G225" s="13">
        <v>42545.351111111115</v>
      </c>
    </row>
    <row r="226" spans="1:7" x14ac:dyDescent="0.25">
      <c r="A226" s="13">
        <v>42545.318425925929</v>
      </c>
      <c r="B226" t="s">
        <v>222</v>
      </c>
      <c r="C226" t="s">
        <v>192</v>
      </c>
      <c r="D226">
        <v>1830000</v>
      </c>
      <c r="E226" t="s">
        <v>165</v>
      </c>
      <c r="F226" s="42" t="s">
        <v>222</v>
      </c>
      <c r="G226" s="13">
        <v>42545.318425925929</v>
      </c>
    </row>
    <row r="227" spans="1:7" x14ac:dyDescent="0.25">
      <c r="A227" s="13">
        <v>42545.663124999999</v>
      </c>
      <c r="B227" t="s">
        <v>222</v>
      </c>
      <c r="C227" t="s">
        <v>209</v>
      </c>
      <c r="D227">
        <v>1990000</v>
      </c>
      <c r="E227" t="s">
        <v>144</v>
      </c>
      <c r="F227" s="42" t="s">
        <v>222</v>
      </c>
      <c r="G227" s="13">
        <v>42545.663124999999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126</v>
      </c>
      <c r="K1" s="67" t="s">
        <v>127</v>
      </c>
      <c r="L1" s="67" t="s">
        <v>128</v>
      </c>
      <c r="M1" s="42"/>
    </row>
    <row r="2" spans="1:13" ht="15.75" thickBot="1" x14ac:dyDescent="0.3">
      <c r="A2" s="24">
        <v>42546</v>
      </c>
      <c r="B2" s="9"/>
      <c r="C2" s="30">
        <v>50</v>
      </c>
      <c r="F2" t="s">
        <v>63</v>
      </c>
      <c r="J2" s="67" t="s">
        <v>126</v>
      </c>
      <c r="K2" s="67" t="s">
        <v>127</v>
      </c>
      <c r="L2" s="67" t="s">
        <v>128</v>
      </c>
      <c r="M2" s="42"/>
    </row>
    <row r="3" spans="1:13" x14ac:dyDescent="0.25">
      <c r="F3" t="s">
        <v>64</v>
      </c>
      <c r="J3" s="68" t="s">
        <v>129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130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131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132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133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134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135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136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137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138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139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140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2016-06-27T18:50:43Z</dcterms:modified>
</cp:coreProperties>
</file>