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3.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9.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0.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11.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12.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13.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14.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5.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16.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17.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drawings/drawing18.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eileake\Documents\AI\Carbon\NH\Areas 12 &amp; 14\26\"/>
    </mc:Choice>
  </mc:AlternateContent>
  <xr:revisionPtr revIDLastSave="0" documentId="13_ncr:1_{1EDDD85A-43B2-4B7B-B945-F8F6306E6C18}" xr6:coauthVersionLast="47" xr6:coauthVersionMax="47" xr10:uidLastSave="{00000000-0000-0000-0000-000000000000}"/>
  <bookViews>
    <workbookView xWindow="28692" yWindow="-1776" windowWidth="29016" windowHeight="15696" tabRatio="758" activeTab="10" xr2:uid="{00000000-000D-0000-FFFF-FFFF00000000}"/>
  </bookViews>
  <sheets>
    <sheet name="Home Page" sheetId="4" r:id="rId1"/>
    <sheet name="Guidance" sheetId="87" r:id="rId2"/>
    <sheet name="Summary Report" sheetId="52" r:id="rId3"/>
    <sheet name="Chart data" sheetId="86" state="hidden" r:id="rId4"/>
    <sheet name="Outputs" sheetId="23" r:id="rId5"/>
    <sheet name="Entity datastore" sheetId="61" state="hidden" r:id="rId6"/>
    <sheet name="Emissions Factors" sheetId="62" r:id="rId7"/>
    <sheet name="Emissions Factors Lookup" sheetId="26" state="hidden" r:id="rId8"/>
    <sheet name="Dynamic dropdown" sheetId="27" state="hidden" r:id="rId9"/>
    <sheet name="Material Density" sheetId="63" r:id="rId10"/>
    <sheet name="Commentary" sheetId="75" r:id="rId11"/>
    <sheet name="Note records" sheetId="88" state="hidden" r:id="rId12"/>
    <sheet name="VB Metadata" sheetId="50" state="hidden" r:id="rId13"/>
    <sheet name="Sandpit" sheetId="49" state="hidden" r:id="rId14"/>
    <sheet name="Bulk Materials" sheetId="65" state="hidden" r:id="rId15"/>
    <sheet name="Earthworks" sheetId="77" state="hidden" r:id="rId16"/>
    <sheet name="Fencing" sheetId="78" state="hidden" r:id="rId17"/>
    <sheet name="Drainage" sheetId="79" state="hidden" r:id="rId18"/>
    <sheet name="Road Pavements" sheetId="80" state="hidden" r:id="rId19"/>
    <sheet name="Street Furniture" sheetId="81" state="hidden" r:id="rId20"/>
    <sheet name="Civils Structures" sheetId="82" state="hidden" r:id="rId21"/>
    <sheet name="Fuel and Energy" sheetId="83" state="hidden" r:id="rId22"/>
    <sheet name="Business Transport" sheetId="84" state="hidden" r:id="rId23"/>
    <sheet name="Waste" sheetId="85" state="hidden" r:id="rId24"/>
  </sheets>
  <functionGroups builtInGroupCount="19"/>
  <externalReferences>
    <externalReference r:id="rId25"/>
  </externalReferences>
  <definedNames>
    <definedName name="_xlnm._FilterDatabase" localSheetId="14" hidden="1">'Bulk Materials'!$A$1:$S$2</definedName>
    <definedName name="_xlnm._FilterDatabase" localSheetId="22" hidden="1">'Business Transport'!$A$1:$S$2</definedName>
    <definedName name="_xlnm._FilterDatabase" localSheetId="20" hidden="1">'Civils Structures'!$A$1:$S$2</definedName>
    <definedName name="_xlnm._FilterDatabase" localSheetId="17" hidden="1">Drainage!$A$1:$S$2</definedName>
    <definedName name="_xlnm._FilterDatabase" localSheetId="15" hidden="1">Earthworks!$A$1:$S$2</definedName>
    <definedName name="_xlnm._FilterDatabase" localSheetId="7" hidden="1">'Emissions Factors Lookup'!$A$1:$R$278</definedName>
    <definedName name="_xlnm._FilterDatabase" localSheetId="5" hidden="1">'Entity datastore'!$A$1:$AK$23</definedName>
    <definedName name="_xlnm._FilterDatabase" localSheetId="16" hidden="1">Fencing!$A$1:$S$2</definedName>
    <definedName name="_xlnm._FilterDatabase" localSheetId="21" hidden="1">'Fuel and Energy'!$A$1:$S$2</definedName>
    <definedName name="_xlnm._FilterDatabase" localSheetId="18" hidden="1">'Road Pavements'!$A$1:$S$2</definedName>
    <definedName name="_xlnm._FilterDatabase" localSheetId="19" hidden="1">'Street Furniture'!$A$1:$S$2</definedName>
    <definedName name="_xlnm._FilterDatabase" localSheetId="23" hidden="1">Waste!$A$1:$S$2</definedName>
    <definedName name="blue_rectangle">Guidance!$K$2</definedName>
    <definedName name="carbon_factor_units">'VB Metadata'!$V$2:$V$10</definedName>
    <definedName name="chart_number_1">OFFSET('Chart data'!$C$8,0,0,COUNTA('Chart data'!$C$8:$C$9999),5)</definedName>
    <definedName name="chart_number_2">OFFSET('Chart data'!$N$8,0,0,COUNTA('Chart data'!$N$8:$N$9999),5)</definedName>
    <definedName name="MainList">INDEX(Table1[[Choose… ]],1):INDEX(Table1[[Choose… ]],COUNTA(Table1[[Choose… ]]))</definedName>
    <definedName name="_xlnm.Print_Area" localSheetId="2">'Summary Report'!$A$3:$R$70</definedName>
    <definedName name="Radio_Choice">'Dynamic dropdown'!$B$19</definedName>
    <definedName name="sublist_bulk_materials">IF(OR('Bulk Materials'!XFD1="Choose…",'Bulk Materials'!XFD1=""),"",INDEX(Table1[],1,MATCH('Bulk Materials'!XFD1,Table1[#Headers],0)):INDEX(Table1[],COUNTA(INDEX(Table1[],,MATCH('Bulk Materials'!XFD1,Table1[#Headers],0))),MATCH('Bulk Materials'!XFD1,Table1[#Headers],0)))</definedName>
    <definedName name="sublist_business_transport">IF(OR('Business Transport'!XFD1="Choose…",'Business Transport'!XFD1=""),"",INDEX(Table1[],1,MATCH('Business Transport'!XFD1,Table1[#Headers],0)):INDEX(Table1[],COUNTA(INDEX(Table1[],,MATCH('Business Transport'!XFD1,Table1[#Headers],0))),MATCH('Business Transport'!XFD1,Table1[#Headers],0)))</definedName>
    <definedName name="sublist_civils_structures">IF(OR('Civils Structures'!XFD1="Choose…",'Civils Structures'!XFD1=""),"",INDEX(Table1[],1,MATCH('Civils Structures'!XFD1,Table1[#Headers],0)):INDEX(Table1[],COUNTA(INDEX(Table1[],,MATCH('Civils Structures'!XFD1,Table1[#Headers],0))),MATCH('Civils Structures'!XFD1,Table1[#Headers],0)))</definedName>
    <definedName name="sublist_drainage">IF(OR(Drainage!XFD1="Choose…",Drainage!XFD1=""),"",INDEX(Table1[],1,MATCH(Drainage!XFD1,Table1[#Headers],0)):INDEX(Table1[],COUNTA(INDEX(Table1[],,MATCH(Drainage!XFD1,Table1[#Headers],0))),MATCH(Drainage!XFD1,Table1[#Headers],0)))</definedName>
    <definedName name="sublist_earthworks">IF(OR(Earthworks!XFD1="Choose…",Earthworks!XFD1=""),"",INDEX(Table1[],1,MATCH(Earthworks!XFD1,Table1[#Headers],0)):INDEX(Table1[],COUNTA(INDEX(Table1[],,MATCH(Earthworks!XFD1,Table1[#Headers],0))),MATCH(Earthworks!XFD1,Table1[#Headers],0)))</definedName>
    <definedName name="sublist_fencing">IF(OR(Fencing!XFD1="Choose…",Fencing!XFD1=""),"",INDEX(Table1[],1,MATCH(Fencing!XFD1,Table1[#Headers],0)):INDEX(Table1[],COUNTA(INDEX(Table1[],,MATCH(Fencing!XFD1,Table1[#Headers],0))),MATCH(Fencing!XFD1,Table1[#Headers],0)))</definedName>
    <definedName name="sublist_fuel_and_energy">IF(OR('Fuel and Energy'!XFD1="Choose…",'Fuel and Energy'!XFD1=""),"",INDEX(Table1[],1,MATCH('Fuel and Energy'!XFD1,Table1[#Headers],0)):INDEX(Table1[],COUNTA(INDEX(Table1[],,MATCH('Fuel and Energy'!XFD1,Table1[#Headers],0))),MATCH('Fuel and Energy'!XFD1,Table1[#Headers],0)))</definedName>
    <definedName name="sublist_road_pavements">IF(OR('Road Pavements'!XFD1="Choose…",'Road Pavements'!XFD1=""),"",INDEX(Table1[],1,MATCH('Road Pavements'!XFD1,Table1[#Headers],0)):INDEX(Table1[],COUNTA(INDEX(Table1[],,MATCH('Road Pavements'!XFD1,Table1[#Headers],0))),MATCH('Road Pavements'!XFD1,Table1[#Headers],0)))</definedName>
    <definedName name="sublist_street_furniture">IF(OR('Street Furniture'!XFD1="Choose…",'Street Furniture'!XFD1=""),"",INDEX(Table1[],1,MATCH('Street Furniture'!XFD1,Table1[#Headers],0)):INDEX(Table1[],COUNTA(INDEX(Table1[],,MATCH('Street Furniture'!XFD1,Table1[#Headers],0))),MATCH('Street Furniture'!XFD1,Table1[#Headers],0)))</definedName>
    <definedName name="sublist_waste">IF(OR(Waste!XFD1="Choose…",Waste!XFD1=""),"",INDEX(Table1[],1,MATCH(Waste!XFD1,Table1[#Headers],0)):INDEX(Table1[],COUNTA(INDEX(Table1[],,MATCH(Waste!XFD1,Table1[#Headers],0))),MATCH(Waste!XFD1,Table1[#Headers],0)))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 i="4" l="1"/>
  <c r="Y9" i="85"/>
  <c r="N9" i="85"/>
  <c r="L9" i="85"/>
  <c r="K9" i="85"/>
  <c r="J9" i="85"/>
  <c r="Z9" i="85"/>
  <c r="G9" i="85"/>
  <c r="F9" i="85"/>
  <c r="O9" i="85"/>
  <c r="AH9" i="85"/>
  <c r="AG9" i="85"/>
  <c r="Y9" i="84"/>
  <c r="N9" i="84"/>
  <c r="L9" i="84"/>
  <c r="K9" i="84"/>
  <c r="J9" i="84"/>
  <c r="Z9" i="84"/>
  <c r="G9" i="84"/>
  <c r="F9" i="84"/>
  <c r="O9" i="84"/>
  <c r="AH9" i="84"/>
  <c r="AG9" i="84"/>
  <c r="Y9" i="83"/>
  <c r="N9" i="83"/>
  <c r="L9" i="83"/>
  <c r="K9" i="83"/>
  <c r="J9" i="83"/>
  <c r="Z9" i="83"/>
  <c r="G9" i="83"/>
  <c r="F9" i="83"/>
  <c r="O9" i="83"/>
  <c r="AH9" i="83"/>
  <c r="AG9" i="83"/>
  <c r="Y9" i="82"/>
  <c r="N9" i="82"/>
  <c r="L9" i="82"/>
  <c r="K9" i="82"/>
  <c r="J9" i="82"/>
  <c r="Z9" i="82"/>
  <c r="G9" i="82"/>
  <c r="F9" i="82"/>
  <c r="O9" i="82"/>
  <c r="AH9" i="82"/>
  <c r="AG9" i="82"/>
  <c r="Y9" i="81"/>
  <c r="N9" i="81"/>
  <c r="L9" i="81"/>
  <c r="K9" i="81"/>
  <c r="J9" i="81"/>
  <c r="Z9" i="81"/>
  <c r="G9" i="81"/>
  <c r="F9" i="81"/>
  <c r="O9" i="81"/>
  <c r="AH9" i="81"/>
  <c r="AG9" i="81"/>
  <c r="Y9" i="80"/>
  <c r="N9" i="80"/>
  <c r="L9" i="80"/>
  <c r="K9" i="80"/>
  <c r="J9" i="80"/>
  <c r="Z9" i="80"/>
  <c r="G9" i="80"/>
  <c r="F9" i="80"/>
  <c r="O9" i="80"/>
  <c r="AH9" i="80"/>
  <c r="AG9" i="80"/>
  <c r="Y9" i="79"/>
  <c r="N9" i="79"/>
  <c r="L9" i="79"/>
  <c r="K9" i="79"/>
  <c r="J9" i="79"/>
  <c r="Z9" i="79"/>
  <c r="G9" i="79"/>
  <c r="F9" i="79"/>
  <c r="O9" i="79"/>
  <c r="AH9" i="79"/>
  <c r="AG9" i="79"/>
  <c r="Y9" i="78"/>
  <c r="N9" i="78"/>
  <c r="L9" i="78"/>
  <c r="K9" i="78"/>
  <c r="J9" i="78"/>
  <c r="Z9" i="78"/>
  <c r="G9" i="78"/>
  <c r="F9" i="78"/>
  <c r="O9" i="78"/>
  <c r="AH9" i="78"/>
  <c r="AG9" i="78"/>
  <c r="Y9" i="77"/>
  <c r="N9" i="77"/>
  <c r="L9" i="77"/>
  <c r="K9" i="77"/>
  <c r="J9" i="77"/>
  <c r="Z9" i="77"/>
  <c r="G9" i="77"/>
  <c r="F9" i="77"/>
  <c r="O9" i="77"/>
  <c r="AH9" i="77"/>
  <c r="AG9" i="77"/>
  <c r="Y9" i="65"/>
  <c r="N9" i="65"/>
  <c r="L9" i="65"/>
  <c r="K9" i="65"/>
  <c r="J9" i="65"/>
  <c r="P9" i="65"/>
  <c r="O9" i="65" s="1"/>
  <c r="Z9" i="65"/>
  <c r="G9" i="65"/>
  <c r="F9" i="65"/>
  <c r="AH9" i="65"/>
  <c r="AG9" i="65"/>
  <c r="M25" i="4"/>
  <c r="L25" i="4"/>
  <c r="K25" i="4"/>
  <c r="J25" i="4"/>
  <c r="I25" i="4"/>
  <c r="H25" i="4"/>
  <c r="G25" i="4"/>
  <c r="F25" i="4"/>
  <c r="E25" i="4"/>
  <c r="D25" i="4"/>
  <c r="C25" i="4"/>
  <c r="M9" i="85" l="1"/>
  <c r="M9" i="84"/>
  <c r="M9" i="83"/>
  <c r="M9" i="82"/>
  <c r="M9" i="81"/>
  <c r="M9" i="80"/>
  <c r="M9" i="79"/>
  <c r="M9" i="78"/>
  <c r="M9" i="77"/>
  <c r="M9" i="65"/>
  <c r="E8" i="86" l="1"/>
  <c r="D8" i="86"/>
  <c r="F8" i="86" s="1"/>
  <c r="A8" i="23"/>
  <c r="V8" i="23" s="1"/>
  <c r="AH10" i="85"/>
  <c r="AG10" i="85"/>
  <c r="AH10" i="84"/>
  <c r="AG10" i="84"/>
  <c r="AH10" i="83"/>
  <c r="AG10" i="83"/>
  <c r="AH12" i="80"/>
  <c r="AG12" i="80"/>
  <c r="AH11" i="80"/>
  <c r="AG11" i="80"/>
  <c r="AH10" i="80"/>
  <c r="AG10" i="80"/>
  <c r="AH11" i="65"/>
  <c r="AG11" i="65"/>
  <c r="AH10" i="65"/>
  <c r="AG10" i="65"/>
  <c r="B8" i="23"/>
  <c r="H8" i="23" l="1"/>
  <c r="W8" i="23"/>
  <c r="G8" i="23"/>
  <c r="O8" i="23"/>
  <c r="P8" i="23"/>
  <c r="X8" i="23"/>
  <c r="N8" i="86"/>
  <c r="M8" i="86" s="1"/>
  <c r="S8" i="86" s="1"/>
  <c r="I8" i="23"/>
  <c r="Q8" i="23"/>
  <c r="J8" i="23"/>
  <c r="R8" i="23"/>
  <c r="K8" i="23"/>
  <c r="S8" i="23"/>
  <c r="L8" i="23"/>
  <c r="T8" i="23"/>
  <c r="E8" i="23"/>
  <c r="M8" i="23"/>
  <c r="U8" i="23"/>
  <c r="F8" i="23"/>
  <c r="N8" i="23"/>
  <c r="D8" i="23" l="1"/>
  <c r="C8" i="23"/>
  <c r="A10" i="23"/>
  <c r="A9" i="23"/>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L8" i="86" l="1"/>
  <c r="O8" i="86" s="1"/>
  <c r="G8" i="86"/>
  <c r="C8" i="86" s="1"/>
  <c r="R8" i="86" s="1"/>
  <c r="AG11" i="85"/>
  <c r="AG11" i="84"/>
  <c r="AG12" i="83"/>
  <c r="AG11" i="83"/>
  <c r="AG12" i="82"/>
  <c r="AG11" i="82"/>
  <c r="AG10" i="82"/>
  <c r="AG11" i="77" l="1"/>
  <c r="AG10" i="77"/>
  <c r="AG10" i="79"/>
  <c r="AG13" i="80"/>
  <c r="O373" i="26" l="1"/>
  <c r="O372" i="26"/>
  <c r="O371" i="26"/>
  <c r="O370" i="26"/>
  <c r="O369" i="26"/>
  <c r="O368" i="26"/>
  <c r="O367" i="26"/>
  <c r="O366" i="26"/>
  <c r="O365" i="26"/>
  <c r="O364" i="26"/>
  <c r="O363" i="26"/>
  <c r="O362" i="26"/>
  <c r="O361" i="26"/>
  <c r="O360" i="26"/>
  <c r="O359" i="26"/>
  <c r="O358" i="26"/>
  <c r="O357" i="26"/>
  <c r="O356" i="26"/>
  <c r="O355" i="26"/>
  <c r="O354" i="26"/>
  <c r="O353" i="26"/>
  <c r="O352" i="26"/>
  <c r="O351" i="26"/>
  <c r="O350" i="26"/>
  <c r="O349" i="26"/>
  <c r="O348" i="26"/>
  <c r="O347" i="26"/>
  <c r="O346" i="26"/>
  <c r="O345" i="26"/>
  <c r="O344" i="26"/>
  <c r="O343" i="26"/>
  <c r="O342" i="26"/>
  <c r="O341" i="26"/>
  <c r="O340" i="26"/>
  <c r="O339" i="26"/>
  <c r="O338" i="26"/>
  <c r="O337" i="26"/>
  <c r="O336" i="26"/>
  <c r="O335" i="26"/>
  <c r="O334" i="26"/>
  <c r="O333" i="26"/>
  <c r="O332" i="26"/>
  <c r="O331" i="26"/>
  <c r="O330" i="26"/>
  <c r="O329" i="26"/>
  <c r="O328" i="26"/>
  <c r="O327" i="26"/>
  <c r="O326" i="26"/>
  <c r="O325" i="26"/>
  <c r="O324" i="26"/>
  <c r="O323" i="26"/>
  <c r="O322" i="26"/>
  <c r="O321" i="26"/>
  <c r="O320" i="26"/>
  <c r="O319" i="26"/>
  <c r="O318" i="26"/>
  <c r="O317" i="26"/>
  <c r="O316" i="26"/>
  <c r="O315" i="26"/>
  <c r="O314" i="26"/>
  <c r="O313" i="26"/>
  <c r="O312" i="26"/>
  <c r="O311" i="26"/>
  <c r="O310" i="26"/>
  <c r="O309" i="26"/>
  <c r="O308" i="26"/>
  <c r="O307" i="26"/>
  <c r="O306" i="26"/>
  <c r="O305" i="26"/>
  <c r="O304" i="26"/>
  <c r="O303" i="26"/>
  <c r="O302" i="26"/>
  <c r="O301" i="26"/>
  <c r="O300" i="26"/>
  <c r="O299" i="26"/>
  <c r="O298" i="26"/>
  <c r="O297" i="26"/>
  <c r="O296" i="26"/>
  <c r="O295" i="26"/>
  <c r="O294" i="26"/>
  <c r="O293" i="26"/>
  <c r="O292" i="26"/>
  <c r="O291" i="26"/>
  <c r="O290" i="26"/>
  <c r="O289" i="26"/>
  <c r="O288" i="26"/>
  <c r="O287" i="26"/>
  <c r="O286" i="26"/>
  <c r="O285" i="26"/>
  <c r="O284" i="26"/>
  <c r="O283" i="26"/>
  <c r="O282" i="26"/>
  <c r="O281" i="26"/>
  <c r="O280" i="26"/>
  <c r="O279" i="26"/>
  <c r="O278" i="26"/>
  <c r="O277" i="26"/>
  <c r="O276" i="26"/>
  <c r="O275" i="26"/>
  <c r="O274" i="26"/>
  <c r="O273" i="26"/>
  <c r="O272" i="26"/>
  <c r="O271" i="26"/>
  <c r="O270" i="26"/>
  <c r="O269" i="26"/>
  <c r="O268" i="26"/>
  <c r="O267" i="26"/>
  <c r="O266" i="26"/>
  <c r="O265" i="26"/>
  <c r="O264" i="26"/>
  <c r="O263" i="26"/>
  <c r="O262" i="26"/>
  <c r="O261" i="26"/>
  <c r="O260" i="26"/>
  <c r="O259" i="26"/>
  <c r="O258" i="26"/>
  <c r="O257" i="26"/>
  <c r="O256" i="26"/>
  <c r="O255" i="26"/>
  <c r="O254" i="26"/>
  <c r="O253" i="26"/>
  <c r="O252" i="26"/>
  <c r="O251" i="26"/>
  <c r="O250" i="26"/>
  <c r="O249" i="26"/>
  <c r="O248" i="26"/>
  <c r="O247" i="26"/>
  <c r="O246" i="26"/>
  <c r="O245" i="26"/>
  <c r="O244" i="26"/>
  <c r="O243" i="26"/>
  <c r="O242" i="26"/>
  <c r="O241" i="26"/>
  <c r="O240" i="26"/>
  <c r="O239" i="26"/>
  <c r="O238" i="26"/>
  <c r="O237" i="26"/>
  <c r="O236" i="26"/>
  <c r="O235" i="26"/>
  <c r="O234" i="26"/>
  <c r="O233" i="26"/>
  <c r="O232" i="26"/>
  <c r="O231" i="26"/>
  <c r="O230" i="26"/>
  <c r="O229" i="26"/>
  <c r="O228" i="26"/>
  <c r="O227" i="26"/>
  <c r="O226" i="26"/>
  <c r="O225" i="26"/>
  <c r="O224" i="26"/>
  <c r="O223" i="26"/>
  <c r="O222" i="26"/>
  <c r="O221" i="26"/>
  <c r="O220" i="26"/>
  <c r="O219" i="26"/>
  <c r="O218" i="26"/>
  <c r="O217" i="26"/>
  <c r="O216" i="26"/>
  <c r="O215" i="26"/>
  <c r="O214" i="26"/>
  <c r="O213" i="26"/>
  <c r="O212" i="26"/>
  <c r="O211" i="26"/>
  <c r="O210" i="26"/>
  <c r="O209" i="26"/>
  <c r="O208" i="26"/>
  <c r="O207" i="26"/>
  <c r="O206" i="26"/>
  <c r="O205" i="26"/>
  <c r="O204" i="26"/>
  <c r="O203" i="26"/>
  <c r="O202" i="26"/>
  <c r="O201" i="26"/>
  <c r="O200" i="26"/>
  <c r="O199" i="26"/>
  <c r="O198" i="26"/>
  <c r="O197" i="26"/>
  <c r="O196" i="26"/>
  <c r="O195" i="26"/>
  <c r="O194" i="26"/>
  <c r="O193" i="26"/>
  <c r="O192" i="26"/>
  <c r="O191" i="26"/>
  <c r="O190" i="26"/>
  <c r="O189" i="26"/>
  <c r="O188" i="26"/>
  <c r="O187" i="26"/>
  <c r="O186" i="26"/>
  <c r="O185" i="26"/>
  <c r="O184" i="26"/>
  <c r="O183" i="26"/>
  <c r="O182" i="26"/>
  <c r="O181" i="26"/>
  <c r="O180" i="26"/>
  <c r="O179" i="26"/>
  <c r="O178" i="26"/>
  <c r="O177" i="26"/>
  <c r="O176" i="26"/>
  <c r="O175" i="26"/>
  <c r="O174" i="26"/>
  <c r="O173" i="26"/>
  <c r="O172" i="26"/>
  <c r="O171" i="26"/>
  <c r="O170" i="26"/>
  <c r="O169" i="26"/>
  <c r="O168" i="26"/>
  <c r="O167" i="26"/>
  <c r="O166" i="26"/>
  <c r="O165" i="26"/>
  <c r="O164" i="26"/>
  <c r="O163" i="26"/>
  <c r="O162" i="26"/>
  <c r="O161" i="26"/>
  <c r="O160" i="26"/>
  <c r="O159" i="26"/>
  <c r="O158" i="26"/>
  <c r="O157" i="26"/>
  <c r="O156" i="26"/>
  <c r="O155" i="26"/>
  <c r="O154" i="26"/>
  <c r="O153" i="26"/>
  <c r="O152" i="26"/>
  <c r="O151" i="26"/>
  <c r="O150" i="26"/>
  <c r="O149" i="26"/>
  <c r="O148" i="26"/>
  <c r="O147" i="26"/>
  <c r="O146" i="26"/>
  <c r="O145" i="26"/>
  <c r="O144" i="26"/>
  <c r="O143" i="26"/>
  <c r="O142" i="26"/>
  <c r="O141" i="26"/>
  <c r="O140" i="26"/>
  <c r="O139" i="26"/>
  <c r="O138" i="26"/>
  <c r="O137" i="26"/>
  <c r="O136" i="26"/>
  <c r="O135" i="26"/>
  <c r="O134" i="26"/>
  <c r="O133" i="26"/>
  <c r="O132" i="26"/>
  <c r="O131" i="26"/>
  <c r="O130" i="26"/>
  <c r="O129" i="26"/>
  <c r="O128" i="26"/>
  <c r="O127" i="26"/>
  <c r="O126" i="26"/>
  <c r="O125" i="26"/>
  <c r="O124" i="26"/>
  <c r="O123" i="26"/>
  <c r="O122" i="26"/>
  <c r="O121" i="26"/>
  <c r="O120" i="26"/>
  <c r="O119" i="26"/>
  <c r="O118" i="26"/>
  <c r="O117" i="26"/>
  <c r="O116" i="26"/>
  <c r="O115" i="26"/>
  <c r="O114" i="26"/>
  <c r="O113" i="26"/>
  <c r="O112" i="26"/>
  <c r="O111" i="26"/>
  <c r="O110" i="26"/>
  <c r="O109" i="26"/>
  <c r="O108" i="26"/>
  <c r="O107" i="26"/>
  <c r="O106" i="26"/>
  <c r="O105" i="26"/>
  <c r="O104" i="26"/>
  <c r="O103" i="26"/>
  <c r="O102" i="26"/>
  <c r="O101" i="26"/>
  <c r="O100" i="26"/>
  <c r="O99" i="26"/>
  <c r="O97" i="26"/>
  <c r="O96" i="26"/>
  <c r="O95" i="26"/>
  <c r="O94" i="26"/>
  <c r="O93" i="26"/>
  <c r="O92" i="26"/>
  <c r="O91" i="26"/>
  <c r="O90" i="26"/>
  <c r="O89" i="26"/>
  <c r="O88" i="26"/>
  <c r="O87" i="26"/>
  <c r="O86" i="26"/>
  <c r="O85" i="26"/>
  <c r="O84" i="26"/>
  <c r="O83" i="26"/>
  <c r="O82" i="26"/>
  <c r="O81" i="26"/>
  <c r="O80" i="26"/>
  <c r="O79" i="26"/>
  <c r="O78" i="26"/>
  <c r="O77" i="26"/>
  <c r="O76" i="26"/>
  <c r="O75" i="26"/>
  <c r="O74" i="26"/>
  <c r="O73" i="26"/>
  <c r="O72" i="26"/>
  <c r="O71" i="26"/>
  <c r="O70" i="26"/>
  <c r="O69" i="26"/>
  <c r="O68" i="26"/>
  <c r="O67" i="26"/>
  <c r="O66" i="26"/>
  <c r="O65" i="26"/>
  <c r="O64" i="26"/>
  <c r="O63" i="26"/>
  <c r="O62" i="26"/>
  <c r="O61" i="26"/>
  <c r="O60" i="26"/>
  <c r="O59" i="26"/>
  <c r="O58" i="26"/>
  <c r="O57" i="26"/>
  <c r="O56" i="26"/>
  <c r="O55" i="26"/>
  <c r="O54" i="26"/>
  <c r="O53" i="26"/>
  <c r="O52" i="26"/>
  <c r="O51" i="26"/>
  <c r="O50" i="26"/>
  <c r="O49" i="26"/>
  <c r="O48" i="26"/>
  <c r="O47" i="26"/>
  <c r="O46" i="26"/>
  <c r="O45" i="26"/>
  <c r="O44" i="26"/>
  <c r="O43" i="26"/>
  <c r="O42" i="26"/>
  <c r="O41" i="26"/>
  <c r="O40" i="26"/>
  <c r="O39" i="26"/>
  <c r="O38" i="26"/>
  <c r="O37" i="26"/>
  <c r="O36" i="26"/>
  <c r="O35" i="26"/>
  <c r="O34" i="26"/>
  <c r="O33" i="26"/>
  <c r="O32" i="26"/>
  <c r="O31" i="26"/>
  <c r="O30" i="26"/>
  <c r="O29" i="26"/>
  <c r="O28" i="26"/>
  <c r="O27" i="26"/>
  <c r="O26" i="26"/>
  <c r="O25" i="26"/>
  <c r="O24" i="26"/>
  <c r="O23" i="26"/>
  <c r="O22" i="26"/>
  <c r="O21" i="26"/>
  <c r="O20" i="26"/>
  <c r="O19" i="26"/>
  <c r="O18" i="26"/>
  <c r="O17" i="26"/>
  <c r="O16" i="26"/>
  <c r="O15" i="26"/>
  <c r="O14" i="26"/>
  <c r="O13" i="26"/>
  <c r="O12" i="26"/>
  <c r="B373" i="26"/>
  <c r="C373" i="26"/>
  <c r="D373" i="26"/>
  <c r="I373" i="26"/>
  <c r="V373" i="26" s="1"/>
  <c r="K373" i="26"/>
  <c r="L373" i="26"/>
  <c r="M373" i="26"/>
  <c r="N373" i="26"/>
  <c r="P373" i="26"/>
  <c r="B99" i="26"/>
  <c r="C99" i="26"/>
  <c r="H99" i="26" s="1"/>
  <c r="U99" i="26" s="1"/>
  <c r="D99" i="26"/>
  <c r="I99" i="26" s="1"/>
  <c r="V99" i="26" s="1"/>
  <c r="K99" i="26"/>
  <c r="L99" i="26"/>
  <c r="M99" i="26"/>
  <c r="N99" i="26"/>
  <c r="P99" i="26"/>
  <c r="B100" i="26"/>
  <c r="C100" i="26"/>
  <c r="H100" i="26" s="1"/>
  <c r="U100" i="26" s="1"/>
  <c r="D100" i="26"/>
  <c r="I100" i="26" s="1"/>
  <c r="V100" i="26" s="1"/>
  <c r="K100" i="26"/>
  <c r="L100" i="26"/>
  <c r="M100" i="26"/>
  <c r="N100" i="26"/>
  <c r="P100" i="26"/>
  <c r="B101" i="26"/>
  <c r="C101" i="26"/>
  <c r="D101" i="26"/>
  <c r="I101" i="26" s="1"/>
  <c r="V101" i="26" s="1"/>
  <c r="K101" i="26"/>
  <c r="L101" i="26"/>
  <c r="M101" i="26"/>
  <c r="N101" i="26"/>
  <c r="P101" i="26"/>
  <c r="B102" i="26"/>
  <c r="C102" i="26"/>
  <c r="D102" i="26"/>
  <c r="I102" i="26"/>
  <c r="V102" i="26" s="1"/>
  <c r="K102" i="26"/>
  <c r="L102" i="26"/>
  <c r="M102" i="26"/>
  <c r="N102" i="26"/>
  <c r="P102" i="26"/>
  <c r="B103" i="26"/>
  <c r="C103" i="26"/>
  <c r="D103" i="26"/>
  <c r="I103" i="26" s="1"/>
  <c r="V103" i="26" s="1"/>
  <c r="K103" i="26"/>
  <c r="L103" i="26"/>
  <c r="M103" i="26"/>
  <c r="N103" i="26"/>
  <c r="P103" i="26"/>
  <c r="B104" i="26"/>
  <c r="C104" i="26"/>
  <c r="D104" i="26"/>
  <c r="I104" i="26" s="1"/>
  <c r="V104" i="26" s="1"/>
  <c r="K104" i="26"/>
  <c r="L104" i="26"/>
  <c r="M104" i="26"/>
  <c r="N104" i="26"/>
  <c r="P104" i="26"/>
  <c r="B105" i="26"/>
  <c r="C105" i="26"/>
  <c r="D105" i="26"/>
  <c r="I105" i="26" s="1"/>
  <c r="V105" i="26" s="1"/>
  <c r="K105" i="26"/>
  <c r="L105" i="26"/>
  <c r="M105" i="26"/>
  <c r="N105" i="26"/>
  <c r="P105" i="26"/>
  <c r="B106" i="26"/>
  <c r="C106" i="26"/>
  <c r="D106" i="26"/>
  <c r="I106" i="26" s="1"/>
  <c r="V106" i="26" s="1"/>
  <c r="K106" i="26"/>
  <c r="L106" i="26"/>
  <c r="M106" i="26"/>
  <c r="N106" i="26"/>
  <c r="P106" i="26"/>
  <c r="B107" i="26"/>
  <c r="C107" i="26"/>
  <c r="D107" i="26"/>
  <c r="I107" i="26" s="1"/>
  <c r="V107" i="26" s="1"/>
  <c r="K107" i="26"/>
  <c r="L107" i="26"/>
  <c r="M107" i="26"/>
  <c r="N107" i="26"/>
  <c r="P107" i="26"/>
  <c r="B108" i="26"/>
  <c r="C108" i="26"/>
  <c r="D108" i="26"/>
  <c r="I108" i="26" s="1"/>
  <c r="V108" i="26" s="1"/>
  <c r="K108" i="26"/>
  <c r="L108" i="26"/>
  <c r="M108" i="26"/>
  <c r="N108" i="26"/>
  <c r="P108" i="26"/>
  <c r="B109" i="26"/>
  <c r="C109" i="26"/>
  <c r="D109" i="26"/>
  <c r="I109" i="26"/>
  <c r="V109" i="26" s="1"/>
  <c r="K109" i="26"/>
  <c r="L109" i="26"/>
  <c r="M109" i="26"/>
  <c r="N109" i="26"/>
  <c r="P109" i="26"/>
  <c r="B110" i="26"/>
  <c r="C110" i="26"/>
  <c r="H110" i="26" s="1"/>
  <c r="D110" i="26"/>
  <c r="I110" i="26" s="1"/>
  <c r="V110" i="26" s="1"/>
  <c r="K110" i="26"/>
  <c r="L110" i="26"/>
  <c r="M110" i="26"/>
  <c r="N110" i="26"/>
  <c r="P110" i="26"/>
  <c r="B111" i="26"/>
  <c r="C111" i="26"/>
  <c r="D111" i="26"/>
  <c r="G111" i="26"/>
  <c r="H111" i="26"/>
  <c r="I111" i="26"/>
  <c r="V111" i="26" s="1"/>
  <c r="K111" i="26"/>
  <c r="L111" i="26"/>
  <c r="M111" i="26"/>
  <c r="N111" i="26"/>
  <c r="P111" i="26"/>
  <c r="B112" i="26"/>
  <c r="C112" i="26"/>
  <c r="D112" i="26"/>
  <c r="I112" i="26" s="1"/>
  <c r="V112" i="26" s="1"/>
  <c r="K112" i="26"/>
  <c r="L112" i="26"/>
  <c r="M112" i="26"/>
  <c r="N112" i="26"/>
  <c r="P112" i="26"/>
  <c r="B113" i="26"/>
  <c r="C113" i="26"/>
  <c r="H113" i="26" s="1"/>
  <c r="D113" i="26"/>
  <c r="I113" i="26" s="1"/>
  <c r="V113" i="26" s="1"/>
  <c r="K113" i="26"/>
  <c r="L113" i="26"/>
  <c r="M113" i="26"/>
  <c r="N113" i="26"/>
  <c r="P113" i="26"/>
  <c r="B114" i="26"/>
  <c r="C114" i="26"/>
  <c r="D114" i="26"/>
  <c r="H114" i="26"/>
  <c r="H115" i="26" s="1"/>
  <c r="I114" i="26"/>
  <c r="V114" i="26" s="1"/>
  <c r="J114" i="26"/>
  <c r="K114" i="26"/>
  <c r="L114" i="26"/>
  <c r="M114" i="26"/>
  <c r="N114" i="26"/>
  <c r="P114" i="26"/>
  <c r="B115" i="26"/>
  <c r="C115" i="26"/>
  <c r="D115" i="26"/>
  <c r="I115" i="26"/>
  <c r="V115" i="26" s="1"/>
  <c r="K115" i="26"/>
  <c r="L115" i="26"/>
  <c r="M115" i="26"/>
  <c r="N115" i="26"/>
  <c r="P115" i="26"/>
  <c r="B116" i="26"/>
  <c r="C116" i="26"/>
  <c r="H116" i="26" s="1"/>
  <c r="D116" i="26"/>
  <c r="I116" i="26"/>
  <c r="V116" i="26" s="1"/>
  <c r="K116" i="26"/>
  <c r="L116" i="26"/>
  <c r="M116" i="26"/>
  <c r="N116" i="26"/>
  <c r="P116" i="26"/>
  <c r="B117" i="26"/>
  <c r="C117" i="26"/>
  <c r="D117" i="26"/>
  <c r="I117" i="26"/>
  <c r="V117" i="26" s="1"/>
  <c r="K117" i="26"/>
  <c r="L117" i="26"/>
  <c r="M117" i="26"/>
  <c r="N117" i="26"/>
  <c r="P117" i="26"/>
  <c r="B118" i="26"/>
  <c r="C118" i="26"/>
  <c r="H118" i="26" s="1"/>
  <c r="D118" i="26"/>
  <c r="I118" i="26"/>
  <c r="K118" i="26"/>
  <c r="L118" i="26"/>
  <c r="M118" i="26"/>
  <c r="N118" i="26"/>
  <c r="P118" i="26"/>
  <c r="V118" i="26"/>
  <c r="B119" i="26"/>
  <c r="C119" i="26"/>
  <c r="H119" i="26" s="1"/>
  <c r="D119" i="26"/>
  <c r="G119" i="26"/>
  <c r="I119" i="26"/>
  <c r="V119" i="26" s="1"/>
  <c r="K119" i="26"/>
  <c r="L119" i="26"/>
  <c r="M119" i="26"/>
  <c r="N119" i="26"/>
  <c r="P119" i="26"/>
  <c r="B120" i="26"/>
  <c r="C120" i="26"/>
  <c r="D120" i="26"/>
  <c r="I120" i="26"/>
  <c r="K120" i="26"/>
  <c r="L120" i="26"/>
  <c r="M120" i="26"/>
  <c r="N120" i="26"/>
  <c r="P120" i="26"/>
  <c r="V120" i="26"/>
  <c r="B121" i="26"/>
  <c r="C121" i="26"/>
  <c r="D121" i="26"/>
  <c r="I121" i="26" s="1"/>
  <c r="K121" i="26"/>
  <c r="L121" i="26"/>
  <c r="M121" i="26"/>
  <c r="N121" i="26"/>
  <c r="P121" i="26"/>
  <c r="V121" i="26"/>
  <c r="B122" i="26"/>
  <c r="C122" i="26"/>
  <c r="D122" i="26"/>
  <c r="I122" i="26" s="1"/>
  <c r="V122" i="26" s="1"/>
  <c r="K122" i="26"/>
  <c r="L122" i="26"/>
  <c r="M122" i="26"/>
  <c r="N122" i="26"/>
  <c r="P122" i="26"/>
  <c r="B123" i="26"/>
  <c r="C123" i="26"/>
  <c r="D123" i="26"/>
  <c r="H123" i="26"/>
  <c r="I123" i="26"/>
  <c r="V123" i="26" s="1"/>
  <c r="K123" i="26"/>
  <c r="L123" i="26"/>
  <c r="M123" i="26"/>
  <c r="N123" i="26"/>
  <c r="P123" i="26"/>
  <c r="B124" i="26"/>
  <c r="C124" i="26"/>
  <c r="D124" i="26"/>
  <c r="I124" i="26" s="1"/>
  <c r="V124" i="26" s="1"/>
  <c r="K124" i="26"/>
  <c r="L124" i="26"/>
  <c r="M124" i="26"/>
  <c r="N124" i="26"/>
  <c r="P124" i="26"/>
  <c r="B125" i="26"/>
  <c r="C125" i="26"/>
  <c r="D125" i="26"/>
  <c r="I125" i="26"/>
  <c r="V125" i="26" s="1"/>
  <c r="K125" i="26"/>
  <c r="L125" i="26"/>
  <c r="M125" i="26"/>
  <c r="N125" i="26"/>
  <c r="P125" i="26"/>
  <c r="B126" i="26"/>
  <c r="C126" i="26"/>
  <c r="D126" i="26"/>
  <c r="I126" i="26"/>
  <c r="V126" i="26" s="1"/>
  <c r="K126" i="26"/>
  <c r="L126" i="26"/>
  <c r="M126" i="26"/>
  <c r="N126" i="26"/>
  <c r="P126" i="26"/>
  <c r="B127" i="26"/>
  <c r="C127" i="26"/>
  <c r="D127" i="26"/>
  <c r="I127" i="26" s="1"/>
  <c r="V127" i="26" s="1"/>
  <c r="K127" i="26"/>
  <c r="L127" i="26"/>
  <c r="M127" i="26"/>
  <c r="N127" i="26"/>
  <c r="P127" i="26"/>
  <c r="B128" i="26"/>
  <c r="C128" i="26"/>
  <c r="D128" i="26"/>
  <c r="I128" i="26" s="1"/>
  <c r="V128" i="26" s="1"/>
  <c r="K128" i="26"/>
  <c r="L128" i="26"/>
  <c r="M128" i="26"/>
  <c r="N128" i="26"/>
  <c r="P128" i="26"/>
  <c r="B129" i="26"/>
  <c r="C129" i="26"/>
  <c r="D129" i="26"/>
  <c r="I129" i="26" s="1"/>
  <c r="V129" i="26" s="1"/>
  <c r="K129" i="26"/>
  <c r="L129" i="26"/>
  <c r="M129" i="26"/>
  <c r="N129" i="26"/>
  <c r="P129" i="26"/>
  <c r="B130" i="26"/>
  <c r="C130" i="26"/>
  <c r="D130" i="26"/>
  <c r="I130" i="26" s="1"/>
  <c r="V130" i="26" s="1"/>
  <c r="K130" i="26"/>
  <c r="L130" i="26"/>
  <c r="M130" i="26"/>
  <c r="N130" i="26"/>
  <c r="P130" i="26"/>
  <c r="B131" i="26"/>
  <c r="C131" i="26"/>
  <c r="D131" i="26"/>
  <c r="I131" i="26"/>
  <c r="K131" i="26"/>
  <c r="L131" i="26"/>
  <c r="M131" i="26"/>
  <c r="N131" i="26"/>
  <c r="P131" i="26"/>
  <c r="V131" i="26"/>
  <c r="B132" i="26"/>
  <c r="C132" i="26"/>
  <c r="D132" i="26"/>
  <c r="I132" i="26" s="1"/>
  <c r="V132" i="26" s="1"/>
  <c r="K132" i="26"/>
  <c r="L132" i="26"/>
  <c r="M132" i="26"/>
  <c r="N132" i="26"/>
  <c r="P132" i="26"/>
  <c r="B133" i="26"/>
  <c r="C133" i="26"/>
  <c r="D133" i="26"/>
  <c r="I133" i="26" s="1"/>
  <c r="V133" i="26" s="1"/>
  <c r="K133" i="26"/>
  <c r="L133" i="26"/>
  <c r="M133" i="26"/>
  <c r="N133" i="26"/>
  <c r="P133" i="26"/>
  <c r="B134" i="26"/>
  <c r="C134" i="26"/>
  <c r="D134" i="26"/>
  <c r="I134" i="26" s="1"/>
  <c r="V134" i="26" s="1"/>
  <c r="K134" i="26"/>
  <c r="L134" i="26"/>
  <c r="M134" i="26"/>
  <c r="N134" i="26"/>
  <c r="P134" i="26"/>
  <c r="B135" i="26"/>
  <c r="C135" i="26"/>
  <c r="D135" i="26"/>
  <c r="H135" i="26"/>
  <c r="U135" i="26" s="1"/>
  <c r="I135" i="26"/>
  <c r="V135" i="26" s="1"/>
  <c r="K135" i="26"/>
  <c r="L135" i="26"/>
  <c r="M135" i="26"/>
  <c r="N135" i="26"/>
  <c r="P135" i="26"/>
  <c r="B136" i="26"/>
  <c r="C136" i="26"/>
  <c r="D136" i="26"/>
  <c r="I136" i="26" s="1"/>
  <c r="V136" i="26" s="1"/>
  <c r="K136" i="26"/>
  <c r="L136" i="26"/>
  <c r="M136" i="26"/>
  <c r="N136" i="26"/>
  <c r="P136" i="26"/>
  <c r="B137" i="26"/>
  <c r="C137" i="26"/>
  <c r="D137" i="26"/>
  <c r="I137" i="26" s="1"/>
  <c r="K137" i="26"/>
  <c r="L137" i="26"/>
  <c r="M137" i="26"/>
  <c r="N137" i="26"/>
  <c r="P137" i="26"/>
  <c r="V137" i="26"/>
  <c r="B138" i="26"/>
  <c r="C138" i="26"/>
  <c r="D138" i="26"/>
  <c r="I138" i="26" s="1"/>
  <c r="V138" i="26" s="1"/>
  <c r="K138" i="26"/>
  <c r="L138" i="26"/>
  <c r="M138" i="26"/>
  <c r="N138" i="26"/>
  <c r="P138" i="26"/>
  <c r="B139" i="26"/>
  <c r="C139" i="26"/>
  <c r="H139" i="26" s="1"/>
  <c r="D139" i="26"/>
  <c r="I139" i="26"/>
  <c r="K139" i="26"/>
  <c r="L139" i="26"/>
  <c r="M139" i="26"/>
  <c r="N139" i="26"/>
  <c r="P139" i="26"/>
  <c r="V139" i="26"/>
  <c r="B140" i="26"/>
  <c r="C140" i="26"/>
  <c r="D140" i="26"/>
  <c r="I140" i="26"/>
  <c r="V140" i="26" s="1"/>
  <c r="K140" i="26"/>
  <c r="L140" i="26"/>
  <c r="M140" i="26"/>
  <c r="N140" i="26"/>
  <c r="P140" i="26"/>
  <c r="B141" i="26"/>
  <c r="C141" i="26"/>
  <c r="H141" i="26" s="1"/>
  <c r="D141" i="26"/>
  <c r="G141" i="26"/>
  <c r="I141" i="26"/>
  <c r="K141" i="26"/>
  <c r="L141" i="26"/>
  <c r="M141" i="26"/>
  <c r="N141" i="26"/>
  <c r="P141" i="26"/>
  <c r="V141" i="26"/>
  <c r="B142" i="26"/>
  <c r="C142" i="26"/>
  <c r="D142" i="26"/>
  <c r="I142" i="26" s="1"/>
  <c r="V142" i="26" s="1"/>
  <c r="K142" i="26"/>
  <c r="L142" i="26"/>
  <c r="M142" i="26"/>
  <c r="N142" i="26"/>
  <c r="P142" i="26"/>
  <c r="B143" i="26"/>
  <c r="C143" i="26"/>
  <c r="D143" i="26"/>
  <c r="I143" i="26" s="1"/>
  <c r="V143" i="26" s="1"/>
  <c r="K143" i="26"/>
  <c r="L143" i="26"/>
  <c r="M143" i="26"/>
  <c r="N143" i="26"/>
  <c r="P143" i="26"/>
  <c r="B144" i="26"/>
  <c r="C144" i="26"/>
  <c r="D144" i="26"/>
  <c r="I144" i="26"/>
  <c r="V144" i="26" s="1"/>
  <c r="K144" i="26"/>
  <c r="L144" i="26"/>
  <c r="M144" i="26"/>
  <c r="N144" i="26"/>
  <c r="P144" i="26"/>
  <c r="B145" i="26"/>
  <c r="C145" i="26"/>
  <c r="D145" i="26"/>
  <c r="I145" i="26" s="1"/>
  <c r="V145" i="26" s="1"/>
  <c r="K145" i="26"/>
  <c r="L145" i="26"/>
  <c r="M145" i="26"/>
  <c r="N145" i="26"/>
  <c r="P145" i="26"/>
  <c r="B146" i="26"/>
  <c r="C146" i="26"/>
  <c r="D146" i="26"/>
  <c r="I146" i="26" s="1"/>
  <c r="V146" i="26" s="1"/>
  <c r="K146" i="26"/>
  <c r="L146" i="26"/>
  <c r="M146" i="26"/>
  <c r="N146" i="26"/>
  <c r="P146" i="26"/>
  <c r="B147" i="26"/>
  <c r="C147" i="26"/>
  <c r="D147" i="26"/>
  <c r="I147" i="26"/>
  <c r="K147" i="26"/>
  <c r="L147" i="26"/>
  <c r="M147" i="26"/>
  <c r="N147" i="26"/>
  <c r="P147" i="26"/>
  <c r="V147" i="26"/>
  <c r="B148" i="26"/>
  <c r="C148" i="26"/>
  <c r="D148" i="26"/>
  <c r="I148" i="26" s="1"/>
  <c r="V148" i="26" s="1"/>
  <c r="K148" i="26"/>
  <c r="L148" i="26"/>
  <c r="M148" i="26"/>
  <c r="N148" i="26"/>
  <c r="P148" i="26"/>
  <c r="B149" i="26"/>
  <c r="C149" i="26"/>
  <c r="D149" i="26"/>
  <c r="I149" i="26"/>
  <c r="V149" i="26" s="1"/>
  <c r="K149" i="26"/>
  <c r="L149" i="26"/>
  <c r="M149" i="26"/>
  <c r="N149" i="26"/>
  <c r="P149" i="26"/>
  <c r="B150" i="26"/>
  <c r="C150" i="26"/>
  <c r="H150" i="26" s="1"/>
  <c r="D150" i="26"/>
  <c r="I150" i="26"/>
  <c r="K150" i="26"/>
  <c r="L150" i="26"/>
  <c r="M150" i="26"/>
  <c r="N150" i="26"/>
  <c r="P150" i="26"/>
  <c r="V150" i="26"/>
  <c r="B151" i="26"/>
  <c r="C151" i="26"/>
  <c r="D151" i="26"/>
  <c r="I151" i="26"/>
  <c r="V151" i="26" s="1"/>
  <c r="K151" i="26"/>
  <c r="L151" i="26"/>
  <c r="M151" i="26"/>
  <c r="N151" i="26"/>
  <c r="P151" i="26"/>
  <c r="B152" i="26"/>
  <c r="C152" i="26"/>
  <c r="D152" i="26"/>
  <c r="I152" i="26" s="1"/>
  <c r="V152" i="26" s="1"/>
  <c r="K152" i="26"/>
  <c r="L152" i="26"/>
  <c r="M152" i="26"/>
  <c r="N152" i="26"/>
  <c r="P152" i="26"/>
  <c r="B153" i="26"/>
  <c r="C153" i="26"/>
  <c r="D153" i="26"/>
  <c r="I153" i="26" s="1"/>
  <c r="V153" i="26" s="1"/>
  <c r="K153" i="26"/>
  <c r="L153" i="26"/>
  <c r="M153" i="26"/>
  <c r="N153" i="26"/>
  <c r="P153" i="26"/>
  <c r="B154" i="26"/>
  <c r="C154" i="26"/>
  <c r="D154" i="26"/>
  <c r="I154" i="26" s="1"/>
  <c r="V154" i="26" s="1"/>
  <c r="K154" i="26"/>
  <c r="L154" i="26"/>
  <c r="M154" i="26"/>
  <c r="N154" i="26"/>
  <c r="P154" i="26"/>
  <c r="B155" i="26"/>
  <c r="C155" i="26"/>
  <c r="D155" i="26"/>
  <c r="I155" i="26" s="1"/>
  <c r="V155" i="26" s="1"/>
  <c r="K155" i="26"/>
  <c r="L155" i="26"/>
  <c r="M155" i="26"/>
  <c r="N155" i="26"/>
  <c r="P155" i="26"/>
  <c r="B156" i="26"/>
  <c r="C156" i="26"/>
  <c r="D156" i="26"/>
  <c r="I156" i="26"/>
  <c r="V156" i="26" s="1"/>
  <c r="K156" i="26"/>
  <c r="L156" i="26"/>
  <c r="M156" i="26"/>
  <c r="N156" i="26"/>
  <c r="P156" i="26"/>
  <c r="B157" i="26"/>
  <c r="C157" i="26"/>
  <c r="D157" i="26"/>
  <c r="I157" i="26" s="1"/>
  <c r="V157" i="26" s="1"/>
  <c r="K157" i="26"/>
  <c r="L157" i="26"/>
  <c r="M157" i="26"/>
  <c r="N157" i="26"/>
  <c r="P157" i="26"/>
  <c r="B158" i="26"/>
  <c r="C158" i="26"/>
  <c r="D158" i="26"/>
  <c r="I158" i="26"/>
  <c r="V158" i="26" s="1"/>
  <c r="K158" i="26"/>
  <c r="L158" i="26"/>
  <c r="M158" i="26"/>
  <c r="N158" i="26"/>
  <c r="P158" i="26"/>
  <c r="B159" i="26"/>
  <c r="C159" i="26"/>
  <c r="H159" i="26" s="1"/>
  <c r="U159" i="26" s="1"/>
  <c r="D159" i="26"/>
  <c r="I159" i="26" s="1"/>
  <c r="V159" i="26" s="1"/>
  <c r="K159" i="26"/>
  <c r="L159" i="26"/>
  <c r="M159" i="26"/>
  <c r="N159" i="26"/>
  <c r="P159" i="26"/>
  <c r="B160" i="26"/>
  <c r="C160" i="26"/>
  <c r="H160" i="26" s="1"/>
  <c r="D160" i="26"/>
  <c r="I160" i="26"/>
  <c r="V160" i="26" s="1"/>
  <c r="K160" i="26"/>
  <c r="L160" i="26"/>
  <c r="M160" i="26"/>
  <c r="N160" i="26"/>
  <c r="P160" i="26"/>
  <c r="B161" i="26"/>
  <c r="C161" i="26"/>
  <c r="D161" i="26"/>
  <c r="I161" i="26" s="1"/>
  <c r="V161" i="26" s="1"/>
  <c r="K161" i="26"/>
  <c r="L161" i="26"/>
  <c r="M161" i="26"/>
  <c r="N161" i="26"/>
  <c r="P161" i="26"/>
  <c r="B162" i="26"/>
  <c r="C162" i="26"/>
  <c r="D162" i="26"/>
  <c r="I162" i="26"/>
  <c r="V162" i="26" s="1"/>
  <c r="K162" i="26"/>
  <c r="L162" i="26"/>
  <c r="M162" i="26"/>
  <c r="N162" i="26"/>
  <c r="P162" i="26"/>
  <c r="B163" i="26"/>
  <c r="C163" i="26"/>
  <c r="D163" i="26"/>
  <c r="I163" i="26" s="1"/>
  <c r="V163" i="26" s="1"/>
  <c r="K163" i="26"/>
  <c r="L163" i="26"/>
  <c r="M163" i="26"/>
  <c r="N163" i="26"/>
  <c r="P163" i="26"/>
  <c r="B164" i="26"/>
  <c r="C164" i="26"/>
  <c r="D164" i="26"/>
  <c r="I164" i="26" s="1"/>
  <c r="V164" i="26" s="1"/>
  <c r="K164" i="26"/>
  <c r="L164" i="26"/>
  <c r="M164" i="26"/>
  <c r="N164" i="26"/>
  <c r="P164" i="26"/>
  <c r="B165" i="26"/>
  <c r="C165" i="26"/>
  <c r="D165" i="26"/>
  <c r="I165" i="26"/>
  <c r="V165" i="26" s="1"/>
  <c r="K165" i="26"/>
  <c r="L165" i="26"/>
  <c r="M165" i="26"/>
  <c r="N165" i="26"/>
  <c r="P165" i="26"/>
  <c r="B166" i="26"/>
  <c r="C166" i="26"/>
  <c r="D166" i="26"/>
  <c r="I166" i="26" s="1"/>
  <c r="V166" i="26" s="1"/>
  <c r="K166" i="26"/>
  <c r="L166" i="26"/>
  <c r="M166" i="26"/>
  <c r="N166" i="26"/>
  <c r="P166" i="26"/>
  <c r="B167" i="26"/>
  <c r="C167" i="26"/>
  <c r="D167" i="26"/>
  <c r="I167" i="26"/>
  <c r="V167" i="26" s="1"/>
  <c r="K167" i="26"/>
  <c r="L167" i="26"/>
  <c r="M167" i="26"/>
  <c r="N167" i="26"/>
  <c r="P167" i="26"/>
  <c r="B168" i="26"/>
  <c r="C168" i="26"/>
  <c r="D168" i="26"/>
  <c r="H168" i="26"/>
  <c r="I168" i="26"/>
  <c r="V168" i="26" s="1"/>
  <c r="K168" i="26"/>
  <c r="L168" i="26"/>
  <c r="M168" i="26"/>
  <c r="N168" i="26"/>
  <c r="P168" i="26"/>
  <c r="B169" i="26"/>
  <c r="C169" i="26"/>
  <c r="D169" i="26"/>
  <c r="I169" i="26" s="1"/>
  <c r="V169" i="26" s="1"/>
  <c r="K169" i="26"/>
  <c r="L169" i="26"/>
  <c r="M169" i="26"/>
  <c r="N169" i="26"/>
  <c r="P169" i="26"/>
  <c r="B170" i="26"/>
  <c r="C170" i="26"/>
  <c r="D170" i="26"/>
  <c r="I170" i="26" s="1"/>
  <c r="K170" i="26"/>
  <c r="L170" i="26"/>
  <c r="M170" i="26"/>
  <c r="N170" i="26"/>
  <c r="P170" i="26"/>
  <c r="V170" i="26"/>
  <c r="B171" i="26"/>
  <c r="C171" i="26"/>
  <c r="H171" i="26" s="1"/>
  <c r="D171" i="26"/>
  <c r="I171" i="26" s="1"/>
  <c r="V171" i="26" s="1"/>
  <c r="K171" i="26"/>
  <c r="L171" i="26"/>
  <c r="M171" i="26"/>
  <c r="N171" i="26"/>
  <c r="P171" i="26"/>
  <c r="B172" i="26"/>
  <c r="C172" i="26"/>
  <c r="D172" i="26"/>
  <c r="I172" i="26"/>
  <c r="V172" i="26" s="1"/>
  <c r="K172" i="26"/>
  <c r="L172" i="26"/>
  <c r="M172" i="26"/>
  <c r="N172" i="26"/>
  <c r="P172" i="26"/>
  <c r="B173" i="26"/>
  <c r="C173" i="26"/>
  <c r="D173" i="26"/>
  <c r="I173" i="26" s="1"/>
  <c r="V173" i="26" s="1"/>
  <c r="K173" i="26"/>
  <c r="L173" i="26"/>
  <c r="M173" i="26"/>
  <c r="N173" i="26"/>
  <c r="P173" i="26"/>
  <c r="B174" i="26"/>
  <c r="C174" i="26"/>
  <c r="D174" i="26"/>
  <c r="I174" i="26"/>
  <c r="K174" i="26"/>
  <c r="L174" i="26"/>
  <c r="M174" i="26"/>
  <c r="N174" i="26"/>
  <c r="P174" i="26"/>
  <c r="V174" i="26"/>
  <c r="B175" i="26"/>
  <c r="C175" i="26"/>
  <c r="D175" i="26"/>
  <c r="I175" i="26" s="1"/>
  <c r="V175" i="26" s="1"/>
  <c r="K175" i="26"/>
  <c r="L175" i="26"/>
  <c r="M175" i="26"/>
  <c r="N175" i="26"/>
  <c r="P175" i="26"/>
  <c r="B176" i="26"/>
  <c r="C176" i="26"/>
  <c r="D176" i="26"/>
  <c r="I176" i="26" s="1"/>
  <c r="V176" i="26" s="1"/>
  <c r="K176" i="26"/>
  <c r="L176" i="26"/>
  <c r="M176" i="26"/>
  <c r="N176" i="26"/>
  <c r="P176" i="26"/>
  <c r="B177" i="26"/>
  <c r="C177" i="26"/>
  <c r="D177" i="26"/>
  <c r="I177" i="26" s="1"/>
  <c r="V177" i="26" s="1"/>
  <c r="K177" i="26"/>
  <c r="L177" i="26"/>
  <c r="M177" i="26"/>
  <c r="N177" i="26"/>
  <c r="P177" i="26"/>
  <c r="B178" i="26"/>
  <c r="C178" i="26"/>
  <c r="D178" i="26"/>
  <c r="I178" i="26" s="1"/>
  <c r="V178" i="26" s="1"/>
  <c r="K178" i="26"/>
  <c r="L178" i="26"/>
  <c r="M178" i="26"/>
  <c r="N178" i="26"/>
  <c r="P178" i="26"/>
  <c r="B179" i="26"/>
  <c r="C179" i="26"/>
  <c r="D179" i="26"/>
  <c r="I179" i="26" s="1"/>
  <c r="K179" i="26"/>
  <c r="L179" i="26"/>
  <c r="M179" i="26"/>
  <c r="N179" i="26"/>
  <c r="P179" i="26"/>
  <c r="V179" i="26"/>
  <c r="B180" i="26"/>
  <c r="C180" i="26"/>
  <c r="D180" i="26"/>
  <c r="I180" i="26" s="1"/>
  <c r="V180" i="26" s="1"/>
  <c r="K180" i="26"/>
  <c r="L180" i="26"/>
  <c r="M180" i="26"/>
  <c r="N180" i="26"/>
  <c r="P180" i="26"/>
  <c r="B181" i="26"/>
  <c r="C181" i="26"/>
  <c r="D181" i="26"/>
  <c r="H181" i="26"/>
  <c r="J181" i="26" s="1"/>
  <c r="I181" i="26"/>
  <c r="V181" i="26" s="1"/>
  <c r="K181" i="26"/>
  <c r="L181" i="26"/>
  <c r="M181" i="26"/>
  <c r="N181" i="26"/>
  <c r="P181" i="26"/>
  <c r="B182" i="26"/>
  <c r="C182" i="26"/>
  <c r="H182" i="26" s="1"/>
  <c r="D182" i="26"/>
  <c r="I182" i="26" s="1"/>
  <c r="V182" i="26" s="1"/>
  <c r="K182" i="26"/>
  <c r="L182" i="26"/>
  <c r="M182" i="26"/>
  <c r="N182" i="26"/>
  <c r="P182" i="26"/>
  <c r="B183" i="26"/>
  <c r="C183" i="26"/>
  <c r="D183" i="26"/>
  <c r="I183" i="26" s="1"/>
  <c r="V183" i="26" s="1"/>
  <c r="K183" i="26"/>
  <c r="L183" i="26"/>
  <c r="M183" i="26"/>
  <c r="N183" i="26"/>
  <c r="P183" i="26"/>
  <c r="B184" i="26"/>
  <c r="C184" i="26"/>
  <c r="D184" i="26"/>
  <c r="I184" i="26"/>
  <c r="V184" i="26" s="1"/>
  <c r="K184" i="26"/>
  <c r="L184" i="26"/>
  <c r="M184" i="26"/>
  <c r="N184" i="26"/>
  <c r="P184" i="26"/>
  <c r="B185" i="26"/>
  <c r="C185" i="26"/>
  <c r="D185" i="26"/>
  <c r="I185" i="26" s="1"/>
  <c r="V185" i="26" s="1"/>
  <c r="K185" i="26"/>
  <c r="L185" i="26"/>
  <c r="M185" i="26"/>
  <c r="N185" i="26"/>
  <c r="P185" i="26"/>
  <c r="B186" i="26"/>
  <c r="C186" i="26"/>
  <c r="D186" i="26"/>
  <c r="I186" i="26"/>
  <c r="K186" i="26"/>
  <c r="L186" i="26"/>
  <c r="M186" i="26"/>
  <c r="N186" i="26"/>
  <c r="P186" i="26"/>
  <c r="V186" i="26"/>
  <c r="B187" i="26"/>
  <c r="C187" i="26"/>
  <c r="D187" i="26"/>
  <c r="I187" i="26"/>
  <c r="V187" i="26" s="1"/>
  <c r="K187" i="26"/>
  <c r="L187" i="26"/>
  <c r="M187" i="26"/>
  <c r="N187" i="26"/>
  <c r="P187" i="26"/>
  <c r="B188" i="26"/>
  <c r="C188" i="26"/>
  <c r="D188" i="26"/>
  <c r="I188" i="26" s="1"/>
  <c r="V188" i="26" s="1"/>
  <c r="K188" i="26"/>
  <c r="L188" i="26"/>
  <c r="M188" i="26"/>
  <c r="N188" i="26"/>
  <c r="P188" i="26"/>
  <c r="B189" i="26"/>
  <c r="C189" i="26"/>
  <c r="D189" i="26"/>
  <c r="I189" i="26"/>
  <c r="V189" i="26" s="1"/>
  <c r="K189" i="26"/>
  <c r="L189" i="26"/>
  <c r="M189" i="26"/>
  <c r="N189" i="26"/>
  <c r="P189" i="26"/>
  <c r="B190" i="26"/>
  <c r="C190" i="26"/>
  <c r="D190" i="26"/>
  <c r="I190" i="26" s="1"/>
  <c r="V190" i="26" s="1"/>
  <c r="K190" i="26"/>
  <c r="L190" i="26"/>
  <c r="M190" i="26"/>
  <c r="N190" i="26"/>
  <c r="P190" i="26"/>
  <c r="B191" i="26"/>
  <c r="C191" i="26"/>
  <c r="D191" i="26"/>
  <c r="I191" i="26" s="1"/>
  <c r="V191" i="26" s="1"/>
  <c r="K191" i="26"/>
  <c r="L191" i="26"/>
  <c r="M191" i="26"/>
  <c r="N191" i="26"/>
  <c r="P191" i="26"/>
  <c r="B192" i="26"/>
  <c r="C192" i="26"/>
  <c r="D192" i="26"/>
  <c r="I192" i="26" s="1"/>
  <c r="V192" i="26" s="1"/>
  <c r="H192" i="26"/>
  <c r="J192" i="26" s="1"/>
  <c r="K192" i="26"/>
  <c r="L192" i="26"/>
  <c r="M192" i="26"/>
  <c r="N192" i="26"/>
  <c r="P192" i="26"/>
  <c r="B193" i="26"/>
  <c r="C193" i="26"/>
  <c r="D193" i="26"/>
  <c r="I193" i="26" s="1"/>
  <c r="V193" i="26" s="1"/>
  <c r="K193" i="26"/>
  <c r="L193" i="26"/>
  <c r="M193" i="26"/>
  <c r="N193" i="26"/>
  <c r="P193" i="26"/>
  <c r="B194" i="26"/>
  <c r="C194" i="26"/>
  <c r="D194" i="26"/>
  <c r="I194" i="26" s="1"/>
  <c r="V194" i="26" s="1"/>
  <c r="K194" i="26"/>
  <c r="L194" i="26"/>
  <c r="M194" i="26"/>
  <c r="N194" i="26"/>
  <c r="P194" i="26"/>
  <c r="B195" i="26"/>
  <c r="C195" i="26"/>
  <c r="D195" i="26"/>
  <c r="I195" i="26"/>
  <c r="K195" i="26"/>
  <c r="L195" i="26"/>
  <c r="M195" i="26"/>
  <c r="N195" i="26"/>
  <c r="P195" i="26"/>
  <c r="V195" i="26"/>
  <c r="B196" i="26"/>
  <c r="C196" i="26"/>
  <c r="D196" i="26"/>
  <c r="I196" i="26" s="1"/>
  <c r="V196" i="26" s="1"/>
  <c r="K196" i="26"/>
  <c r="L196" i="26"/>
  <c r="M196" i="26"/>
  <c r="N196" i="26"/>
  <c r="P196" i="26"/>
  <c r="B197" i="26"/>
  <c r="C197" i="26"/>
  <c r="D197" i="26"/>
  <c r="I197" i="26"/>
  <c r="V197" i="26" s="1"/>
  <c r="K197" i="26"/>
  <c r="L197" i="26"/>
  <c r="M197" i="26"/>
  <c r="N197" i="26"/>
  <c r="P197" i="26"/>
  <c r="B198" i="26"/>
  <c r="C198" i="26"/>
  <c r="D198" i="26"/>
  <c r="I198" i="26" s="1"/>
  <c r="V198" i="26" s="1"/>
  <c r="K198" i="26"/>
  <c r="L198" i="26"/>
  <c r="M198" i="26"/>
  <c r="N198" i="26"/>
  <c r="P198" i="26"/>
  <c r="B199" i="26"/>
  <c r="C199" i="26"/>
  <c r="D199" i="26"/>
  <c r="I199" i="26"/>
  <c r="V199" i="26" s="1"/>
  <c r="K199" i="26"/>
  <c r="L199" i="26"/>
  <c r="M199" i="26"/>
  <c r="N199" i="26"/>
  <c r="P199" i="26"/>
  <c r="B200" i="26"/>
  <c r="C200" i="26"/>
  <c r="D200" i="26"/>
  <c r="I200" i="26" s="1"/>
  <c r="K200" i="26"/>
  <c r="L200" i="26"/>
  <c r="M200" i="26"/>
  <c r="N200" i="26"/>
  <c r="P200" i="26"/>
  <c r="V200" i="26"/>
  <c r="B201" i="26"/>
  <c r="C201" i="26"/>
  <c r="D201" i="26"/>
  <c r="I201" i="26" s="1"/>
  <c r="V201" i="26" s="1"/>
  <c r="K201" i="26"/>
  <c r="L201" i="26"/>
  <c r="M201" i="26"/>
  <c r="N201" i="26"/>
  <c r="P201" i="26"/>
  <c r="B202" i="26"/>
  <c r="C202" i="26"/>
  <c r="H202" i="26" s="1"/>
  <c r="D202" i="26"/>
  <c r="I202" i="26" s="1"/>
  <c r="V202" i="26" s="1"/>
  <c r="K202" i="26"/>
  <c r="L202" i="26"/>
  <c r="M202" i="26"/>
  <c r="N202" i="26"/>
  <c r="P202" i="26"/>
  <c r="B203" i="26"/>
  <c r="C203" i="26"/>
  <c r="D203" i="26"/>
  <c r="I203" i="26"/>
  <c r="V203" i="26" s="1"/>
  <c r="K203" i="26"/>
  <c r="L203" i="26"/>
  <c r="M203" i="26"/>
  <c r="N203" i="26"/>
  <c r="P203" i="26"/>
  <c r="B204" i="26"/>
  <c r="C204" i="26"/>
  <c r="D204" i="26"/>
  <c r="I204" i="26"/>
  <c r="V204" i="26" s="1"/>
  <c r="K204" i="26"/>
  <c r="L204" i="26"/>
  <c r="M204" i="26"/>
  <c r="N204" i="26"/>
  <c r="P204" i="26"/>
  <c r="B205" i="26"/>
  <c r="C205" i="26"/>
  <c r="H205" i="26" s="1"/>
  <c r="D205" i="26"/>
  <c r="I205" i="26"/>
  <c r="V205" i="26" s="1"/>
  <c r="K205" i="26"/>
  <c r="L205" i="26"/>
  <c r="M205" i="26"/>
  <c r="N205" i="26"/>
  <c r="P205" i="26"/>
  <c r="B206" i="26"/>
  <c r="C206" i="26"/>
  <c r="H206" i="26" s="1"/>
  <c r="D206" i="26"/>
  <c r="I206" i="26"/>
  <c r="V206" i="26" s="1"/>
  <c r="K206" i="26"/>
  <c r="L206" i="26"/>
  <c r="M206" i="26"/>
  <c r="N206" i="26"/>
  <c r="P206" i="26"/>
  <c r="B207" i="26"/>
  <c r="C207" i="26"/>
  <c r="H207" i="26" s="1"/>
  <c r="D207" i="26"/>
  <c r="I207" i="26" s="1"/>
  <c r="V207" i="26" s="1"/>
  <c r="K207" i="26"/>
  <c r="L207" i="26"/>
  <c r="M207" i="26"/>
  <c r="N207" i="26"/>
  <c r="P207" i="26"/>
  <c r="B208" i="26"/>
  <c r="C208" i="26"/>
  <c r="D208" i="26"/>
  <c r="I208" i="26" s="1"/>
  <c r="V208" i="26" s="1"/>
  <c r="K208" i="26"/>
  <c r="L208" i="26"/>
  <c r="M208" i="26"/>
  <c r="N208" i="26"/>
  <c r="P208" i="26"/>
  <c r="B209" i="26"/>
  <c r="C209" i="26"/>
  <c r="D209" i="26"/>
  <c r="I209" i="26" s="1"/>
  <c r="V209" i="26" s="1"/>
  <c r="K209" i="26"/>
  <c r="L209" i="26"/>
  <c r="M209" i="26"/>
  <c r="N209" i="26"/>
  <c r="P209" i="26"/>
  <c r="B210" i="26"/>
  <c r="C210" i="26"/>
  <c r="D210" i="26"/>
  <c r="I210" i="26"/>
  <c r="V210" i="26" s="1"/>
  <c r="K210" i="26"/>
  <c r="L210" i="26"/>
  <c r="M210" i="26"/>
  <c r="N210" i="26"/>
  <c r="P210" i="26"/>
  <c r="B211" i="26"/>
  <c r="C211" i="26"/>
  <c r="D211" i="26"/>
  <c r="I211" i="26"/>
  <c r="V211" i="26" s="1"/>
  <c r="K211" i="26"/>
  <c r="L211" i="26"/>
  <c r="M211" i="26"/>
  <c r="N211" i="26"/>
  <c r="P211" i="26"/>
  <c r="B212" i="26"/>
  <c r="C212" i="26"/>
  <c r="D212" i="26"/>
  <c r="I212" i="26" s="1"/>
  <c r="V212" i="26" s="1"/>
  <c r="K212" i="26"/>
  <c r="L212" i="26"/>
  <c r="M212" i="26"/>
  <c r="N212" i="26"/>
  <c r="P212" i="26"/>
  <c r="B213" i="26"/>
  <c r="C213" i="26"/>
  <c r="D213" i="26"/>
  <c r="I213" i="26"/>
  <c r="K213" i="26"/>
  <c r="L213" i="26"/>
  <c r="M213" i="26"/>
  <c r="N213" i="26"/>
  <c r="P213" i="26"/>
  <c r="V213" i="26"/>
  <c r="B214" i="26"/>
  <c r="C214" i="26"/>
  <c r="D214" i="26"/>
  <c r="I214" i="26" s="1"/>
  <c r="V214" i="26" s="1"/>
  <c r="K214" i="26"/>
  <c r="L214" i="26"/>
  <c r="M214" i="26"/>
  <c r="N214" i="26"/>
  <c r="P214" i="26"/>
  <c r="B215" i="26"/>
  <c r="C215" i="26"/>
  <c r="D215" i="26"/>
  <c r="I215" i="26"/>
  <c r="V215" i="26" s="1"/>
  <c r="K215" i="26"/>
  <c r="L215" i="26"/>
  <c r="M215" i="26"/>
  <c r="N215" i="26"/>
  <c r="P215" i="26"/>
  <c r="B216" i="26"/>
  <c r="C216" i="26"/>
  <c r="D216" i="26"/>
  <c r="I216" i="26" s="1"/>
  <c r="V216" i="26" s="1"/>
  <c r="K216" i="26"/>
  <c r="L216" i="26"/>
  <c r="M216" i="26"/>
  <c r="N216" i="26"/>
  <c r="P216" i="26"/>
  <c r="B217" i="26"/>
  <c r="C217" i="26"/>
  <c r="D217" i="26"/>
  <c r="I217" i="26" s="1"/>
  <c r="V217" i="26" s="1"/>
  <c r="K217" i="26"/>
  <c r="L217" i="26"/>
  <c r="M217" i="26"/>
  <c r="N217" i="26"/>
  <c r="P217" i="26"/>
  <c r="B218" i="26"/>
  <c r="C218" i="26"/>
  <c r="D218" i="26"/>
  <c r="I218" i="26"/>
  <c r="V218" i="26" s="1"/>
  <c r="K218" i="26"/>
  <c r="L218" i="26"/>
  <c r="M218" i="26"/>
  <c r="N218" i="26"/>
  <c r="P218" i="26"/>
  <c r="B219" i="26"/>
  <c r="C219" i="26"/>
  <c r="D219" i="26"/>
  <c r="I219" i="26" s="1"/>
  <c r="V219" i="26" s="1"/>
  <c r="K219" i="26"/>
  <c r="L219" i="26"/>
  <c r="M219" i="26"/>
  <c r="N219" i="26"/>
  <c r="P219" i="26"/>
  <c r="B220" i="26"/>
  <c r="C220" i="26"/>
  <c r="D220" i="26"/>
  <c r="I220" i="26" s="1"/>
  <c r="V220" i="26" s="1"/>
  <c r="K220" i="26"/>
  <c r="L220" i="26"/>
  <c r="M220" i="26"/>
  <c r="N220" i="26"/>
  <c r="P220" i="26"/>
  <c r="B221" i="26"/>
  <c r="C221" i="26"/>
  <c r="D221" i="26"/>
  <c r="I221" i="26"/>
  <c r="V221" i="26" s="1"/>
  <c r="K221" i="26"/>
  <c r="L221" i="26"/>
  <c r="M221" i="26"/>
  <c r="N221" i="26"/>
  <c r="P221" i="26"/>
  <c r="B222" i="26"/>
  <c r="C222" i="26"/>
  <c r="D222" i="26"/>
  <c r="I222" i="26"/>
  <c r="K222" i="26"/>
  <c r="L222" i="26"/>
  <c r="M222" i="26"/>
  <c r="N222" i="26"/>
  <c r="P222" i="26"/>
  <c r="V222" i="26"/>
  <c r="B223" i="26"/>
  <c r="C223" i="26"/>
  <c r="H223" i="26" s="1"/>
  <c r="D223" i="26"/>
  <c r="I223" i="26" s="1"/>
  <c r="V223" i="26" s="1"/>
  <c r="K223" i="26"/>
  <c r="L223" i="26"/>
  <c r="M223" i="26"/>
  <c r="N223" i="26"/>
  <c r="P223" i="26"/>
  <c r="B224" i="26"/>
  <c r="C224" i="26"/>
  <c r="D224" i="26"/>
  <c r="I224" i="26" s="1"/>
  <c r="V224" i="26" s="1"/>
  <c r="K224" i="26"/>
  <c r="L224" i="26"/>
  <c r="M224" i="26"/>
  <c r="N224" i="26"/>
  <c r="P224" i="26"/>
  <c r="B225" i="26"/>
  <c r="C225" i="26"/>
  <c r="D225" i="26"/>
  <c r="I225" i="26" s="1"/>
  <c r="V225" i="26" s="1"/>
  <c r="K225" i="26"/>
  <c r="L225" i="26"/>
  <c r="M225" i="26"/>
  <c r="N225" i="26"/>
  <c r="P225" i="26"/>
  <c r="B226" i="26"/>
  <c r="C226" i="26"/>
  <c r="D226" i="26"/>
  <c r="H226" i="26"/>
  <c r="I226" i="26"/>
  <c r="V226" i="26" s="1"/>
  <c r="K226" i="26"/>
  <c r="L226" i="26"/>
  <c r="M226" i="26"/>
  <c r="N226" i="26"/>
  <c r="P226" i="26"/>
  <c r="B227" i="26"/>
  <c r="C227" i="26"/>
  <c r="D227" i="26"/>
  <c r="I227" i="26" s="1"/>
  <c r="V227" i="26" s="1"/>
  <c r="K227" i="26"/>
  <c r="L227" i="26"/>
  <c r="M227" i="26"/>
  <c r="N227" i="26"/>
  <c r="P227" i="26"/>
  <c r="B228" i="26"/>
  <c r="C228" i="26"/>
  <c r="D228" i="26"/>
  <c r="I228" i="26" s="1"/>
  <c r="V228" i="26" s="1"/>
  <c r="K228" i="26"/>
  <c r="L228" i="26"/>
  <c r="M228" i="26"/>
  <c r="N228" i="26"/>
  <c r="P228" i="26"/>
  <c r="B229" i="26"/>
  <c r="C229" i="26"/>
  <c r="D229" i="26"/>
  <c r="I229" i="26" s="1"/>
  <c r="V229" i="26" s="1"/>
  <c r="H229" i="26"/>
  <c r="J229" i="26" s="1"/>
  <c r="K229" i="26"/>
  <c r="L229" i="26"/>
  <c r="M229" i="26"/>
  <c r="N229" i="26"/>
  <c r="P229" i="26"/>
  <c r="U229" i="26"/>
  <c r="B230" i="26"/>
  <c r="C230" i="26"/>
  <c r="D230" i="26"/>
  <c r="I230" i="26"/>
  <c r="V230" i="26" s="1"/>
  <c r="K230" i="26"/>
  <c r="L230" i="26"/>
  <c r="M230" i="26"/>
  <c r="N230" i="26"/>
  <c r="P230" i="26"/>
  <c r="B231" i="26"/>
  <c r="C231" i="26"/>
  <c r="D231" i="26"/>
  <c r="I231" i="26" s="1"/>
  <c r="V231" i="26" s="1"/>
  <c r="K231" i="26"/>
  <c r="L231" i="26"/>
  <c r="M231" i="26"/>
  <c r="N231" i="26"/>
  <c r="P231" i="26"/>
  <c r="B232" i="26"/>
  <c r="C232" i="26"/>
  <c r="D232" i="26"/>
  <c r="I232" i="26" s="1"/>
  <c r="V232" i="26" s="1"/>
  <c r="K232" i="26"/>
  <c r="L232" i="26"/>
  <c r="M232" i="26"/>
  <c r="N232" i="26"/>
  <c r="P232" i="26"/>
  <c r="B233" i="26"/>
  <c r="C233" i="26"/>
  <c r="H233" i="26" s="1"/>
  <c r="D233" i="26"/>
  <c r="I233" i="26" s="1"/>
  <c r="V233" i="26" s="1"/>
  <c r="K233" i="26"/>
  <c r="L233" i="26"/>
  <c r="M233" i="26"/>
  <c r="N233" i="26"/>
  <c r="P233" i="26"/>
  <c r="B234" i="26"/>
  <c r="C234" i="26"/>
  <c r="D234" i="26"/>
  <c r="I234" i="26" s="1"/>
  <c r="V234" i="26" s="1"/>
  <c r="K234" i="26"/>
  <c r="L234" i="26"/>
  <c r="M234" i="26"/>
  <c r="N234" i="26"/>
  <c r="P234" i="26"/>
  <c r="B235" i="26"/>
  <c r="C235" i="26"/>
  <c r="D235" i="26"/>
  <c r="I235" i="26" s="1"/>
  <c r="H235" i="26"/>
  <c r="H236" i="26" s="1"/>
  <c r="K235" i="26"/>
  <c r="L235" i="26"/>
  <c r="M235" i="26"/>
  <c r="N235" i="26"/>
  <c r="P235" i="26"/>
  <c r="B236" i="26"/>
  <c r="C236" i="26"/>
  <c r="D236" i="26"/>
  <c r="I236" i="26" s="1"/>
  <c r="V236" i="26" s="1"/>
  <c r="K236" i="26"/>
  <c r="L236" i="26"/>
  <c r="M236" i="26"/>
  <c r="N236" i="26"/>
  <c r="P236" i="26"/>
  <c r="B237" i="26"/>
  <c r="C237" i="26"/>
  <c r="D237" i="26"/>
  <c r="I237" i="26" s="1"/>
  <c r="V237" i="26" s="1"/>
  <c r="H237" i="26"/>
  <c r="K237" i="26"/>
  <c r="L237" i="26"/>
  <c r="M237" i="26"/>
  <c r="N237" i="26"/>
  <c r="P237" i="26"/>
  <c r="U237" i="26"/>
  <c r="B238" i="26"/>
  <c r="C238" i="26"/>
  <c r="D238" i="26"/>
  <c r="I238" i="26"/>
  <c r="V238" i="26" s="1"/>
  <c r="K238" i="26"/>
  <c r="L238" i="26"/>
  <c r="M238" i="26"/>
  <c r="N238" i="26"/>
  <c r="P238" i="26"/>
  <c r="B239" i="26"/>
  <c r="C239" i="26"/>
  <c r="H239" i="26" s="1"/>
  <c r="D239" i="26"/>
  <c r="I239" i="26"/>
  <c r="V239" i="26" s="1"/>
  <c r="K239" i="26"/>
  <c r="L239" i="26"/>
  <c r="M239" i="26"/>
  <c r="N239" i="26"/>
  <c r="P239" i="26"/>
  <c r="B240" i="26"/>
  <c r="C240" i="26"/>
  <c r="H240" i="26" s="1"/>
  <c r="U240" i="26" s="1"/>
  <c r="D240" i="26"/>
  <c r="I240" i="26" s="1"/>
  <c r="V240" i="26" s="1"/>
  <c r="G240" i="26"/>
  <c r="K240" i="26"/>
  <c r="L240" i="26"/>
  <c r="M240" i="26"/>
  <c r="N240" i="26"/>
  <c r="P240" i="26"/>
  <c r="B241" i="26"/>
  <c r="C241" i="26"/>
  <c r="D241" i="26"/>
  <c r="I241" i="26"/>
  <c r="V241" i="26" s="1"/>
  <c r="K241" i="26"/>
  <c r="L241" i="26"/>
  <c r="M241" i="26"/>
  <c r="N241" i="26"/>
  <c r="P241" i="26"/>
  <c r="B242" i="26"/>
  <c r="C242" i="26"/>
  <c r="D242" i="26"/>
  <c r="I242" i="26" s="1"/>
  <c r="V242" i="26" s="1"/>
  <c r="K242" i="26"/>
  <c r="L242" i="26"/>
  <c r="M242" i="26"/>
  <c r="N242" i="26"/>
  <c r="P242" i="26"/>
  <c r="B243" i="26"/>
  <c r="C243" i="26"/>
  <c r="D243" i="26"/>
  <c r="I243" i="26" s="1"/>
  <c r="V243" i="26" s="1"/>
  <c r="K243" i="26"/>
  <c r="L243" i="26"/>
  <c r="M243" i="26"/>
  <c r="N243" i="26"/>
  <c r="P243" i="26"/>
  <c r="B244" i="26"/>
  <c r="C244" i="26"/>
  <c r="H244" i="26" s="1"/>
  <c r="D244" i="26"/>
  <c r="I244" i="26" s="1"/>
  <c r="V244" i="26" s="1"/>
  <c r="K244" i="26"/>
  <c r="L244" i="26"/>
  <c r="M244" i="26"/>
  <c r="N244" i="26"/>
  <c r="P244" i="26"/>
  <c r="B245" i="26"/>
  <c r="C245" i="26"/>
  <c r="D245" i="26"/>
  <c r="I245" i="26" s="1"/>
  <c r="V245" i="26" s="1"/>
  <c r="K245" i="26"/>
  <c r="L245" i="26"/>
  <c r="M245" i="26"/>
  <c r="N245" i="26"/>
  <c r="P245" i="26"/>
  <c r="B246" i="26"/>
  <c r="C246" i="26"/>
  <c r="D246" i="26"/>
  <c r="I246" i="26" s="1"/>
  <c r="V246" i="26" s="1"/>
  <c r="K246" i="26"/>
  <c r="L246" i="26"/>
  <c r="M246" i="26"/>
  <c r="N246" i="26"/>
  <c r="P246" i="26"/>
  <c r="B247" i="26"/>
  <c r="C247" i="26"/>
  <c r="D247" i="26"/>
  <c r="H247" i="26"/>
  <c r="U247" i="26" s="1"/>
  <c r="I247" i="26"/>
  <c r="V247" i="26" s="1"/>
  <c r="K247" i="26"/>
  <c r="L247" i="26"/>
  <c r="M247" i="26"/>
  <c r="N247" i="26"/>
  <c r="P247" i="26"/>
  <c r="B248" i="26"/>
  <c r="C248" i="26"/>
  <c r="D248" i="26"/>
  <c r="I248" i="26" s="1"/>
  <c r="G248" i="26"/>
  <c r="H248" i="26"/>
  <c r="U248" i="26" s="1"/>
  <c r="K248" i="26"/>
  <c r="L248" i="26"/>
  <c r="M248" i="26"/>
  <c r="N248" i="26"/>
  <c r="P248" i="26"/>
  <c r="B249" i="26"/>
  <c r="C249" i="26"/>
  <c r="D249" i="26"/>
  <c r="I249" i="26" s="1"/>
  <c r="V249" i="26" s="1"/>
  <c r="K249" i="26"/>
  <c r="L249" i="26"/>
  <c r="M249" i="26"/>
  <c r="N249" i="26"/>
  <c r="P249" i="26"/>
  <c r="B250" i="26"/>
  <c r="C250" i="26"/>
  <c r="D250" i="26"/>
  <c r="I250" i="26" s="1"/>
  <c r="V250" i="26" s="1"/>
  <c r="H250" i="26"/>
  <c r="J250" i="26" s="1"/>
  <c r="K250" i="26"/>
  <c r="L250" i="26"/>
  <c r="M250" i="26"/>
  <c r="N250" i="26"/>
  <c r="P250" i="26"/>
  <c r="B251" i="26"/>
  <c r="C251" i="26"/>
  <c r="D251" i="26"/>
  <c r="I251" i="26" s="1"/>
  <c r="V251" i="26" s="1"/>
  <c r="K251" i="26"/>
  <c r="L251" i="26"/>
  <c r="M251" i="26"/>
  <c r="N251" i="26"/>
  <c r="P251" i="26"/>
  <c r="B252" i="26"/>
  <c r="C252" i="26"/>
  <c r="H252" i="26" s="1"/>
  <c r="D252" i="26"/>
  <c r="I252" i="26" s="1"/>
  <c r="V252" i="26" s="1"/>
  <c r="K252" i="26"/>
  <c r="L252" i="26"/>
  <c r="M252" i="26"/>
  <c r="N252" i="26"/>
  <c r="P252" i="26"/>
  <c r="B253" i="26"/>
  <c r="C253" i="26"/>
  <c r="D253" i="26"/>
  <c r="I253" i="26" s="1"/>
  <c r="V253" i="26" s="1"/>
  <c r="K253" i="26"/>
  <c r="L253" i="26"/>
  <c r="M253" i="26"/>
  <c r="N253" i="26"/>
  <c r="P253" i="26"/>
  <c r="B254" i="26"/>
  <c r="C254" i="26"/>
  <c r="D254" i="26"/>
  <c r="I254" i="26" s="1"/>
  <c r="V254" i="26" s="1"/>
  <c r="K254" i="26"/>
  <c r="L254" i="26"/>
  <c r="M254" i="26"/>
  <c r="N254" i="26"/>
  <c r="P254" i="26"/>
  <c r="B255" i="26"/>
  <c r="C255" i="26"/>
  <c r="D255" i="26"/>
  <c r="I255" i="26"/>
  <c r="V255" i="26" s="1"/>
  <c r="K255" i="26"/>
  <c r="L255" i="26"/>
  <c r="M255" i="26"/>
  <c r="N255" i="26"/>
  <c r="P255" i="26"/>
  <c r="B256" i="26"/>
  <c r="C256" i="26"/>
  <c r="D256" i="26"/>
  <c r="I256" i="26" s="1"/>
  <c r="V256" i="26" s="1"/>
  <c r="K256" i="26"/>
  <c r="L256" i="26"/>
  <c r="M256" i="26"/>
  <c r="N256" i="26"/>
  <c r="P256" i="26"/>
  <c r="B257" i="26"/>
  <c r="C257" i="26"/>
  <c r="D257" i="26"/>
  <c r="I257" i="26"/>
  <c r="V257" i="26" s="1"/>
  <c r="K257" i="26"/>
  <c r="L257" i="26"/>
  <c r="M257" i="26"/>
  <c r="N257" i="26"/>
  <c r="P257" i="26"/>
  <c r="B258" i="26"/>
  <c r="C258" i="26"/>
  <c r="D258" i="26"/>
  <c r="I258" i="26" s="1"/>
  <c r="V258" i="26" s="1"/>
  <c r="K258" i="26"/>
  <c r="L258" i="26"/>
  <c r="M258" i="26"/>
  <c r="N258" i="26"/>
  <c r="P258" i="26"/>
  <c r="B259" i="26"/>
  <c r="C259" i="26"/>
  <c r="D259" i="26"/>
  <c r="I259" i="26" s="1"/>
  <c r="V259" i="26" s="1"/>
  <c r="H259" i="26"/>
  <c r="U259" i="26" s="1"/>
  <c r="K259" i="26"/>
  <c r="L259" i="26"/>
  <c r="M259" i="26"/>
  <c r="N259" i="26"/>
  <c r="P259" i="26"/>
  <c r="B260" i="26"/>
  <c r="C260" i="26"/>
  <c r="D260" i="26"/>
  <c r="I260" i="26" s="1"/>
  <c r="V260" i="26" s="1"/>
  <c r="K260" i="26"/>
  <c r="L260" i="26"/>
  <c r="M260" i="26"/>
  <c r="N260" i="26"/>
  <c r="P260" i="26"/>
  <c r="B261" i="26"/>
  <c r="C261" i="26"/>
  <c r="H261" i="26" s="1"/>
  <c r="D261" i="26"/>
  <c r="I261" i="26" s="1"/>
  <c r="V261" i="26" s="1"/>
  <c r="K261" i="26"/>
  <c r="L261" i="26"/>
  <c r="M261" i="26"/>
  <c r="N261" i="26"/>
  <c r="P261" i="26"/>
  <c r="B262" i="26"/>
  <c r="C262" i="26"/>
  <c r="D262" i="26"/>
  <c r="I262" i="26"/>
  <c r="V262" i="26" s="1"/>
  <c r="K262" i="26"/>
  <c r="L262" i="26"/>
  <c r="M262" i="26"/>
  <c r="N262" i="26"/>
  <c r="P262" i="26"/>
  <c r="B263" i="26"/>
  <c r="C263" i="26"/>
  <c r="D263" i="26"/>
  <c r="H263" i="26"/>
  <c r="U263" i="26" s="1"/>
  <c r="I263" i="26"/>
  <c r="V263" i="26" s="1"/>
  <c r="K263" i="26"/>
  <c r="L263" i="26"/>
  <c r="M263" i="26"/>
  <c r="N263" i="26"/>
  <c r="P263" i="26"/>
  <c r="B264" i="26"/>
  <c r="C264" i="26"/>
  <c r="H264" i="26" s="1"/>
  <c r="U264" i="26" s="1"/>
  <c r="D264" i="26"/>
  <c r="I264" i="26" s="1"/>
  <c r="V264" i="26" s="1"/>
  <c r="K264" i="26"/>
  <c r="L264" i="26"/>
  <c r="M264" i="26"/>
  <c r="N264" i="26"/>
  <c r="P264" i="26"/>
  <c r="B265" i="26"/>
  <c r="C265" i="26"/>
  <c r="D265" i="26"/>
  <c r="I265" i="26"/>
  <c r="V265" i="26" s="1"/>
  <c r="K265" i="26"/>
  <c r="L265" i="26"/>
  <c r="M265" i="26"/>
  <c r="N265" i="26"/>
  <c r="P265" i="26"/>
  <c r="B266" i="26"/>
  <c r="C266" i="26"/>
  <c r="D266" i="26"/>
  <c r="I266" i="26" s="1"/>
  <c r="V266" i="26" s="1"/>
  <c r="H266" i="26"/>
  <c r="J266" i="26" s="1"/>
  <c r="K266" i="26"/>
  <c r="L266" i="26"/>
  <c r="M266" i="26"/>
  <c r="N266" i="26"/>
  <c r="P266" i="26"/>
  <c r="B267" i="26"/>
  <c r="C267" i="26"/>
  <c r="D267" i="26"/>
  <c r="I267" i="26" s="1"/>
  <c r="V267" i="26" s="1"/>
  <c r="K267" i="26"/>
  <c r="L267" i="26"/>
  <c r="M267" i="26"/>
  <c r="N267" i="26"/>
  <c r="P267" i="26"/>
  <c r="B268" i="26"/>
  <c r="C268" i="26"/>
  <c r="H268" i="26" s="1"/>
  <c r="D268" i="26"/>
  <c r="I268" i="26"/>
  <c r="V268" i="26" s="1"/>
  <c r="K268" i="26"/>
  <c r="L268" i="26"/>
  <c r="M268" i="26"/>
  <c r="N268" i="26"/>
  <c r="P268" i="26"/>
  <c r="B269" i="26"/>
  <c r="C269" i="26"/>
  <c r="H269" i="26" s="1"/>
  <c r="D269" i="26"/>
  <c r="I269" i="26" s="1"/>
  <c r="V269" i="26" s="1"/>
  <c r="K269" i="26"/>
  <c r="L269" i="26"/>
  <c r="M269" i="26"/>
  <c r="N269" i="26"/>
  <c r="P269" i="26"/>
  <c r="B270" i="26"/>
  <c r="G270" i="26" s="1"/>
  <c r="G271" i="26" s="1"/>
  <c r="G272" i="26" s="1"/>
  <c r="C270" i="26"/>
  <c r="H270" i="26" s="1"/>
  <c r="H271" i="26" s="1"/>
  <c r="J271" i="26" s="1"/>
  <c r="D270" i="26"/>
  <c r="I270" i="26" s="1"/>
  <c r="V270" i="26" s="1"/>
  <c r="K270" i="26"/>
  <c r="L270" i="26"/>
  <c r="M270" i="26"/>
  <c r="N270" i="26"/>
  <c r="P270" i="26"/>
  <c r="U270" i="26"/>
  <c r="B271" i="26"/>
  <c r="C271" i="26"/>
  <c r="D271" i="26"/>
  <c r="I271" i="26"/>
  <c r="V271" i="26" s="1"/>
  <c r="K271" i="26"/>
  <c r="L271" i="26"/>
  <c r="M271" i="26"/>
  <c r="N271" i="26"/>
  <c r="P271" i="26"/>
  <c r="B272" i="26"/>
  <c r="C272" i="26"/>
  <c r="D272" i="26"/>
  <c r="I272" i="26" s="1"/>
  <c r="K272" i="26"/>
  <c r="L272" i="26"/>
  <c r="M272" i="26"/>
  <c r="N272" i="26"/>
  <c r="P272" i="26"/>
  <c r="V272" i="26"/>
  <c r="B273" i="26"/>
  <c r="C273" i="26"/>
  <c r="D273" i="26"/>
  <c r="I273" i="26" s="1"/>
  <c r="V273" i="26" s="1"/>
  <c r="K273" i="26"/>
  <c r="L273" i="26"/>
  <c r="M273" i="26"/>
  <c r="N273" i="26"/>
  <c r="P273" i="26"/>
  <c r="B274" i="26"/>
  <c r="C274" i="26"/>
  <c r="H274" i="26" s="1"/>
  <c r="D274" i="26"/>
  <c r="I274" i="26"/>
  <c r="V274" i="26" s="1"/>
  <c r="K274" i="26"/>
  <c r="L274" i="26"/>
  <c r="M274" i="26"/>
  <c r="N274" i="26"/>
  <c r="P274" i="26"/>
  <c r="B275" i="26"/>
  <c r="C275" i="26"/>
  <c r="D275" i="26"/>
  <c r="I275" i="26"/>
  <c r="V275" i="26" s="1"/>
  <c r="K275" i="26"/>
  <c r="L275" i="26"/>
  <c r="M275" i="26"/>
  <c r="N275" i="26"/>
  <c r="P275" i="26"/>
  <c r="B276" i="26"/>
  <c r="C276" i="26"/>
  <c r="D276" i="26"/>
  <c r="I276" i="26" s="1"/>
  <c r="V276" i="26" s="1"/>
  <c r="K276" i="26"/>
  <c r="L276" i="26"/>
  <c r="M276" i="26"/>
  <c r="N276" i="26"/>
  <c r="P276" i="26"/>
  <c r="B277" i="26"/>
  <c r="C277" i="26"/>
  <c r="D277" i="26"/>
  <c r="I277" i="26" s="1"/>
  <c r="V277" i="26" s="1"/>
  <c r="H277" i="26"/>
  <c r="J277" i="26" s="1"/>
  <c r="K277" i="26"/>
  <c r="L277" i="26"/>
  <c r="M277" i="26"/>
  <c r="N277" i="26"/>
  <c r="P277" i="26"/>
  <c r="B278" i="26"/>
  <c r="C278" i="26"/>
  <c r="D278" i="26"/>
  <c r="I278" i="26" s="1"/>
  <c r="V278" i="26" s="1"/>
  <c r="K278" i="26"/>
  <c r="L278" i="26"/>
  <c r="M278" i="26"/>
  <c r="N278" i="26"/>
  <c r="P278" i="26"/>
  <c r="B279" i="26"/>
  <c r="C279" i="26"/>
  <c r="D279" i="26"/>
  <c r="I279" i="26"/>
  <c r="V279" i="26" s="1"/>
  <c r="K279" i="26"/>
  <c r="L279" i="26"/>
  <c r="M279" i="26"/>
  <c r="N279" i="26"/>
  <c r="P279" i="26"/>
  <c r="B280" i="26"/>
  <c r="C280" i="26"/>
  <c r="H280" i="26" s="1"/>
  <c r="D280" i="26"/>
  <c r="I280" i="26" s="1"/>
  <c r="V280" i="26" s="1"/>
  <c r="K280" i="26"/>
  <c r="L280" i="26"/>
  <c r="M280" i="26"/>
  <c r="N280" i="26"/>
  <c r="P280" i="26"/>
  <c r="B281" i="26"/>
  <c r="C281" i="26"/>
  <c r="D281" i="26"/>
  <c r="I281" i="26"/>
  <c r="V281" i="26" s="1"/>
  <c r="K281" i="26"/>
  <c r="L281" i="26"/>
  <c r="M281" i="26"/>
  <c r="N281" i="26"/>
  <c r="P281" i="26"/>
  <c r="B282" i="26"/>
  <c r="C282" i="26"/>
  <c r="D282" i="26"/>
  <c r="I282" i="26" s="1"/>
  <c r="V282" i="26" s="1"/>
  <c r="K282" i="26"/>
  <c r="L282" i="26"/>
  <c r="M282" i="26"/>
  <c r="N282" i="26"/>
  <c r="P282" i="26"/>
  <c r="B283" i="26"/>
  <c r="C283" i="26"/>
  <c r="D283" i="26"/>
  <c r="I283" i="26" s="1"/>
  <c r="V283" i="26" s="1"/>
  <c r="K283" i="26"/>
  <c r="L283" i="26"/>
  <c r="M283" i="26"/>
  <c r="N283" i="26"/>
  <c r="P283" i="26"/>
  <c r="B284" i="26"/>
  <c r="C284" i="26"/>
  <c r="D284" i="26"/>
  <c r="I284" i="26" s="1"/>
  <c r="V284" i="26" s="1"/>
  <c r="K284" i="26"/>
  <c r="L284" i="26"/>
  <c r="M284" i="26"/>
  <c r="N284" i="26"/>
  <c r="P284" i="26"/>
  <c r="B285" i="26"/>
  <c r="C285" i="26"/>
  <c r="D285" i="26"/>
  <c r="I285" i="26" s="1"/>
  <c r="V285" i="26" s="1"/>
  <c r="K285" i="26"/>
  <c r="L285" i="26"/>
  <c r="M285" i="26"/>
  <c r="N285" i="26"/>
  <c r="P285" i="26"/>
  <c r="B286" i="26"/>
  <c r="C286" i="26"/>
  <c r="D286" i="26"/>
  <c r="I286" i="26"/>
  <c r="V286" i="26" s="1"/>
  <c r="K286" i="26"/>
  <c r="L286" i="26"/>
  <c r="M286" i="26"/>
  <c r="N286" i="26"/>
  <c r="P286" i="26"/>
  <c r="B287" i="26"/>
  <c r="C287" i="26"/>
  <c r="D287" i="26"/>
  <c r="I287" i="26"/>
  <c r="V287" i="26" s="1"/>
  <c r="K287" i="26"/>
  <c r="L287" i="26"/>
  <c r="M287" i="26"/>
  <c r="N287" i="26"/>
  <c r="P287" i="26"/>
  <c r="B288" i="26"/>
  <c r="C288" i="26"/>
  <c r="H288" i="26" s="1"/>
  <c r="D288" i="26"/>
  <c r="I288" i="26" s="1"/>
  <c r="V288" i="26" s="1"/>
  <c r="K288" i="26"/>
  <c r="L288" i="26"/>
  <c r="M288" i="26"/>
  <c r="N288" i="26"/>
  <c r="P288" i="26"/>
  <c r="B289" i="26"/>
  <c r="C289" i="26"/>
  <c r="H289" i="26" s="1"/>
  <c r="U289" i="26" s="1"/>
  <c r="D289" i="26"/>
  <c r="I289" i="26" s="1"/>
  <c r="V289" i="26" s="1"/>
  <c r="K289" i="26"/>
  <c r="L289" i="26"/>
  <c r="M289" i="26"/>
  <c r="N289" i="26"/>
  <c r="P289" i="26"/>
  <c r="B290" i="26"/>
  <c r="C290" i="26"/>
  <c r="D290" i="26"/>
  <c r="I290" i="26"/>
  <c r="V290" i="26" s="1"/>
  <c r="K290" i="26"/>
  <c r="L290" i="26"/>
  <c r="M290" i="26"/>
  <c r="N290" i="26"/>
  <c r="P290" i="26"/>
  <c r="B291" i="26"/>
  <c r="C291" i="26"/>
  <c r="D291" i="26"/>
  <c r="H291" i="26"/>
  <c r="I291" i="26"/>
  <c r="V291" i="26" s="1"/>
  <c r="K291" i="26"/>
  <c r="L291" i="26"/>
  <c r="M291" i="26"/>
  <c r="N291" i="26"/>
  <c r="P291" i="26"/>
  <c r="B292" i="26"/>
  <c r="C292" i="26"/>
  <c r="D292" i="26"/>
  <c r="I292" i="26" s="1"/>
  <c r="V292" i="26" s="1"/>
  <c r="K292" i="26"/>
  <c r="L292" i="26"/>
  <c r="M292" i="26"/>
  <c r="N292" i="26"/>
  <c r="P292" i="26"/>
  <c r="B293" i="26"/>
  <c r="C293" i="26"/>
  <c r="D293" i="26"/>
  <c r="I293" i="26" s="1"/>
  <c r="H293" i="26"/>
  <c r="U293" i="26" s="1"/>
  <c r="K293" i="26"/>
  <c r="L293" i="26"/>
  <c r="M293" i="26"/>
  <c r="N293" i="26"/>
  <c r="P293" i="26"/>
  <c r="B294" i="26"/>
  <c r="C294" i="26"/>
  <c r="D294" i="26"/>
  <c r="I294" i="26" s="1"/>
  <c r="V294" i="26" s="1"/>
  <c r="K294" i="26"/>
  <c r="L294" i="26"/>
  <c r="M294" i="26"/>
  <c r="N294" i="26"/>
  <c r="P294" i="26"/>
  <c r="B295" i="26"/>
  <c r="C295" i="26"/>
  <c r="H295" i="26" s="1"/>
  <c r="U295" i="26" s="1"/>
  <c r="D295" i="26"/>
  <c r="I295" i="26" s="1"/>
  <c r="V295" i="26" s="1"/>
  <c r="K295" i="26"/>
  <c r="L295" i="26"/>
  <c r="M295" i="26"/>
  <c r="N295" i="26"/>
  <c r="P295" i="26"/>
  <c r="B296" i="26"/>
  <c r="C296" i="26"/>
  <c r="H296" i="26" s="1"/>
  <c r="D296" i="26"/>
  <c r="I296" i="26" s="1"/>
  <c r="V296" i="26" s="1"/>
  <c r="G296" i="26"/>
  <c r="K296" i="26"/>
  <c r="L296" i="26"/>
  <c r="M296" i="26"/>
  <c r="N296" i="26"/>
  <c r="P296" i="26"/>
  <c r="U296" i="26"/>
  <c r="B297" i="26"/>
  <c r="C297" i="26"/>
  <c r="D297" i="26"/>
  <c r="I297" i="26" s="1"/>
  <c r="V297" i="26" s="1"/>
  <c r="K297" i="26"/>
  <c r="L297" i="26"/>
  <c r="M297" i="26"/>
  <c r="N297" i="26"/>
  <c r="P297" i="26"/>
  <c r="B298" i="26"/>
  <c r="C298" i="26"/>
  <c r="D298" i="26"/>
  <c r="I298" i="26" s="1"/>
  <c r="V298" i="26" s="1"/>
  <c r="K298" i="26"/>
  <c r="L298" i="26"/>
  <c r="M298" i="26"/>
  <c r="N298" i="26"/>
  <c r="P298" i="26"/>
  <c r="B299" i="26"/>
  <c r="C299" i="26"/>
  <c r="D299" i="26"/>
  <c r="I299" i="26" s="1"/>
  <c r="V299" i="26" s="1"/>
  <c r="K299" i="26"/>
  <c r="L299" i="26"/>
  <c r="M299" i="26"/>
  <c r="N299" i="26"/>
  <c r="P299" i="26"/>
  <c r="B300" i="26"/>
  <c r="C300" i="26"/>
  <c r="D300" i="26"/>
  <c r="I300" i="26" s="1"/>
  <c r="V300" i="26" s="1"/>
  <c r="K300" i="26"/>
  <c r="L300" i="26"/>
  <c r="M300" i="26"/>
  <c r="N300" i="26"/>
  <c r="P300" i="26"/>
  <c r="B301" i="26"/>
  <c r="C301" i="26"/>
  <c r="D301" i="26"/>
  <c r="I301" i="26" s="1"/>
  <c r="V301" i="26" s="1"/>
  <c r="K301" i="26"/>
  <c r="L301" i="26"/>
  <c r="M301" i="26"/>
  <c r="N301" i="26"/>
  <c r="P301" i="26"/>
  <c r="B302" i="26"/>
  <c r="C302" i="26"/>
  <c r="D302" i="26"/>
  <c r="I302" i="26" s="1"/>
  <c r="V302" i="26" s="1"/>
  <c r="K302" i="26"/>
  <c r="L302" i="26"/>
  <c r="M302" i="26"/>
  <c r="N302" i="26"/>
  <c r="P302" i="26"/>
  <c r="B303" i="26"/>
  <c r="C303" i="26"/>
  <c r="D303" i="26"/>
  <c r="I303" i="26"/>
  <c r="V303" i="26" s="1"/>
  <c r="K303" i="26"/>
  <c r="L303" i="26"/>
  <c r="M303" i="26"/>
  <c r="N303" i="26"/>
  <c r="P303" i="26"/>
  <c r="B304" i="26"/>
  <c r="C304" i="26"/>
  <c r="D304" i="26"/>
  <c r="I304" i="26" s="1"/>
  <c r="V304" i="26" s="1"/>
  <c r="K304" i="26"/>
  <c r="L304" i="26"/>
  <c r="M304" i="26"/>
  <c r="N304" i="26"/>
  <c r="P304" i="26"/>
  <c r="B305" i="26"/>
  <c r="C305" i="26"/>
  <c r="D305" i="26"/>
  <c r="I305" i="26" s="1"/>
  <c r="V305" i="26" s="1"/>
  <c r="K305" i="26"/>
  <c r="L305" i="26"/>
  <c r="M305" i="26"/>
  <c r="N305" i="26"/>
  <c r="P305" i="26"/>
  <c r="B306" i="26"/>
  <c r="C306" i="26"/>
  <c r="D306" i="26"/>
  <c r="I306" i="26" s="1"/>
  <c r="K306" i="26"/>
  <c r="L306" i="26"/>
  <c r="M306" i="26"/>
  <c r="N306" i="26"/>
  <c r="P306" i="26"/>
  <c r="V306" i="26"/>
  <c r="B307" i="26"/>
  <c r="C307" i="26"/>
  <c r="D307" i="26"/>
  <c r="I307" i="26" s="1"/>
  <c r="V307" i="26" s="1"/>
  <c r="K307" i="26"/>
  <c r="L307" i="26"/>
  <c r="M307" i="26"/>
  <c r="N307" i="26"/>
  <c r="P307" i="26"/>
  <c r="B308" i="26"/>
  <c r="C308" i="26"/>
  <c r="D308" i="26"/>
  <c r="I308" i="26"/>
  <c r="K308" i="26"/>
  <c r="L308" i="26"/>
  <c r="M308" i="26"/>
  <c r="N308" i="26"/>
  <c r="P308" i="26"/>
  <c r="V308" i="26"/>
  <c r="B309" i="26"/>
  <c r="C309" i="26"/>
  <c r="D309" i="26"/>
  <c r="I309" i="26" s="1"/>
  <c r="V309" i="26" s="1"/>
  <c r="K309" i="26"/>
  <c r="L309" i="26"/>
  <c r="M309" i="26"/>
  <c r="N309" i="26"/>
  <c r="P309" i="26"/>
  <c r="B310" i="26"/>
  <c r="C310" i="26"/>
  <c r="D310" i="26"/>
  <c r="I310" i="26" s="1"/>
  <c r="V310" i="26" s="1"/>
  <c r="K310" i="26"/>
  <c r="L310" i="26"/>
  <c r="M310" i="26"/>
  <c r="N310" i="26"/>
  <c r="P310" i="26"/>
  <c r="B311" i="26"/>
  <c r="C311" i="26"/>
  <c r="D311" i="26"/>
  <c r="I311" i="26" s="1"/>
  <c r="V311" i="26" s="1"/>
  <c r="H311" i="26"/>
  <c r="U311" i="26" s="1"/>
  <c r="K311" i="26"/>
  <c r="L311" i="26"/>
  <c r="M311" i="26"/>
  <c r="N311" i="26"/>
  <c r="P311" i="26"/>
  <c r="B312" i="26"/>
  <c r="C312" i="26"/>
  <c r="D312" i="26"/>
  <c r="I312" i="26" s="1"/>
  <c r="V312" i="26" s="1"/>
  <c r="K312" i="26"/>
  <c r="L312" i="26"/>
  <c r="M312" i="26"/>
  <c r="N312" i="26"/>
  <c r="P312" i="26"/>
  <c r="B313" i="26"/>
  <c r="C313" i="26"/>
  <c r="D313" i="26"/>
  <c r="I313" i="26"/>
  <c r="V313" i="26" s="1"/>
  <c r="K313" i="26"/>
  <c r="L313" i="26"/>
  <c r="M313" i="26"/>
  <c r="N313" i="26"/>
  <c r="P313" i="26"/>
  <c r="B314" i="26"/>
  <c r="G314" i="26" s="1"/>
  <c r="C314" i="26"/>
  <c r="D314" i="26"/>
  <c r="H314" i="26"/>
  <c r="H315" i="26" s="1"/>
  <c r="J315" i="26" s="1"/>
  <c r="I314" i="26"/>
  <c r="V314" i="26" s="1"/>
  <c r="K314" i="26"/>
  <c r="L314" i="26"/>
  <c r="M314" i="26"/>
  <c r="N314" i="26"/>
  <c r="P314" i="26"/>
  <c r="B315" i="26"/>
  <c r="C315" i="26"/>
  <c r="D315" i="26"/>
  <c r="I315" i="26"/>
  <c r="V315" i="26" s="1"/>
  <c r="K315" i="26"/>
  <c r="L315" i="26"/>
  <c r="M315" i="26"/>
  <c r="N315" i="26"/>
  <c r="P315" i="26"/>
  <c r="B316" i="26"/>
  <c r="C316" i="26"/>
  <c r="D316" i="26"/>
  <c r="I316" i="26" s="1"/>
  <c r="V316" i="26" s="1"/>
  <c r="K316" i="26"/>
  <c r="L316" i="26"/>
  <c r="M316" i="26"/>
  <c r="N316" i="26"/>
  <c r="P316" i="26"/>
  <c r="B317" i="26"/>
  <c r="C317" i="26"/>
  <c r="D317" i="26"/>
  <c r="I317" i="26" s="1"/>
  <c r="V317" i="26" s="1"/>
  <c r="H317" i="26"/>
  <c r="K317" i="26"/>
  <c r="L317" i="26"/>
  <c r="M317" i="26"/>
  <c r="N317" i="26"/>
  <c r="P317" i="26"/>
  <c r="B318" i="26"/>
  <c r="C318" i="26"/>
  <c r="D318" i="26"/>
  <c r="I318" i="26"/>
  <c r="V318" i="26" s="1"/>
  <c r="K318" i="26"/>
  <c r="L318" i="26"/>
  <c r="M318" i="26"/>
  <c r="N318" i="26"/>
  <c r="P318" i="26"/>
  <c r="B319" i="26"/>
  <c r="C319" i="26"/>
  <c r="D319" i="26"/>
  <c r="I319" i="26" s="1"/>
  <c r="V319" i="26" s="1"/>
  <c r="K319" i="26"/>
  <c r="L319" i="26"/>
  <c r="M319" i="26"/>
  <c r="N319" i="26"/>
  <c r="P319" i="26"/>
  <c r="B320" i="26"/>
  <c r="C320" i="26"/>
  <c r="H320" i="26" s="1"/>
  <c r="U320" i="26" s="1"/>
  <c r="D320" i="26"/>
  <c r="I320" i="26"/>
  <c r="V320" i="26" s="1"/>
  <c r="K320" i="26"/>
  <c r="L320" i="26"/>
  <c r="M320" i="26"/>
  <c r="N320" i="26"/>
  <c r="P320" i="26"/>
  <c r="B321" i="26"/>
  <c r="C321" i="26"/>
  <c r="D321" i="26"/>
  <c r="I321" i="26"/>
  <c r="V321" i="26" s="1"/>
  <c r="K321" i="26"/>
  <c r="L321" i="26"/>
  <c r="M321" i="26"/>
  <c r="N321" i="26"/>
  <c r="P321" i="26"/>
  <c r="B322" i="26"/>
  <c r="C322" i="26"/>
  <c r="D322" i="26"/>
  <c r="I322" i="26"/>
  <c r="V322" i="26" s="1"/>
  <c r="K322" i="26"/>
  <c r="L322" i="26"/>
  <c r="M322" i="26"/>
  <c r="N322" i="26"/>
  <c r="P322" i="26"/>
  <c r="B323" i="26"/>
  <c r="C323" i="26"/>
  <c r="D323" i="26"/>
  <c r="I323" i="26"/>
  <c r="V323" i="26" s="1"/>
  <c r="K323" i="26"/>
  <c r="L323" i="26"/>
  <c r="M323" i="26"/>
  <c r="N323" i="26"/>
  <c r="P323" i="26"/>
  <c r="B324" i="26"/>
  <c r="C324" i="26"/>
  <c r="D324" i="26"/>
  <c r="I324" i="26" s="1"/>
  <c r="V324" i="26" s="1"/>
  <c r="K324" i="26"/>
  <c r="L324" i="26"/>
  <c r="M324" i="26"/>
  <c r="N324" i="26"/>
  <c r="P324" i="26"/>
  <c r="B325" i="26"/>
  <c r="C325" i="26"/>
  <c r="D325" i="26"/>
  <c r="I325" i="26"/>
  <c r="V325" i="26" s="1"/>
  <c r="K325" i="26"/>
  <c r="L325" i="26"/>
  <c r="M325" i="26"/>
  <c r="N325" i="26"/>
  <c r="P325" i="26"/>
  <c r="B326" i="26"/>
  <c r="C326" i="26"/>
  <c r="D326" i="26"/>
  <c r="I326" i="26" s="1"/>
  <c r="V326" i="26" s="1"/>
  <c r="K326" i="26"/>
  <c r="L326" i="26"/>
  <c r="M326" i="26"/>
  <c r="N326" i="26"/>
  <c r="P326" i="26"/>
  <c r="B327" i="26"/>
  <c r="C327" i="26"/>
  <c r="D327" i="26"/>
  <c r="I327" i="26" s="1"/>
  <c r="V327" i="26" s="1"/>
  <c r="K327" i="26"/>
  <c r="L327" i="26"/>
  <c r="M327" i="26"/>
  <c r="N327" i="26"/>
  <c r="P327" i="26"/>
  <c r="B328" i="26"/>
  <c r="C328" i="26"/>
  <c r="D328" i="26"/>
  <c r="G328" i="26"/>
  <c r="G329" i="26" s="1"/>
  <c r="G330" i="26" s="1"/>
  <c r="H328" i="26"/>
  <c r="U328" i="26" s="1"/>
  <c r="I328" i="26"/>
  <c r="V328" i="26" s="1"/>
  <c r="K328" i="26"/>
  <c r="L328" i="26"/>
  <c r="M328" i="26"/>
  <c r="N328" i="26"/>
  <c r="P328" i="26"/>
  <c r="B329" i="26"/>
  <c r="C329" i="26"/>
  <c r="D329" i="26"/>
  <c r="I329" i="26" s="1"/>
  <c r="V329" i="26" s="1"/>
  <c r="K329" i="26"/>
  <c r="L329" i="26"/>
  <c r="M329" i="26"/>
  <c r="N329" i="26"/>
  <c r="P329" i="26"/>
  <c r="B330" i="26"/>
  <c r="C330" i="26"/>
  <c r="D330" i="26"/>
  <c r="I330" i="26" s="1"/>
  <c r="V330" i="26" s="1"/>
  <c r="K330" i="26"/>
  <c r="L330" i="26"/>
  <c r="M330" i="26"/>
  <c r="N330" i="26"/>
  <c r="P330" i="26"/>
  <c r="B331" i="26"/>
  <c r="C331" i="26"/>
  <c r="H331" i="26" s="1"/>
  <c r="U331" i="26" s="1"/>
  <c r="D331" i="26"/>
  <c r="I331" i="26"/>
  <c r="V331" i="26" s="1"/>
  <c r="K331" i="26"/>
  <c r="L331" i="26"/>
  <c r="M331" i="26"/>
  <c r="N331" i="26"/>
  <c r="P331" i="26"/>
  <c r="B332" i="26"/>
  <c r="C332" i="26"/>
  <c r="D332" i="26"/>
  <c r="I332" i="26"/>
  <c r="V332" i="26" s="1"/>
  <c r="K332" i="26"/>
  <c r="L332" i="26"/>
  <c r="M332" i="26"/>
  <c r="N332" i="26"/>
  <c r="P332" i="26"/>
  <c r="B333" i="26"/>
  <c r="C333" i="26"/>
  <c r="D333" i="26"/>
  <c r="I333" i="26" s="1"/>
  <c r="V333" i="26" s="1"/>
  <c r="K333" i="26"/>
  <c r="L333" i="26"/>
  <c r="M333" i="26"/>
  <c r="N333" i="26"/>
  <c r="P333" i="26"/>
  <c r="B334" i="26"/>
  <c r="C334" i="26"/>
  <c r="D334" i="26"/>
  <c r="I334" i="26" s="1"/>
  <c r="V334" i="26" s="1"/>
  <c r="H334" i="26"/>
  <c r="H335" i="26" s="1"/>
  <c r="K334" i="26"/>
  <c r="L334" i="26"/>
  <c r="M334" i="26"/>
  <c r="N334" i="26"/>
  <c r="P334" i="26"/>
  <c r="B335" i="26"/>
  <c r="C335" i="26"/>
  <c r="D335" i="26"/>
  <c r="I335" i="26" s="1"/>
  <c r="V335" i="26" s="1"/>
  <c r="K335" i="26"/>
  <c r="L335" i="26"/>
  <c r="M335" i="26"/>
  <c r="N335" i="26"/>
  <c r="P335" i="26"/>
  <c r="B336" i="26"/>
  <c r="C336" i="26"/>
  <c r="D336" i="26"/>
  <c r="I336" i="26"/>
  <c r="K336" i="26"/>
  <c r="L336" i="26"/>
  <c r="M336" i="26"/>
  <c r="N336" i="26"/>
  <c r="P336" i="26"/>
  <c r="V336" i="26"/>
  <c r="B337" i="26"/>
  <c r="C337" i="26"/>
  <c r="H337" i="26" s="1"/>
  <c r="D337" i="26"/>
  <c r="I337" i="26" s="1"/>
  <c r="V337" i="26" s="1"/>
  <c r="K337" i="26"/>
  <c r="L337" i="26"/>
  <c r="M337" i="26"/>
  <c r="N337" i="26"/>
  <c r="P337" i="26"/>
  <c r="B338" i="26"/>
  <c r="C338" i="26"/>
  <c r="D338" i="26"/>
  <c r="I338" i="26" s="1"/>
  <c r="V338" i="26" s="1"/>
  <c r="K338" i="26"/>
  <c r="L338" i="26"/>
  <c r="M338" i="26"/>
  <c r="N338" i="26"/>
  <c r="P338" i="26"/>
  <c r="B339" i="26"/>
  <c r="C339" i="26"/>
  <c r="D339" i="26"/>
  <c r="I339" i="26"/>
  <c r="V339" i="26" s="1"/>
  <c r="K339" i="26"/>
  <c r="L339" i="26"/>
  <c r="M339" i="26"/>
  <c r="N339" i="26"/>
  <c r="P339" i="26"/>
  <c r="B340" i="26"/>
  <c r="C340" i="26"/>
  <c r="H340" i="26" s="1"/>
  <c r="D340" i="26"/>
  <c r="I340" i="26"/>
  <c r="V340" i="26" s="1"/>
  <c r="K340" i="26"/>
  <c r="L340" i="26"/>
  <c r="M340" i="26"/>
  <c r="N340" i="26"/>
  <c r="P340" i="26"/>
  <c r="B341" i="26"/>
  <c r="C341" i="26"/>
  <c r="H341" i="26" s="1"/>
  <c r="J341" i="26" s="1"/>
  <c r="D341" i="26"/>
  <c r="I341" i="26"/>
  <c r="V341" i="26" s="1"/>
  <c r="K341" i="26"/>
  <c r="L341" i="26"/>
  <c r="M341" i="26"/>
  <c r="N341" i="26"/>
  <c r="P341" i="26"/>
  <c r="B342" i="26"/>
  <c r="C342" i="26"/>
  <c r="D342" i="26"/>
  <c r="I342" i="26" s="1"/>
  <c r="K342" i="26"/>
  <c r="L342" i="26"/>
  <c r="M342" i="26"/>
  <c r="N342" i="26"/>
  <c r="P342" i="26"/>
  <c r="V342" i="26"/>
  <c r="B343" i="26"/>
  <c r="C343" i="26"/>
  <c r="D343" i="26"/>
  <c r="I343" i="26" s="1"/>
  <c r="V343" i="26" s="1"/>
  <c r="H343" i="26"/>
  <c r="K343" i="26"/>
  <c r="L343" i="26"/>
  <c r="M343" i="26"/>
  <c r="N343" i="26"/>
  <c r="P343" i="26"/>
  <c r="B344" i="26"/>
  <c r="C344" i="26"/>
  <c r="D344" i="26"/>
  <c r="I344" i="26"/>
  <c r="K344" i="26"/>
  <c r="L344" i="26"/>
  <c r="M344" i="26"/>
  <c r="N344" i="26"/>
  <c r="P344" i="26"/>
  <c r="V344" i="26"/>
  <c r="B345" i="26"/>
  <c r="C345" i="26"/>
  <c r="D345" i="26"/>
  <c r="I345" i="26" s="1"/>
  <c r="V345" i="26" s="1"/>
  <c r="K345" i="26"/>
  <c r="L345" i="26"/>
  <c r="M345" i="26"/>
  <c r="N345" i="26"/>
  <c r="P345" i="26"/>
  <c r="B346" i="26"/>
  <c r="C346" i="26"/>
  <c r="D346" i="26"/>
  <c r="I346" i="26" s="1"/>
  <c r="V346" i="26" s="1"/>
  <c r="H346" i="26"/>
  <c r="U346" i="26" s="1"/>
  <c r="K346" i="26"/>
  <c r="L346" i="26"/>
  <c r="M346" i="26"/>
  <c r="N346" i="26"/>
  <c r="P346" i="26"/>
  <c r="B347" i="26"/>
  <c r="C347" i="26"/>
  <c r="D347" i="26"/>
  <c r="I347" i="26"/>
  <c r="V347" i="26" s="1"/>
  <c r="K347" i="26"/>
  <c r="L347" i="26"/>
  <c r="M347" i="26"/>
  <c r="N347" i="26"/>
  <c r="P347" i="26"/>
  <c r="B348" i="26"/>
  <c r="C348" i="26"/>
  <c r="D348" i="26"/>
  <c r="I348" i="26" s="1"/>
  <c r="V348" i="26" s="1"/>
  <c r="K348" i="26"/>
  <c r="L348" i="26"/>
  <c r="M348" i="26"/>
  <c r="N348" i="26"/>
  <c r="P348" i="26"/>
  <c r="B349" i="26"/>
  <c r="C349" i="26"/>
  <c r="D349" i="26"/>
  <c r="I349" i="26"/>
  <c r="V349" i="26" s="1"/>
  <c r="K349" i="26"/>
  <c r="L349" i="26"/>
  <c r="M349" i="26"/>
  <c r="N349" i="26"/>
  <c r="P349" i="26"/>
  <c r="B350" i="26"/>
  <c r="C350" i="26"/>
  <c r="D350" i="26"/>
  <c r="I350" i="26" s="1"/>
  <c r="V350" i="26" s="1"/>
  <c r="K350" i="26"/>
  <c r="L350" i="26"/>
  <c r="M350" i="26"/>
  <c r="N350" i="26"/>
  <c r="P350" i="26"/>
  <c r="B351" i="26"/>
  <c r="C351" i="26"/>
  <c r="H351" i="26" s="1"/>
  <c r="D351" i="26"/>
  <c r="I351" i="26" s="1"/>
  <c r="V351" i="26" s="1"/>
  <c r="K351" i="26"/>
  <c r="L351" i="26"/>
  <c r="M351" i="26"/>
  <c r="N351" i="26"/>
  <c r="P351" i="26"/>
  <c r="B352" i="26"/>
  <c r="C352" i="26"/>
  <c r="D352" i="26"/>
  <c r="I352" i="26"/>
  <c r="V352" i="26" s="1"/>
  <c r="K352" i="26"/>
  <c r="L352" i="26"/>
  <c r="M352" i="26"/>
  <c r="N352" i="26"/>
  <c r="P352" i="26"/>
  <c r="B353" i="26"/>
  <c r="C353" i="26"/>
  <c r="D353" i="26"/>
  <c r="I353" i="26" s="1"/>
  <c r="V353" i="26" s="1"/>
  <c r="K353" i="26"/>
  <c r="L353" i="26"/>
  <c r="M353" i="26"/>
  <c r="N353" i="26"/>
  <c r="P353" i="26"/>
  <c r="B354" i="26"/>
  <c r="C354" i="26"/>
  <c r="H354" i="26" s="1"/>
  <c r="D354" i="26"/>
  <c r="I354" i="26" s="1"/>
  <c r="V354" i="26" s="1"/>
  <c r="K354" i="26"/>
  <c r="L354" i="26"/>
  <c r="M354" i="26"/>
  <c r="N354" i="26"/>
  <c r="P354" i="26"/>
  <c r="B355" i="26"/>
  <c r="C355" i="26"/>
  <c r="D355" i="26"/>
  <c r="I355" i="26"/>
  <c r="V355" i="26" s="1"/>
  <c r="K355" i="26"/>
  <c r="L355" i="26"/>
  <c r="M355" i="26"/>
  <c r="N355" i="26"/>
  <c r="P355" i="26"/>
  <c r="B356" i="26"/>
  <c r="C356" i="26"/>
  <c r="D356" i="26"/>
  <c r="I356" i="26"/>
  <c r="V356" i="26" s="1"/>
  <c r="K356" i="26"/>
  <c r="L356" i="26"/>
  <c r="M356" i="26"/>
  <c r="N356" i="26"/>
  <c r="P356" i="26"/>
  <c r="B357" i="26"/>
  <c r="C357" i="26"/>
  <c r="H357" i="26" s="1"/>
  <c r="D357" i="26"/>
  <c r="I357" i="26" s="1"/>
  <c r="V357" i="26" s="1"/>
  <c r="K357" i="26"/>
  <c r="L357" i="26"/>
  <c r="M357" i="26"/>
  <c r="N357" i="26"/>
  <c r="P357" i="26"/>
  <c r="B358" i="26"/>
  <c r="C358" i="26"/>
  <c r="D358" i="26"/>
  <c r="I358" i="26" s="1"/>
  <c r="K358" i="26"/>
  <c r="L358" i="26"/>
  <c r="M358" i="26"/>
  <c r="N358" i="26"/>
  <c r="P358" i="26"/>
  <c r="V358" i="26"/>
  <c r="B359" i="26"/>
  <c r="C359" i="26"/>
  <c r="D359" i="26"/>
  <c r="I359" i="26" s="1"/>
  <c r="V359" i="26" s="1"/>
  <c r="K359" i="26"/>
  <c r="L359" i="26"/>
  <c r="M359" i="26"/>
  <c r="N359" i="26"/>
  <c r="P359" i="26"/>
  <c r="B360" i="26"/>
  <c r="C360" i="26"/>
  <c r="D360" i="26"/>
  <c r="I360" i="26" s="1"/>
  <c r="V360" i="26" s="1"/>
  <c r="H360" i="26"/>
  <c r="K360" i="26"/>
  <c r="L360" i="26"/>
  <c r="M360" i="26"/>
  <c r="N360" i="26"/>
  <c r="P360" i="26"/>
  <c r="B361" i="26"/>
  <c r="C361" i="26"/>
  <c r="H361" i="26" s="1"/>
  <c r="D361" i="26"/>
  <c r="I361" i="26" s="1"/>
  <c r="V361" i="26" s="1"/>
  <c r="K361" i="26"/>
  <c r="L361" i="26"/>
  <c r="M361" i="26"/>
  <c r="N361" i="26"/>
  <c r="P361" i="26"/>
  <c r="B362" i="26"/>
  <c r="C362" i="26"/>
  <c r="D362" i="26"/>
  <c r="I362" i="26" s="1"/>
  <c r="V362" i="26" s="1"/>
  <c r="K362" i="26"/>
  <c r="L362" i="26"/>
  <c r="M362" i="26"/>
  <c r="N362" i="26"/>
  <c r="P362" i="26"/>
  <c r="B363" i="26"/>
  <c r="C363" i="26"/>
  <c r="H363" i="26" s="1"/>
  <c r="D363" i="26"/>
  <c r="I363" i="26"/>
  <c r="V363" i="26" s="1"/>
  <c r="K363" i="26"/>
  <c r="L363" i="26"/>
  <c r="M363" i="26"/>
  <c r="N363" i="26"/>
  <c r="P363" i="26"/>
  <c r="B364" i="26"/>
  <c r="C364" i="26"/>
  <c r="D364" i="26"/>
  <c r="I364" i="26"/>
  <c r="V364" i="26" s="1"/>
  <c r="K364" i="26"/>
  <c r="L364" i="26"/>
  <c r="M364" i="26"/>
  <c r="N364" i="26"/>
  <c r="P364" i="26"/>
  <c r="B365" i="26"/>
  <c r="C365" i="26"/>
  <c r="D365" i="26"/>
  <c r="I365" i="26" s="1"/>
  <c r="V365" i="26" s="1"/>
  <c r="K365" i="26"/>
  <c r="L365" i="26"/>
  <c r="M365" i="26"/>
  <c r="N365" i="26"/>
  <c r="P365" i="26"/>
  <c r="B366" i="26"/>
  <c r="C366" i="26"/>
  <c r="H366" i="26" s="1"/>
  <c r="J366" i="26" s="1"/>
  <c r="D366" i="26"/>
  <c r="I366" i="26" s="1"/>
  <c r="V366" i="26" s="1"/>
  <c r="K366" i="26"/>
  <c r="L366" i="26"/>
  <c r="M366" i="26"/>
  <c r="N366" i="26"/>
  <c r="P366" i="26"/>
  <c r="B367" i="26"/>
  <c r="C367" i="26"/>
  <c r="D367" i="26"/>
  <c r="I367" i="26" s="1"/>
  <c r="V367" i="26" s="1"/>
  <c r="K367" i="26"/>
  <c r="L367" i="26"/>
  <c r="M367" i="26"/>
  <c r="N367" i="26"/>
  <c r="P367" i="26"/>
  <c r="B368" i="26"/>
  <c r="C368" i="26"/>
  <c r="H368" i="26" s="1"/>
  <c r="U368" i="26" s="1"/>
  <c r="D368" i="26"/>
  <c r="I368" i="26"/>
  <c r="V368" i="26" s="1"/>
  <c r="K368" i="26"/>
  <c r="L368" i="26"/>
  <c r="M368" i="26"/>
  <c r="N368" i="26"/>
  <c r="P368" i="26"/>
  <c r="B369" i="26"/>
  <c r="C369" i="26"/>
  <c r="D369" i="26"/>
  <c r="I369" i="26" s="1"/>
  <c r="V369" i="26" s="1"/>
  <c r="K369" i="26"/>
  <c r="L369" i="26"/>
  <c r="M369" i="26"/>
  <c r="N369" i="26"/>
  <c r="P369" i="26"/>
  <c r="B370" i="26"/>
  <c r="C370" i="26"/>
  <c r="D370" i="26"/>
  <c r="H370" i="26"/>
  <c r="U370" i="26" s="1"/>
  <c r="I370" i="26"/>
  <c r="V370" i="26" s="1"/>
  <c r="J370" i="26"/>
  <c r="K370" i="26"/>
  <c r="L370" i="26"/>
  <c r="M370" i="26"/>
  <c r="N370" i="26"/>
  <c r="P370" i="26"/>
  <c r="B371" i="26"/>
  <c r="C371" i="26"/>
  <c r="H371" i="26" s="1"/>
  <c r="D371" i="26"/>
  <c r="I371" i="26"/>
  <c r="V371" i="26" s="1"/>
  <c r="K371" i="26"/>
  <c r="L371" i="26"/>
  <c r="M371" i="26"/>
  <c r="N371" i="26"/>
  <c r="P371" i="26"/>
  <c r="B372" i="26"/>
  <c r="C372" i="26"/>
  <c r="D372" i="26"/>
  <c r="I372" i="26" s="1"/>
  <c r="V372" i="26" s="1"/>
  <c r="K372" i="26"/>
  <c r="L372" i="26"/>
  <c r="M372" i="26"/>
  <c r="N372" i="26"/>
  <c r="P372" i="26"/>
  <c r="U288" i="26" l="1"/>
  <c r="J288" i="26"/>
  <c r="U160" i="26"/>
  <c r="J160" i="26"/>
  <c r="H275" i="26"/>
  <c r="J274" i="26"/>
  <c r="U274" i="26"/>
  <c r="U269" i="26"/>
  <c r="J269" i="26"/>
  <c r="H140" i="26"/>
  <c r="U140" i="26" s="1"/>
  <c r="J139" i="26"/>
  <c r="U139" i="26"/>
  <c r="H172" i="26"/>
  <c r="J171" i="26"/>
  <c r="U171" i="26"/>
  <c r="H276" i="26"/>
  <c r="U276" i="26" s="1"/>
  <c r="U116" i="26"/>
  <c r="J116" i="26"/>
  <c r="J252" i="26"/>
  <c r="J123" i="26"/>
  <c r="G315" i="26"/>
  <c r="G316" i="26" s="1"/>
  <c r="G317" i="26" s="1"/>
  <c r="G318" i="26" s="1"/>
  <c r="G319" i="26" s="1"/>
  <c r="G320" i="26" s="1"/>
  <c r="G321" i="26" s="1"/>
  <c r="G322" i="26" s="1"/>
  <c r="G323" i="26" s="1"/>
  <c r="G324" i="26" s="1"/>
  <c r="G325" i="26" s="1"/>
  <c r="G326" i="26" s="1"/>
  <c r="G327" i="26" s="1"/>
  <c r="H249" i="26"/>
  <c r="J249" i="26" s="1"/>
  <c r="G249" i="26"/>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U181" i="26"/>
  <c r="G112" i="26"/>
  <c r="G113" i="26" s="1"/>
  <c r="G114" i="26" s="1"/>
  <c r="H369" i="26"/>
  <c r="J150" i="26"/>
  <c r="H251" i="26"/>
  <c r="H278" i="26"/>
  <c r="J291" i="26"/>
  <c r="G120" i="26"/>
  <c r="G121" i="26" s="1"/>
  <c r="H208" i="26"/>
  <c r="J208" i="26" s="1"/>
  <c r="G273" i="26"/>
  <c r="G274" i="26" s="1"/>
  <c r="G275" i="26" s="1"/>
  <c r="J182" i="26"/>
  <c r="H238" i="26"/>
  <c r="U235" i="26"/>
  <c r="H120" i="26"/>
  <c r="G297" i="26"/>
  <c r="G298" i="26" s="1"/>
  <c r="G299" i="26" s="1"/>
  <c r="G300" i="26" s="1"/>
  <c r="U172" i="26"/>
  <c r="J172" i="26"/>
  <c r="H367" i="26"/>
  <c r="J367" i="26" s="1"/>
  <c r="J360" i="26"/>
  <c r="H292" i="26"/>
  <c r="U292" i="26" s="1"/>
  <c r="H290" i="26"/>
  <c r="J168" i="26"/>
  <c r="H294" i="26"/>
  <c r="J294" i="26" s="1"/>
  <c r="U291" i="26"/>
  <c r="H265" i="26"/>
  <c r="J115" i="26"/>
  <c r="J110" i="26"/>
  <c r="U366" i="26"/>
  <c r="U250" i="26"/>
  <c r="J100" i="26"/>
  <c r="G276" i="26"/>
  <c r="J226" i="26"/>
  <c r="H329" i="26"/>
  <c r="U329" i="26" s="1"/>
  <c r="U277" i="26"/>
  <c r="H260" i="26"/>
  <c r="U260" i="26" s="1"/>
  <c r="J237" i="26"/>
  <c r="J331" i="26"/>
  <c r="H151" i="26"/>
  <c r="J151" i="26" s="1"/>
  <c r="H183" i="26"/>
  <c r="H184" i="26" s="1"/>
  <c r="H124" i="26"/>
  <c r="H125" i="26" s="1"/>
  <c r="H126" i="26" s="1"/>
  <c r="J111" i="26"/>
  <c r="J248" i="26"/>
  <c r="H169" i="26"/>
  <c r="H170" i="26" s="1"/>
  <c r="J135" i="26"/>
  <c r="U123" i="26"/>
  <c r="U150" i="26"/>
  <c r="H234" i="26"/>
  <c r="J234" i="26" s="1"/>
  <c r="H117" i="26"/>
  <c r="J117" i="26" s="1"/>
  <c r="J368" i="26"/>
  <c r="U360" i="26"/>
  <c r="H312" i="26"/>
  <c r="H347" i="26"/>
  <c r="H348" i="26" s="1"/>
  <c r="H279" i="26"/>
  <c r="U279" i="26" s="1"/>
  <c r="U334" i="26"/>
  <c r="H173" i="26"/>
  <c r="J173" i="26" s="1"/>
  <c r="U168" i="26"/>
  <c r="J289" i="26"/>
  <c r="J206" i="26"/>
  <c r="H330" i="26"/>
  <c r="J330" i="26" s="1"/>
  <c r="U114" i="26"/>
  <c r="U110" i="26"/>
  <c r="J328" i="26"/>
  <c r="J314" i="26"/>
  <c r="J240" i="26"/>
  <c r="U357" i="26"/>
  <c r="H358" i="26"/>
  <c r="J357" i="26"/>
  <c r="J280" i="26"/>
  <c r="U280" i="26"/>
  <c r="H281" i="26"/>
  <c r="H282" i="26" s="1"/>
  <c r="U354" i="26"/>
  <c r="J354" i="26"/>
  <c r="U234" i="26"/>
  <c r="U236" i="26"/>
  <c r="J236" i="26"/>
  <c r="J369" i="26"/>
  <c r="U369" i="26"/>
  <c r="J351" i="26"/>
  <c r="U351" i="26"/>
  <c r="H352" i="26"/>
  <c r="J371" i="26"/>
  <c r="U371" i="26"/>
  <c r="J238" i="26"/>
  <c r="U238" i="26"/>
  <c r="J233" i="26"/>
  <c r="U233" i="26"/>
  <c r="J312" i="26"/>
  <c r="U312" i="26"/>
  <c r="H313" i="26"/>
  <c r="U341" i="26"/>
  <c r="H342" i="26"/>
  <c r="J343" i="26"/>
  <c r="U343" i="26"/>
  <c r="H344" i="26"/>
  <c r="J120" i="26"/>
  <c r="U120" i="26"/>
  <c r="H121" i="26"/>
  <c r="H122" i="26" s="1"/>
  <c r="J361" i="26"/>
  <c r="U361" i="26"/>
  <c r="H362" i="26"/>
  <c r="J259" i="26"/>
  <c r="J141" i="26"/>
  <c r="U141" i="26"/>
  <c r="V293" i="26"/>
  <c r="J293" i="26"/>
  <c r="H203" i="26"/>
  <c r="J202" i="26"/>
  <c r="U202" i="26"/>
  <c r="J335" i="26"/>
  <c r="U335" i="26"/>
  <c r="H336" i="26"/>
  <c r="H355" i="26"/>
  <c r="H356" i="26" s="1"/>
  <c r="J363" i="26"/>
  <c r="U363" i="26"/>
  <c r="U315" i="26"/>
  <c r="H316" i="26"/>
  <c r="U271" i="26"/>
  <c r="H272" i="26"/>
  <c r="H319" i="26"/>
  <c r="U252" i="26"/>
  <c r="H253" i="26"/>
  <c r="H254" i="26" s="1"/>
  <c r="H321" i="26"/>
  <c r="J337" i="26"/>
  <c r="U223" i="26"/>
  <c r="J223" i="26"/>
  <c r="G331" i="26"/>
  <c r="G332" i="26" s="1"/>
  <c r="G333" i="26" s="1"/>
  <c r="G334" i="26" s="1"/>
  <c r="G335" i="26" s="1"/>
  <c r="G336" i="26" s="1"/>
  <c r="G337" i="26" s="1"/>
  <c r="G338" i="26" s="1"/>
  <c r="G339" i="26" s="1"/>
  <c r="G340" i="26" s="1"/>
  <c r="G341" i="26" s="1"/>
  <c r="G342" i="26" s="1"/>
  <c r="G343" i="26" s="1"/>
  <c r="G344" i="26" s="1"/>
  <c r="G345" i="26" s="1"/>
  <c r="G346" i="26" s="1"/>
  <c r="G347" i="26" s="1"/>
  <c r="G348" i="26" s="1"/>
  <c r="G349" i="26" s="1"/>
  <c r="G350" i="26" s="1"/>
  <c r="G351" i="26" s="1"/>
  <c r="G352" i="26" s="1"/>
  <c r="G353" i="26" s="1"/>
  <c r="G354" i="26" s="1"/>
  <c r="G355" i="26" s="1"/>
  <c r="G356" i="26" s="1"/>
  <c r="G357" i="26" s="1"/>
  <c r="G358" i="26" s="1"/>
  <c r="G359" i="26" s="1"/>
  <c r="G360" i="26" s="1"/>
  <c r="G361" i="26" s="1"/>
  <c r="G362" i="26" s="1"/>
  <c r="G363" i="26" s="1"/>
  <c r="G364" i="26" s="1"/>
  <c r="G365" i="26" s="1"/>
  <c r="G366" i="26" s="1"/>
  <c r="G367" i="26" s="1"/>
  <c r="G368" i="26" s="1"/>
  <c r="G369" i="26" s="1"/>
  <c r="G370" i="26" s="1"/>
  <c r="G371" i="26" s="1"/>
  <c r="G372" i="26" s="1"/>
  <c r="G373" i="26" s="1"/>
  <c r="J296" i="26"/>
  <c r="U244" i="26"/>
  <c r="J244" i="26"/>
  <c r="G277" i="26"/>
  <c r="G278" i="26" s="1"/>
  <c r="G279" i="26" s="1"/>
  <c r="G280" i="26" s="1"/>
  <c r="G281" i="26" s="1"/>
  <c r="G282" i="26" s="1"/>
  <c r="G283" i="26" s="1"/>
  <c r="G284" i="26" s="1"/>
  <c r="G285" i="26" s="1"/>
  <c r="G286" i="26" s="1"/>
  <c r="G287" i="26" s="1"/>
  <c r="G288" i="26" s="1"/>
  <c r="G289" i="26" s="1"/>
  <c r="G290" i="26" s="1"/>
  <c r="G291" i="26" s="1"/>
  <c r="G292" i="26" s="1"/>
  <c r="G293" i="26" s="1"/>
  <c r="G294" i="26" s="1"/>
  <c r="G295" i="26" s="1"/>
  <c r="J346" i="26"/>
  <c r="H364" i="26"/>
  <c r="J235" i="26"/>
  <c r="V235" i="26"/>
  <c r="J113" i="26"/>
  <c r="U113" i="26"/>
  <c r="H338" i="26"/>
  <c r="J340" i="26"/>
  <c r="U340" i="26"/>
  <c r="J295" i="26"/>
  <c r="J251" i="26"/>
  <c r="U251" i="26"/>
  <c r="J334" i="26"/>
  <c r="J264" i="26"/>
  <c r="J247" i="26"/>
  <c r="U239" i="26"/>
  <c r="J239" i="26"/>
  <c r="J205" i="26"/>
  <c r="U205" i="26"/>
  <c r="J169" i="26"/>
  <c r="U169" i="26"/>
  <c r="H332" i="26"/>
  <c r="J320" i="26"/>
  <c r="U266" i="26"/>
  <c r="H267" i="26"/>
  <c r="H241" i="26"/>
  <c r="H242" i="26" s="1"/>
  <c r="H224" i="26"/>
  <c r="H225" i="26" s="1"/>
  <c r="G241" i="26"/>
  <c r="H227" i="26"/>
  <c r="H228" i="26" s="1"/>
  <c r="U226" i="26"/>
  <c r="U207" i="26"/>
  <c r="J207" i="26"/>
  <c r="H161" i="26"/>
  <c r="J118" i="26"/>
  <c r="U118" i="26"/>
  <c r="U111" i="26"/>
  <c r="H112" i="26"/>
  <c r="H297" i="26"/>
  <c r="U268" i="26"/>
  <c r="J268" i="26"/>
  <c r="U249" i="26"/>
  <c r="H245" i="26"/>
  <c r="U192" i="26"/>
  <c r="H193" i="26"/>
  <c r="H194" i="26" s="1"/>
  <c r="J317" i="26"/>
  <c r="U317" i="26"/>
  <c r="H318" i="26"/>
  <c r="J261" i="26"/>
  <c r="U261" i="26"/>
  <c r="G242" i="26"/>
  <c r="G243" i="26" s="1"/>
  <c r="G244" i="26" s="1"/>
  <c r="G245" i="26" s="1"/>
  <c r="G246" i="26" s="1"/>
  <c r="G247" i="26" s="1"/>
  <c r="U208" i="26"/>
  <c r="H209" i="26"/>
  <c r="U119" i="26"/>
  <c r="J119" i="26"/>
  <c r="U337" i="26"/>
  <c r="G301" i="26"/>
  <c r="G302" i="26" s="1"/>
  <c r="G303" i="26" s="1"/>
  <c r="G304" i="26" s="1"/>
  <c r="G305" i="26" s="1"/>
  <c r="G306" i="26" s="1"/>
  <c r="G307" i="26" s="1"/>
  <c r="G308" i="26" s="1"/>
  <c r="G309" i="26" s="1"/>
  <c r="G310" i="26" s="1"/>
  <c r="G311" i="26" s="1"/>
  <c r="G312" i="26" s="1"/>
  <c r="G313" i="26" s="1"/>
  <c r="J278" i="26"/>
  <c r="U278" i="26"/>
  <c r="J275" i="26"/>
  <c r="U275" i="26"/>
  <c r="G122" i="26"/>
  <c r="G123" i="26" s="1"/>
  <c r="G124" i="26" s="1"/>
  <c r="G125" i="26" s="1"/>
  <c r="G126" i="26" s="1"/>
  <c r="G127" i="26" s="1"/>
  <c r="G128" i="26" s="1"/>
  <c r="G129" i="26" s="1"/>
  <c r="G130" i="26" s="1"/>
  <c r="G131" i="26" s="1"/>
  <c r="G132" i="26" s="1"/>
  <c r="G133" i="26" s="1"/>
  <c r="G134" i="26" s="1"/>
  <c r="G135" i="26" s="1"/>
  <c r="G136" i="26" s="1"/>
  <c r="G137" i="26" s="1"/>
  <c r="G138" i="26" s="1"/>
  <c r="G139" i="26" s="1"/>
  <c r="G140" i="26" s="1"/>
  <c r="H372" i="26"/>
  <c r="H373" i="26" s="1"/>
  <c r="V248" i="26"/>
  <c r="U206" i="26"/>
  <c r="U117" i="26"/>
  <c r="H101" i="26"/>
  <c r="H102" i="26" s="1"/>
  <c r="H262" i="26"/>
  <c r="U314" i="26"/>
  <c r="H142" i="26"/>
  <c r="H143" i="26" s="1"/>
  <c r="J311" i="26"/>
  <c r="G142" i="26"/>
  <c r="G143" i="26" s="1"/>
  <c r="G144" i="26" s="1"/>
  <c r="G145" i="26" s="1"/>
  <c r="G146" i="26" s="1"/>
  <c r="G147" i="26" s="1"/>
  <c r="G148" i="26" s="1"/>
  <c r="G149" i="26" s="1"/>
  <c r="G150" i="26" s="1"/>
  <c r="G151" i="26" s="1"/>
  <c r="G152" i="26" s="1"/>
  <c r="G153" i="26" s="1"/>
  <c r="G154" i="26" s="1"/>
  <c r="G155" i="26" s="1"/>
  <c r="G156" i="26" s="1"/>
  <c r="G157" i="26" s="1"/>
  <c r="G158" i="26" s="1"/>
  <c r="G159" i="26" s="1"/>
  <c r="G160" i="26" s="1"/>
  <c r="G161" i="26" s="1"/>
  <c r="G162" i="26" s="1"/>
  <c r="G163" i="26" s="1"/>
  <c r="G164" i="26" s="1"/>
  <c r="G165" i="26" s="1"/>
  <c r="G166" i="26" s="1"/>
  <c r="G167" i="26" s="1"/>
  <c r="G168" i="26" s="1"/>
  <c r="G169" i="26" s="1"/>
  <c r="G170" i="26" s="1"/>
  <c r="G171" i="26" s="1"/>
  <c r="G172" i="26" s="1"/>
  <c r="G173" i="26" s="1"/>
  <c r="G174" i="26" s="1"/>
  <c r="G175" i="26" s="1"/>
  <c r="G176" i="26" s="1"/>
  <c r="G177" i="26" s="1"/>
  <c r="G178" i="26" s="1"/>
  <c r="G179" i="26" s="1"/>
  <c r="G180" i="26" s="1"/>
  <c r="G181" i="26" s="1"/>
  <c r="G182" i="26" s="1"/>
  <c r="G183" i="26" s="1"/>
  <c r="G184" i="26" s="1"/>
  <c r="G185" i="26" s="1"/>
  <c r="G186" i="26" s="1"/>
  <c r="G187" i="26" s="1"/>
  <c r="G188" i="26" s="1"/>
  <c r="G189" i="26" s="1"/>
  <c r="G190" i="26" s="1"/>
  <c r="G191" i="26" s="1"/>
  <c r="G192" i="26" s="1"/>
  <c r="G193" i="26" s="1"/>
  <c r="G194" i="26" s="1"/>
  <c r="G195" i="26" s="1"/>
  <c r="G196" i="26" s="1"/>
  <c r="G197" i="26" s="1"/>
  <c r="G198" i="26" s="1"/>
  <c r="G199" i="26" s="1"/>
  <c r="G200" i="26" s="1"/>
  <c r="G201" i="26" s="1"/>
  <c r="G202" i="26" s="1"/>
  <c r="G203" i="26" s="1"/>
  <c r="G204" i="26" s="1"/>
  <c r="G205" i="26" s="1"/>
  <c r="G206" i="26" s="1"/>
  <c r="G207" i="26" s="1"/>
  <c r="G208" i="26" s="1"/>
  <c r="G209" i="26" s="1"/>
  <c r="G210" i="26" s="1"/>
  <c r="G211" i="26" s="1"/>
  <c r="G212" i="26" s="1"/>
  <c r="G213" i="26" s="1"/>
  <c r="G214" i="26" s="1"/>
  <c r="G215" i="26" s="1"/>
  <c r="G216" i="26" s="1"/>
  <c r="G217" i="26" s="1"/>
  <c r="G218" i="26" s="1"/>
  <c r="G219" i="26" s="1"/>
  <c r="G220" i="26" s="1"/>
  <c r="G221" i="26" s="1"/>
  <c r="G222" i="26" s="1"/>
  <c r="G223" i="26" s="1"/>
  <c r="G224" i="26" s="1"/>
  <c r="G225" i="26" s="1"/>
  <c r="G226" i="26" s="1"/>
  <c r="G227" i="26" s="1"/>
  <c r="G228" i="26" s="1"/>
  <c r="G229" i="26" s="1"/>
  <c r="G230" i="26" s="1"/>
  <c r="G231" i="26" s="1"/>
  <c r="G232" i="26" s="1"/>
  <c r="G233" i="26" s="1"/>
  <c r="G234" i="26" s="1"/>
  <c r="G235" i="26" s="1"/>
  <c r="G236" i="26" s="1"/>
  <c r="G237" i="26" s="1"/>
  <c r="G238" i="26" s="1"/>
  <c r="G239" i="26" s="1"/>
  <c r="U115" i="26"/>
  <c r="U182" i="26"/>
  <c r="J263" i="26"/>
  <c r="J159" i="26"/>
  <c r="J270" i="26"/>
  <c r="H230" i="26"/>
  <c r="J99" i="26"/>
  <c r="H136" i="26"/>
  <c r="G115" i="26"/>
  <c r="G116" i="26" s="1"/>
  <c r="G117" i="26" s="1"/>
  <c r="G118" i="26" s="1"/>
  <c r="U373" i="26" l="1"/>
  <c r="J373" i="26"/>
  <c r="U367" i="26"/>
  <c r="H152" i="26"/>
  <c r="J292" i="26"/>
  <c r="J140" i="26"/>
  <c r="U151" i="26"/>
  <c r="J183" i="26"/>
  <c r="J124" i="26"/>
  <c r="U183" i="26"/>
  <c r="J276" i="26"/>
  <c r="J279" i="26"/>
  <c r="U124" i="26"/>
  <c r="J265" i="26"/>
  <c r="U265" i="26"/>
  <c r="J260" i="26"/>
  <c r="U290" i="26"/>
  <c r="J290" i="26"/>
  <c r="U294" i="26"/>
  <c r="U173" i="26"/>
  <c r="U125" i="26"/>
  <c r="J125" i="26"/>
  <c r="U330" i="26"/>
  <c r="U347" i="26"/>
  <c r="J347" i="26"/>
  <c r="J329" i="26"/>
  <c r="H174" i="26"/>
  <c r="J174" i="26" s="1"/>
  <c r="H195" i="26"/>
  <c r="U194" i="26"/>
  <c r="J194" i="26"/>
  <c r="U143" i="26"/>
  <c r="J143" i="26"/>
  <c r="H144" i="26"/>
  <c r="J254" i="26"/>
  <c r="U254" i="26"/>
  <c r="H255" i="26"/>
  <c r="J225" i="26"/>
  <c r="U225" i="26"/>
  <c r="H243" i="26"/>
  <c r="J242" i="26"/>
  <c r="U242" i="26"/>
  <c r="J344" i="26"/>
  <c r="U344" i="26"/>
  <c r="J122" i="26"/>
  <c r="U122" i="26"/>
  <c r="U319" i="26"/>
  <c r="J319" i="26"/>
  <c r="U228" i="26"/>
  <c r="J228" i="26"/>
  <c r="J112" i="26"/>
  <c r="U112" i="26"/>
  <c r="J364" i="26"/>
  <c r="U364" i="26"/>
  <c r="J272" i="26"/>
  <c r="U272" i="26"/>
  <c r="H273" i="26"/>
  <c r="J313" i="26"/>
  <c r="U313" i="26"/>
  <c r="J281" i="26"/>
  <c r="U281" i="26"/>
  <c r="J193" i="26"/>
  <c r="U193" i="26"/>
  <c r="J203" i="26"/>
  <c r="H204" i="26"/>
  <c r="U203" i="26"/>
  <c r="U362" i="26"/>
  <c r="J362" i="26"/>
  <c r="J321" i="26"/>
  <c r="H322" i="26"/>
  <c r="U321" i="26"/>
  <c r="J241" i="26"/>
  <c r="U241" i="26"/>
  <c r="U316" i="26"/>
  <c r="J316" i="26"/>
  <c r="U352" i="26"/>
  <c r="J352" i="26"/>
  <c r="J126" i="26"/>
  <c r="U126" i="26"/>
  <c r="H127" i="26"/>
  <c r="J230" i="26"/>
  <c r="U230" i="26"/>
  <c r="H231" i="26"/>
  <c r="H353" i="26"/>
  <c r="J267" i="26"/>
  <c r="U267" i="26"/>
  <c r="J332" i="26"/>
  <c r="U332" i="26"/>
  <c r="H333" i="26"/>
  <c r="U282" i="26"/>
  <c r="J282" i="26"/>
  <c r="H283" i="26"/>
  <c r="J152" i="26"/>
  <c r="U152" i="26"/>
  <c r="H153" i="26"/>
  <c r="J262" i="26"/>
  <c r="U262" i="26"/>
  <c r="H345" i="26"/>
  <c r="J121" i="26"/>
  <c r="U121" i="26"/>
  <c r="H365" i="26"/>
  <c r="U338" i="26"/>
  <c r="J338" i="26"/>
  <c r="J136" i="26"/>
  <c r="U136" i="26"/>
  <c r="H137" i="26"/>
  <c r="U224" i="26"/>
  <c r="J224" i="26"/>
  <c r="J253" i="26"/>
  <c r="U253" i="26"/>
  <c r="J372" i="26"/>
  <c r="U372" i="26"/>
  <c r="J161" i="26"/>
  <c r="U161" i="26"/>
  <c r="H162" i="26"/>
  <c r="J297" i="26"/>
  <c r="U297" i="26"/>
  <c r="H298" i="26"/>
  <c r="J342" i="26"/>
  <c r="U342" i="26"/>
  <c r="J142" i="26"/>
  <c r="U142" i="26"/>
  <c r="J102" i="26"/>
  <c r="U102" i="26"/>
  <c r="H103" i="26"/>
  <c r="J170" i="26"/>
  <c r="U170" i="26"/>
  <c r="J318" i="26"/>
  <c r="U318" i="26"/>
  <c r="J348" i="26"/>
  <c r="U348" i="26"/>
  <c r="H349" i="26"/>
  <c r="J227" i="26"/>
  <c r="U227" i="26"/>
  <c r="U355" i="26"/>
  <c r="J355" i="26"/>
  <c r="J358" i="26"/>
  <c r="U358" i="26"/>
  <c r="H359" i="26"/>
  <c r="J209" i="26"/>
  <c r="U209" i="26"/>
  <c r="H210" i="26"/>
  <c r="J356" i="26"/>
  <c r="U356" i="26"/>
  <c r="U245" i="26"/>
  <c r="J245" i="26"/>
  <c r="H339" i="26"/>
  <c r="H246" i="26"/>
  <c r="U101" i="26"/>
  <c r="J101" i="26"/>
  <c r="J336" i="26"/>
  <c r="U336" i="26"/>
  <c r="J184" i="26"/>
  <c r="U184" i="26"/>
  <c r="H185" i="26"/>
  <c r="H175" i="26" l="1"/>
  <c r="U174" i="26"/>
  <c r="U175" i="26"/>
  <c r="J175" i="26"/>
  <c r="H176" i="26"/>
  <c r="J298" i="26"/>
  <c r="U298" i="26"/>
  <c r="H299" i="26"/>
  <c r="J153" i="26"/>
  <c r="U153" i="26"/>
  <c r="H154" i="26"/>
  <c r="J359" i="26"/>
  <c r="U359" i="26"/>
  <c r="U255" i="26"/>
  <c r="H256" i="26"/>
  <c r="J255" i="26"/>
  <c r="J243" i="26"/>
  <c r="U243" i="26"/>
  <c r="J185" i="26"/>
  <c r="U185" i="26"/>
  <c r="H186" i="26"/>
  <c r="H211" i="26"/>
  <c r="U210" i="26"/>
  <c r="J210" i="26"/>
  <c r="U322" i="26"/>
  <c r="H323" i="26"/>
  <c r="J322" i="26"/>
  <c r="J144" i="26"/>
  <c r="U144" i="26"/>
  <c r="H145" i="26"/>
  <c r="U333" i="26"/>
  <c r="J333" i="26"/>
  <c r="U231" i="26"/>
  <c r="H232" i="26"/>
  <c r="J231" i="26"/>
  <c r="J273" i="26"/>
  <c r="U273" i="26"/>
  <c r="U283" i="26"/>
  <c r="J283" i="26"/>
  <c r="H284" i="26"/>
  <c r="J345" i="26"/>
  <c r="U345" i="26"/>
  <c r="H163" i="26"/>
  <c r="U162" i="26"/>
  <c r="J162" i="26"/>
  <c r="U204" i="26"/>
  <c r="J204" i="26"/>
  <c r="U349" i="26"/>
  <c r="H350" i="26"/>
  <c r="J349" i="26"/>
  <c r="U339" i="26"/>
  <c r="J339" i="26"/>
  <c r="J353" i="26"/>
  <c r="U353" i="26"/>
  <c r="J137" i="26"/>
  <c r="U137" i="26"/>
  <c r="H138" i="26"/>
  <c r="U103" i="26"/>
  <c r="J103" i="26"/>
  <c r="H104" i="26"/>
  <c r="U127" i="26"/>
  <c r="J127" i="26"/>
  <c r="H128" i="26"/>
  <c r="J246" i="26"/>
  <c r="U246" i="26"/>
  <c r="U365" i="26"/>
  <c r="J365" i="26"/>
  <c r="J195" i="26"/>
  <c r="U195" i="26"/>
  <c r="H196" i="26"/>
  <c r="J350" i="26" l="1"/>
  <c r="U350" i="26"/>
  <c r="H324" i="26"/>
  <c r="J323" i="26"/>
  <c r="U323" i="26"/>
  <c r="U104" i="26"/>
  <c r="H105" i="26"/>
  <c r="J104" i="26"/>
  <c r="U196" i="26"/>
  <c r="J196" i="26"/>
  <c r="H197" i="26"/>
  <c r="J256" i="26"/>
  <c r="U256" i="26"/>
  <c r="H257" i="26"/>
  <c r="U232" i="26"/>
  <c r="J232" i="26"/>
  <c r="J211" i="26"/>
  <c r="U211" i="26"/>
  <c r="H212" i="26"/>
  <c r="J163" i="26"/>
  <c r="U163" i="26"/>
  <c r="H164" i="26"/>
  <c r="U284" i="26"/>
  <c r="J284" i="26"/>
  <c r="H285" i="26"/>
  <c r="U176" i="26"/>
  <c r="H177" i="26"/>
  <c r="J176" i="26"/>
  <c r="H187" i="26"/>
  <c r="J186" i="26"/>
  <c r="U186" i="26"/>
  <c r="J299" i="26"/>
  <c r="U299" i="26"/>
  <c r="H300" i="26"/>
  <c r="H129" i="26"/>
  <c r="U128" i="26"/>
  <c r="J128" i="26"/>
  <c r="H155" i="26"/>
  <c r="J154" i="26"/>
  <c r="U154" i="26"/>
  <c r="J138" i="26"/>
  <c r="U138" i="26"/>
  <c r="J145" i="26"/>
  <c r="U145" i="26"/>
  <c r="H146" i="26"/>
  <c r="H147" i="26" l="1"/>
  <c r="U146" i="26"/>
  <c r="J146" i="26"/>
  <c r="J129" i="26"/>
  <c r="U129" i="26"/>
  <c r="H130" i="26"/>
  <c r="J197" i="26"/>
  <c r="U197" i="26"/>
  <c r="H198" i="26"/>
  <c r="J105" i="26"/>
  <c r="U105" i="26"/>
  <c r="H106" i="26"/>
  <c r="U164" i="26"/>
  <c r="J164" i="26"/>
  <c r="H165" i="26"/>
  <c r="U155" i="26"/>
  <c r="H156" i="26"/>
  <c r="J155" i="26"/>
  <c r="U300" i="26"/>
  <c r="J300" i="26"/>
  <c r="H301" i="26"/>
  <c r="J187" i="26"/>
  <c r="U187" i="26"/>
  <c r="H188" i="26"/>
  <c r="J177" i="26"/>
  <c r="U177" i="26"/>
  <c r="H178" i="26"/>
  <c r="J324" i="26"/>
  <c r="U324" i="26"/>
  <c r="H325" i="26"/>
  <c r="U212" i="26"/>
  <c r="J212" i="26"/>
  <c r="H213" i="26"/>
  <c r="J257" i="26"/>
  <c r="U257" i="26"/>
  <c r="H258" i="26"/>
  <c r="J285" i="26"/>
  <c r="U285" i="26"/>
  <c r="H286" i="26"/>
  <c r="U188" i="26" l="1"/>
  <c r="J188" i="26"/>
  <c r="H189" i="26"/>
  <c r="J301" i="26"/>
  <c r="U301" i="26"/>
  <c r="H302" i="26"/>
  <c r="J213" i="26"/>
  <c r="U213" i="26"/>
  <c r="H214" i="26"/>
  <c r="J165" i="26"/>
  <c r="U165" i="26"/>
  <c r="H166" i="26"/>
  <c r="U325" i="26"/>
  <c r="H326" i="26"/>
  <c r="J325" i="26"/>
  <c r="J286" i="26"/>
  <c r="H287" i="26"/>
  <c r="U286" i="26"/>
  <c r="U258" i="26"/>
  <c r="J258" i="26"/>
  <c r="U156" i="26"/>
  <c r="J156" i="26"/>
  <c r="H157" i="26"/>
  <c r="H107" i="26"/>
  <c r="J106" i="26"/>
  <c r="U106" i="26"/>
  <c r="J198" i="26"/>
  <c r="U198" i="26"/>
  <c r="H199" i="26"/>
  <c r="H131" i="26"/>
  <c r="U130" i="26"/>
  <c r="J130" i="26"/>
  <c r="H179" i="26"/>
  <c r="U178" i="26"/>
  <c r="J178" i="26"/>
  <c r="J147" i="26"/>
  <c r="U147" i="26"/>
  <c r="H148" i="26"/>
  <c r="J157" i="26" l="1"/>
  <c r="U157" i="26"/>
  <c r="H158" i="26"/>
  <c r="J166" i="26"/>
  <c r="U166" i="26"/>
  <c r="H167" i="26"/>
  <c r="H108" i="26"/>
  <c r="U107" i="26"/>
  <c r="J107" i="26"/>
  <c r="U287" i="26"/>
  <c r="J287" i="26"/>
  <c r="U148" i="26"/>
  <c r="J148" i="26"/>
  <c r="H149" i="26"/>
  <c r="J214" i="26"/>
  <c r="U214" i="26"/>
  <c r="H215" i="26"/>
  <c r="J131" i="26"/>
  <c r="U131" i="26"/>
  <c r="H132" i="26"/>
  <c r="J302" i="26"/>
  <c r="U302" i="26"/>
  <c r="H303" i="26"/>
  <c r="J326" i="26"/>
  <c r="H327" i="26"/>
  <c r="U326" i="26"/>
  <c r="J179" i="26"/>
  <c r="U179" i="26"/>
  <c r="H180" i="26"/>
  <c r="U199" i="26"/>
  <c r="H200" i="26"/>
  <c r="J199" i="26"/>
  <c r="J189" i="26"/>
  <c r="U189" i="26"/>
  <c r="H190" i="26"/>
  <c r="U303" i="26" l="1"/>
  <c r="H304" i="26"/>
  <c r="J303" i="26"/>
  <c r="U215" i="26"/>
  <c r="H216" i="26"/>
  <c r="J215" i="26"/>
  <c r="U132" i="26"/>
  <c r="J132" i="26"/>
  <c r="H133" i="26"/>
  <c r="J200" i="26"/>
  <c r="U200" i="26"/>
  <c r="H201" i="26"/>
  <c r="J149" i="26"/>
  <c r="U149" i="26"/>
  <c r="J190" i="26"/>
  <c r="U190" i="26"/>
  <c r="H191" i="26"/>
  <c r="U108" i="26"/>
  <c r="J108" i="26"/>
  <c r="H109" i="26"/>
  <c r="U180" i="26"/>
  <c r="J180" i="26"/>
  <c r="J158" i="26"/>
  <c r="U158" i="26"/>
  <c r="U167" i="26"/>
  <c r="J167" i="26"/>
  <c r="J327" i="26"/>
  <c r="U327" i="26"/>
  <c r="J201" i="26" l="1"/>
  <c r="U201" i="26"/>
  <c r="J304" i="26"/>
  <c r="U304" i="26"/>
  <c r="H305" i="26"/>
  <c r="U109" i="26"/>
  <c r="J109" i="26"/>
  <c r="U191" i="26"/>
  <c r="J191" i="26"/>
  <c r="J133" i="26"/>
  <c r="U133" i="26"/>
  <c r="H134" i="26"/>
  <c r="J216" i="26"/>
  <c r="U216" i="26"/>
  <c r="H217" i="26"/>
  <c r="J217" i="26" l="1"/>
  <c r="U217" i="26"/>
  <c r="H218" i="26"/>
  <c r="J134" i="26"/>
  <c r="U134" i="26"/>
  <c r="J305" i="26"/>
  <c r="U305" i="26"/>
  <c r="H306" i="26"/>
  <c r="J306" i="26" l="1"/>
  <c r="U306" i="26"/>
  <c r="H307" i="26"/>
  <c r="H219" i="26"/>
  <c r="J218" i="26"/>
  <c r="U218" i="26"/>
  <c r="J307" i="26" l="1"/>
  <c r="U307" i="26"/>
  <c r="H308" i="26"/>
  <c r="J219" i="26"/>
  <c r="U219" i="26"/>
  <c r="H220" i="26"/>
  <c r="U220" i="26" l="1"/>
  <c r="J220" i="26"/>
  <c r="H221" i="26"/>
  <c r="U308" i="26"/>
  <c r="H309" i="26"/>
  <c r="J308" i="26"/>
  <c r="J221" i="26" l="1"/>
  <c r="U221" i="26"/>
  <c r="H222" i="26"/>
  <c r="U309" i="26"/>
  <c r="J309" i="26"/>
  <c r="H310" i="26"/>
  <c r="J222" i="26" l="1"/>
  <c r="U222" i="26"/>
  <c r="J310" i="26"/>
  <c r="U310" i="26"/>
  <c r="B5" i="26" l="1"/>
  <c r="C5" i="26"/>
  <c r="D5" i="26"/>
  <c r="I5" i="26" s="1"/>
  <c r="K5" i="26"/>
  <c r="L5" i="26"/>
  <c r="M5" i="26"/>
  <c r="N5" i="26"/>
  <c r="P5" i="26"/>
  <c r="V5" i="26"/>
  <c r="B6" i="26"/>
  <c r="C6" i="26"/>
  <c r="D6" i="26"/>
  <c r="I6" i="26"/>
  <c r="V6" i="26" s="1"/>
  <c r="K6" i="26"/>
  <c r="L6" i="26"/>
  <c r="M6" i="26"/>
  <c r="N6" i="26"/>
  <c r="P6" i="26"/>
  <c r="B7" i="26"/>
  <c r="C7" i="26"/>
  <c r="D7" i="26"/>
  <c r="I7" i="26"/>
  <c r="K7" i="26"/>
  <c r="L7" i="26"/>
  <c r="M7" i="26"/>
  <c r="N7" i="26"/>
  <c r="P7" i="26"/>
  <c r="V7" i="26"/>
  <c r="B8" i="26"/>
  <c r="C8" i="26"/>
  <c r="H8" i="26" s="1"/>
  <c r="D8" i="26"/>
  <c r="I8" i="26" s="1"/>
  <c r="V8" i="26" s="1"/>
  <c r="K8" i="26"/>
  <c r="L8" i="26"/>
  <c r="M8" i="26"/>
  <c r="N8" i="26"/>
  <c r="P8" i="26"/>
  <c r="B9" i="26"/>
  <c r="C9" i="26"/>
  <c r="D9" i="26"/>
  <c r="I9" i="26" s="1"/>
  <c r="V9" i="26" s="1"/>
  <c r="K9" i="26"/>
  <c r="L9" i="26"/>
  <c r="M9" i="26"/>
  <c r="N9" i="26"/>
  <c r="P9" i="26"/>
  <c r="B10" i="26"/>
  <c r="C10" i="26"/>
  <c r="D10" i="26"/>
  <c r="I10" i="26" s="1"/>
  <c r="K10" i="26"/>
  <c r="L10" i="26"/>
  <c r="M10" i="26"/>
  <c r="N10" i="26"/>
  <c r="P10" i="26"/>
  <c r="B11" i="26"/>
  <c r="C11" i="26"/>
  <c r="D11" i="26"/>
  <c r="I11" i="26" s="1"/>
  <c r="K11" i="26"/>
  <c r="L11" i="26"/>
  <c r="M11" i="26"/>
  <c r="N11" i="26"/>
  <c r="P11" i="26"/>
  <c r="B12" i="26"/>
  <c r="C12" i="26"/>
  <c r="D12" i="26"/>
  <c r="I12" i="26" s="1"/>
  <c r="G12" i="26"/>
  <c r="H12" i="26"/>
  <c r="K12" i="26"/>
  <c r="L12" i="26"/>
  <c r="M12" i="26"/>
  <c r="N12" i="26"/>
  <c r="P12" i="26"/>
  <c r="U12" i="26"/>
  <c r="V12" i="26"/>
  <c r="B13" i="26"/>
  <c r="C13" i="26"/>
  <c r="D13" i="26"/>
  <c r="I13" i="26"/>
  <c r="V13" i="26" s="1"/>
  <c r="K13" i="26"/>
  <c r="L13" i="26"/>
  <c r="M13" i="26"/>
  <c r="N13" i="26"/>
  <c r="P13" i="26"/>
  <c r="B14" i="26"/>
  <c r="C14" i="26"/>
  <c r="D14" i="26"/>
  <c r="I14" i="26" s="1"/>
  <c r="V14" i="26" s="1"/>
  <c r="K14" i="26"/>
  <c r="L14" i="26"/>
  <c r="M14" i="26"/>
  <c r="N14" i="26"/>
  <c r="P14" i="26"/>
  <c r="B15" i="26"/>
  <c r="C15" i="26"/>
  <c r="D15" i="26"/>
  <c r="I15" i="26" s="1"/>
  <c r="V15" i="26" s="1"/>
  <c r="K15" i="26"/>
  <c r="L15" i="26"/>
  <c r="M15" i="26"/>
  <c r="N15" i="26"/>
  <c r="P15" i="26"/>
  <c r="B16" i="26"/>
  <c r="C16" i="26"/>
  <c r="D16" i="26"/>
  <c r="I16" i="26"/>
  <c r="K16" i="26"/>
  <c r="L16" i="26"/>
  <c r="M16" i="26"/>
  <c r="N16" i="26"/>
  <c r="P16" i="26"/>
  <c r="V16" i="26"/>
  <c r="B17" i="26"/>
  <c r="C17" i="26"/>
  <c r="D17" i="26"/>
  <c r="I17" i="26"/>
  <c r="V17" i="26" s="1"/>
  <c r="K17" i="26"/>
  <c r="L17" i="26"/>
  <c r="M17" i="26"/>
  <c r="N17" i="26"/>
  <c r="P17" i="26"/>
  <c r="B18" i="26"/>
  <c r="C18" i="26"/>
  <c r="D18" i="26"/>
  <c r="I18" i="26" s="1"/>
  <c r="V18" i="26" s="1"/>
  <c r="K18" i="26"/>
  <c r="L18" i="26"/>
  <c r="M18" i="26"/>
  <c r="N18" i="26"/>
  <c r="P18" i="26"/>
  <c r="B19" i="26"/>
  <c r="C19" i="26"/>
  <c r="D19" i="26"/>
  <c r="I19" i="26" s="1"/>
  <c r="V19" i="26" s="1"/>
  <c r="K19" i="26"/>
  <c r="L19" i="26"/>
  <c r="M19" i="26"/>
  <c r="N19" i="26"/>
  <c r="P19" i="26"/>
  <c r="B20" i="26"/>
  <c r="C20" i="26"/>
  <c r="D20" i="26"/>
  <c r="I20" i="26" s="1"/>
  <c r="K20" i="26"/>
  <c r="L20" i="26"/>
  <c r="M20" i="26"/>
  <c r="N20" i="26"/>
  <c r="P20" i="26"/>
  <c r="V20" i="26"/>
  <c r="B21" i="26"/>
  <c r="C21" i="26"/>
  <c r="D21" i="26"/>
  <c r="I21" i="26"/>
  <c r="K21" i="26"/>
  <c r="L21" i="26"/>
  <c r="M21" i="26"/>
  <c r="N21" i="26"/>
  <c r="P21" i="26"/>
  <c r="V21" i="26"/>
  <c r="B22" i="26"/>
  <c r="C22" i="26"/>
  <c r="D22" i="26"/>
  <c r="I22" i="26"/>
  <c r="V22" i="26" s="1"/>
  <c r="K22" i="26"/>
  <c r="L22" i="26"/>
  <c r="M22" i="26"/>
  <c r="N22" i="26"/>
  <c r="P22" i="26"/>
  <c r="B23" i="26"/>
  <c r="C23" i="26"/>
  <c r="D23" i="26"/>
  <c r="I23" i="26"/>
  <c r="K23" i="26"/>
  <c r="L23" i="26"/>
  <c r="M23" i="26"/>
  <c r="N23" i="26"/>
  <c r="P23" i="26"/>
  <c r="V23" i="26"/>
  <c r="B24" i="26"/>
  <c r="C24" i="26"/>
  <c r="D24" i="26"/>
  <c r="I24" i="26"/>
  <c r="K24" i="26"/>
  <c r="L24" i="26"/>
  <c r="M24" i="26"/>
  <c r="N24" i="26"/>
  <c r="P24" i="26"/>
  <c r="V24" i="26"/>
  <c r="B25" i="26"/>
  <c r="C25" i="26"/>
  <c r="D25" i="26"/>
  <c r="I25" i="26"/>
  <c r="V25" i="26" s="1"/>
  <c r="K25" i="26"/>
  <c r="L25" i="26"/>
  <c r="M25" i="26"/>
  <c r="N25" i="26"/>
  <c r="P25" i="26"/>
  <c r="B26" i="26"/>
  <c r="C26" i="26"/>
  <c r="D26" i="26"/>
  <c r="I26" i="26" s="1"/>
  <c r="V26" i="26" s="1"/>
  <c r="K26" i="26"/>
  <c r="L26" i="26"/>
  <c r="M26" i="26"/>
  <c r="N26" i="26"/>
  <c r="P26" i="26"/>
  <c r="B27" i="26"/>
  <c r="C27" i="26"/>
  <c r="D27" i="26"/>
  <c r="I27" i="26" s="1"/>
  <c r="K27" i="26"/>
  <c r="L27" i="26"/>
  <c r="M27" i="26"/>
  <c r="N27" i="26"/>
  <c r="P27" i="26"/>
  <c r="V27" i="26"/>
  <c r="B28" i="26"/>
  <c r="C28" i="26"/>
  <c r="D28" i="26"/>
  <c r="I28" i="26" s="1"/>
  <c r="V28" i="26" s="1"/>
  <c r="K28" i="26"/>
  <c r="L28" i="26"/>
  <c r="M28" i="26"/>
  <c r="N28" i="26"/>
  <c r="P28" i="26"/>
  <c r="B29" i="26"/>
  <c r="C29" i="26"/>
  <c r="D29" i="26"/>
  <c r="I29" i="26"/>
  <c r="K29" i="26"/>
  <c r="L29" i="26"/>
  <c r="M29" i="26"/>
  <c r="N29" i="26"/>
  <c r="P29" i="26"/>
  <c r="V29" i="26"/>
  <c r="B30" i="26"/>
  <c r="C30" i="26"/>
  <c r="D30" i="26"/>
  <c r="I30" i="26" s="1"/>
  <c r="V30" i="26" s="1"/>
  <c r="K30" i="26"/>
  <c r="L30" i="26"/>
  <c r="M30" i="26"/>
  <c r="N30" i="26"/>
  <c r="P30" i="26"/>
  <c r="B31" i="26"/>
  <c r="C31" i="26"/>
  <c r="D31" i="26"/>
  <c r="I31" i="26" s="1"/>
  <c r="V31" i="26" s="1"/>
  <c r="K31" i="26"/>
  <c r="L31" i="26"/>
  <c r="M31" i="26"/>
  <c r="N31" i="26"/>
  <c r="P31" i="26"/>
  <c r="B32" i="26"/>
  <c r="C32" i="26"/>
  <c r="D32" i="26"/>
  <c r="I32" i="26"/>
  <c r="V32" i="26" s="1"/>
  <c r="K32" i="26"/>
  <c r="L32" i="26"/>
  <c r="M32" i="26"/>
  <c r="N32" i="26"/>
  <c r="P32" i="26"/>
  <c r="B33" i="26"/>
  <c r="C33" i="26"/>
  <c r="D33" i="26"/>
  <c r="I33" i="26"/>
  <c r="V33" i="26" s="1"/>
  <c r="K33" i="26"/>
  <c r="L33" i="26"/>
  <c r="M33" i="26"/>
  <c r="N33" i="26"/>
  <c r="P33" i="26"/>
  <c r="B34" i="26"/>
  <c r="C34" i="26"/>
  <c r="D34" i="26"/>
  <c r="I34" i="26" s="1"/>
  <c r="V34" i="26" s="1"/>
  <c r="K34" i="26"/>
  <c r="L34" i="26"/>
  <c r="M34" i="26"/>
  <c r="N34" i="26"/>
  <c r="P34" i="26"/>
  <c r="B35" i="26"/>
  <c r="C35" i="26"/>
  <c r="D35" i="26"/>
  <c r="I35" i="26" s="1"/>
  <c r="K35" i="26"/>
  <c r="L35" i="26"/>
  <c r="M35" i="26"/>
  <c r="N35" i="26"/>
  <c r="P35" i="26"/>
  <c r="V35" i="26"/>
  <c r="B36" i="26"/>
  <c r="C36" i="26"/>
  <c r="D36" i="26"/>
  <c r="I36" i="26"/>
  <c r="K36" i="26"/>
  <c r="L36" i="26"/>
  <c r="M36" i="26"/>
  <c r="N36" i="26"/>
  <c r="P36" i="26"/>
  <c r="V36" i="26"/>
  <c r="B37" i="26"/>
  <c r="C37" i="26"/>
  <c r="D37" i="26"/>
  <c r="I37" i="26"/>
  <c r="V37" i="26" s="1"/>
  <c r="K37" i="26"/>
  <c r="L37" i="26"/>
  <c r="M37" i="26"/>
  <c r="N37" i="26"/>
  <c r="P37" i="26"/>
  <c r="B38" i="26"/>
  <c r="C38" i="26"/>
  <c r="D38" i="26"/>
  <c r="I38" i="26" s="1"/>
  <c r="V38" i="26" s="1"/>
  <c r="K38" i="26"/>
  <c r="L38" i="26"/>
  <c r="M38" i="26"/>
  <c r="N38" i="26"/>
  <c r="P38" i="26"/>
  <c r="B39" i="26"/>
  <c r="C39" i="26"/>
  <c r="D39" i="26"/>
  <c r="I39" i="26"/>
  <c r="V39" i="26" s="1"/>
  <c r="K39" i="26"/>
  <c r="L39" i="26"/>
  <c r="M39" i="26"/>
  <c r="N39" i="26"/>
  <c r="P39" i="26"/>
  <c r="B40" i="26"/>
  <c r="C40" i="26"/>
  <c r="D40" i="26"/>
  <c r="I40" i="26" s="1"/>
  <c r="V40" i="26" s="1"/>
  <c r="K40" i="26"/>
  <c r="L40" i="26"/>
  <c r="M40" i="26"/>
  <c r="N40" i="26"/>
  <c r="P40" i="26"/>
  <c r="B41" i="26"/>
  <c r="C41" i="26"/>
  <c r="D41" i="26"/>
  <c r="I41" i="26" s="1"/>
  <c r="V41" i="26" s="1"/>
  <c r="K41" i="26"/>
  <c r="L41" i="26"/>
  <c r="M41" i="26"/>
  <c r="N41" i="26"/>
  <c r="P41" i="26"/>
  <c r="B42" i="26"/>
  <c r="C42" i="26"/>
  <c r="D42" i="26"/>
  <c r="I42" i="26" s="1"/>
  <c r="K42" i="26"/>
  <c r="L42" i="26"/>
  <c r="M42" i="26"/>
  <c r="N42" i="26"/>
  <c r="P42" i="26"/>
  <c r="V42" i="26"/>
  <c r="B43" i="26"/>
  <c r="C43" i="26"/>
  <c r="D43" i="26"/>
  <c r="I43" i="26" s="1"/>
  <c r="V43" i="26" s="1"/>
  <c r="K43" i="26"/>
  <c r="L43" i="26"/>
  <c r="M43" i="26"/>
  <c r="N43" i="26"/>
  <c r="P43" i="26"/>
  <c r="B44" i="26"/>
  <c r="C44" i="26"/>
  <c r="D44" i="26"/>
  <c r="I44" i="26"/>
  <c r="V44" i="26" s="1"/>
  <c r="K44" i="26"/>
  <c r="L44" i="26"/>
  <c r="M44" i="26"/>
  <c r="N44" i="26"/>
  <c r="P44" i="26"/>
  <c r="B45" i="26"/>
  <c r="C45" i="26"/>
  <c r="D45" i="26"/>
  <c r="I45" i="26"/>
  <c r="K45" i="26"/>
  <c r="L45" i="26"/>
  <c r="M45" i="26"/>
  <c r="N45" i="26"/>
  <c r="P45" i="26"/>
  <c r="V45" i="26"/>
  <c r="B46" i="26"/>
  <c r="C46" i="26"/>
  <c r="D46" i="26"/>
  <c r="I46" i="26"/>
  <c r="V46" i="26" s="1"/>
  <c r="K46" i="26"/>
  <c r="L46" i="26"/>
  <c r="M46" i="26"/>
  <c r="N46" i="26"/>
  <c r="P46" i="26"/>
  <c r="B47" i="26"/>
  <c r="C47" i="26"/>
  <c r="D47" i="26"/>
  <c r="I47" i="26" s="1"/>
  <c r="V47" i="26" s="1"/>
  <c r="K47" i="26"/>
  <c r="L47" i="26"/>
  <c r="M47" i="26"/>
  <c r="N47" i="26"/>
  <c r="P47" i="26"/>
  <c r="B48" i="26"/>
  <c r="C48" i="26"/>
  <c r="D48" i="26"/>
  <c r="I48" i="26" s="1"/>
  <c r="V48" i="26" s="1"/>
  <c r="K48" i="26"/>
  <c r="L48" i="26"/>
  <c r="M48" i="26"/>
  <c r="N48" i="26"/>
  <c r="P48" i="26"/>
  <c r="B49" i="26"/>
  <c r="C49" i="26"/>
  <c r="D49" i="26"/>
  <c r="I49" i="26" s="1"/>
  <c r="V49" i="26" s="1"/>
  <c r="K49" i="26"/>
  <c r="L49" i="26"/>
  <c r="M49" i="26"/>
  <c r="N49" i="26"/>
  <c r="P49" i="26"/>
  <c r="B50" i="26"/>
  <c r="C50" i="26"/>
  <c r="D50" i="26"/>
  <c r="I50" i="26" s="1"/>
  <c r="V50" i="26" s="1"/>
  <c r="K50" i="26"/>
  <c r="L50" i="26"/>
  <c r="M50" i="26"/>
  <c r="N50" i="26"/>
  <c r="P50" i="26"/>
  <c r="B51" i="26"/>
  <c r="C51" i="26"/>
  <c r="D51" i="26"/>
  <c r="I51" i="26" s="1"/>
  <c r="V51" i="26" s="1"/>
  <c r="K51" i="26"/>
  <c r="L51" i="26"/>
  <c r="M51" i="26"/>
  <c r="N51" i="26"/>
  <c r="P51" i="26"/>
  <c r="B52" i="26"/>
  <c r="C52" i="26"/>
  <c r="D52" i="26"/>
  <c r="I52" i="26"/>
  <c r="V52" i="26" s="1"/>
  <c r="K52" i="26"/>
  <c r="L52" i="26"/>
  <c r="M52" i="26"/>
  <c r="N52" i="26"/>
  <c r="P52" i="26"/>
  <c r="B53" i="26"/>
  <c r="C53" i="26"/>
  <c r="D53" i="26"/>
  <c r="I53" i="26"/>
  <c r="K53" i="26"/>
  <c r="L53" i="26"/>
  <c r="M53" i="26"/>
  <c r="N53" i="26"/>
  <c r="P53" i="26"/>
  <c r="V53" i="26"/>
  <c r="B54" i="26"/>
  <c r="C54" i="26"/>
  <c r="D54" i="26"/>
  <c r="I54" i="26" s="1"/>
  <c r="K54" i="26"/>
  <c r="L54" i="26"/>
  <c r="M54" i="26"/>
  <c r="N54" i="26"/>
  <c r="P54" i="26"/>
  <c r="V54" i="26"/>
  <c r="B55" i="26"/>
  <c r="C55" i="26"/>
  <c r="D55" i="26"/>
  <c r="I55" i="26"/>
  <c r="K55" i="26"/>
  <c r="L55" i="26"/>
  <c r="M55" i="26"/>
  <c r="N55" i="26"/>
  <c r="P55" i="26"/>
  <c r="V55" i="26"/>
  <c r="B56" i="26"/>
  <c r="C56" i="26"/>
  <c r="D56" i="26"/>
  <c r="I56" i="26" s="1"/>
  <c r="V56" i="26" s="1"/>
  <c r="K56" i="26"/>
  <c r="L56" i="26"/>
  <c r="M56" i="26"/>
  <c r="N56" i="26"/>
  <c r="P56" i="26"/>
  <c r="B57" i="26"/>
  <c r="C57" i="26"/>
  <c r="D57" i="26"/>
  <c r="I57" i="26"/>
  <c r="V57" i="26" s="1"/>
  <c r="K57" i="26"/>
  <c r="L57" i="26"/>
  <c r="M57" i="26"/>
  <c r="N57" i="26"/>
  <c r="P57" i="26"/>
  <c r="B58" i="26"/>
  <c r="C58" i="26"/>
  <c r="D58" i="26"/>
  <c r="I58" i="26" s="1"/>
  <c r="V58" i="26" s="1"/>
  <c r="K58" i="26"/>
  <c r="L58" i="26"/>
  <c r="M58" i="26"/>
  <c r="N58" i="26"/>
  <c r="P58" i="26"/>
  <c r="B59" i="26"/>
  <c r="C59" i="26"/>
  <c r="D59" i="26"/>
  <c r="I59" i="26" s="1"/>
  <c r="V59" i="26" s="1"/>
  <c r="K59" i="26"/>
  <c r="L59" i="26"/>
  <c r="M59" i="26"/>
  <c r="N59" i="26"/>
  <c r="P59" i="26"/>
  <c r="B60" i="26"/>
  <c r="C60" i="26"/>
  <c r="D60" i="26"/>
  <c r="I60" i="26"/>
  <c r="V60" i="26" s="1"/>
  <c r="K60" i="26"/>
  <c r="L60" i="26"/>
  <c r="M60" i="26"/>
  <c r="N60" i="26"/>
  <c r="P60" i="26"/>
  <c r="B61" i="26"/>
  <c r="C61" i="26"/>
  <c r="D61" i="26"/>
  <c r="I61" i="26" s="1"/>
  <c r="V61" i="26" s="1"/>
  <c r="K61" i="26"/>
  <c r="L61" i="26"/>
  <c r="M61" i="26"/>
  <c r="N61" i="26"/>
  <c r="P61" i="26"/>
  <c r="B62" i="26"/>
  <c r="C62" i="26"/>
  <c r="D62" i="26"/>
  <c r="I62" i="26"/>
  <c r="V62" i="26" s="1"/>
  <c r="K62" i="26"/>
  <c r="L62" i="26"/>
  <c r="M62" i="26"/>
  <c r="N62" i="26"/>
  <c r="P62" i="26"/>
  <c r="B63" i="26"/>
  <c r="C63" i="26"/>
  <c r="D63" i="26"/>
  <c r="I63" i="26"/>
  <c r="V63" i="26" s="1"/>
  <c r="K63" i="26"/>
  <c r="L63" i="26"/>
  <c r="M63" i="26"/>
  <c r="N63" i="26"/>
  <c r="P63" i="26"/>
  <c r="B64" i="26"/>
  <c r="C64" i="26"/>
  <c r="D64" i="26"/>
  <c r="I64" i="26" s="1"/>
  <c r="V64" i="26" s="1"/>
  <c r="K64" i="26"/>
  <c r="L64" i="26"/>
  <c r="M64" i="26"/>
  <c r="N64" i="26"/>
  <c r="P64" i="26"/>
  <c r="B65" i="26"/>
  <c r="C65" i="26"/>
  <c r="D65" i="26"/>
  <c r="I65" i="26"/>
  <c r="V65" i="26" s="1"/>
  <c r="K65" i="26"/>
  <c r="L65" i="26"/>
  <c r="M65" i="26"/>
  <c r="N65" i="26"/>
  <c r="P65" i="26"/>
  <c r="B66" i="26"/>
  <c r="C66" i="26"/>
  <c r="D66" i="26"/>
  <c r="I66" i="26" s="1"/>
  <c r="V66" i="26" s="1"/>
  <c r="K66" i="26"/>
  <c r="L66" i="26"/>
  <c r="M66" i="26"/>
  <c r="N66" i="26"/>
  <c r="P66" i="26"/>
  <c r="B67" i="26"/>
  <c r="C67" i="26"/>
  <c r="D67" i="26"/>
  <c r="I67" i="26" s="1"/>
  <c r="K67" i="26"/>
  <c r="L67" i="26"/>
  <c r="M67" i="26"/>
  <c r="N67" i="26"/>
  <c r="P67" i="26"/>
  <c r="V67" i="26"/>
  <c r="B68" i="26"/>
  <c r="C68" i="26"/>
  <c r="D68" i="26"/>
  <c r="I68" i="26" s="1"/>
  <c r="V68" i="26" s="1"/>
  <c r="K68" i="26"/>
  <c r="L68" i="26"/>
  <c r="M68" i="26"/>
  <c r="N68" i="26"/>
  <c r="P68" i="26"/>
  <c r="B69" i="26"/>
  <c r="C69" i="26"/>
  <c r="D69" i="26"/>
  <c r="I69" i="26" s="1"/>
  <c r="V69" i="26" s="1"/>
  <c r="K69" i="26"/>
  <c r="L69" i="26"/>
  <c r="M69" i="26"/>
  <c r="N69" i="26"/>
  <c r="P69" i="26"/>
  <c r="B70" i="26"/>
  <c r="C70" i="26"/>
  <c r="D70" i="26"/>
  <c r="I70" i="26"/>
  <c r="V70" i="26" s="1"/>
  <c r="K70" i="26"/>
  <c r="L70" i="26"/>
  <c r="M70" i="26"/>
  <c r="N70" i="26"/>
  <c r="P70" i="26"/>
  <c r="B71" i="26"/>
  <c r="C71" i="26"/>
  <c r="D71" i="26"/>
  <c r="I71" i="26"/>
  <c r="V71" i="26" s="1"/>
  <c r="K71" i="26"/>
  <c r="L71" i="26"/>
  <c r="M71" i="26"/>
  <c r="N71" i="26"/>
  <c r="P71" i="26"/>
  <c r="B72" i="26"/>
  <c r="C72" i="26"/>
  <c r="D72" i="26"/>
  <c r="I72" i="26"/>
  <c r="V72" i="26" s="1"/>
  <c r="K72" i="26"/>
  <c r="L72" i="26"/>
  <c r="M72" i="26"/>
  <c r="N72" i="26"/>
  <c r="P72" i="26"/>
  <c r="B73" i="26"/>
  <c r="C73" i="26"/>
  <c r="H73" i="26" s="1"/>
  <c r="D73" i="26"/>
  <c r="I73" i="26" s="1"/>
  <c r="V73" i="26" s="1"/>
  <c r="K73" i="26"/>
  <c r="L73" i="26"/>
  <c r="M73" i="26"/>
  <c r="N73" i="26"/>
  <c r="P73" i="26"/>
  <c r="B74" i="26"/>
  <c r="C74" i="26"/>
  <c r="D74" i="26"/>
  <c r="I74" i="26" s="1"/>
  <c r="K74" i="26"/>
  <c r="L74" i="26"/>
  <c r="M74" i="26"/>
  <c r="N74" i="26"/>
  <c r="P74" i="26"/>
  <c r="V74" i="26"/>
  <c r="B75" i="26"/>
  <c r="C75" i="26"/>
  <c r="D75" i="26"/>
  <c r="I75" i="26"/>
  <c r="V75" i="26" s="1"/>
  <c r="K75" i="26"/>
  <c r="L75" i="26"/>
  <c r="M75" i="26"/>
  <c r="N75" i="26"/>
  <c r="P75" i="26"/>
  <c r="B76" i="26"/>
  <c r="C76" i="26"/>
  <c r="D76" i="26"/>
  <c r="I76" i="26"/>
  <c r="K76" i="26"/>
  <c r="L76" i="26"/>
  <c r="M76" i="26"/>
  <c r="N76" i="26"/>
  <c r="P76" i="26"/>
  <c r="V76" i="26"/>
  <c r="B77" i="26"/>
  <c r="C77" i="26"/>
  <c r="D77" i="26"/>
  <c r="I77" i="26"/>
  <c r="V77" i="26" s="1"/>
  <c r="K77" i="26"/>
  <c r="L77" i="26"/>
  <c r="M77" i="26"/>
  <c r="N77" i="26"/>
  <c r="P77" i="26"/>
  <c r="B78" i="26"/>
  <c r="C78" i="26"/>
  <c r="D78" i="26"/>
  <c r="I78" i="26"/>
  <c r="V78" i="26" s="1"/>
  <c r="K78" i="26"/>
  <c r="L78" i="26"/>
  <c r="M78" i="26"/>
  <c r="N78" i="26"/>
  <c r="P78" i="26"/>
  <c r="B79" i="26"/>
  <c r="C79" i="26"/>
  <c r="D79" i="26"/>
  <c r="I79" i="26"/>
  <c r="V79" i="26" s="1"/>
  <c r="K79" i="26"/>
  <c r="L79" i="26"/>
  <c r="M79" i="26"/>
  <c r="N79" i="26"/>
  <c r="P79" i="26"/>
  <c r="B80" i="26"/>
  <c r="C80" i="26"/>
  <c r="D80" i="26"/>
  <c r="I80" i="26" s="1"/>
  <c r="V80" i="26" s="1"/>
  <c r="K80" i="26"/>
  <c r="L80" i="26"/>
  <c r="M80" i="26"/>
  <c r="N80" i="26"/>
  <c r="P80" i="26"/>
  <c r="B81" i="26"/>
  <c r="C81" i="26"/>
  <c r="D81" i="26"/>
  <c r="I81" i="26"/>
  <c r="V81" i="26" s="1"/>
  <c r="K81" i="26"/>
  <c r="L81" i="26"/>
  <c r="M81" i="26"/>
  <c r="N81" i="26"/>
  <c r="P81" i="26"/>
  <c r="B82" i="26"/>
  <c r="C82" i="26"/>
  <c r="D82" i="26"/>
  <c r="I82" i="26" s="1"/>
  <c r="V82" i="26" s="1"/>
  <c r="K82" i="26"/>
  <c r="L82" i="26"/>
  <c r="M82" i="26"/>
  <c r="N82" i="26"/>
  <c r="P82" i="26"/>
  <c r="B83" i="26"/>
  <c r="C83" i="26"/>
  <c r="D83" i="26"/>
  <c r="I83" i="26"/>
  <c r="K83" i="26"/>
  <c r="L83" i="26"/>
  <c r="M83" i="26"/>
  <c r="N83" i="26"/>
  <c r="P83" i="26"/>
  <c r="V83" i="26"/>
  <c r="B84" i="26"/>
  <c r="C84" i="26"/>
  <c r="D84" i="26"/>
  <c r="I84" i="26"/>
  <c r="V84" i="26" s="1"/>
  <c r="K84" i="26"/>
  <c r="L84" i="26"/>
  <c r="M84" i="26"/>
  <c r="N84" i="26"/>
  <c r="P84" i="26"/>
  <c r="B85" i="26"/>
  <c r="C85" i="26"/>
  <c r="D85" i="26"/>
  <c r="I85" i="26"/>
  <c r="V85" i="26" s="1"/>
  <c r="K85" i="26"/>
  <c r="L85" i="26"/>
  <c r="M85" i="26"/>
  <c r="N85" i="26"/>
  <c r="P85" i="26"/>
  <c r="B86" i="26"/>
  <c r="C86" i="26"/>
  <c r="D86" i="26"/>
  <c r="I86" i="26" s="1"/>
  <c r="V86" i="26" s="1"/>
  <c r="K86" i="26"/>
  <c r="L86" i="26"/>
  <c r="M86" i="26"/>
  <c r="N86" i="26"/>
  <c r="P86" i="26"/>
  <c r="B87" i="26"/>
  <c r="C87" i="26"/>
  <c r="D87" i="26"/>
  <c r="I87" i="26"/>
  <c r="V87" i="26" s="1"/>
  <c r="K87" i="26"/>
  <c r="L87" i="26"/>
  <c r="M87" i="26"/>
  <c r="N87" i="26"/>
  <c r="P87" i="26"/>
  <c r="B88" i="26"/>
  <c r="C88" i="26"/>
  <c r="D88" i="26"/>
  <c r="I88" i="26" s="1"/>
  <c r="V88" i="26" s="1"/>
  <c r="K88" i="26"/>
  <c r="L88" i="26"/>
  <c r="M88" i="26"/>
  <c r="N88" i="26"/>
  <c r="P88" i="26"/>
  <c r="B89" i="26"/>
  <c r="C89" i="26"/>
  <c r="D89" i="26"/>
  <c r="I89" i="26" s="1"/>
  <c r="V89" i="26" s="1"/>
  <c r="K89" i="26"/>
  <c r="L89" i="26"/>
  <c r="M89" i="26"/>
  <c r="N89" i="26"/>
  <c r="P89" i="26"/>
  <c r="B90" i="26"/>
  <c r="C90" i="26"/>
  <c r="D90" i="26"/>
  <c r="I90" i="26" s="1"/>
  <c r="V90" i="26" s="1"/>
  <c r="K90" i="26"/>
  <c r="L90" i="26"/>
  <c r="M90" i="26"/>
  <c r="N90" i="26"/>
  <c r="P90" i="26"/>
  <c r="B91" i="26"/>
  <c r="C91" i="26"/>
  <c r="D91" i="26"/>
  <c r="I91" i="26"/>
  <c r="V91" i="26" s="1"/>
  <c r="K91" i="26"/>
  <c r="L91" i="26"/>
  <c r="M91" i="26"/>
  <c r="N91" i="26"/>
  <c r="P91" i="26"/>
  <c r="B92" i="26"/>
  <c r="C92" i="26"/>
  <c r="D92" i="26"/>
  <c r="I92" i="26"/>
  <c r="V92" i="26" s="1"/>
  <c r="K92" i="26"/>
  <c r="L92" i="26"/>
  <c r="M92" i="26"/>
  <c r="N92" i="26"/>
  <c r="P92" i="26"/>
  <c r="B93" i="26"/>
  <c r="C93" i="26"/>
  <c r="D93" i="26"/>
  <c r="I93" i="26"/>
  <c r="K93" i="26"/>
  <c r="L93" i="26"/>
  <c r="M93" i="26"/>
  <c r="N93" i="26"/>
  <c r="P93" i="26"/>
  <c r="V93" i="26"/>
  <c r="B94" i="26"/>
  <c r="C94" i="26"/>
  <c r="D94" i="26"/>
  <c r="I94" i="26"/>
  <c r="V94" i="26" s="1"/>
  <c r="K94" i="26"/>
  <c r="L94" i="26"/>
  <c r="M94" i="26"/>
  <c r="N94" i="26"/>
  <c r="P94" i="26"/>
  <c r="B95" i="26"/>
  <c r="C95" i="26"/>
  <c r="H95" i="26" s="1"/>
  <c r="D95" i="26"/>
  <c r="I95" i="26"/>
  <c r="J95" i="26"/>
  <c r="K95" i="26"/>
  <c r="L95" i="26"/>
  <c r="M95" i="26"/>
  <c r="N95" i="26"/>
  <c r="P95" i="26"/>
  <c r="U95" i="26"/>
  <c r="V95" i="26"/>
  <c r="B96" i="26"/>
  <c r="C96" i="26"/>
  <c r="H96" i="26" s="1"/>
  <c r="D96" i="26"/>
  <c r="I96" i="26"/>
  <c r="V96" i="26" s="1"/>
  <c r="K96" i="26"/>
  <c r="L96" i="26"/>
  <c r="M96" i="26"/>
  <c r="N96" i="26"/>
  <c r="P96" i="26"/>
  <c r="B97" i="26"/>
  <c r="C97" i="26"/>
  <c r="D97" i="26"/>
  <c r="I97" i="26" s="1"/>
  <c r="V97" i="26" s="1"/>
  <c r="K97" i="26"/>
  <c r="L97" i="26"/>
  <c r="M97" i="26"/>
  <c r="N97" i="26"/>
  <c r="P97" i="26"/>
  <c r="B98" i="26"/>
  <c r="C98" i="26"/>
  <c r="D98" i="26"/>
  <c r="I98" i="26" s="1"/>
  <c r="V98" i="26" s="1"/>
  <c r="K98" i="26"/>
  <c r="L98" i="26"/>
  <c r="M98" i="26"/>
  <c r="N98" i="26"/>
  <c r="P98" i="26"/>
  <c r="J73" i="26" l="1"/>
  <c r="J8" i="26"/>
  <c r="U8" i="26"/>
  <c r="H9" i="26"/>
  <c r="J96" i="26"/>
  <c r="U96" i="26"/>
  <c r="H13" i="26"/>
  <c r="J12" i="26"/>
  <c r="H14" i="26"/>
  <c r="H15" i="26" s="1"/>
  <c r="U73" i="26"/>
  <c r="H74" i="26"/>
  <c r="H75" i="26" s="1"/>
  <c r="H97" i="26"/>
  <c r="G13" i="26"/>
  <c r="G14" i="26" s="1"/>
  <c r="G15" i="26" s="1"/>
  <c r="G16" i="26" s="1"/>
  <c r="G17" i="26" s="1"/>
  <c r="G18" i="26" s="1"/>
  <c r="G19" i="26" s="1"/>
  <c r="G20" i="26" s="1"/>
  <c r="G21" i="26" s="1"/>
  <c r="G22" i="26" s="1"/>
  <c r="G23" i="26" s="1"/>
  <c r="G24" i="26" s="1"/>
  <c r="G25" i="26" s="1"/>
  <c r="G26" i="26" s="1"/>
  <c r="G27" i="26" s="1"/>
  <c r="G28" i="26" s="1"/>
  <c r="G29" i="26" s="1"/>
  <c r="G30" i="26" s="1"/>
  <c r="G31" i="26" s="1"/>
  <c r="G32" i="26" s="1"/>
  <c r="G33" i="26" s="1"/>
  <c r="G34" i="26" s="1"/>
  <c r="G35" i="26" s="1"/>
  <c r="G36" i="26" s="1"/>
  <c r="G37" i="26" s="1"/>
  <c r="G38" i="26" s="1"/>
  <c r="G39" i="26" s="1"/>
  <c r="G40" i="26" s="1"/>
  <c r="G41" i="26" s="1"/>
  <c r="G42" i="26" s="1"/>
  <c r="G43" i="26" s="1"/>
  <c r="G44" i="26" s="1"/>
  <c r="G45" i="26" s="1"/>
  <c r="G46" i="26" s="1"/>
  <c r="G47" i="26" s="1"/>
  <c r="G48" i="26" s="1"/>
  <c r="G49" i="26" s="1"/>
  <c r="G50" i="26" s="1"/>
  <c r="G51" i="26" s="1"/>
  <c r="G52" i="26" s="1"/>
  <c r="G53" i="26" s="1"/>
  <c r="G54" i="26" s="1"/>
  <c r="G55" i="26" s="1"/>
  <c r="G56" i="26" s="1"/>
  <c r="G57" i="26" s="1"/>
  <c r="G58" i="26" s="1"/>
  <c r="G59" i="26" s="1"/>
  <c r="G60" i="26" s="1"/>
  <c r="G61" i="26" s="1"/>
  <c r="G62" i="26" s="1"/>
  <c r="G63" i="26" s="1"/>
  <c r="G64" i="26" s="1"/>
  <c r="G65" i="26" s="1"/>
  <c r="G66" i="26" s="1"/>
  <c r="G67" i="26" s="1"/>
  <c r="G68" i="26" s="1"/>
  <c r="G69" i="26" s="1"/>
  <c r="G70" i="26" s="1"/>
  <c r="G71" i="26" s="1"/>
  <c r="G72" i="26" s="1"/>
  <c r="G73" i="26" s="1"/>
  <c r="G74" i="26" s="1"/>
  <c r="G75" i="26" s="1"/>
  <c r="G76" i="26" s="1"/>
  <c r="G77" i="26" s="1"/>
  <c r="G78" i="26" s="1"/>
  <c r="G79" i="26" s="1"/>
  <c r="G80" i="26" s="1"/>
  <c r="G81" i="26" s="1"/>
  <c r="G82" i="26" s="1"/>
  <c r="G83" i="26" s="1"/>
  <c r="G84" i="26" s="1"/>
  <c r="G85" i="26" s="1"/>
  <c r="G86" i="26" s="1"/>
  <c r="G87" i="26" s="1"/>
  <c r="G88" i="26" s="1"/>
  <c r="G89" i="26" s="1"/>
  <c r="G90" i="26" s="1"/>
  <c r="G91" i="26" s="1"/>
  <c r="G92" i="26" s="1"/>
  <c r="G93" i="26" s="1"/>
  <c r="G94" i="26" s="1"/>
  <c r="G95" i="26" s="1"/>
  <c r="G96" i="26" s="1"/>
  <c r="G97" i="26" s="1"/>
  <c r="G98" i="26" s="1"/>
  <c r="G99" i="26" s="1"/>
  <c r="G100" i="26" s="1"/>
  <c r="G101" i="26" s="1"/>
  <c r="G102" i="26" s="1"/>
  <c r="G103" i="26" s="1"/>
  <c r="G104" i="26" s="1"/>
  <c r="G105" i="26" s="1"/>
  <c r="G106" i="26" s="1"/>
  <c r="G107" i="26" s="1"/>
  <c r="G108" i="26" s="1"/>
  <c r="G109" i="26" s="1"/>
  <c r="G110" i="26" s="1"/>
  <c r="J15" i="26" l="1"/>
  <c r="U15" i="26"/>
  <c r="H16" i="26"/>
  <c r="J75" i="26"/>
  <c r="U75" i="26"/>
  <c r="J74" i="26"/>
  <c r="U74" i="26"/>
  <c r="U9" i="26"/>
  <c r="J9" i="26"/>
  <c r="H10" i="26"/>
  <c r="U14" i="26"/>
  <c r="J14" i="26"/>
  <c r="H76" i="26"/>
  <c r="J13" i="26"/>
  <c r="U13" i="26"/>
  <c r="U97" i="26"/>
  <c r="J97" i="26"/>
  <c r="H98" i="26"/>
  <c r="D24" i="4"/>
  <c r="H11" i="26" l="1"/>
  <c r="J10" i="26"/>
  <c r="H77" i="26"/>
  <c r="J76" i="26"/>
  <c r="U76" i="26"/>
  <c r="U98" i="26"/>
  <c r="J98" i="26"/>
  <c r="J16" i="26"/>
  <c r="H17" i="26"/>
  <c r="U16" i="26"/>
  <c r="AG10" i="78"/>
  <c r="AG13" i="85"/>
  <c r="AG12" i="85"/>
  <c r="J77" i="26" l="1"/>
  <c r="U77" i="26"/>
  <c r="H78" i="26"/>
  <c r="U17" i="26"/>
  <c r="H18" i="26"/>
  <c r="J17" i="26"/>
  <c r="J11" i="26"/>
  <c r="P4" i="26"/>
  <c r="H19" i="26" l="1"/>
  <c r="J18" i="26"/>
  <c r="U18" i="26"/>
  <c r="U78" i="26"/>
  <c r="J78" i="26"/>
  <c r="H79" i="26"/>
  <c r="J79" i="26" l="1"/>
  <c r="U79" i="26"/>
  <c r="H80" i="26"/>
  <c r="J19" i="26"/>
  <c r="U19" i="26"/>
  <c r="H20" i="26"/>
  <c r="E6" i="86"/>
  <c r="H21" i="26" l="1"/>
  <c r="J20" i="26"/>
  <c r="U20" i="26"/>
  <c r="J80" i="26"/>
  <c r="H81" i="26"/>
  <c r="U80" i="26"/>
  <c r="D6" i="86"/>
  <c r="J21" i="26" l="1"/>
  <c r="U21" i="26"/>
  <c r="H22" i="26"/>
  <c r="U81" i="26"/>
  <c r="J81" i="26"/>
  <c r="H82" i="26"/>
  <c r="M24" i="4"/>
  <c r="L24" i="4"/>
  <c r="K24" i="4"/>
  <c r="J24" i="4"/>
  <c r="I24" i="4"/>
  <c r="H24" i="4"/>
  <c r="G24" i="4"/>
  <c r="F24" i="4"/>
  <c r="E24" i="4"/>
  <c r="J82" i="26" l="1"/>
  <c r="U82" i="26"/>
  <c r="H83" i="26"/>
  <c r="U22" i="26"/>
  <c r="J22" i="26"/>
  <c r="H23" i="26"/>
  <c r="AG13" i="82"/>
  <c r="AG11" i="79"/>
  <c r="AG12" i="78"/>
  <c r="AG11" i="78"/>
  <c r="J23" i="26" l="1"/>
  <c r="U23" i="26"/>
  <c r="H24" i="26"/>
  <c r="J83" i="26"/>
  <c r="U83" i="26"/>
  <c r="H84" i="26"/>
  <c r="AG12" i="79"/>
  <c r="V13" i="4"/>
  <c r="V12" i="4"/>
  <c r="U84" i="26" l="1"/>
  <c r="H85" i="26"/>
  <c r="J84" i="26"/>
  <c r="J24" i="26"/>
  <c r="H25" i="26"/>
  <c r="U24" i="26"/>
  <c r="W13" i="4"/>
  <c r="V14" i="4"/>
  <c r="U25" i="26" l="1"/>
  <c r="J25" i="26"/>
  <c r="H26" i="26"/>
  <c r="U85" i="26"/>
  <c r="J85" i="26"/>
  <c r="H86" i="26"/>
  <c r="V11" i="4"/>
  <c r="U86" i="26" l="1"/>
  <c r="J86" i="26"/>
  <c r="H87" i="26"/>
  <c r="H27" i="26"/>
  <c r="J26" i="26"/>
  <c r="U26" i="26"/>
  <c r="AG10" i="81"/>
  <c r="AG14" i="80"/>
  <c r="AG14" i="78"/>
  <c r="AG13" i="78"/>
  <c r="J27" i="26" l="1"/>
  <c r="U27" i="26"/>
  <c r="H28" i="26"/>
  <c r="U87" i="26"/>
  <c r="J87" i="26"/>
  <c r="H88" i="26"/>
  <c r="AG15" i="80"/>
  <c r="J88" i="26" l="1"/>
  <c r="U88" i="26"/>
  <c r="H89" i="26"/>
  <c r="H29" i="26"/>
  <c r="U28" i="26"/>
  <c r="J28" i="26"/>
  <c r="L6" i="86"/>
  <c r="G6" i="86"/>
  <c r="C6" i="86" s="1"/>
  <c r="N6" i="86"/>
  <c r="M6" i="86" s="1"/>
  <c r="J29" i="26" l="1"/>
  <c r="U29" i="26"/>
  <c r="H30" i="26"/>
  <c r="U89" i="26"/>
  <c r="J89" i="26"/>
  <c r="H90" i="26"/>
  <c r="O6" i="86"/>
  <c r="S6" i="86"/>
  <c r="R6" i="86" s="1"/>
  <c r="N6" i="52"/>
  <c r="N7" i="52" s="1"/>
  <c r="F6" i="86"/>
  <c r="X10" i="86"/>
  <c r="AG14" i="82"/>
  <c r="H91" i="26" l="1"/>
  <c r="U90" i="26"/>
  <c r="J90" i="26"/>
  <c r="U30" i="26"/>
  <c r="H31" i="26"/>
  <c r="J30" i="26"/>
  <c r="X13" i="86"/>
  <c r="AF18" i="86"/>
  <c r="M62" i="52" s="1"/>
  <c r="X14" i="86"/>
  <c r="E58" i="52" s="1"/>
  <c r="X18" i="86"/>
  <c r="E62" i="52" s="1"/>
  <c r="AF16" i="86"/>
  <c r="M60" i="52" s="1"/>
  <c r="X15" i="86"/>
  <c r="E59" i="52" s="1"/>
  <c r="X19" i="86"/>
  <c r="E63" i="52" s="1"/>
  <c r="AF15" i="86"/>
  <c r="M59" i="52" s="1"/>
  <c r="X16" i="86"/>
  <c r="E60" i="52" s="1"/>
  <c r="X17" i="86"/>
  <c r="E61" i="52" s="1"/>
  <c r="AF14" i="86"/>
  <c r="M58" i="52" s="1"/>
  <c r="X4" i="23"/>
  <c r="W4" i="23"/>
  <c r="V4" i="23"/>
  <c r="U4" i="23"/>
  <c r="T4" i="23"/>
  <c r="S4" i="23"/>
  <c r="R4" i="23"/>
  <c r="Q4" i="23"/>
  <c r="P4" i="23"/>
  <c r="O4" i="23"/>
  <c r="N4" i="23"/>
  <c r="M4" i="23"/>
  <c r="H4" i="23"/>
  <c r="G4" i="23"/>
  <c r="L4" i="23"/>
  <c r="K4" i="23"/>
  <c r="J4" i="23"/>
  <c r="I4" i="23"/>
  <c r="F4" i="23"/>
  <c r="E4" i="23"/>
  <c r="N6" i="4"/>
  <c r="N9" i="52" s="1"/>
  <c r="N10" i="52" s="1"/>
  <c r="J31" i="26" l="1"/>
  <c r="U31" i="26"/>
  <c r="H32" i="26"/>
  <c r="J91" i="26"/>
  <c r="U91" i="26"/>
  <c r="H92" i="26"/>
  <c r="E57" i="52"/>
  <c r="E64" i="52" s="1"/>
  <c r="AF13" i="86"/>
  <c r="M57" i="52" s="1"/>
  <c r="M63" i="52" s="1"/>
  <c r="C13" i="4"/>
  <c r="H93" i="26" l="1"/>
  <c r="U92" i="26"/>
  <c r="J92" i="26"/>
  <c r="J32" i="26"/>
  <c r="U32" i="26"/>
  <c r="H33" i="26"/>
  <c r="E7" i="23"/>
  <c r="F7" i="23"/>
  <c r="AG13" i="79"/>
  <c r="AG16" i="78"/>
  <c r="AG15" i="78"/>
  <c r="U33" i="26" l="1"/>
  <c r="H34" i="26"/>
  <c r="J33" i="26"/>
  <c r="J93" i="26"/>
  <c r="U93" i="26"/>
  <c r="H94" i="26"/>
  <c r="C4" i="23"/>
  <c r="D4" i="23"/>
  <c r="G4" i="52"/>
  <c r="U94" i="26" l="1"/>
  <c r="J94" i="26"/>
  <c r="J34" i="26"/>
  <c r="H35" i="26"/>
  <c r="U34" i="26"/>
  <c r="L4" i="26"/>
  <c r="M4" i="26"/>
  <c r="N4" i="26"/>
  <c r="K4" i="26"/>
  <c r="B2" i="26"/>
  <c r="C2" i="26"/>
  <c r="D2" i="26"/>
  <c r="B3" i="26"/>
  <c r="C3" i="26"/>
  <c r="D3" i="26"/>
  <c r="B4" i="26"/>
  <c r="C4" i="26"/>
  <c r="D4" i="26"/>
  <c r="C1" i="26"/>
  <c r="D1" i="26"/>
  <c r="J35" i="26" l="1"/>
  <c r="U35" i="26"/>
  <c r="H36" i="26"/>
  <c r="K3" i="26"/>
  <c r="L3" i="26"/>
  <c r="M3" i="26"/>
  <c r="N3" i="26"/>
  <c r="O3" i="26"/>
  <c r="P3" i="26"/>
  <c r="G3" i="26"/>
  <c r="H3" i="26"/>
  <c r="I3" i="26"/>
  <c r="H37" i="26" l="1"/>
  <c r="J36" i="26"/>
  <c r="U36" i="26"/>
  <c r="AG14" i="79"/>
  <c r="AG17" i="78"/>
  <c r="I4" i="26"/>
  <c r="G4" i="26"/>
  <c r="G5" i="26" s="1"/>
  <c r="G6" i="26" s="1"/>
  <c r="G7" i="26" s="1"/>
  <c r="G8" i="26" s="1"/>
  <c r="G9" i="26" s="1"/>
  <c r="G10" i="26" s="1"/>
  <c r="G11" i="26" s="1"/>
  <c r="J37" i="26" l="1"/>
  <c r="H38" i="26"/>
  <c r="U37" i="26"/>
  <c r="AG18" i="78"/>
  <c r="U38" i="26" l="1"/>
  <c r="J38" i="26"/>
  <c r="H39" i="26"/>
  <c r="AG15" i="79"/>
  <c r="AG19" i="78"/>
  <c r="U39" i="26" l="1"/>
  <c r="J39" i="26"/>
  <c r="H40" i="26"/>
  <c r="AG16" i="79"/>
  <c r="N4" i="4"/>
  <c r="J40" i="26" l="1"/>
  <c r="H41" i="26"/>
  <c r="U40" i="26"/>
  <c r="S2" i="77"/>
  <c r="S2" i="85"/>
  <c r="AG18" i="79"/>
  <c r="AG17" i="79"/>
  <c r="AG20" i="78"/>
  <c r="S2" i="81"/>
  <c r="AG152" i="85"/>
  <c r="AG151" i="85"/>
  <c r="AG150" i="85"/>
  <c r="AG149" i="85"/>
  <c r="AG148" i="85"/>
  <c r="AG147" i="85"/>
  <c r="AG146" i="85"/>
  <c r="AG145" i="85"/>
  <c r="AG144" i="85"/>
  <c r="AG143" i="85"/>
  <c r="AG142" i="85"/>
  <c r="AG141" i="85"/>
  <c r="AG140" i="85"/>
  <c r="AG139" i="85"/>
  <c r="AG138" i="85"/>
  <c r="AG137" i="85"/>
  <c r="AG136" i="85"/>
  <c r="AG135" i="85"/>
  <c r="AG134" i="85"/>
  <c r="AG133" i="85"/>
  <c r="AG132" i="85"/>
  <c r="AG131" i="85"/>
  <c r="AG130" i="85"/>
  <c r="AG129" i="85"/>
  <c r="AG128" i="85"/>
  <c r="AG127" i="85"/>
  <c r="AG126" i="85"/>
  <c r="AG125" i="85"/>
  <c r="AG124" i="85"/>
  <c r="AG123" i="85"/>
  <c r="AG122" i="85"/>
  <c r="AG121" i="85"/>
  <c r="AG120" i="85"/>
  <c r="AG119" i="85"/>
  <c r="AG118" i="85"/>
  <c r="AG117" i="85"/>
  <c r="AG116" i="85"/>
  <c r="AG115" i="85"/>
  <c r="AG114" i="85"/>
  <c r="AG113" i="85"/>
  <c r="AG112" i="85"/>
  <c r="AG111" i="85"/>
  <c r="AG110" i="85"/>
  <c r="AG109" i="85"/>
  <c r="AG108" i="85"/>
  <c r="AG107" i="85"/>
  <c r="AG106" i="85"/>
  <c r="AG105" i="85"/>
  <c r="AG104" i="85"/>
  <c r="AG103" i="85"/>
  <c r="AG102" i="85"/>
  <c r="AG101" i="85"/>
  <c r="AG100" i="85"/>
  <c r="AG99" i="85"/>
  <c r="AG98" i="85"/>
  <c r="AG97" i="85"/>
  <c r="AG96" i="85"/>
  <c r="AG95" i="85"/>
  <c r="AG94" i="85"/>
  <c r="AG93" i="85"/>
  <c r="AG92" i="85"/>
  <c r="AG91" i="85"/>
  <c r="AG90" i="85"/>
  <c r="AG89" i="85"/>
  <c r="AG88" i="85"/>
  <c r="AG87" i="85"/>
  <c r="AG86" i="85"/>
  <c r="AG85" i="85"/>
  <c r="AG84" i="85"/>
  <c r="AG83" i="85"/>
  <c r="AG82" i="85"/>
  <c r="AG81" i="85"/>
  <c r="AG80" i="85"/>
  <c r="AG79" i="85"/>
  <c r="AG78" i="85"/>
  <c r="AG77" i="85"/>
  <c r="AG76" i="85"/>
  <c r="AG75" i="85"/>
  <c r="AG74" i="85"/>
  <c r="AG73" i="85"/>
  <c r="AG72" i="85"/>
  <c r="AG71" i="85"/>
  <c r="AG70" i="85"/>
  <c r="AG69" i="85"/>
  <c r="AG68" i="85"/>
  <c r="AG67" i="85"/>
  <c r="AG66" i="85"/>
  <c r="AG65" i="85"/>
  <c r="AG64" i="85"/>
  <c r="AG63" i="85"/>
  <c r="AG62" i="85"/>
  <c r="AG61" i="85"/>
  <c r="AG60" i="85"/>
  <c r="AG59" i="85"/>
  <c r="AG58" i="85"/>
  <c r="AG57" i="85"/>
  <c r="AG56" i="85"/>
  <c r="AG55" i="85"/>
  <c r="AG54" i="85"/>
  <c r="AG53" i="85"/>
  <c r="AG52" i="85"/>
  <c r="AG51" i="85"/>
  <c r="AG50" i="85"/>
  <c r="AG49" i="85"/>
  <c r="AG48" i="85"/>
  <c r="AG47" i="85"/>
  <c r="AG46" i="85"/>
  <c r="AG45" i="85"/>
  <c r="AG44" i="85"/>
  <c r="AG43" i="85"/>
  <c r="AG42" i="85"/>
  <c r="AG41" i="85"/>
  <c r="AG40" i="85"/>
  <c r="AG39" i="85"/>
  <c r="AG38" i="85"/>
  <c r="AG37" i="85"/>
  <c r="AG36" i="85"/>
  <c r="AG35" i="85"/>
  <c r="AG34" i="85"/>
  <c r="AG33" i="85"/>
  <c r="AG32" i="85"/>
  <c r="AG31" i="85"/>
  <c r="AG30" i="85"/>
  <c r="AG29" i="85"/>
  <c r="AG28" i="85"/>
  <c r="AG27" i="85"/>
  <c r="AG26" i="85"/>
  <c r="AG25" i="85"/>
  <c r="AG24" i="85"/>
  <c r="AG23" i="85"/>
  <c r="AG22" i="85"/>
  <c r="AG21" i="85"/>
  <c r="AG20" i="85"/>
  <c r="AG19" i="85"/>
  <c r="AG18" i="85"/>
  <c r="AG17" i="85"/>
  <c r="AG16" i="85"/>
  <c r="AG15" i="85"/>
  <c r="AG14" i="85"/>
  <c r="Z5" i="85"/>
  <c r="AG151" i="84"/>
  <c r="AG150" i="84"/>
  <c r="AG149" i="84"/>
  <c r="AG148" i="84"/>
  <c r="AG147" i="84"/>
  <c r="AG146" i="84"/>
  <c r="AG145" i="84"/>
  <c r="AG144" i="84"/>
  <c r="AG143" i="84"/>
  <c r="AG142" i="84"/>
  <c r="AG141" i="84"/>
  <c r="AG140" i="84"/>
  <c r="AG139" i="84"/>
  <c r="AG138" i="84"/>
  <c r="AG137" i="84"/>
  <c r="AG136" i="84"/>
  <c r="AG135" i="84"/>
  <c r="AG134" i="84"/>
  <c r="AG133" i="84"/>
  <c r="AG132" i="84"/>
  <c r="AG131" i="84"/>
  <c r="AG130" i="84"/>
  <c r="AG129" i="84"/>
  <c r="AG128" i="84"/>
  <c r="AG127" i="84"/>
  <c r="AG126" i="84"/>
  <c r="AG125" i="84"/>
  <c r="AG124" i="84"/>
  <c r="AG123" i="84"/>
  <c r="AG122" i="84"/>
  <c r="AG121" i="84"/>
  <c r="AG120" i="84"/>
  <c r="AG119" i="84"/>
  <c r="AG118" i="84"/>
  <c r="AG117" i="84"/>
  <c r="AG116" i="84"/>
  <c r="AG115" i="84"/>
  <c r="AG114" i="84"/>
  <c r="AG113" i="84"/>
  <c r="AG112" i="84"/>
  <c r="AG111" i="84"/>
  <c r="AG110" i="84"/>
  <c r="AG109" i="84"/>
  <c r="AG108" i="84"/>
  <c r="AG107" i="84"/>
  <c r="AG106" i="84"/>
  <c r="AG105" i="84"/>
  <c r="AG104" i="84"/>
  <c r="AG103" i="84"/>
  <c r="AG102" i="84"/>
  <c r="AG101" i="84"/>
  <c r="AG100" i="84"/>
  <c r="AG99" i="84"/>
  <c r="AG98" i="84"/>
  <c r="AG97" i="84"/>
  <c r="AG96" i="84"/>
  <c r="AG95" i="84"/>
  <c r="AG94" i="84"/>
  <c r="AG93" i="84"/>
  <c r="AG92" i="84"/>
  <c r="AG91" i="84"/>
  <c r="AG90" i="84"/>
  <c r="AG89" i="84"/>
  <c r="AG88" i="84"/>
  <c r="AG87" i="84"/>
  <c r="AG86" i="84"/>
  <c r="AG85" i="84"/>
  <c r="AG84" i="84"/>
  <c r="AG83" i="84"/>
  <c r="AG82" i="84"/>
  <c r="AG81" i="84"/>
  <c r="AG80" i="84"/>
  <c r="AG79" i="84"/>
  <c r="AG78" i="84"/>
  <c r="AG77" i="84"/>
  <c r="AG76" i="84"/>
  <c r="AG75" i="84"/>
  <c r="AG74" i="84"/>
  <c r="AG73" i="84"/>
  <c r="AG72" i="84"/>
  <c r="AG71" i="84"/>
  <c r="AG70" i="84"/>
  <c r="AG69" i="84"/>
  <c r="AG68" i="84"/>
  <c r="AG67" i="84"/>
  <c r="AG66" i="84"/>
  <c r="AG65" i="84"/>
  <c r="AG64" i="84"/>
  <c r="AG63" i="84"/>
  <c r="AG62" i="84"/>
  <c r="AG61" i="84"/>
  <c r="AG60" i="84"/>
  <c r="AG59" i="84"/>
  <c r="AG58" i="84"/>
  <c r="AG57" i="84"/>
  <c r="AG56" i="84"/>
  <c r="AG55" i="84"/>
  <c r="AG54" i="84"/>
  <c r="AG53" i="84"/>
  <c r="AG52" i="84"/>
  <c r="AG51" i="84"/>
  <c r="AG50" i="84"/>
  <c r="AG49" i="84"/>
  <c r="AG48" i="84"/>
  <c r="AG47" i="84"/>
  <c r="AG46" i="84"/>
  <c r="AG45" i="84"/>
  <c r="AG44" i="84"/>
  <c r="AG43" i="84"/>
  <c r="AG42" i="84"/>
  <c r="AG41" i="84"/>
  <c r="AG40" i="84"/>
  <c r="AG39" i="84"/>
  <c r="AG38" i="84"/>
  <c r="AG37" i="84"/>
  <c r="AG36" i="84"/>
  <c r="AG35" i="84"/>
  <c r="AG34" i="84"/>
  <c r="AG33" i="84"/>
  <c r="AG32" i="84"/>
  <c r="AG31" i="84"/>
  <c r="AG30" i="84"/>
  <c r="AG29" i="84"/>
  <c r="AG28" i="84"/>
  <c r="AG27" i="84"/>
  <c r="AG26" i="84"/>
  <c r="AG25" i="84"/>
  <c r="AG24" i="84"/>
  <c r="AG23" i="84"/>
  <c r="AG22" i="84"/>
  <c r="AG21" i="84"/>
  <c r="AG20" i="84"/>
  <c r="AG19" i="84"/>
  <c r="AG18" i="84"/>
  <c r="AG17" i="84"/>
  <c r="AG16" i="84"/>
  <c r="AG15" i="84"/>
  <c r="AG14" i="84"/>
  <c r="AG13" i="84"/>
  <c r="AG12" i="84"/>
  <c r="Z5" i="84"/>
  <c r="AG151" i="83"/>
  <c r="AG150" i="83"/>
  <c r="AG149" i="83"/>
  <c r="AG148" i="83"/>
  <c r="AG147" i="83"/>
  <c r="AG146" i="83"/>
  <c r="AG145" i="83"/>
  <c r="AG144" i="83"/>
  <c r="AG143" i="83"/>
  <c r="AG142" i="83"/>
  <c r="AG141" i="83"/>
  <c r="AG140" i="83"/>
  <c r="AG139" i="83"/>
  <c r="AG138" i="83"/>
  <c r="AG137" i="83"/>
  <c r="AG136" i="83"/>
  <c r="AG135" i="83"/>
  <c r="AG134" i="83"/>
  <c r="AG133" i="83"/>
  <c r="AG132" i="83"/>
  <c r="AG131" i="83"/>
  <c r="AG130" i="83"/>
  <c r="AG129" i="83"/>
  <c r="AG128" i="83"/>
  <c r="AG127" i="83"/>
  <c r="AG126" i="83"/>
  <c r="AG125" i="83"/>
  <c r="AG124" i="83"/>
  <c r="AG123" i="83"/>
  <c r="AG122" i="83"/>
  <c r="AG121" i="83"/>
  <c r="AG120" i="83"/>
  <c r="AG119" i="83"/>
  <c r="AG118" i="83"/>
  <c r="AG117" i="83"/>
  <c r="AG116" i="83"/>
  <c r="AG115" i="83"/>
  <c r="AG114" i="83"/>
  <c r="AG113" i="83"/>
  <c r="AG112" i="83"/>
  <c r="AG111" i="83"/>
  <c r="AG110" i="83"/>
  <c r="AG109" i="83"/>
  <c r="AG108" i="83"/>
  <c r="AG107" i="83"/>
  <c r="AG106" i="83"/>
  <c r="AG105" i="83"/>
  <c r="AG104" i="83"/>
  <c r="AG103" i="83"/>
  <c r="AG102" i="83"/>
  <c r="AG101" i="83"/>
  <c r="AG100" i="83"/>
  <c r="AG99" i="83"/>
  <c r="AG98" i="83"/>
  <c r="AG97" i="83"/>
  <c r="AG96" i="83"/>
  <c r="AG95" i="83"/>
  <c r="AG94" i="83"/>
  <c r="AG93" i="83"/>
  <c r="AG92" i="83"/>
  <c r="AG91" i="83"/>
  <c r="AG90" i="83"/>
  <c r="AG89" i="83"/>
  <c r="AG88" i="83"/>
  <c r="AG87" i="83"/>
  <c r="AG86" i="83"/>
  <c r="AG85" i="83"/>
  <c r="AG84" i="83"/>
  <c r="AG83" i="83"/>
  <c r="AG82" i="83"/>
  <c r="AG81" i="83"/>
  <c r="AG80" i="83"/>
  <c r="AG79" i="83"/>
  <c r="AG78" i="83"/>
  <c r="AG77" i="83"/>
  <c r="AG76" i="83"/>
  <c r="AG75" i="83"/>
  <c r="AG74" i="83"/>
  <c r="AG73" i="83"/>
  <c r="AG72" i="83"/>
  <c r="AG71" i="83"/>
  <c r="AG70" i="83"/>
  <c r="AG69" i="83"/>
  <c r="AG68" i="83"/>
  <c r="AG67" i="83"/>
  <c r="AG66" i="83"/>
  <c r="AG65" i="83"/>
  <c r="AG64" i="83"/>
  <c r="AG63" i="83"/>
  <c r="AG62" i="83"/>
  <c r="AG61" i="83"/>
  <c r="AG60" i="83"/>
  <c r="AG59" i="83"/>
  <c r="AG58" i="83"/>
  <c r="AG57" i="83"/>
  <c r="AG56" i="83"/>
  <c r="AG55" i="83"/>
  <c r="AG54" i="83"/>
  <c r="AG53" i="83"/>
  <c r="AG52" i="83"/>
  <c r="AG51" i="83"/>
  <c r="AG50" i="83"/>
  <c r="AG49" i="83"/>
  <c r="AG48" i="83"/>
  <c r="AG47" i="83"/>
  <c r="AG46" i="83"/>
  <c r="AG45" i="83"/>
  <c r="AG44" i="83"/>
  <c r="AG43" i="83"/>
  <c r="AG42" i="83"/>
  <c r="AG41" i="83"/>
  <c r="AG40" i="83"/>
  <c r="AG39" i="83"/>
  <c r="AG38" i="83"/>
  <c r="AG37" i="83"/>
  <c r="AG36" i="83"/>
  <c r="AG35" i="83"/>
  <c r="AG34" i="83"/>
  <c r="AG33" i="83"/>
  <c r="AG32" i="83"/>
  <c r="AG31" i="83"/>
  <c r="AG30" i="83"/>
  <c r="AG29" i="83"/>
  <c r="AG28" i="83"/>
  <c r="AG27" i="83"/>
  <c r="AG26" i="83"/>
  <c r="AG25" i="83"/>
  <c r="AG24" i="83"/>
  <c r="AG23" i="83"/>
  <c r="AG22" i="83"/>
  <c r="AG21" i="83"/>
  <c r="AG20" i="83"/>
  <c r="AG19" i="83"/>
  <c r="AG18" i="83"/>
  <c r="AG17" i="83"/>
  <c r="AG16" i="83"/>
  <c r="AG15" i="83"/>
  <c r="AG14" i="83"/>
  <c r="AG13" i="83"/>
  <c r="S2" i="83"/>
  <c r="Z5" i="83"/>
  <c r="AG156" i="82"/>
  <c r="AG155" i="82"/>
  <c r="AG154" i="82"/>
  <c r="AG153" i="82"/>
  <c r="AG152" i="82"/>
  <c r="AG151" i="82"/>
  <c r="AG150" i="82"/>
  <c r="AG149" i="82"/>
  <c r="AG148" i="82"/>
  <c r="AG147" i="82"/>
  <c r="AG146" i="82"/>
  <c r="AG145" i="82"/>
  <c r="AG144" i="82"/>
  <c r="AG143" i="82"/>
  <c r="AG142" i="82"/>
  <c r="AG141" i="82"/>
  <c r="AG140" i="82"/>
  <c r="AG139" i="82"/>
  <c r="AG138" i="82"/>
  <c r="AG137" i="82"/>
  <c r="AG136" i="82"/>
  <c r="AG135" i="82"/>
  <c r="AG134" i="82"/>
  <c r="AG133" i="82"/>
  <c r="AG132" i="82"/>
  <c r="AG131" i="82"/>
  <c r="AG130" i="82"/>
  <c r="AG129" i="82"/>
  <c r="AG128" i="82"/>
  <c r="AG127" i="82"/>
  <c r="AG126" i="82"/>
  <c r="AG125" i="82"/>
  <c r="AG124" i="82"/>
  <c r="AG123" i="82"/>
  <c r="AG122" i="82"/>
  <c r="AG121" i="82"/>
  <c r="AG120" i="82"/>
  <c r="AG119" i="82"/>
  <c r="AG118" i="82"/>
  <c r="AG117" i="82"/>
  <c r="AG116" i="82"/>
  <c r="AG115" i="82"/>
  <c r="AG114" i="82"/>
  <c r="AG113" i="82"/>
  <c r="AG112" i="82"/>
  <c r="AG111" i="82"/>
  <c r="AG110" i="82"/>
  <c r="AG109" i="82"/>
  <c r="AG108" i="82"/>
  <c r="AG107" i="82"/>
  <c r="AG106" i="82"/>
  <c r="AG105" i="82"/>
  <c r="AG104" i="82"/>
  <c r="AG103" i="82"/>
  <c r="AG102" i="82"/>
  <c r="AG101" i="82"/>
  <c r="AG100" i="82"/>
  <c r="AG99" i="82"/>
  <c r="AG98" i="82"/>
  <c r="AG97" i="82"/>
  <c r="AG96" i="82"/>
  <c r="AG95" i="82"/>
  <c r="AG94" i="82"/>
  <c r="AG93" i="82"/>
  <c r="AG92" i="82"/>
  <c r="AG91" i="82"/>
  <c r="AG90" i="82"/>
  <c r="AG89" i="82"/>
  <c r="AG88" i="82"/>
  <c r="AG87" i="82"/>
  <c r="AG86" i="82"/>
  <c r="AG85" i="82"/>
  <c r="AG84" i="82"/>
  <c r="AG83" i="82"/>
  <c r="AG82" i="82"/>
  <c r="AG81" i="82"/>
  <c r="AG80" i="82"/>
  <c r="AG79" i="82"/>
  <c r="AG78" i="82"/>
  <c r="AG77" i="82"/>
  <c r="AG76" i="82"/>
  <c r="AG75" i="82"/>
  <c r="AG74" i="82"/>
  <c r="AG73" i="82"/>
  <c r="AG72" i="82"/>
  <c r="AG71" i="82"/>
  <c r="AG70" i="82"/>
  <c r="AG69" i="82"/>
  <c r="AG68" i="82"/>
  <c r="AG67" i="82"/>
  <c r="AG66" i="82"/>
  <c r="AG65" i="82"/>
  <c r="AG64" i="82"/>
  <c r="AG63" i="82"/>
  <c r="AG62" i="82"/>
  <c r="AG61" i="82"/>
  <c r="AG60" i="82"/>
  <c r="AG59" i="82"/>
  <c r="AG58" i="82"/>
  <c r="AG57" i="82"/>
  <c r="AG56" i="82"/>
  <c r="AG55" i="82"/>
  <c r="AG54" i="82"/>
  <c r="AG53" i="82"/>
  <c r="AG52" i="82"/>
  <c r="AG51" i="82"/>
  <c r="AG50" i="82"/>
  <c r="AG49" i="82"/>
  <c r="AG48" i="82"/>
  <c r="AG47" i="82"/>
  <c r="AG46" i="82"/>
  <c r="AG45" i="82"/>
  <c r="AG44" i="82"/>
  <c r="AG43" i="82"/>
  <c r="AG42" i="82"/>
  <c r="AG41" i="82"/>
  <c r="AG40" i="82"/>
  <c r="AG39" i="82"/>
  <c r="AG38" i="82"/>
  <c r="AG37" i="82"/>
  <c r="AG36" i="82"/>
  <c r="AG35" i="82"/>
  <c r="AG34" i="82"/>
  <c r="AG33" i="82"/>
  <c r="AG32" i="82"/>
  <c r="AG31" i="82"/>
  <c r="AG30" i="82"/>
  <c r="AG29" i="82"/>
  <c r="AG28" i="82"/>
  <c r="AG27" i="82"/>
  <c r="AG26" i="82"/>
  <c r="AG25" i="82"/>
  <c r="AG24" i="82"/>
  <c r="AG23" i="82"/>
  <c r="AG22" i="82"/>
  <c r="AG21" i="82"/>
  <c r="AG20" i="82"/>
  <c r="AG19" i="82"/>
  <c r="AG18" i="82"/>
  <c r="AG17" i="82"/>
  <c r="AG16" i="82"/>
  <c r="AG15" i="82"/>
  <c r="S2" i="82"/>
  <c r="Z5" i="82"/>
  <c r="AG151" i="81"/>
  <c r="AG150" i="81"/>
  <c r="AG149" i="81"/>
  <c r="AG148" i="81"/>
  <c r="AG147" i="81"/>
  <c r="AG146" i="81"/>
  <c r="AG145" i="81"/>
  <c r="AG144" i="81"/>
  <c r="AG143" i="81"/>
  <c r="AG142" i="81"/>
  <c r="AG141" i="81"/>
  <c r="AG140" i="81"/>
  <c r="AG139" i="81"/>
  <c r="AG138" i="81"/>
  <c r="AG137" i="81"/>
  <c r="AG136" i="81"/>
  <c r="AG135" i="81"/>
  <c r="AG134" i="81"/>
  <c r="AG133" i="81"/>
  <c r="AG132" i="81"/>
  <c r="AG131" i="81"/>
  <c r="AG130" i="81"/>
  <c r="AG129" i="81"/>
  <c r="AG128" i="81"/>
  <c r="AG127" i="81"/>
  <c r="AG126" i="81"/>
  <c r="AG125" i="81"/>
  <c r="AG124" i="81"/>
  <c r="AG123" i="81"/>
  <c r="AG122" i="81"/>
  <c r="AG121" i="81"/>
  <c r="AG120" i="81"/>
  <c r="AG119" i="81"/>
  <c r="AG118" i="81"/>
  <c r="AG117" i="81"/>
  <c r="AG116" i="81"/>
  <c r="AG115" i="81"/>
  <c r="AG114" i="81"/>
  <c r="AG113" i="81"/>
  <c r="AG112" i="81"/>
  <c r="AG111" i="81"/>
  <c r="AG110" i="81"/>
  <c r="AG109" i="81"/>
  <c r="AG108" i="81"/>
  <c r="AG107" i="81"/>
  <c r="AG106" i="81"/>
  <c r="AG105" i="81"/>
  <c r="AG104" i="81"/>
  <c r="AG103" i="81"/>
  <c r="AG102" i="81"/>
  <c r="AG101" i="81"/>
  <c r="AG100" i="81"/>
  <c r="AG99" i="81"/>
  <c r="AG98" i="81"/>
  <c r="AG97" i="81"/>
  <c r="AG96" i="81"/>
  <c r="AG95" i="81"/>
  <c r="AG94" i="81"/>
  <c r="AG93" i="81"/>
  <c r="AG92" i="81"/>
  <c r="AG91" i="81"/>
  <c r="AG90" i="81"/>
  <c r="AG89" i="81"/>
  <c r="AG88" i="81"/>
  <c r="AG87" i="81"/>
  <c r="AG86" i="81"/>
  <c r="AG85" i="81"/>
  <c r="AG84" i="81"/>
  <c r="AG83" i="81"/>
  <c r="AG82" i="81"/>
  <c r="AG81" i="81"/>
  <c r="AG80" i="81"/>
  <c r="AG79" i="81"/>
  <c r="AG78" i="81"/>
  <c r="AG77" i="81"/>
  <c r="AG76" i="81"/>
  <c r="AG75" i="81"/>
  <c r="AG74" i="81"/>
  <c r="AG73" i="81"/>
  <c r="AG72" i="81"/>
  <c r="AG71" i="81"/>
  <c r="AG70" i="81"/>
  <c r="AG69" i="81"/>
  <c r="AG68" i="81"/>
  <c r="AG67" i="81"/>
  <c r="AG66" i="81"/>
  <c r="AG65" i="81"/>
  <c r="AG64" i="81"/>
  <c r="AG63" i="81"/>
  <c r="AG62" i="81"/>
  <c r="AG61" i="81"/>
  <c r="AG60" i="81"/>
  <c r="AG59" i="81"/>
  <c r="AG58" i="81"/>
  <c r="AG57" i="81"/>
  <c r="AG56" i="81"/>
  <c r="AG55" i="81"/>
  <c r="AG54" i="81"/>
  <c r="AG53" i="81"/>
  <c r="AG52" i="81"/>
  <c r="AG51" i="81"/>
  <c r="AG50" i="81"/>
  <c r="AG49" i="81"/>
  <c r="AG48" i="81"/>
  <c r="AG47" i="81"/>
  <c r="AG46" i="81"/>
  <c r="AG45" i="81"/>
  <c r="AG44" i="81"/>
  <c r="AG43" i="81"/>
  <c r="AG42" i="81"/>
  <c r="AG41" i="81"/>
  <c r="AG40" i="81"/>
  <c r="AG39" i="81"/>
  <c r="AG38" i="81"/>
  <c r="AG37" i="81"/>
  <c r="AG36" i="81"/>
  <c r="AG35" i="81"/>
  <c r="AG34" i="81"/>
  <c r="AG33" i="81"/>
  <c r="AG32" i="81"/>
  <c r="AG31" i="81"/>
  <c r="AG30" i="81"/>
  <c r="AG29" i="81"/>
  <c r="AG28" i="81"/>
  <c r="AG27" i="81"/>
  <c r="AG26" i="81"/>
  <c r="AG25" i="81"/>
  <c r="AG24" i="81"/>
  <c r="AG23" i="81"/>
  <c r="AG22" i="81"/>
  <c r="AG21" i="81"/>
  <c r="AG20" i="81"/>
  <c r="AG19" i="81"/>
  <c r="AG18" i="81"/>
  <c r="AG17" i="81"/>
  <c r="AG16" i="81"/>
  <c r="AG15" i="81"/>
  <c r="AG14" i="81"/>
  <c r="AG13" i="81"/>
  <c r="AG12" i="81"/>
  <c r="AG11" i="81"/>
  <c r="Z5" i="81"/>
  <c r="AG156" i="80"/>
  <c r="AG155" i="80"/>
  <c r="AG154" i="80"/>
  <c r="AG153" i="80"/>
  <c r="AG152" i="80"/>
  <c r="AG151" i="80"/>
  <c r="AG150" i="80"/>
  <c r="AG149" i="80"/>
  <c r="AG148" i="80"/>
  <c r="AG147" i="80"/>
  <c r="AG146" i="80"/>
  <c r="AG145" i="80"/>
  <c r="AG144" i="80"/>
  <c r="AG143" i="80"/>
  <c r="AG142" i="80"/>
  <c r="AG141" i="80"/>
  <c r="AG140" i="80"/>
  <c r="AG139" i="80"/>
  <c r="AG138" i="80"/>
  <c r="AG137" i="80"/>
  <c r="AG136" i="80"/>
  <c r="AG135" i="80"/>
  <c r="AG134" i="80"/>
  <c r="AG133" i="80"/>
  <c r="AG132" i="80"/>
  <c r="AG131" i="80"/>
  <c r="AG130" i="80"/>
  <c r="AG129" i="80"/>
  <c r="AG128" i="80"/>
  <c r="AG127" i="80"/>
  <c r="AG126" i="80"/>
  <c r="AG125" i="80"/>
  <c r="AG124" i="80"/>
  <c r="AG123" i="80"/>
  <c r="AG122" i="80"/>
  <c r="AG121" i="80"/>
  <c r="AG120" i="80"/>
  <c r="AG119" i="80"/>
  <c r="AG118" i="80"/>
  <c r="AG117" i="80"/>
  <c r="AG116" i="80"/>
  <c r="AG115" i="80"/>
  <c r="AG114" i="80"/>
  <c r="AG113" i="80"/>
  <c r="AG112" i="80"/>
  <c r="AG111" i="80"/>
  <c r="AG110" i="80"/>
  <c r="AG109" i="80"/>
  <c r="AG108" i="80"/>
  <c r="AG107" i="80"/>
  <c r="AG106" i="80"/>
  <c r="AG105" i="80"/>
  <c r="AG104" i="80"/>
  <c r="AG103" i="80"/>
  <c r="AG102" i="80"/>
  <c r="AG101" i="80"/>
  <c r="AG100" i="80"/>
  <c r="AG99" i="80"/>
  <c r="AG98" i="80"/>
  <c r="AG97" i="80"/>
  <c r="AG96" i="80"/>
  <c r="AG95" i="80"/>
  <c r="AG94" i="80"/>
  <c r="AG93" i="80"/>
  <c r="AG92" i="80"/>
  <c r="AG91" i="80"/>
  <c r="AG90" i="80"/>
  <c r="AG89" i="80"/>
  <c r="AG88" i="80"/>
  <c r="AG87" i="80"/>
  <c r="AG86" i="80"/>
  <c r="AG85" i="80"/>
  <c r="AG84" i="80"/>
  <c r="AG83" i="80"/>
  <c r="AG82" i="80"/>
  <c r="AG81" i="80"/>
  <c r="AG80" i="80"/>
  <c r="AG79" i="80"/>
  <c r="AG78" i="80"/>
  <c r="AG77" i="80"/>
  <c r="AG76" i="80"/>
  <c r="AG75" i="80"/>
  <c r="AG74" i="80"/>
  <c r="AG73" i="80"/>
  <c r="AG72" i="80"/>
  <c r="AG71" i="80"/>
  <c r="AG70" i="80"/>
  <c r="AG69" i="80"/>
  <c r="AG68" i="80"/>
  <c r="AG67" i="80"/>
  <c r="AG66" i="80"/>
  <c r="AG65" i="80"/>
  <c r="AG64" i="80"/>
  <c r="AG63" i="80"/>
  <c r="AG62" i="80"/>
  <c r="AG61" i="80"/>
  <c r="AG60" i="80"/>
  <c r="AG59" i="80"/>
  <c r="AG58" i="80"/>
  <c r="AG57" i="80"/>
  <c r="AG56" i="80"/>
  <c r="AG55" i="80"/>
  <c r="AG54" i="80"/>
  <c r="AG53" i="80"/>
  <c r="AG52" i="80"/>
  <c r="AG51" i="80"/>
  <c r="AG50" i="80"/>
  <c r="AG49" i="80"/>
  <c r="AG48" i="80"/>
  <c r="AG47" i="80"/>
  <c r="AG46" i="80"/>
  <c r="AG45" i="80"/>
  <c r="AG44" i="80"/>
  <c r="AG43" i="80"/>
  <c r="AG42" i="80"/>
  <c r="AG41" i="80"/>
  <c r="AG40" i="80"/>
  <c r="AG39" i="80"/>
  <c r="AG38" i="80"/>
  <c r="AG37" i="80"/>
  <c r="AG36" i="80"/>
  <c r="AG35" i="80"/>
  <c r="AG34" i="80"/>
  <c r="AG33" i="80"/>
  <c r="AG32" i="80"/>
  <c r="AG31" i="80"/>
  <c r="AG30" i="80"/>
  <c r="AG29" i="80"/>
  <c r="AG28" i="80"/>
  <c r="AG27" i="80"/>
  <c r="AG26" i="80"/>
  <c r="AG25" i="80"/>
  <c r="AG24" i="80"/>
  <c r="AG23" i="80"/>
  <c r="AG22" i="80"/>
  <c r="AG21" i="80"/>
  <c r="AG20" i="80"/>
  <c r="AG19" i="80"/>
  <c r="AG18" i="80"/>
  <c r="AG17" i="80"/>
  <c r="AG16" i="80"/>
  <c r="S2" i="80"/>
  <c r="Z5" i="80"/>
  <c r="AG158" i="79"/>
  <c r="AG157" i="79"/>
  <c r="AG156" i="79"/>
  <c r="AG155" i="79"/>
  <c r="AG154" i="79"/>
  <c r="AG153" i="79"/>
  <c r="AG152" i="79"/>
  <c r="AG151" i="79"/>
  <c r="AG150" i="79"/>
  <c r="AG149" i="79"/>
  <c r="AG148" i="79"/>
  <c r="AG147" i="79"/>
  <c r="AG146" i="79"/>
  <c r="AG145" i="79"/>
  <c r="AG144" i="79"/>
  <c r="AG143" i="79"/>
  <c r="AG142" i="79"/>
  <c r="AG141" i="79"/>
  <c r="AG140" i="79"/>
  <c r="AG139" i="79"/>
  <c r="AG138" i="79"/>
  <c r="AG137" i="79"/>
  <c r="AG136" i="79"/>
  <c r="AG135" i="79"/>
  <c r="AG134" i="79"/>
  <c r="AG133" i="79"/>
  <c r="AG132" i="79"/>
  <c r="AG131" i="79"/>
  <c r="AG130" i="79"/>
  <c r="AG129" i="79"/>
  <c r="AG128" i="79"/>
  <c r="AG127" i="79"/>
  <c r="AG126" i="79"/>
  <c r="AG125" i="79"/>
  <c r="AG124" i="79"/>
  <c r="AG123" i="79"/>
  <c r="AG122" i="79"/>
  <c r="AG121" i="79"/>
  <c r="AG120" i="79"/>
  <c r="AG119" i="79"/>
  <c r="AG118" i="79"/>
  <c r="AG117" i="79"/>
  <c r="AG116" i="79"/>
  <c r="AG115" i="79"/>
  <c r="AG114" i="79"/>
  <c r="AG113" i="79"/>
  <c r="AG112" i="79"/>
  <c r="AG111" i="79"/>
  <c r="AG110" i="79"/>
  <c r="AG109" i="79"/>
  <c r="AG108" i="79"/>
  <c r="AG107" i="79"/>
  <c r="AG106" i="79"/>
  <c r="AG105" i="79"/>
  <c r="AG104" i="79"/>
  <c r="AG103" i="79"/>
  <c r="AG102" i="79"/>
  <c r="AG101" i="79"/>
  <c r="AG100" i="79"/>
  <c r="AG99" i="79"/>
  <c r="AG98" i="79"/>
  <c r="AG97" i="79"/>
  <c r="AG96" i="79"/>
  <c r="AG95" i="79"/>
  <c r="AG94" i="79"/>
  <c r="AG93" i="79"/>
  <c r="AG92" i="79"/>
  <c r="AG91" i="79"/>
  <c r="AG90" i="79"/>
  <c r="AG89" i="79"/>
  <c r="AG88" i="79"/>
  <c r="AG87" i="79"/>
  <c r="AG86" i="79"/>
  <c r="AG85" i="79"/>
  <c r="AG84" i="79"/>
  <c r="AG83" i="79"/>
  <c r="AG82" i="79"/>
  <c r="AG81" i="79"/>
  <c r="AG80" i="79"/>
  <c r="AG79" i="79"/>
  <c r="AG78" i="79"/>
  <c r="AG77" i="79"/>
  <c r="AG76" i="79"/>
  <c r="AG75" i="79"/>
  <c r="AG74" i="79"/>
  <c r="AG73" i="79"/>
  <c r="AG72" i="79"/>
  <c r="AG71" i="79"/>
  <c r="AG70" i="79"/>
  <c r="AG69" i="79"/>
  <c r="AG68" i="79"/>
  <c r="AG67" i="79"/>
  <c r="AG66" i="79"/>
  <c r="AG65" i="79"/>
  <c r="AG64" i="79"/>
  <c r="AG63" i="79"/>
  <c r="AG62" i="79"/>
  <c r="AG61" i="79"/>
  <c r="AG60" i="79"/>
  <c r="AG59" i="79"/>
  <c r="AG58" i="79"/>
  <c r="AG57" i="79"/>
  <c r="AG56" i="79"/>
  <c r="AG55" i="79"/>
  <c r="AG54" i="79"/>
  <c r="AG53" i="79"/>
  <c r="AG52" i="79"/>
  <c r="AG51" i="79"/>
  <c r="AG50" i="79"/>
  <c r="AG49" i="79"/>
  <c r="AG48" i="79"/>
  <c r="AG47" i="79"/>
  <c r="AG46" i="79"/>
  <c r="AG45" i="79"/>
  <c r="AG44" i="79"/>
  <c r="AG43" i="79"/>
  <c r="AG42" i="79"/>
  <c r="AG41" i="79"/>
  <c r="AG40" i="79"/>
  <c r="AG39" i="79"/>
  <c r="AG38" i="79"/>
  <c r="AG37" i="79"/>
  <c r="AG36" i="79"/>
  <c r="AG35" i="79"/>
  <c r="AG34" i="79"/>
  <c r="AG33" i="79"/>
  <c r="AG32" i="79"/>
  <c r="AG31" i="79"/>
  <c r="AG30" i="79"/>
  <c r="AG29" i="79"/>
  <c r="AG28" i="79"/>
  <c r="AG27" i="79"/>
  <c r="AG26" i="79"/>
  <c r="AG25" i="79"/>
  <c r="AG24" i="79"/>
  <c r="AG23" i="79"/>
  <c r="AG22" i="79"/>
  <c r="AG21" i="79"/>
  <c r="AG20" i="79"/>
  <c r="AG19" i="79"/>
  <c r="Z5" i="79"/>
  <c r="AG159" i="78"/>
  <c r="AG158" i="78"/>
  <c r="AG157" i="78"/>
  <c r="AG156" i="78"/>
  <c r="AG155" i="78"/>
  <c r="AG154" i="78"/>
  <c r="AG153" i="78"/>
  <c r="AG152" i="78"/>
  <c r="AG151" i="78"/>
  <c r="AG150" i="78"/>
  <c r="AG149" i="78"/>
  <c r="AG148" i="78"/>
  <c r="AG147" i="78"/>
  <c r="AG146" i="78"/>
  <c r="AG145" i="78"/>
  <c r="AG144" i="78"/>
  <c r="AG143" i="78"/>
  <c r="AG142" i="78"/>
  <c r="AG141" i="78"/>
  <c r="AG140" i="78"/>
  <c r="AG139" i="78"/>
  <c r="AG138" i="78"/>
  <c r="AG137" i="78"/>
  <c r="AG136" i="78"/>
  <c r="AG135" i="78"/>
  <c r="AG134" i="78"/>
  <c r="AG133" i="78"/>
  <c r="AG132" i="78"/>
  <c r="AG131" i="78"/>
  <c r="AG130" i="78"/>
  <c r="AG129" i="78"/>
  <c r="AG128" i="78"/>
  <c r="AG127" i="78"/>
  <c r="AG126" i="78"/>
  <c r="AG125" i="78"/>
  <c r="AG124" i="78"/>
  <c r="AG123" i="78"/>
  <c r="AG122" i="78"/>
  <c r="AG121" i="78"/>
  <c r="AG120" i="78"/>
  <c r="AG119" i="78"/>
  <c r="AG118" i="78"/>
  <c r="AG117" i="78"/>
  <c r="AG116" i="78"/>
  <c r="AG115" i="78"/>
  <c r="AG114" i="78"/>
  <c r="AG113" i="78"/>
  <c r="AG112" i="78"/>
  <c r="AG111" i="78"/>
  <c r="AG110" i="78"/>
  <c r="AG109" i="78"/>
  <c r="AG108" i="78"/>
  <c r="AG107" i="78"/>
  <c r="AG106" i="78"/>
  <c r="AG105" i="78"/>
  <c r="AG104" i="78"/>
  <c r="AG103" i="78"/>
  <c r="AG102" i="78"/>
  <c r="AG101" i="78"/>
  <c r="AG100" i="78"/>
  <c r="AG99" i="78"/>
  <c r="AG98" i="78"/>
  <c r="AG97" i="78"/>
  <c r="AG96" i="78"/>
  <c r="AG95" i="78"/>
  <c r="AG94" i="78"/>
  <c r="AG93" i="78"/>
  <c r="AG92" i="78"/>
  <c r="AG91" i="78"/>
  <c r="AG90" i="78"/>
  <c r="AG89" i="78"/>
  <c r="AG88" i="78"/>
  <c r="AG87" i="78"/>
  <c r="AG86" i="78"/>
  <c r="AG85" i="78"/>
  <c r="AG84" i="78"/>
  <c r="AG83" i="78"/>
  <c r="AG82" i="78"/>
  <c r="AG81" i="78"/>
  <c r="AG80" i="78"/>
  <c r="AG79" i="78"/>
  <c r="AG78" i="78"/>
  <c r="AG77" i="78"/>
  <c r="AG76" i="78"/>
  <c r="AG75" i="78"/>
  <c r="AG74" i="78"/>
  <c r="AG73" i="78"/>
  <c r="AG72" i="78"/>
  <c r="AG71" i="78"/>
  <c r="AG70" i="78"/>
  <c r="AG69" i="78"/>
  <c r="AG68" i="78"/>
  <c r="AG67" i="78"/>
  <c r="AG66" i="78"/>
  <c r="AG65" i="78"/>
  <c r="AG64" i="78"/>
  <c r="AG63" i="78"/>
  <c r="AG62" i="78"/>
  <c r="AG61" i="78"/>
  <c r="AG60" i="78"/>
  <c r="AG59" i="78"/>
  <c r="AG58" i="78"/>
  <c r="AG57" i="78"/>
  <c r="AG56" i="78"/>
  <c r="AG55" i="78"/>
  <c r="AG54" i="78"/>
  <c r="AG53" i="78"/>
  <c r="AG52" i="78"/>
  <c r="AG51" i="78"/>
  <c r="AG50" i="78"/>
  <c r="AG49" i="78"/>
  <c r="AG48" i="78"/>
  <c r="AG47" i="78"/>
  <c r="AG46" i="78"/>
  <c r="AG45" i="78"/>
  <c r="AG44" i="78"/>
  <c r="AG43" i="78"/>
  <c r="AG42" i="78"/>
  <c r="AG41" i="78"/>
  <c r="AG40" i="78"/>
  <c r="AG39" i="78"/>
  <c r="AG38" i="78"/>
  <c r="AG37" i="78"/>
  <c r="AG36" i="78"/>
  <c r="AG35" i="78"/>
  <c r="AG34" i="78"/>
  <c r="AG33" i="78"/>
  <c r="AG32" i="78"/>
  <c r="AG31" i="78"/>
  <c r="AG30" i="78"/>
  <c r="AG29" i="78"/>
  <c r="AG28" i="78"/>
  <c r="AG27" i="78"/>
  <c r="AG26" i="78"/>
  <c r="AG25" i="78"/>
  <c r="AG24" i="78"/>
  <c r="AG23" i="78"/>
  <c r="AG22" i="78"/>
  <c r="AG21" i="78"/>
  <c r="S2" i="78"/>
  <c r="Z5" i="78"/>
  <c r="AG146" i="77"/>
  <c r="AG145" i="77"/>
  <c r="AG144" i="77"/>
  <c r="AG143" i="77"/>
  <c r="AG142" i="77"/>
  <c r="AG141" i="77"/>
  <c r="AG140" i="77"/>
  <c r="AG139" i="77"/>
  <c r="AG138" i="77"/>
  <c r="AG137" i="77"/>
  <c r="AG136" i="77"/>
  <c r="AG135" i="77"/>
  <c r="AG134" i="77"/>
  <c r="AG133" i="77"/>
  <c r="AG132" i="77"/>
  <c r="AG131" i="77"/>
  <c r="AG130" i="77"/>
  <c r="AG129" i="77"/>
  <c r="AG128" i="77"/>
  <c r="AG127" i="77"/>
  <c r="AG126" i="77"/>
  <c r="AG125" i="77"/>
  <c r="AG124" i="77"/>
  <c r="AG123" i="77"/>
  <c r="AG122" i="77"/>
  <c r="AG121" i="77"/>
  <c r="AG120" i="77"/>
  <c r="AG119" i="77"/>
  <c r="AG118" i="77"/>
  <c r="AG117" i="77"/>
  <c r="AG116" i="77"/>
  <c r="AG115" i="77"/>
  <c r="AG114" i="77"/>
  <c r="AG113" i="77"/>
  <c r="AG112" i="77"/>
  <c r="AG111" i="77"/>
  <c r="AG110" i="77"/>
  <c r="AG109" i="77"/>
  <c r="AG108" i="77"/>
  <c r="AG107" i="77"/>
  <c r="AG106" i="77"/>
  <c r="AG105" i="77"/>
  <c r="AG104" i="77"/>
  <c r="AG103" i="77"/>
  <c r="AG102" i="77"/>
  <c r="AG101" i="77"/>
  <c r="AG100" i="77"/>
  <c r="AG99" i="77"/>
  <c r="AG98" i="77"/>
  <c r="AG97" i="77"/>
  <c r="AG96" i="77"/>
  <c r="AG95" i="77"/>
  <c r="AG94" i="77"/>
  <c r="AG93" i="77"/>
  <c r="AG92" i="77"/>
  <c r="AG91" i="77"/>
  <c r="AG90" i="77"/>
  <c r="AG89" i="77"/>
  <c r="AG88" i="77"/>
  <c r="AG87" i="77"/>
  <c r="AG86" i="77"/>
  <c r="AG85" i="77"/>
  <c r="AG84" i="77"/>
  <c r="AG83" i="77"/>
  <c r="AG82" i="77"/>
  <c r="AG81" i="77"/>
  <c r="AG80" i="77"/>
  <c r="AG79" i="77"/>
  <c r="AG78" i="77"/>
  <c r="AG77" i="77"/>
  <c r="AG76" i="77"/>
  <c r="AG75" i="77"/>
  <c r="AG74" i="77"/>
  <c r="AG73" i="77"/>
  <c r="AG72" i="77"/>
  <c r="AG71" i="77"/>
  <c r="AG70" i="77"/>
  <c r="AG69" i="77"/>
  <c r="AG68" i="77"/>
  <c r="AG67" i="77"/>
  <c r="AG66" i="77"/>
  <c r="AG65" i="77"/>
  <c r="AG64" i="77"/>
  <c r="AG63" i="77"/>
  <c r="AG62" i="77"/>
  <c r="AG61" i="77"/>
  <c r="AG60" i="77"/>
  <c r="AG59" i="77"/>
  <c r="AG58" i="77"/>
  <c r="AG57" i="77"/>
  <c r="AG56" i="77"/>
  <c r="AG55" i="77"/>
  <c r="AG54" i="77"/>
  <c r="AG53" i="77"/>
  <c r="AG52" i="77"/>
  <c r="AG51" i="77"/>
  <c r="AG50" i="77"/>
  <c r="AG49" i="77"/>
  <c r="AG48" i="77"/>
  <c r="AG47" i="77"/>
  <c r="AG46" i="77"/>
  <c r="AG45" i="77"/>
  <c r="AG44" i="77"/>
  <c r="AG43" i="77"/>
  <c r="AG42" i="77"/>
  <c r="AG41" i="77"/>
  <c r="AG40" i="77"/>
  <c r="AG39" i="77"/>
  <c r="AG38" i="77"/>
  <c r="AG37" i="77"/>
  <c r="AG36" i="77"/>
  <c r="AG35" i="77"/>
  <c r="AG34" i="77"/>
  <c r="AG33" i="77"/>
  <c r="AG32" i="77"/>
  <c r="AG31" i="77"/>
  <c r="AG30" i="77"/>
  <c r="AG29" i="77"/>
  <c r="AG28" i="77"/>
  <c r="AG27" i="77"/>
  <c r="AG26" i="77"/>
  <c r="AG25" i="77"/>
  <c r="AG24" i="77"/>
  <c r="AG23" i="77"/>
  <c r="AG22" i="77"/>
  <c r="AG21" i="77"/>
  <c r="AG20" i="77"/>
  <c r="AG19" i="77"/>
  <c r="AG18" i="77"/>
  <c r="AG17" i="77"/>
  <c r="AG16" i="77"/>
  <c r="AG15" i="77"/>
  <c r="AG14" i="77"/>
  <c r="AG13" i="77"/>
  <c r="AG12" i="77"/>
  <c r="Z5" i="77"/>
  <c r="U41" i="26" l="1"/>
  <c r="H42" i="26"/>
  <c r="J41" i="26"/>
  <c r="S2" i="84"/>
  <c r="S2" i="79"/>
  <c r="G32" i="50"/>
  <c r="G31" i="50"/>
  <c r="J42" i="26" l="1"/>
  <c r="H43" i="26"/>
  <c r="U42" i="26"/>
  <c r="S2" i="65"/>
  <c r="J43" i="26" l="1"/>
  <c r="U43" i="26"/>
  <c r="H44" i="26"/>
  <c r="Z5" i="65"/>
  <c r="H45" i="26" l="1"/>
  <c r="J44" i="26"/>
  <c r="U44" i="26"/>
  <c r="AG141" i="65"/>
  <c r="AG140" i="65"/>
  <c r="AG139" i="65"/>
  <c r="AG138" i="65"/>
  <c r="AG137" i="65"/>
  <c r="AG136" i="65"/>
  <c r="AG135" i="65"/>
  <c r="AG134" i="65"/>
  <c r="AG133" i="65"/>
  <c r="AG132" i="65"/>
  <c r="AG131" i="65"/>
  <c r="AG130" i="65"/>
  <c r="AG129" i="65"/>
  <c r="AG128" i="65"/>
  <c r="AG127" i="65"/>
  <c r="AG126" i="65"/>
  <c r="AG125" i="65"/>
  <c r="AG124" i="65"/>
  <c r="AG123" i="65"/>
  <c r="AG122" i="65"/>
  <c r="AG121" i="65"/>
  <c r="AG120" i="65"/>
  <c r="AG119" i="65"/>
  <c r="AG118" i="65"/>
  <c r="AG117" i="65"/>
  <c r="AG116" i="65"/>
  <c r="AG115" i="65"/>
  <c r="AG114" i="65"/>
  <c r="AG113" i="65"/>
  <c r="AG112" i="65"/>
  <c r="AG111" i="65"/>
  <c r="AG110" i="65"/>
  <c r="AG109" i="65"/>
  <c r="AG108" i="65"/>
  <c r="AG107" i="65"/>
  <c r="AG106" i="65"/>
  <c r="AG105" i="65"/>
  <c r="AG104" i="65"/>
  <c r="AG103" i="65"/>
  <c r="AG102" i="65"/>
  <c r="AG101" i="65"/>
  <c r="AG100" i="65"/>
  <c r="AG99" i="65"/>
  <c r="AG98" i="65"/>
  <c r="AG97" i="65"/>
  <c r="AG96" i="65"/>
  <c r="AG95" i="65"/>
  <c r="AG94" i="65"/>
  <c r="AG93" i="65"/>
  <c r="AG92" i="65"/>
  <c r="AG91" i="65"/>
  <c r="AG90" i="65"/>
  <c r="AG89" i="65"/>
  <c r="AG88" i="65"/>
  <c r="AG87" i="65"/>
  <c r="AG86" i="65"/>
  <c r="AG85" i="65"/>
  <c r="AG84" i="65"/>
  <c r="AG83" i="65"/>
  <c r="AG82" i="65"/>
  <c r="AG81" i="65"/>
  <c r="AG80" i="65"/>
  <c r="AG79" i="65"/>
  <c r="AG78" i="65"/>
  <c r="AG77" i="65"/>
  <c r="AG76" i="65"/>
  <c r="AG75" i="65"/>
  <c r="AG74" i="65"/>
  <c r="AG73" i="65"/>
  <c r="AG72" i="65"/>
  <c r="AG71" i="65"/>
  <c r="AG70" i="65"/>
  <c r="AG69" i="65"/>
  <c r="AG68" i="65"/>
  <c r="AG67" i="65"/>
  <c r="AG66" i="65"/>
  <c r="AG65" i="65"/>
  <c r="AG64" i="65"/>
  <c r="AG63" i="65"/>
  <c r="AG62" i="65"/>
  <c r="AG61" i="65"/>
  <c r="AG60" i="65"/>
  <c r="AG59" i="65"/>
  <c r="AG58" i="65"/>
  <c r="AG57" i="65"/>
  <c r="AG56" i="65"/>
  <c r="AG55" i="65"/>
  <c r="AG54" i="65"/>
  <c r="AG53" i="65"/>
  <c r="AG52" i="65"/>
  <c r="AG51" i="65"/>
  <c r="AG50" i="65"/>
  <c r="AG49" i="65"/>
  <c r="AG48" i="65"/>
  <c r="AG47" i="65"/>
  <c r="AG46" i="65"/>
  <c r="AG45" i="65"/>
  <c r="AG44" i="65"/>
  <c r="AG43" i="65"/>
  <c r="AG42" i="65"/>
  <c r="AG41" i="65"/>
  <c r="AG40" i="65"/>
  <c r="AG39" i="65"/>
  <c r="AG38" i="65"/>
  <c r="AG37" i="65"/>
  <c r="AG36" i="65"/>
  <c r="AG35" i="65"/>
  <c r="AG34" i="65"/>
  <c r="AG33" i="65"/>
  <c r="AG32" i="65"/>
  <c r="AG31" i="65"/>
  <c r="AG30" i="65"/>
  <c r="AG29" i="65"/>
  <c r="AG28" i="65"/>
  <c r="AG27" i="65"/>
  <c r="AG26" i="65"/>
  <c r="AG25" i="65"/>
  <c r="AG24" i="65"/>
  <c r="AG23" i="65"/>
  <c r="AG22" i="65"/>
  <c r="AG21" i="65"/>
  <c r="AG20" i="65"/>
  <c r="AG19" i="65"/>
  <c r="AG18" i="65"/>
  <c r="AG17" i="65"/>
  <c r="AG16" i="65"/>
  <c r="AG15" i="65"/>
  <c r="AG14" i="65"/>
  <c r="AG13" i="65"/>
  <c r="AG12" i="65"/>
  <c r="J45" i="26" l="1"/>
  <c r="U45" i="26"/>
  <c r="H46" i="26"/>
  <c r="N7" i="4"/>
  <c r="U46" i="26" l="1"/>
  <c r="H47" i="26"/>
  <c r="J46" i="26"/>
  <c r="G15" i="50"/>
  <c r="J47" i="26" l="1"/>
  <c r="U47" i="26"/>
  <c r="H48" i="26"/>
  <c r="A3" i="26"/>
  <c r="R2" i="26"/>
  <c r="P2" i="26"/>
  <c r="O2" i="26"/>
  <c r="N2" i="26"/>
  <c r="M2" i="26"/>
  <c r="L2" i="26"/>
  <c r="K2" i="26"/>
  <c r="A2" i="26"/>
  <c r="R1" i="26"/>
  <c r="P1" i="26"/>
  <c r="N1" i="26"/>
  <c r="M1" i="26"/>
  <c r="L1" i="26"/>
  <c r="K1" i="26"/>
  <c r="B1" i="26"/>
  <c r="A1" i="26"/>
  <c r="J48" i="26" l="1"/>
  <c r="U48" i="26"/>
  <c r="H49" i="26"/>
  <c r="T7" i="23"/>
  <c r="H7" i="23"/>
  <c r="M7" i="23"/>
  <c r="J7" i="23"/>
  <c r="P7" i="23"/>
  <c r="W7" i="23"/>
  <c r="O7" i="23"/>
  <c r="N7" i="23"/>
  <c r="S7" i="23"/>
  <c r="U7" i="23"/>
  <c r="Q7" i="23"/>
  <c r="R7" i="23"/>
  <c r="G7" i="23"/>
  <c r="V7" i="23"/>
  <c r="L7" i="23"/>
  <c r="I7" i="23"/>
  <c r="K7" i="23"/>
  <c r="X7" i="23"/>
  <c r="U49" i="26" l="1"/>
  <c r="J49" i="26"/>
  <c r="H50" i="26"/>
  <c r="C7" i="23"/>
  <c r="D7" i="23"/>
  <c r="U50" i="26" l="1"/>
  <c r="H51" i="26"/>
  <c r="J50" i="26"/>
  <c r="G3" i="50"/>
  <c r="G4" i="50"/>
  <c r="G5" i="50"/>
  <c r="G6" i="50"/>
  <c r="G7" i="50"/>
  <c r="G8" i="50"/>
  <c r="G9" i="50"/>
  <c r="G10" i="50"/>
  <c r="G11" i="50"/>
  <c r="G12" i="50"/>
  <c r="G13" i="50"/>
  <c r="G14" i="50"/>
  <c r="G16" i="50"/>
  <c r="G17" i="50"/>
  <c r="G18" i="50"/>
  <c r="G19" i="50"/>
  <c r="G20" i="50"/>
  <c r="G22" i="50"/>
  <c r="G23" i="50"/>
  <c r="G24" i="50"/>
  <c r="G25" i="50"/>
  <c r="G27" i="50"/>
  <c r="G29" i="50"/>
  <c r="G30" i="50"/>
  <c r="G2" i="50"/>
  <c r="J51" i="26" l="1"/>
  <c r="U51" i="26"/>
  <c r="H52" i="26"/>
  <c r="V4" i="26"/>
  <c r="U52" i="26" l="1"/>
  <c r="H53" i="26"/>
  <c r="J52" i="26"/>
  <c r="H4" i="26"/>
  <c r="H5" i="26" s="1"/>
  <c r="J5" i="26" l="1"/>
  <c r="H6" i="26"/>
  <c r="U5" i="26"/>
  <c r="J53" i="26"/>
  <c r="U53" i="26"/>
  <c r="H54" i="26"/>
  <c r="U4" i="26"/>
  <c r="J4" i="26"/>
  <c r="U6" i="26" l="1"/>
  <c r="J6" i="26"/>
  <c r="H7" i="26"/>
  <c r="U54" i="26"/>
  <c r="J54" i="26"/>
  <c r="H55" i="26"/>
  <c r="U7" i="26" l="1"/>
  <c r="J7" i="26"/>
  <c r="J55" i="26"/>
  <c r="U55" i="26"/>
  <c r="H56" i="26"/>
  <c r="J56" i="26" l="1"/>
  <c r="U56" i="26"/>
  <c r="H57" i="26"/>
  <c r="U57" i="26" l="1"/>
  <c r="H58" i="26"/>
  <c r="J57" i="26"/>
  <c r="J58" i="26" l="1"/>
  <c r="H59" i="26"/>
  <c r="U58" i="26"/>
  <c r="J59" i="26" l="1"/>
  <c r="U59" i="26"/>
  <c r="H60" i="26"/>
  <c r="J60" i="26" l="1"/>
  <c r="H61" i="26"/>
  <c r="U60" i="26"/>
  <c r="J61" i="26" l="1"/>
  <c r="U61" i="26"/>
  <c r="H62" i="26"/>
  <c r="U62" i="26" l="1"/>
  <c r="J62" i="26"/>
  <c r="H63" i="26"/>
  <c r="J63" i="26" l="1"/>
  <c r="U63" i="26"/>
  <c r="H64" i="26"/>
  <c r="J64" i="26" l="1"/>
  <c r="H65" i="26"/>
  <c r="U64" i="26"/>
  <c r="U65" i="26" l="1"/>
  <c r="J65" i="26"/>
  <c r="H66" i="26"/>
  <c r="J66" i="26" l="1"/>
  <c r="U66" i="26"/>
  <c r="H67" i="26"/>
  <c r="J67" i="26" l="1"/>
  <c r="U67" i="26"/>
  <c r="H68" i="26"/>
  <c r="U68" i="26" l="1"/>
  <c r="H69" i="26"/>
  <c r="J68" i="26"/>
  <c r="J69" i="26" l="1"/>
  <c r="U69" i="26"/>
  <c r="H70" i="26"/>
  <c r="U70" i="26" l="1"/>
  <c r="J70" i="26"/>
  <c r="H71" i="26"/>
  <c r="J71" i="26" l="1"/>
  <c r="U71" i="26"/>
  <c r="H72" i="26"/>
  <c r="J72" i="26" l="1"/>
  <c r="U72" i="26"/>
  <c r="AH10" i="77" l="1"/>
  <c r="AH10" i="79"/>
  <c r="AH11" i="77"/>
  <c r="AH12" i="83"/>
  <c r="AH11" i="82"/>
  <c r="AH11" i="85"/>
  <c r="AH12" i="82"/>
  <c r="AH11" i="83"/>
  <c r="AH13" i="80"/>
  <c r="AH11" i="84"/>
  <c r="AH10" i="82"/>
  <c r="K5" i="81"/>
  <c r="K5" i="85"/>
  <c r="AH11" i="79"/>
  <c r="AH13" i="85"/>
  <c r="AH12" i="85"/>
  <c r="AH10" i="78"/>
  <c r="AH13" i="82"/>
  <c r="AH14" i="80"/>
  <c r="AH11" i="78"/>
  <c r="AH10" i="81"/>
  <c r="AH12" i="78"/>
  <c r="AH15" i="80"/>
  <c r="AH14" i="78"/>
  <c r="AH12" i="79"/>
  <c r="AH13" i="78"/>
  <c r="AH14" i="82"/>
  <c r="K5" i="78" l="1"/>
  <c r="K5" i="79"/>
  <c r="K5" i="80"/>
  <c r="K5" i="82"/>
  <c r="K5" i="65"/>
  <c r="K5" i="77"/>
  <c r="K5" i="84"/>
  <c r="K5" i="8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 Parris</author>
  </authors>
  <commentList>
    <comment ref="O4" authorId="0" shapeId="0" xr:uid="{A6F77BEF-8D7C-4D28-B494-1DDB47F78FC5}">
      <text>
        <r>
          <rPr>
            <b/>
            <sz val="8"/>
            <color indexed="81"/>
            <rFont val="Tahoma"/>
            <family val="2"/>
          </rPr>
          <t>Tim Parris:</t>
        </r>
        <r>
          <rPr>
            <sz val="8"/>
            <color indexed="81"/>
            <rFont val="Tahoma"/>
            <family val="2"/>
          </rPr>
          <t xml:space="preserve">
Inserted values of 1 manually</t>
        </r>
      </text>
    </comment>
  </commentList>
</comments>
</file>

<file path=xl/sharedStrings.xml><?xml version="1.0" encoding="utf-8"?>
<sst xmlns="http://schemas.openxmlformats.org/spreadsheetml/2006/main" count="3715" uniqueCount="1133">
  <si>
    <t>Item</t>
  </si>
  <si>
    <t>Type</t>
  </si>
  <si>
    <t>Material / Product</t>
  </si>
  <si>
    <t>Transport mode</t>
  </si>
  <si>
    <t>Category</t>
  </si>
  <si>
    <t>Tonnes</t>
  </si>
  <si>
    <t>km</t>
  </si>
  <si>
    <t>Period</t>
  </si>
  <si>
    <t>Unit</t>
  </si>
  <si>
    <t>Cat 1</t>
  </si>
  <si>
    <t>Cat 2</t>
  </si>
  <si>
    <t>Cat 3</t>
  </si>
  <si>
    <t>Cat 4</t>
  </si>
  <si>
    <t>Cat 5</t>
  </si>
  <si>
    <t>Options</t>
  </si>
  <si>
    <t>Cat 6</t>
  </si>
  <si>
    <t>Cat 7</t>
  </si>
  <si>
    <t>First cell:</t>
  </si>
  <si>
    <t>Number of categories:</t>
  </si>
  <si>
    <t>Cat 8</t>
  </si>
  <si>
    <t>&lt;---DO NOT MOVE FROM CELL R2</t>
  </si>
  <si>
    <t>&lt;---DO NOT MOVE FROM CELL R3</t>
  </si>
  <si>
    <t>shadow sort val</t>
  </si>
  <si>
    <t>last update</t>
  </si>
  <si>
    <t>Drainage</t>
  </si>
  <si>
    <t>Earthworks</t>
  </si>
  <si>
    <t>Road Pavements</t>
  </si>
  <si>
    <t>Street Furniture &amp; Electrical Equipment</t>
  </si>
  <si>
    <t>Civils Structures &amp; Retaining Walls</t>
  </si>
  <si>
    <t>Waste</t>
  </si>
  <si>
    <t>Fencing</t>
  </si>
  <si>
    <t>Street Furniture</t>
  </si>
  <si>
    <t>Civils Structures</t>
  </si>
  <si>
    <t>First cell of data in each category return page:</t>
  </si>
  <si>
    <t>&lt;---DO NOT MOVE FROM CELL R4</t>
  </si>
  <si>
    <t>&lt;---DO NOT MOVE FROM CELL R5</t>
  </si>
  <si>
    <t>Number of data columns in each category return page:</t>
  </si>
  <si>
    <t>&lt;---do not change (new return userform textbox 1 value)</t>
  </si>
  <si>
    <t>&lt;---do not change (new return userform textbox 2 value)</t>
  </si>
  <si>
    <t>&lt;---do not change ('scanloop' number of returns)</t>
  </si>
  <si>
    <t>rec_acdt</t>
  </si>
  <si>
    <t>rec_edt</t>
  </si>
  <si>
    <t>rec_ts</t>
  </si>
  <si>
    <t>Current live return:</t>
  </si>
  <si>
    <t>&lt;---DO NOT CHANGE ('return is blank' flag)</t>
  </si>
  <si>
    <t>Cat 9</t>
  </si>
  <si>
    <t>Fencing, Barriers &amp; Road Restraint Systems</t>
  </si>
  <si>
    <t>Business Transport</t>
  </si>
  <si>
    <t>Emissions and Conversion Factors</t>
  </si>
  <si>
    <t>Material/Product</t>
  </si>
  <si>
    <t>Input Unit</t>
  </si>
  <si>
    <t>Material Type</t>
  </si>
  <si>
    <t>Carbon Factor Units</t>
  </si>
  <si>
    <t>Conversion Factor</t>
  </si>
  <si>
    <t>Methodology</t>
  </si>
  <si>
    <t>Van</t>
  </si>
  <si>
    <t>Rail</t>
  </si>
  <si>
    <t>Ship</t>
  </si>
  <si>
    <t>Fence</t>
  </si>
  <si>
    <t>tonnes</t>
  </si>
  <si>
    <t>Timber</t>
  </si>
  <si>
    <t>Steel</t>
  </si>
  <si>
    <t>Concrete</t>
  </si>
  <si>
    <t>Noise Barriers</t>
  </si>
  <si>
    <t>Aluminium</t>
  </si>
  <si>
    <t>Glass</t>
  </si>
  <si>
    <t>Plastic</t>
  </si>
  <si>
    <t>metres</t>
  </si>
  <si>
    <t>Paint</t>
  </si>
  <si>
    <t>Solvent based paint</t>
  </si>
  <si>
    <t>Litres</t>
  </si>
  <si>
    <t>Water based paint</t>
  </si>
  <si>
    <t>Inert</t>
  </si>
  <si>
    <t>Glass reinforced plastic GRP (Fiberglass)</t>
  </si>
  <si>
    <t>Gullies</t>
  </si>
  <si>
    <t>Recycled aggregate</t>
  </si>
  <si>
    <t>Channel &amp; slot drains</t>
  </si>
  <si>
    <t>Headwalls</t>
  </si>
  <si>
    <t>In-situ reinforced concrete</t>
  </si>
  <si>
    <t>Petrol interceptor</t>
  </si>
  <si>
    <t>Recycled</t>
  </si>
  <si>
    <t>Landfill</t>
  </si>
  <si>
    <t xml:space="preserve">GGBS </t>
  </si>
  <si>
    <t xml:space="preserve">Fly ash  </t>
  </si>
  <si>
    <t>Lime</t>
  </si>
  <si>
    <t>Asphalt and bitumen</t>
  </si>
  <si>
    <t>Bitumen</t>
  </si>
  <si>
    <t>Kerb</t>
  </si>
  <si>
    <t>Road markings</t>
  </si>
  <si>
    <t>Thermoplastic road marking</t>
  </si>
  <si>
    <t>Traffic signs</t>
  </si>
  <si>
    <t xml:space="preserve">Aluminium </t>
  </si>
  <si>
    <t>no.</t>
  </si>
  <si>
    <t>Miscellaneous cable</t>
  </si>
  <si>
    <t>Cameras</t>
  </si>
  <si>
    <t>Gantries</t>
  </si>
  <si>
    <t>Road Studs</t>
  </si>
  <si>
    <t>Any type</t>
  </si>
  <si>
    <t>Piling</t>
  </si>
  <si>
    <t>Steel piles</t>
  </si>
  <si>
    <t xml:space="preserve">Pre-cast concrete piles </t>
  </si>
  <si>
    <t>Retaining walls</t>
  </si>
  <si>
    <t>Steelwork</t>
  </si>
  <si>
    <t>General steel</t>
  </si>
  <si>
    <t xml:space="preserve">High strength concrete </t>
  </si>
  <si>
    <t>Pre-cast Concrete</t>
  </si>
  <si>
    <t>General concrete</t>
  </si>
  <si>
    <t>Bricks and blockwork</t>
  </si>
  <si>
    <t>General stone</t>
  </si>
  <si>
    <t>Particle board</t>
  </si>
  <si>
    <t>Electricity</t>
  </si>
  <si>
    <t>kWh</t>
  </si>
  <si>
    <t xml:space="preserve">Gas </t>
  </si>
  <si>
    <t>Petrol</t>
  </si>
  <si>
    <t>Diesel</t>
  </si>
  <si>
    <t>Biodiesel</t>
  </si>
  <si>
    <t xml:space="preserve">Fuel Oil </t>
  </si>
  <si>
    <t>Burning Oil / Kerosene</t>
  </si>
  <si>
    <r>
      <t>m</t>
    </r>
    <r>
      <rPr>
        <vertAlign val="superscript"/>
        <sz val="11"/>
        <rFont val="Calibri"/>
        <family val="2"/>
        <scheme val="minor"/>
      </rPr>
      <t>3</t>
    </r>
  </si>
  <si>
    <t>Concrete, brick, tiles and ceramics</t>
  </si>
  <si>
    <t>Reuse off site</t>
  </si>
  <si>
    <t>waste</t>
  </si>
  <si>
    <t>Incineration (with energy recovery)</t>
  </si>
  <si>
    <t>Composting</t>
  </si>
  <si>
    <t xml:space="preserve">Plastic </t>
  </si>
  <si>
    <t>Bituminous mixtures</t>
  </si>
  <si>
    <t>Mixed metals</t>
  </si>
  <si>
    <t>WEEE</t>
  </si>
  <si>
    <t>Paper and cardboard</t>
  </si>
  <si>
    <t>Material Density Factors</t>
  </si>
  <si>
    <t xml:space="preserve">Material </t>
  </si>
  <si>
    <t>Density</t>
  </si>
  <si>
    <t>Units</t>
  </si>
  <si>
    <t>Source</t>
  </si>
  <si>
    <t>Cement: general</t>
  </si>
  <si>
    <r>
      <t>tonnes/m</t>
    </r>
    <r>
      <rPr>
        <vertAlign val="superscript"/>
        <sz val="11"/>
        <rFont val="Calibri"/>
        <family val="2"/>
        <scheme val="minor"/>
      </rPr>
      <t>3</t>
    </r>
  </si>
  <si>
    <t>Cement: general - 25% fly ash</t>
  </si>
  <si>
    <t>Question</t>
  </si>
  <si>
    <t>Design Build Fund Operate (DBFO) Contract</t>
  </si>
  <si>
    <t>Area 1 - Cornwall &amp; Devon</t>
  </si>
  <si>
    <t>Area 2 - Somerset, Avon, Wilts, Gloucs, Devon</t>
  </si>
  <si>
    <t>Area 3 - Berks, Bucks, Dorset, Hants, Surrey, Oxon</t>
  </si>
  <si>
    <t>Area 4 - Kent, Surrey, East Sussex, West Sussex</t>
  </si>
  <si>
    <t>Area 6 - Essex, Cambs, Suffolk, Norfolk</t>
  </si>
  <si>
    <t>Area 7 - Leics, Notts, Lincs, Derbyshire</t>
  </si>
  <si>
    <t>Area 8 - Bucks, Herts, Beds, Essex, Cambs, Northants</t>
  </si>
  <si>
    <t>Area 9 - Gloucs, Worcs, West Mids, Warwickshire, Staffs</t>
  </si>
  <si>
    <t>Area 10 - Cheshire, Merseyside, Grt Manchester, South Lancs</t>
  </si>
  <si>
    <t>Area 14 - Northumberland, Tyne &amp; Wear, Durham, North Yorks</t>
  </si>
  <si>
    <t>Construction</t>
  </si>
  <si>
    <t>Maintenance</t>
  </si>
  <si>
    <t>Operation</t>
  </si>
  <si>
    <t>New Road</t>
  </si>
  <si>
    <t>New Structure</t>
  </si>
  <si>
    <t>New Road and Structure</t>
  </si>
  <si>
    <t>Road Widening</t>
  </si>
  <si>
    <t>Smart Motorway</t>
  </si>
  <si>
    <t>What length of reporting period is this for?</t>
  </si>
  <si>
    <t>Month</t>
  </si>
  <si>
    <t>Quarter</t>
  </si>
  <si>
    <t>January</t>
  </si>
  <si>
    <t>February</t>
  </si>
  <si>
    <t>March</t>
  </si>
  <si>
    <t>April</t>
  </si>
  <si>
    <t>May</t>
  </si>
  <si>
    <t>June</t>
  </si>
  <si>
    <t>July</t>
  </si>
  <si>
    <t>August</t>
  </si>
  <si>
    <t>September</t>
  </si>
  <si>
    <t>October</t>
  </si>
  <si>
    <t>November</t>
  </si>
  <si>
    <t>December</t>
  </si>
  <si>
    <t>Q1: April, May, June</t>
  </si>
  <si>
    <t>Q2: July, August, September</t>
  </si>
  <si>
    <t>Q3: October, November, December</t>
  </si>
  <si>
    <t>Q4: January, February, March</t>
  </si>
  <si>
    <t>Scoping Questions</t>
  </si>
  <si>
    <t>Drop down list Options</t>
  </si>
  <si>
    <t>Does the project involve fencing, barriers or road restraint systems?</t>
  </si>
  <si>
    <t>Yes</t>
  </si>
  <si>
    <t>No</t>
  </si>
  <si>
    <t xml:space="preserve">Does the project involve drainage? </t>
  </si>
  <si>
    <t>Does the project involve earthworks?</t>
  </si>
  <si>
    <t>Does the project involve road pavement?</t>
  </si>
  <si>
    <t>Does the project involve street furniture or electrical equipment?</t>
  </si>
  <si>
    <t>Does the project involve civil structures or retaining walls?</t>
  </si>
  <si>
    <t>Transport distance value (km)</t>
  </si>
  <si>
    <t>Next Return Quantity Forecast</t>
  </si>
  <si>
    <t>This Return Quantity</t>
  </si>
  <si>
    <t>Conver
-sion Factor</t>
  </si>
  <si>
    <t>Radio button output:</t>
  </si>
  <si>
    <t>Choose…</t>
  </si>
  <si>
    <t xml:space="preserve">Choose… </t>
  </si>
  <si>
    <t>Sub Category 2</t>
  </si>
  <si>
    <t>Sub Category 1</t>
  </si>
  <si>
    <t>Main Category</t>
  </si>
  <si>
    <t>A9</t>
  </si>
  <si>
    <t>&lt;---DO NOT MOVE FROM CELL R1</t>
  </si>
  <si>
    <t>Row on this sheet of the live return in the metadata:</t>
  </si>
  <si>
    <t>&lt;---DO NOT MOVE FROM CELL R6</t>
  </si>
  <si>
    <t>Reinitialise status (0 = on worksheet open, 1 = return just added):</t>
  </si>
  <si>
    <t>is row populated? (based on whether standard row or not</t>
  </si>
  <si>
    <t>Cement: general -  50% fly ash</t>
  </si>
  <si>
    <t>Cement: general -  25% blast furnace slag</t>
  </si>
  <si>
    <t>Cement: general - 50% blast furnace slag</t>
  </si>
  <si>
    <t>Fibre Cement</t>
  </si>
  <si>
    <t>Portland Cement (dry kiln)</t>
  </si>
  <si>
    <t>Portland Ash Cement</t>
  </si>
  <si>
    <t>Soil-Cement</t>
  </si>
  <si>
    <t>Copper: general</t>
  </si>
  <si>
    <t>Recycled Copper</t>
  </si>
  <si>
    <t>Steel: general</t>
  </si>
  <si>
    <t>Aluminium: general</t>
  </si>
  <si>
    <t>Lead: general</t>
  </si>
  <si>
    <r>
      <t>t/m</t>
    </r>
    <r>
      <rPr>
        <vertAlign val="superscript"/>
        <sz val="11"/>
        <rFont val="Calibri"/>
        <family val="2"/>
        <scheme val="minor"/>
      </rPr>
      <t>3</t>
    </r>
  </si>
  <si>
    <t>Standard Paint</t>
  </si>
  <si>
    <t>kg/litre</t>
  </si>
  <si>
    <t>Mortar (cement:sand mix)</t>
  </si>
  <si>
    <t>Quarried aggregate</t>
  </si>
  <si>
    <t>Asphalt</t>
  </si>
  <si>
    <t>Standard Brick</t>
  </si>
  <si>
    <t>Clay</t>
  </si>
  <si>
    <t>Sand</t>
  </si>
  <si>
    <t>Soil</t>
  </si>
  <si>
    <t>Stone: general</t>
  </si>
  <si>
    <t>Stone gravel/chippings</t>
  </si>
  <si>
    <t>Slate</t>
  </si>
  <si>
    <t>Timber: general</t>
  </si>
  <si>
    <r>
      <t>kg/m</t>
    </r>
    <r>
      <rPr>
        <vertAlign val="superscript"/>
        <sz val="11"/>
        <rFont val="Calibri"/>
        <family val="2"/>
        <scheme val="minor"/>
      </rPr>
      <t>2</t>
    </r>
  </si>
  <si>
    <t>Particle Board</t>
  </si>
  <si>
    <t>Plywood</t>
  </si>
  <si>
    <t>Sawn Hardwood</t>
  </si>
  <si>
    <t>Sawn Softwood</t>
  </si>
  <si>
    <t>Cabinets</t>
  </si>
  <si>
    <t>Bath Inventory - Version 2.0 (2011)</t>
  </si>
  <si>
    <t>Carbon Factor Value</t>
  </si>
  <si>
    <t>Carbon Factor Unit</t>
  </si>
  <si>
    <t>tCO2e/t</t>
  </si>
  <si>
    <t>Cat 10</t>
  </si>
  <si>
    <t>&lt;--- DO NOT MOVE FROM CELL AF1</t>
  </si>
  <si>
    <t>Name of worksheet currently being blanked during blank_all_returns sub:</t>
  </si>
  <si>
    <t>A:AQ</t>
  </si>
  <si>
    <t>&lt;---DO NOT MOVE FROM CELL R7</t>
  </si>
  <si>
    <t>Column range used in entity datastore</t>
  </si>
  <si>
    <t>Last Update:</t>
  </si>
  <si>
    <t>Forecast</t>
  </si>
  <si>
    <t>Business and Employee Transport</t>
  </si>
  <si>
    <t>row type</t>
  </si>
  <si>
    <t>std = 0 / non std = 1 / major material = 2 / of which = 3</t>
  </si>
  <si>
    <t>AF</t>
  </si>
  <si>
    <t>AG</t>
  </si>
  <si>
    <t>category_col</t>
  </si>
  <si>
    <t>item_col</t>
  </si>
  <si>
    <t>type_col</t>
  </si>
  <si>
    <t>unit_col</t>
  </si>
  <si>
    <t>material_type_col</t>
  </si>
  <si>
    <t>this_return_quantity_col</t>
  </si>
  <si>
    <t>next_return_quantity_forecast_col</t>
  </si>
  <si>
    <t>carbon_factor_value_col</t>
  </si>
  <si>
    <t>carbon_factor_unit_col</t>
  </si>
  <si>
    <t>conversion_factor_col</t>
  </si>
  <si>
    <t>this_return_co2_col</t>
  </si>
  <si>
    <t>methodology_col</t>
  </si>
  <si>
    <t>fencing_percent_col</t>
  </si>
  <si>
    <t>drainage_percent_col</t>
  </si>
  <si>
    <t>road_pavements_percent_col</t>
  </si>
  <si>
    <t>civils_structures_percent_col</t>
  </si>
  <si>
    <t>waste_percent_col</t>
  </si>
  <si>
    <t>transport_mode_col</t>
  </si>
  <si>
    <t>transport_distance_value_col</t>
  </si>
  <si>
    <t>next_return_quantity_forecast_col_transport</t>
  </si>
  <si>
    <t>this_return_co2_col_transport</t>
  </si>
  <si>
    <t>standard_flag_col</t>
  </si>
  <si>
    <t>blank_row_flag_col</t>
  </si>
  <si>
    <t>= meta.Range("B2</t>
  </si>
  <si>
    <t>= meta.Range("B3</t>
  </si>
  <si>
    <t>= meta.Range("B4</t>
  </si>
  <si>
    <t>= meta.Range("B5</t>
  </si>
  <si>
    <t>= meta.Range("B6</t>
  </si>
  <si>
    <t>= meta.Range("B7</t>
  </si>
  <si>
    <t>= meta.Range("B8</t>
  </si>
  <si>
    <t>= meta.Range("B9</t>
  </si>
  <si>
    <t>= meta.Range("B10</t>
  </si>
  <si>
    <t>= meta.Range("B11</t>
  </si>
  <si>
    <t>= meta.Range("B12</t>
  </si>
  <si>
    <t>= meta.Range("B13</t>
  </si>
  <si>
    <t>= meta.Range("B14</t>
  </si>
  <si>
    <t>= meta.Range("B15</t>
  </si>
  <si>
    <t>= meta.Range("B16</t>
  </si>
  <si>
    <t>= meta.Range("B17</t>
  </si>
  <si>
    <t>= meta.Range("B18</t>
  </si>
  <si>
    <t>= meta.Range("B19</t>
  </si>
  <si>
    <t>= meta.Range("B20</t>
  </si>
  <si>
    <t>= meta.Range("B21</t>
  </si>
  <si>
    <t>= meta.Range("B22</t>
  </si>
  <si>
    <t>= meta.Range("B23</t>
  </si>
  <si>
    <t>= meta.Range("B24</t>
  </si>
  <si>
    <t>= meta.Range("B25</t>
  </si>
  <si>
    <t>= meta.Range("B26</t>
  </si>
  <si>
    <t>= meta.Range("B27</t>
  </si>
  <si>
    <t>= meta.Range("B28</t>
  </si>
  <si>
    <t>= meta.Range("B29</t>
  </si>
  <si>
    <t>= meta.Range("B30</t>
  </si>
  <si>
    <t>Row number of of-which row just added:</t>
  </si>
  <si>
    <t>&lt;--- DO NOT MOVE FROM CELL AQ1</t>
  </si>
  <si>
    <t>Set meta = ActiveWorkbook.Worksheets("VB Metadata")</t>
  </si>
  <si>
    <t>If construction: What type of construction?</t>
  </si>
  <si>
    <t>If month: Select month</t>
  </si>
  <si>
    <t>If quarter: Select quarter</t>
  </si>
  <si>
    <t>Contractor Name:</t>
  </si>
  <si>
    <t>Project / Contract Name:</t>
  </si>
  <si>
    <t>Contract Start Date:</t>
  </si>
  <si>
    <t>Contract End Date:</t>
  </si>
  <si>
    <t>Contract Types</t>
  </si>
  <si>
    <t>HA Areas</t>
  </si>
  <si>
    <t>Total carbon this return (tonnes):</t>
  </si>
  <si>
    <t>Total carbon this contract (tonnes):</t>
  </si>
  <si>
    <t>Transport</t>
  </si>
  <si>
    <t>Return</t>
  </si>
  <si>
    <t>Total all returns</t>
  </si>
  <si>
    <t>Total</t>
  </si>
  <si>
    <t>period_col</t>
  </si>
  <si>
    <t>clear 2nd level drop down on 1st level change - last value:</t>
  </si>
  <si>
    <t>This Return tCO2e</t>
  </si>
  <si>
    <t>Total CO2e</t>
  </si>
  <si>
    <t>Return Frequency</t>
  </si>
  <si>
    <t>Return Frequency:</t>
  </si>
  <si>
    <t>Monthly</t>
  </si>
  <si>
    <t>Quarterly</t>
  </si>
  <si>
    <t xml:space="preserve">Train </t>
  </si>
  <si>
    <t>Business and employee transport</t>
  </si>
  <si>
    <t>Water</t>
  </si>
  <si>
    <t>Plastic sheet piles</t>
  </si>
  <si>
    <t>Steel sheet piles</t>
  </si>
  <si>
    <t>Formwork / Shuttering</t>
  </si>
  <si>
    <t>Plastic marker post</t>
  </si>
  <si>
    <t>Aluminium marker sign</t>
  </si>
  <si>
    <t>Camera unit</t>
  </si>
  <si>
    <t>Armoured cable / Power cable</t>
  </si>
  <si>
    <t>Cable</t>
  </si>
  <si>
    <t>Aluminium columns 12m</t>
  </si>
  <si>
    <t>Aluminium columns 10m</t>
  </si>
  <si>
    <t>Aluminium columns 8m</t>
  </si>
  <si>
    <t>Steel columns 12m</t>
  </si>
  <si>
    <t>Steel columns 10m</t>
  </si>
  <si>
    <t>Steel columns 8m</t>
  </si>
  <si>
    <t>LED light</t>
  </si>
  <si>
    <t>AMI (advanced motorway indicator)</t>
  </si>
  <si>
    <t>MS4 Sign</t>
  </si>
  <si>
    <t xml:space="preserve">Variable Message Signs (VMS) </t>
  </si>
  <si>
    <t>Pre-cast concrete 125x305mm</t>
  </si>
  <si>
    <t>Pre-cast concrete 125x255mm</t>
  </si>
  <si>
    <t>Pre-cast concrete 125x150mm</t>
  </si>
  <si>
    <t>Road  Salt</t>
  </si>
  <si>
    <t>Geotextiles</t>
  </si>
  <si>
    <t>General soil</t>
  </si>
  <si>
    <t>Polyethylene membrane</t>
  </si>
  <si>
    <t>Damp proof course and impermeable membrane</t>
  </si>
  <si>
    <t>Plastic (Polyethylene)</t>
  </si>
  <si>
    <t>Precast concrete channel (heavy duty)</t>
  </si>
  <si>
    <t>Plastic (Polypropylene) channel (light duty)</t>
  </si>
  <si>
    <t>Plastic gully pots - PP</t>
  </si>
  <si>
    <t>Plastic gully pots - PE</t>
  </si>
  <si>
    <t>Plastic gully pots - PVC</t>
  </si>
  <si>
    <t>600mm diameter, 1.2m - 3m depth</t>
  </si>
  <si>
    <t>600mm diameter, up to 1.2m depth</t>
  </si>
  <si>
    <t>450mm diameter, up to 1.2m depth</t>
  </si>
  <si>
    <t>Plastic inspection chambers</t>
  </si>
  <si>
    <t>1000mm diameter, 1.2m - 3m depth</t>
  </si>
  <si>
    <t>750mm diameter, up to 1.2m depth</t>
  </si>
  <si>
    <t>Precast concrete inspection chambers</t>
  </si>
  <si>
    <t>4000 diameter, 3m - 6m depth</t>
  </si>
  <si>
    <t>4000 diameter, up to 3m depth</t>
  </si>
  <si>
    <t>3000mm diameter, 3m - 6m depth</t>
  </si>
  <si>
    <t>3000mm diameter, up to 3m depth</t>
  </si>
  <si>
    <t>2400mm diameter, 3m - 6m depth</t>
  </si>
  <si>
    <t>2400mm diameter, up to 3m depth</t>
  </si>
  <si>
    <t>1800mm diameter, 3m - 6m depth</t>
  </si>
  <si>
    <t>1800mm diameter, up to 3m depth</t>
  </si>
  <si>
    <t>1500mm diameter, 3m - 6m depth</t>
  </si>
  <si>
    <t>1500mm diameter, up to 3m depth</t>
  </si>
  <si>
    <t>1200mm diameter, 3m - 6m depth</t>
  </si>
  <si>
    <t>1200mm diameter, up to 3m depth</t>
  </si>
  <si>
    <t>1050mm diameter, 3m - 6m depth</t>
  </si>
  <si>
    <t>1050mm diameter, up to 3m depth</t>
  </si>
  <si>
    <t>900mm diameter, 3m - 6m depth</t>
  </si>
  <si>
    <t>900mm diameter, up to 3m depth</t>
  </si>
  <si>
    <t>Precast concrete manholes</t>
  </si>
  <si>
    <t>In-situ concrete</t>
  </si>
  <si>
    <t>In-situ concrete manholes and inspection chambers</t>
  </si>
  <si>
    <t>Brick manholes and inspection chambers</t>
  </si>
  <si>
    <t>400mm diameter</t>
  </si>
  <si>
    <t>300mm diameter</t>
  </si>
  <si>
    <t>150mm diameter</t>
  </si>
  <si>
    <t>Iron pipework</t>
  </si>
  <si>
    <t>2400mm diameter</t>
  </si>
  <si>
    <t>1800mm diameter</t>
  </si>
  <si>
    <t>1500mm diameter</t>
  </si>
  <si>
    <t>1200mm diameter</t>
  </si>
  <si>
    <t>900mm diameter</t>
  </si>
  <si>
    <t>600mm diameter</t>
  </si>
  <si>
    <t>450mm diameter</t>
  </si>
  <si>
    <t>225mm diameter</t>
  </si>
  <si>
    <t>Glass reinforced plastic GRP (Fibreglass) pipework</t>
  </si>
  <si>
    <t>3600mm diameter</t>
  </si>
  <si>
    <t>3000mm diameter</t>
  </si>
  <si>
    <t>Precast concrete</t>
  </si>
  <si>
    <t>Precast concrete box culvert</t>
  </si>
  <si>
    <t>2100mm diameter</t>
  </si>
  <si>
    <t>Precast concrete circular pipework</t>
  </si>
  <si>
    <t>Vitrified clay pipework</t>
  </si>
  <si>
    <t>Plastic pipework (Polypropylene)</t>
  </si>
  <si>
    <t>Plastic pipework (PVC)</t>
  </si>
  <si>
    <t>Plastic pipework (HDPE)</t>
  </si>
  <si>
    <t>Paint or timber treatment</t>
  </si>
  <si>
    <t>In-situ concrete step barrier</t>
  </si>
  <si>
    <t>Pre-cast concrete step barrier</t>
  </si>
  <si>
    <t>Steel RRS barrier double sided</t>
  </si>
  <si>
    <t>Steel RRS barrier single sided</t>
  </si>
  <si>
    <t xml:space="preserve">Timber barrier 4m </t>
  </si>
  <si>
    <t xml:space="preserve">Timber barrier 3m </t>
  </si>
  <si>
    <t xml:space="preserve">Timber barrier 2m </t>
  </si>
  <si>
    <t>Timber panels and posts</t>
  </si>
  <si>
    <t xml:space="preserve">General Asphalt </t>
  </si>
  <si>
    <t xml:space="preserve">Asphalt </t>
  </si>
  <si>
    <t>Steel bar and rod</t>
  </si>
  <si>
    <t>Reinforcement steel</t>
  </si>
  <si>
    <t>Portland CEM I cement</t>
  </si>
  <si>
    <t>Cement and binders</t>
  </si>
  <si>
    <t xml:space="preserve">Ready mix concrete </t>
  </si>
  <si>
    <t>Bulk Materials</t>
  </si>
  <si>
    <t>bulk_material_or_of_which_col</t>
  </si>
  <si>
    <t>next_return_quantity_forecast_bulk_mat_col</t>
  </si>
  <si>
    <t>Contract Location:</t>
  </si>
  <si>
    <t>Type of Construction:</t>
  </si>
  <si>
    <t>Contract Activity:</t>
  </si>
  <si>
    <t>asssign_check_col</t>
  </si>
  <si>
    <t>Introduction</t>
  </si>
  <si>
    <t>Tool Layout</t>
  </si>
  <si>
    <t>Step by Step Guide</t>
  </si>
  <si>
    <t>Data Requirements</t>
  </si>
  <si>
    <t>Data Sources and Record Keeping</t>
  </si>
  <si>
    <t>Home Page</t>
  </si>
  <si>
    <t>Project Details</t>
  </si>
  <si>
    <t>&lt;---Scoping question 'lock' status (1 = locked)</t>
  </si>
  <si>
    <t>&lt;--- livereturn</t>
  </si>
  <si>
    <t>Click a category to switch it on / off…</t>
  </si>
  <si>
    <t>On/off:</t>
  </si>
  <si>
    <t>Converter:</t>
  </si>
  <si>
    <t>=</t>
  </si>
  <si>
    <t>Miles</t>
  </si>
  <si>
    <t>£ spend</t>
  </si>
  <si>
    <t>spend_col</t>
  </si>
  <si>
    <t>contents_spend_col</t>
  </si>
  <si>
    <t>unallocated_percent_col</t>
  </si>
  <si>
    <t>= meta.Range("B31</t>
  </si>
  <si>
    <t>Not Allocated</t>
  </si>
  <si>
    <t>Assign % of total quantity to categories</t>
  </si>
  <si>
    <t>bulk_refresh_check_flag_col</t>
  </si>
  <si>
    <t>= meta.Range("B32</t>
  </si>
  <si>
    <t xml:space="preserve">Add new row:          </t>
  </si>
  <si>
    <t>Return Status</t>
  </si>
  <si>
    <t>2015 Jan - Mar</t>
  </si>
  <si>
    <t>Return Period</t>
  </si>
  <si>
    <t>Not Allocated %</t>
  </si>
  <si>
    <t>Road Pavements %</t>
  </si>
  <si>
    <t>Civils Structures %</t>
  </si>
  <si>
    <t>Waste
%</t>
  </si>
  <si>
    <t>Drainage
%</t>
  </si>
  <si>
    <t>Fencing
%</t>
  </si>
  <si>
    <t>Area 5 - M25 (Berks, Bucks, Essex, Herts, Kent, Surrey)</t>
  </si>
  <si>
    <t>Maintenance works</t>
  </si>
  <si>
    <r>
      <t>tCO</t>
    </r>
    <r>
      <rPr>
        <vertAlign val="subscript"/>
        <sz val="11"/>
        <rFont val="Calibri"/>
        <family val="2"/>
        <scheme val="minor"/>
      </rPr>
      <t>2</t>
    </r>
    <r>
      <rPr>
        <sz val="11"/>
        <rFont val="Calibri"/>
        <family val="2"/>
        <scheme val="minor"/>
      </rPr>
      <t>e/t</t>
    </r>
  </si>
  <si>
    <r>
      <t>tCO</t>
    </r>
    <r>
      <rPr>
        <vertAlign val="subscript"/>
        <sz val="11"/>
        <rFont val="Calibri"/>
        <family val="2"/>
        <scheme val="minor"/>
      </rPr>
      <t>2</t>
    </r>
    <r>
      <rPr>
        <sz val="11"/>
        <rFont val="Calibri"/>
        <family val="2"/>
        <scheme val="minor"/>
      </rPr>
      <t>e/m</t>
    </r>
  </si>
  <si>
    <r>
      <t>tCO</t>
    </r>
    <r>
      <rPr>
        <vertAlign val="subscript"/>
        <sz val="11"/>
        <rFont val="Calibri"/>
        <family val="2"/>
        <scheme val="minor"/>
      </rPr>
      <t>2</t>
    </r>
    <r>
      <rPr>
        <sz val="11"/>
        <rFont val="Calibri"/>
        <family val="2"/>
        <scheme val="minor"/>
      </rPr>
      <t>e/m</t>
    </r>
    <r>
      <rPr>
        <vertAlign val="superscript"/>
        <sz val="11"/>
        <rFont val="Calibri"/>
        <family val="2"/>
        <scheme val="minor"/>
      </rPr>
      <t>2</t>
    </r>
  </si>
  <si>
    <r>
      <t>tCO</t>
    </r>
    <r>
      <rPr>
        <vertAlign val="subscript"/>
        <sz val="11"/>
        <rFont val="Calibri"/>
        <family val="2"/>
        <scheme val="minor"/>
      </rPr>
      <t>2</t>
    </r>
    <r>
      <rPr>
        <sz val="11"/>
        <rFont val="Calibri"/>
        <family val="2"/>
        <scheme val="minor"/>
      </rPr>
      <t>e/m</t>
    </r>
    <r>
      <rPr>
        <vertAlign val="superscript"/>
        <sz val="11"/>
        <rFont val="Calibri"/>
        <family val="2"/>
        <scheme val="minor"/>
      </rPr>
      <t>3</t>
    </r>
  </si>
  <si>
    <r>
      <t>tCO</t>
    </r>
    <r>
      <rPr>
        <vertAlign val="subscript"/>
        <sz val="11"/>
        <rFont val="Calibri"/>
        <family val="2"/>
        <scheme val="minor"/>
      </rPr>
      <t>2</t>
    </r>
    <r>
      <rPr>
        <sz val="11"/>
        <rFont val="Calibri"/>
        <family val="2"/>
        <scheme val="minor"/>
      </rPr>
      <t>e/no.</t>
    </r>
  </si>
  <si>
    <r>
      <t>kgCO</t>
    </r>
    <r>
      <rPr>
        <vertAlign val="subscript"/>
        <sz val="11"/>
        <color theme="1"/>
        <rFont val="Calibri"/>
        <family val="2"/>
        <scheme val="minor"/>
      </rPr>
      <t>2</t>
    </r>
    <r>
      <rPr>
        <sz val="11"/>
        <color theme="1"/>
        <rFont val="Calibri"/>
        <family val="2"/>
        <scheme val="minor"/>
      </rPr>
      <t>e/kg</t>
    </r>
  </si>
  <si>
    <r>
      <t>kgCO</t>
    </r>
    <r>
      <rPr>
        <vertAlign val="subscript"/>
        <sz val="11"/>
        <color theme="1"/>
        <rFont val="Calibri"/>
        <family val="2"/>
        <scheme val="minor"/>
      </rPr>
      <t>2</t>
    </r>
    <r>
      <rPr>
        <sz val="11"/>
        <color theme="1"/>
        <rFont val="Calibri"/>
        <family val="2"/>
        <scheme val="minor"/>
      </rPr>
      <t>e/l</t>
    </r>
  </si>
  <si>
    <r>
      <t>kgCO</t>
    </r>
    <r>
      <rPr>
        <vertAlign val="subscript"/>
        <sz val="11"/>
        <rFont val="Calibri"/>
        <family val="2"/>
        <scheme val="minor"/>
      </rPr>
      <t>2</t>
    </r>
    <r>
      <rPr>
        <sz val="11"/>
        <rFont val="Calibri"/>
        <family val="2"/>
        <scheme val="minor"/>
      </rPr>
      <t>e/km</t>
    </r>
  </si>
  <si>
    <r>
      <t>kgCO</t>
    </r>
    <r>
      <rPr>
        <vertAlign val="subscript"/>
        <sz val="11"/>
        <rFont val="Calibri"/>
        <family val="2"/>
        <scheme val="minor"/>
      </rPr>
      <t>2</t>
    </r>
    <r>
      <rPr>
        <sz val="11"/>
        <rFont val="Calibri"/>
        <family val="2"/>
        <scheme val="minor"/>
      </rPr>
      <t>e/Kwh</t>
    </r>
  </si>
  <si>
    <t>Carbon factor units</t>
  </si>
  <si>
    <t>Laden</t>
  </si>
  <si>
    <t>HGV</t>
  </si>
  <si>
    <t>Unladen</t>
  </si>
  <si>
    <t xml:space="preserve">Transport factors </t>
  </si>
  <si>
    <r>
      <t>Carbon Factor (tCO</t>
    </r>
    <r>
      <rPr>
        <b/>
        <vertAlign val="subscript"/>
        <sz val="10"/>
        <color theme="0"/>
        <rFont val="Calibri"/>
        <family val="2"/>
        <scheme val="minor"/>
      </rPr>
      <t>2</t>
    </r>
    <r>
      <rPr>
        <b/>
        <sz val="10"/>
        <color theme="0"/>
        <rFont val="Calibri"/>
        <family val="2"/>
        <scheme val="minor"/>
      </rPr>
      <t>e/t.km)</t>
    </r>
  </si>
  <si>
    <r>
      <t>tonnes/m</t>
    </r>
    <r>
      <rPr>
        <vertAlign val="superscript"/>
        <sz val="11"/>
        <rFont val="Calibri"/>
        <family val="2"/>
        <scheme val="minor"/>
      </rPr>
      <t>3</t>
    </r>
    <r>
      <rPr>
        <sz val="11"/>
        <color theme="1"/>
        <rFont val="Calibri"/>
        <family val="2"/>
        <scheme val="minor"/>
      </rPr>
      <t/>
    </r>
  </si>
  <si>
    <t>Plastic (PVC)</t>
  </si>
  <si>
    <t>tonnes / 1000 bricks</t>
  </si>
  <si>
    <t>Energy and Fuel</t>
  </si>
  <si>
    <r>
      <t>tCO</t>
    </r>
    <r>
      <rPr>
        <vertAlign val="subscript"/>
        <sz val="11"/>
        <rFont val="Calibri"/>
        <family val="2"/>
        <scheme val="minor"/>
      </rPr>
      <t>2</t>
    </r>
    <r>
      <rPr>
        <sz val="11"/>
        <rFont val="Calibri"/>
        <family val="2"/>
        <scheme val="minor"/>
      </rPr>
      <t>e/t.km</t>
    </r>
  </si>
  <si>
    <r>
      <t>tCO</t>
    </r>
    <r>
      <rPr>
        <vertAlign val="subscript"/>
        <sz val="11"/>
        <rFont val="Calibri"/>
        <family val="2"/>
        <scheme val="minor"/>
      </rPr>
      <t>2</t>
    </r>
    <r>
      <rPr>
        <sz val="11"/>
        <rFont val="Calibri"/>
        <family val="2"/>
        <scheme val="minor"/>
      </rPr>
      <t>e/km</t>
    </r>
  </si>
  <si>
    <t>Assumed ship transport returns laden for purposes not related to the reporting contract and thus  a zero carbon factor is applied.</t>
  </si>
  <si>
    <t xml:space="preserve">General </t>
  </si>
  <si>
    <t>Cement</t>
  </si>
  <si>
    <t>Asphalt and Bitumen</t>
  </si>
  <si>
    <t>Embodied carbon of site won material assumed to be zero. Emissions from the movement around the site captured by fuel use.</t>
  </si>
  <si>
    <t>Road salt/grit</t>
  </si>
  <si>
    <t xml:space="preserve">Imported Soil </t>
  </si>
  <si>
    <t>General soil/top soil</t>
  </si>
  <si>
    <t xml:space="preserve">Stabilised soil - Cement, Fly Ash or GGBS </t>
  </si>
  <si>
    <t>Site won soil/ muck shift</t>
  </si>
  <si>
    <t>Embodied carbon of site won material assumed to be zero. Movement around site captured by fuel use.</t>
  </si>
  <si>
    <t>Ground stabilisation</t>
  </si>
  <si>
    <t>Please include this within the bulk materials category under cement.</t>
  </si>
  <si>
    <t>Polypropylene geotextile / matting</t>
  </si>
  <si>
    <r>
      <t>m</t>
    </r>
    <r>
      <rPr>
        <vertAlign val="superscript"/>
        <sz val="11"/>
        <color theme="1"/>
        <rFont val="Calibri"/>
        <family val="2"/>
        <scheme val="minor"/>
      </rPr>
      <t>2</t>
    </r>
  </si>
  <si>
    <t>Fence timber (by volume)</t>
  </si>
  <si>
    <t>Timber rail fence (all types, includes posts)</t>
  </si>
  <si>
    <t>Steel/wire/chain fence (includes posts)</t>
  </si>
  <si>
    <t>Steel barrier 2m</t>
  </si>
  <si>
    <t>Steel barrier 3m</t>
  </si>
  <si>
    <t>Steel barrier 4m</t>
  </si>
  <si>
    <t>Aluminium barrier 2m</t>
  </si>
  <si>
    <t>Aluminium barrier 3m</t>
  </si>
  <si>
    <t>Aluminium barrier 4m</t>
  </si>
  <si>
    <t>Plastic barrier 2m</t>
  </si>
  <si>
    <t>Plastic barrier 3m</t>
  </si>
  <si>
    <t>Plastic barrier 4m</t>
  </si>
  <si>
    <t>Road Restraint System/ Safety Barrier</t>
  </si>
  <si>
    <t>Please include this within the bulk materials category under concrete.</t>
  </si>
  <si>
    <t>Please include this within the civil structures category under pre-cast concrete.</t>
  </si>
  <si>
    <t>Brick (includes mortar)</t>
  </si>
  <si>
    <t>Brick and Blockwork</t>
  </si>
  <si>
    <t>High friction surfacing</t>
  </si>
  <si>
    <r>
      <t>m</t>
    </r>
    <r>
      <rPr>
        <vertAlign val="superscript"/>
        <sz val="11"/>
        <rFont val="Calibri"/>
        <family val="2"/>
        <scheme val="minor"/>
      </rPr>
      <t>2</t>
    </r>
  </si>
  <si>
    <t>Electrical Equipment</t>
  </si>
  <si>
    <t>Road lighting and columns</t>
  </si>
  <si>
    <t>Plastic cable ducting</t>
  </si>
  <si>
    <t xml:space="preserve">50mm diameter </t>
  </si>
  <si>
    <t>Hard shoulder camera and steel pole</t>
  </si>
  <si>
    <r>
      <t>tCO</t>
    </r>
    <r>
      <rPr>
        <vertAlign val="subscript"/>
        <sz val="11"/>
        <rFont val="Calibri"/>
        <family val="2"/>
        <scheme val="minor"/>
      </rPr>
      <t>2</t>
    </r>
    <r>
      <rPr>
        <sz val="11"/>
        <rFont val="Calibri"/>
        <family val="2"/>
        <scheme val="minor"/>
      </rPr>
      <t>e/unit</t>
    </r>
  </si>
  <si>
    <t>Marker posts/signs</t>
  </si>
  <si>
    <t>Handrail</t>
  </si>
  <si>
    <t>Galvanised steel</t>
  </si>
  <si>
    <t>Plastic formwork (disposable)</t>
  </si>
  <si>
    <t>In-situ concrete piles</t>
  </si>
  <si>
    <t>Gabion wall (stone and wire mesh)</t>
  </si>
  <si>
    <t>‘Bendy Pole’ MS4</t>
  </si>
  <si>
    <t>9m ‘Flagpole’ MS4</t>
  </si>
  <si>
    <t>14m ADS Tubular Cantilever</t>
  </si>
  <si>
    <t>19m Sign/Signal Cantilever</t>
  </si>
  <si>
    <t>Up to 33m Portal</t>
  </si>
  <si>
    <t>33m to 45m Portal</t>
  </si>
  <si>
    <t>45m to 57m Portal</t>
  </si>
  <si>
    <t>57m plus Portal</t>
  </si>
  <si>
    <t>General paint</t>
  </si>
  <si>
    <t>Concrete blocks (includes mortar)</t>
  </si>
  <si>
    <t>Standard bricks (includes mortar)</t>
  </si>
  <si>
    <t>Decorative stone</t>
  </si>
  <si>
    <t>Fuel, Energy &amp; Water</t>
  </si>
  <si>
    <t xml:space="preserve">Site offices, site vehicles and plant energy </t>
  </si>
  <si>
    <r>
      <t>kgCO</t>
    </r>
    <r>
      <rPr>
        <vertAlign val="subscript"/>
        <sz val="11"/>
        <rFont val="Calibri"/>
        <family val="2"/>
        <scheme val="minor"/>
      </rPr>
      <t>2</t>
    </r>
    <r>
      <rPr>
        <sz val="11"/>
        <rFont val="Calibri"/>
        <family val="2"/>
        <scheme val="minor"/>
      </rPr>
      <t>e/kWh</t>
    </r>
  </si>
  <si>
    <t>Bottled Gas</t>
  </si>
  <si>
    <t>kg</t>
  </si>
  <si>
    <r>
      <t>kgCO</t>
    </r>
    <r>
      <rPr>
        <vertAlign val="subscript"/>
        <sz val="11"/>
        <rFont val="Calibri"/>
        <family val="2"/>
        <scheme val="minor"/>
      </rPr>
      <t>2</t>
    </r>
    <r>
      <rPr>
        <sz val="11"/>
        <rFont val="Calibri"/>
        <family val="2"/>
        <scheme val="minor"/>
      </rPr>
      <t>e/t</t>
    </r>
  </si>
  <si>
    <t>Gas Oil (red diesel)</t>
  </si>
  <si>
    <t xml:space="preserve">Mains </t>
  </si>
  <si>
    <r>
      <t>kgCO</t>
    </r>
    <r>
      <rPr>
        <vertAlign val="subscript"/>
        <sz val="11"/>
        <rFont val="Calibri"/>
        <family val="2"/>
        <scheme val="minor"/>
      </rPr>
      <t>2</t>
    </r>
    <r>
      <rPr>
        <sz val="11"/>
        <rFont val="Calibri"/>
        <family val="2"/>
        <scheme val="minor"/>
      </rPr>
      <t>e/l</t>
    </r>
  </si>
  <si>
    <t>Abstracted</t>
  </si>
  <si>
    <t>Embodied carbon of site abstracted water assumed to be zero. Movement around site captured by fuel use.</t>
  </si>
  <si>
    <t>Transported (Tanker)</t>
  </si>
  <si>
    <t xml:space="preserve">Business travel  </t>
  </si>
  <si>
    <t>Private vehicle (any type)</t>
  </si>
  <si>
    <t>Bus/coach</t>
  </si>
  <si>
    <t>Employee commuting</t>
  </si>
  <si>
    <t>Mixed construction &amp; demolition waste</t>
  </si>
  <si>
    <t>General Office Waste</t>
  </si>
  <si>
    <t>Organic waste</t>
  </si>
  <si>
    <t>Wood/Timber</t>
  </si>
  <si>
    <t>Aggregate and soil exported off-site</t>
  </si>
  <si>
    <t>Re-use off site</t>
  </si>
  <si>
    <t>Oil and Liquid fuel Waste</t>
  </si>
  <si>
    <t xml:space="preserve">Hazardous waste </t>
  </si>
  <si>
    <t>Spend</t>
  </si>
  <si>
    <t>Lower Limit</t>
  </si>
  <si>
    <t>Upper Limit</t>
  </si>
  <si>
    <t xml:space="preserve">Materials </t>
  </si>
  <si>
    <t xml:space="preserve">Materials, Transport, Energy and Waste Emissions </t>
  </si>
  <si>
    <t>Fencing/ RRS/ barriers</t>
  </si>
  <si>
    <t>Pavements</t>
  </si>
  <si>
    <t>Street furniture</t>
  </si>
  <si>
    <t>Civil Structures</t>
  </si>
  <si>
    <t xml:space="preserve">Category </t>
  </si>
  <si>
    <t>Materials Total</t>
  </si>
  <si>
    <t>Materials Transport</t>
  </si>
  <si>
    <t>Energy Use</t>
  </si>
  <si>
    <t xml:space="preserve">The overall cumulative total emissions for this project are displayed below against a baseline value. </t>
  </si>
  <si>
    <t>Business and Employee transport</t>
  </si>
  <si>
    <r>
      <t>Total carbon dioxide equivalent emissions CO</t>
    </r>
    <r>
      <rPr>
        <vertAlign val="subscript"/>
        <sz val="11"/>
        <color theme="1"/>
        <rFont val="Arial"/>
        <family val="2"/>
      </rPr>
      <t>2</t>
    </r>
    <r>
      <rPr>
        <sz val="11"/>
        <color theme="1"/>
        <rFont val="Arial"/>
        <family val="2"/>
      </rPr>
      <t>e produced for this contract:</t>
    </r>
  </si>
  <si>
    <r>
      <t>Total carbon dioxide equivalent emissions CO</t>
    </r>
    <r>
      <rPr>
        <vertAlign val="subscript"/>
        <sz val="11"/>
        <color theme="1"/>
        <rFont val="Arial"/>
        <family val="2"/>
      </rPr>
      <t>2</t>
    </r>
    <r>
      <rPr>
        <sz val="11"/>
        <color theme="1"/>
        <rFont val="Arial"/>
        <family val="2"/>
      </rPr>
      <t>e produced per £ spent:</t>
    </r>
  </si>
  <si>
    <t xml:space="preserve"> tonnes</t>
  </si>
  <si>
    <t>Carbon Factor (tCO2e/t.km)</t>
  </si>
  <si>
    <t>Bitumen / surface treatment</t>
  </si>
  <si>
    <t>Fuel and Energy</t>
  </si>
  <si>
    <t>Input data into shaded cells</t>
  </si>
  <si>
    <t>transport_required_flag_col</t>
  </si>
  <si>
    <t>sandpit_row_id_col</t>
  </si>
  <si>
    <t>Fencing / RRS / barriers</t>
  </si>
  <si>
    <t>(</t>
  </si>
  <si>
    <t>(excluding bulk materials)</t>
  </si>
  <si>
    <t>(of which Transport)</t>
  </si>
  <si>
    <t>Value pulled thru from Summary Report selector cell:</t>
  </si>
  <si>
    <t>FORMULAE:</t>
  </si>
  <si>
    <t>running total baseline</t>
  </si>
  <si>
    <t>NAME:</t>
  </si>
  <si>
    <t>CO2 per £</t>
  </si>
  <si>
    <t>chart_number_1</t>
  </si>
  <si>
    <t>chart_number_2</t>
  </si>
  <si>
    <t>=OFFSET('Chart data'!$n$8,0,0,COUNTA('Chart data'!$n$8:$n$9999),5)</t>
  </si>
  <si>
    <r>
      <t>Carbon dioxide equivalent emissions CO</t>
    </r>
    <r>
      <rPr>
        <vertAlign val="subscript"/>
        <sz val="11"/>
        <color theme="1"/>
        <rFont val="Arial"/>
        <family val="2"/>
      </rPr>
      <t>2</t>
    </r>
    <r>
      <rPr>
        <sz val="11"/>
        <color theme="1"/>
        <rFont val="Arial"/>
        <family val="2"/>
      </rPr>
      <t>e produced during the period:</t>
    </r>
  </si>
  <si>
    <r>
      <t>Carbon dioxide equivalent emissions CO</t>
    </r>
    <r>
      <rPr>
        <vertAlign val="subscript"/>
        <sz val="11"/>
        <color theme="1"/>
        <rFont val="Arial"/>
        <family val="2"/>
      </rPr>
      <t>2</t>
    </r>
    <r>
      <rPr>
        <sz val="11"/>
        <color theme="1"/>
        <rFont val="Arial"/>
        <family val="2"/>
      </rPr>
      <t>e produced per £ spent this period:</t>
    </r>
  </si>
  <si>
    <t xml:space="preserve">select: </t>
  </si>
  <si>
    <t>is lane km numeric?</t>
  </si>
  <si>
    <t>Cells in the tool that are formatted with this colour will require you to enter data.</t>
  </si>
  <si>
    <t>is contract value numeric?</t>
  </si>
  <si>
    <t>Contract Start / End Dates must be in format dd/mm/yyyy</t>
  </si>
  <si>
    <t>is start date a date?</t>
  </si>
  <si>
    <t>is end date a date?</t>
  </si>
  <si>
    <t>Assumed rail transport returns laden for purposes not related to the reporting contract and thus a zero carbon factor is applied.</t>
  </si>
  <si>
    <t>Please include this within the bulk materials category.</t>
  </si>
  <si>
    <t>Project to date</t>
  </si>
  <si>
    <t>Cumulative spend</t>
  </si>
  <si>
    <t>Construction works</t>
  </si>
  <si>
    <t>Contract Value (£):</t>
  </si>
  <si>
    <t>Estimated spend in return period (£)</t>
  </si>
  <si>
    <t>Area 12 - Yorkshire, North Lincs</t>
  </si>
  <si>
    <t>Area 13 - Cumbria, North Lancs</t>
  </si>
  <si>
    <t>&lt;---DO NOT MOVE FROM CELL R8</t>
  </si>
  <si>
    <t>If not the workbook is activated for the first time</t>
  </si>
  <si>
    <t>=OFFSET('Chart data'!$c$8,0,0,COUNTA('Chart data'!$c$8:$c$9999),5)</t>
  </si>
  <si>
    <t>Lower benchmark</t>
  </si>
  <si>
    <t>Upper Benchmark</t>
  </si>
  <si>
    <t>Individual return</t>
  </si>
  <si>
    <t>project to date</t>
  </si>
  <si>
    <t>Carbon return:</t>
  </si>
  <si>
    <t>Return Name</t>
  </si>
  <si>
    <t>Note</t>
  </si>
  <si>
    <t>Gully Waste and road sweepings</t>
  </si>
  <si>
    <t xml:space="preserve">           Action:</t>
  </si>
  <si>
    <t>Output Summary</t>
  </si>
  <si>
    <r>
      <t>CO</t>
    </r>
    <r>
      <rPr>
        <b/>
        <vertAlign val="subscript"/>
        <sz val="12"/>
        <rFont val="Calibri"/>
        <family val="2"/>
        <scheme val="minor"/>
      </rPr>
      <t>2</t>
    </r>
    <r>
      <rPr>
        <b/>
        <sz val="12"/>
        <rFont val="Calibri"/>
        <family val="2"/>
        <scheme val="minor"/>
      </rPr>
      <t>e Emissions</t>
    </r>
  </si>
  <si>
    <t>Carbon Summary Report for -</t>
  </si>
  <si>
    <t>The tool is centred around the 'Home Page'; from there you can create your 'Carbon Returns' by inputting the relevant carbon data for the given period. This period can be one month or one financial quarter (three months), whichever is more convenient for you. The tool allows you to save and resume a carbon return to allow data to be added as and when it becomes available. Once you have started or resumed your carbon return you will see a number of buttons appear at the top of the page. These will take you to the 10 data category pages where you shall input your data. See below for the data requirements.</t>
  </si>
  <si>
    <r>
      <t xml:space="preserve">Switching categories off. </t>
    </r>
    <r>
      <rPr>
        <sz val="12"/>
        <color theme="1"/>
        <rFont val="Calibri"/>
        <family val="2"/>
        <scheme val="minor"/>
      </rPr>
      <t>If you know that your project or contract does not involve one of the 10 categories then you can ‘switch it off’ by clicking the category title in the table on the home page. Once you click the category it will turn the cells below that category grey, indicating that data is not required for this category in carbon returns you submit.</t>
    </r>
  </si>
  <si>
    <r>
      <t xml:space="preserve">Assigning materials to the other categories
</t>
    </r>
    <r>
      <rPr>
        <sz val="12"/>
        <color theme="1"/>
        <rFont val="Calibri"/>
        <family val="2"/>
        <scheme val="minor"/>
      </rPr>
      <t xml:space="preserve">You will need to assign the percentage of materials you have entered in the bulk materials category to the other categories in the tool, using the best available information or estimation. You do not need to input these into each category separately. For example out of 100 tonnes of concrete delivered during a given period, 20% might have been for drainage, 30% for road pavements and 50% for structures. This data will then be carried over to the appropriate categories, so that you are reminded of the materials which you have already entered.
Some items constructed on site do not appear as separate options in the tool. These are captured by assigning the bulk materials to the relevant category, for example, concrete elements made on site such as a slip formed concrete step barriers or in-situ concrete piles. </t>
    </r>
  </si>
  <si>
    <r>
      <t xml:space="preserve">Forecasting
</t>
    </r>
    <r>
      <rPr>
        <sz val="12"/>
        <color theme="1"/>
        <rFont val="Calibri"/>
        <family val="2"/>
        <scheme val="minor"/>
      </rPr>
      <t>You will need to forecast how much of the bulk materials you are likely to have delivered in the next reporting period. For example you may have had 137 tonnes of asphalt delivered during the current quarter/month and be expecting approximately 200 tonnes for the next month/quarter.</t>
    </r>
  </si>
  <si>
    <t>Cells in the tool that are formatted with this colour should not be edited</t>
  </si>
  <si>
    <t>Average CEM I, Ordinary Portland Cement (OPC)</t>
  </si>
  <si>
    <t>CEM II-A-S - 13% GGBs</t>
  </si>
  <si>
    <t>CEM II/B-S - 28% GGBs</t>
  </si>
  <si>
    <t>CEM II/A-P - 13% natural pozzolanic ash</t>
  </si>
  <si>
    <t>CEM II/B-P 28% natural pozzolanic ash</t>
  </si>
  <si>
    <t>CEM II/A-V - 13% fly ash siliceous</t>
  </si>
  <si>
    <t>CEM II/B-V - 28% fly ash siliceous</t>
  </si>
  <si>
    <t>CEM II/A-W - 13% fly ash calcareous</t>
  </si>
  <si>
    <t>CEM II/B-W - 28% fly ash calcareous</t>
  </si>
  <si>
    <t>CEM II/A-L - 13% limestone</t>
  </si>
  <si>
    <t>CEM II/B-L- 28% limestone</t>
  </si>
  <si>
    <t>CEM II/A-LL - 13% limestone</t>
  </si>
  <si>
    <t>CEM II/B-LL - 28% limestone</t>
  </si>
  <si>
    <t>CEM II/A-M - 16% cement replacement</t>
  </si>
  <si>
    <t>CEM II/B-M - 28% cement replacement</t>
  </si>
  <si>
    <t>CEM III/A - 50.5% GGBS</t>
  </si>
  <si>
    <t>CEM III/B - 73% GGBS</t>
  </si>
  <si>
    <t>CEM III/C - 88% GGBS</t>
  </si>
  <si>
    <t>CEM IV/A - 23% cement replacement</t>
  </si>
  <si>
    <t>CEM IV/B - 46% cement replacement</t>
  </si>
  <si>
    <t>CEM V/A - 24% GGBS and 24% cement replacement</t>
  </si>
  <si>
    <t>CEM V/B - 36% GGBS and 36% cement replacement</t>
  </si>
  <si>
    <t>Fill, aggregate and sand</t>
  </si>
  <si>
    <t>Site-won</t>
  </si>
  <si>
    <t>General mixture</t>
  </si>
  <si>
    <t>Recycled and secondary mixture</t>
  </si>
  <si>
    <t>Virgin mixture of land won and marine</t>
  </si>
  <si>
    <t>Virgin land won resources</t>
  </si>
  <si>
    <t>Virgin marine resources</t>
  </si>
  <si>
    <t>Recycled resources, no heat treatment</t>
  </si>
  <si>
    <t>Recycled resources, with heat treatment</t>
  </si>
  <si>
    <t>Expanded clay</t>
  </si>
  <si>
    <t>Expanded foamed glass</t>
  </si>
  <si>
    <t>Secondary resources</t>
  </si>
  <si>
    <t>tCO2/t</t>
  </si>
  <si>
    <t>Carbon factor taken directly from the ICE V3: Miscellaneous &gt; Slag.</t>
  </si>
  <si>
    <t>Carbon factor taken directly from the ICE V3: Miscellaneous &gt; Fly Ash.</t>
  </si>
  <si>
    <t>Steel pipework</t>
  </si>
  <si>
    <r>
      <t>tCO</t>
    </r>
    <r>
      <rPr>
        <vertAlign val="subscript"/>
        <sz val="11"/>
        <rFont val="Calibri"/>
        <family val="2"/>
        <scheme val="minor"/>
      </rPr>
      <t>2</t>
    </r>
    <r>
      <rPr>
        <sz val="11"/>
        <rFont val="Calibri"/>
        <family val="2"/>
        <scheme val="minor"/>
      </rPr>
      <t>/t</t>
    </r>
  </si>
  <si>
    <t>Precast concrete gully pots (heavy duty)</t>
  </si>
  <si>
    <t>Carbon factor taken directly from the ICE V3: Miscellaneous &gt; GRP. Weight of petrol interceptor taken to be 0.5 tonnes based on supplier information for a 52 l/s bypass interceptor.</t>
  </si>
  <si>
    <t xml:space="preserve">General - C25/30 </t>
  </si>
  <si>
    <t xml:space="preserve">General - C28/35 </t>
  </si>
  <si>
    <t xml:space="preserve">General - C32/40 </t>
  </si>
  <si>
    <t>General - C35/45</t>
  </si>
  <si>
    <t xml:space="preserve">General - C40/50 </t>
  </si>
  <si>
    <t xml:space="preserve">100% CEM I - C25/30 </t>
  </si>
  <si>
    <t xml:space="preserve">100% CEM I - C28/35 </t>
  </si>
  <si>
    <t xml:space="preserve">100% CEM I - C32/40 </t>
  </si>
  <si>
    <t>100% CEM I - C35/45</t>
  </si>
  <si>
    <t xml:space="preserve">100% CEM I - C40/50 </t>
  </si>
  <si>
    <t xml:space="preserve">14% Limestone replacement - C25/30 </t>
  </si>
  <si>
    <t xml:space="preserve">14% Limestone replacement - C28/35 </t>
  </si>
  <si>
    <t xml:space="preserve">14% Limestone replacement - C32/40 </t>
  </si>
  <si>
    <t>14% Limestone replacement - C35/45</t>
  </si>
  <si>
    <t xml:space="preserve">14% Limestone replacement - C40/50 </t>
  </si>
  <si>
    <t xml:space="preserve">35% natural pozzolanic ash replacement - C25/30 </t>
  </si>
  <si>
    <t xml:space="preserve">35% natural pozzolanic ash replacement - C28/35 </t>
  </si>
  <si>
    <t xml:space="preserve">35% natural pozzolanic ash replacement - C32/40 </t>
  </si>
  <si>
    <t>35% natural pozzolanic ash replacement - C35/45</t>
  </si>
  <si>
    <t xml:space="preserve">35% natural pozzolanic ash replacement - C40/50 </t>
  </si>
  <si>
    <t xml:space="preserve">30% fly ash replacement - C25/30 </t>
  </si>
  <si>
    <t xml:space="preserve">30% fly ash replacement - C28/35 </t>
  </si>
  <si>
    <t xml:space="preserve">30% fly ash replacement - C32/40 </t>
  </si>
  <si>
    <t>30% fly ash replacement - C35/45</t>
  </si>
  <si>
    <t xml:space="preserve">30% fly ash replacement - C40/50 </t>
  </si>
  <si>
    <t>25% GGBS replacement - C12/15 (Gen 2, ST 3)</t>
  </si>
  <si>
    <t xml:space="preserve">25% GGBS replacement - C25/30 </t>
  </si>
  <si>
    <t xml:space="preserve">25% GGBS replacement - C28/35 </t>
  </si>
  <si>
    <t xml:space="preserve">25% GGBS replacement - C32/40 </t>
  </si>
  <si>
    <t>25% GGBS replacement - C35/45</t>
  </si>
  <si>
    <t xml:space="preserve">25% GGBS replacement - C40/50 </t>
  </si>
  <si>
    <t>Softwood</t>
  </si>
  <si>
    <t>Straight-run bitumen</t>
  </si>
  <si>
    <t>Average roadside cabinet type</t>
  </si>
  <si>
    <t>Bitumen emulsion</t>
  </si>
  <si>
    <t>RAP (recycled asphalt pavement)</t>
  </si>
  <si>
    <t xml:space="preserve">Carbon factor assumed to be zero for site won material. Additives or energy use to be recorded separately. </t>
  </si>
  <si>
    <t>Other DBFO</t>
  </si>
  <si>
    <t>Contract Value must be numeric, keep it as £0 when not applicable</t>
  </si>
  <si>
    <t>The carbon emissions factor is zero and no direct carbon emissions will be accounted for. Transport emissions should still be captured.</t>
  </si>
  <si>
    <t>Guidance for using the National Highways carbon tool</t>
  </si>
  <si>
    <t xml:space="preserve">Where possible, you should enter actual data values into this tool using delivery notes, invoices, receipts, bills and waste transfer notes. You may be asked to take part in our verification process which will require you to keep hold of these data sources for the duration of the contract or project you are reporting for. This verification will be carried out periodically to check the accuracy and validity of the data National Highways collects. This will involve checking the data you are inputting into the tool and assisting you to improve the accuracy of your carbon returns where possible.   </t>
  </si>
  <si>
    <t>Warm Mix Asphalt</t>
  </si>
  <si>
    <t>Other transport</t>
  </si>
  <si>
    <t>HGV (diesel, 0% laden)</t>
  </si>
  <si>
    <t>HGV (diesel, average laden)</t>
  </si>
  <si>
    <t>Van (average)</t>
  </si>
  <si>
    <t>Van (electric)</t>
  </si>
  <si>
    <t>Car (average)</t>
  </si>
  <si>
    <t>Car (electric)</t>
  </si>
  <si>
    <t>Waste water</t>
  </si>
  <si>
    <t>Waste water treatment</t>
  </si>
  <si>
    <t>kgCO2e/l</t>
  </si>
  <si>
    <t>0 Means Transport Emissions Not Required</t>
  </si>
  <si>
    <t>Carbon factor estimated to be 5% lower than the general asphalt value. If you have a carbon factor for a specific warm asphalt product please add a customer carbon factor and provide supporting information in the ‘notes’ section of carbon tool. The carbon tool guidance provides further information on custom factors and notes.</t>
  </si>
  <si>
    <t>Maintenance and Response (M&amp;R)</t>
  </si>
  <si>
    <t>Contract:</t>
  </si>
  <si>
    <t>Biodiesel HVO</t>
  </si>
  <si>
    <t>Bioethanol</t>
  </si>
  <si>
    <t>Biomethane (compressed)</t>
  </si>
  <si>
    <t>Biomethane (liquified)</t>
  </si>
  <si>
    <t>Car (hybrid)</t>
  </si>
  <si>
    <t>Car (plug in hybrid electric)</t>
  </si>
  <si>
    <r>
      <t xml:space="preserve">Step 6) Bulk Materials - Forecasting and Assigning to Other Categories. </t>
    </r>
    <r>
      <rPr>
        <sz val="12"/>
        <color theme="1"/>
        <rFont val="Calibri"/>
        <family val="2"/>
        <scheme val="minor"/>
      </rPr>
      <t xml:space="preserve">The Bulk Materials category works slightly differently to the other nine categories in the tool. It requires two extra steps as shown below. </t>
    </r>
  </si>
  <si>
    <t>Region - SW</t>
  </si>
  <si>
    <t>Region - SE</t>
  </si>
  <si>
    <t>Region - East</t>
  </si>
  <si>
    <t>Region - Midlands</t>
  </si>
  <si>
    <t>Region - NW</t>
  </si>
  <si>
    <t>Region - NE</t>
  </si>
  <si>
    <t>Super Region - South</t>
  </si>
  <si>
    <t>Super Region - Central</t>
  </si>
  <si>
    <t>Super Region - North</t>
  </si>
  <si>
    <r>
      <t>kgCO</t>
    </r>
    <r>
      <rPr>
        <vertAlign val="subscript"/>
        <sz val="11"/>
        <rFont val="Calibri"/>
        <family val="2"/>
        <scheme val="minor"/>
      </rPr>
      <t>2</t>
    </r>
    <r>
      <rPr>
        <sz val="11"/>
        <rFont val="Calibri"/>
        <family val="2"/>
        <scheme val="minor"/>
      </rPr>
      <t>e/kg</t>
    </r>
  </si>
  <si>
    <t xml:space="preserve">Biomethanol </t>
  </si>
  <si>
    <t>Biopropane (bioLPG)</t>
  </si>
  <si>
    <t>Construction Works Framework (CWF)</t>
  </si>
  <si>
    <t>Other Contract</t>
  </si>
  <si>
    <t>AA25</t>
  </si>
  <si>
    <t>Collaborative Performance Framework (CPF)</t>
  </si>
  <si>
    <t>Complex Infrastructure Programme (CIP)</t>
  </si>
  <si>
    <t>Lower Thames Crossing (LTC)</t>
  </si>
  <si>
    <t>Regional Delivery Programme (RDP)</t>
  </si>
  <si>
    <t>Smart Motorway Alliance (SMA)</t>
  </si>
  <si>
    <t>Technical Assurance (TA)</t>
  </si>
  <si>
    <t xml:space="preserve">Commentary </t>
  </si>
  <si>
    <t>Please pick the carbon return you would like to make note of from the drop-down list below and edit the note in the coloured cell.                                       Commentary will be exported and sent to National Highways.</t>
  </si>
  <si>
    <r>
      <rPr>
        <b/>
        <sz val="12"/>
        <color theme="1"/>
        <rFont val="Calibri"/>
        <family val="2"/>
      </rPr>
      <t xml:space="preserve">↓ </t>
    </r>
    <r>
      <rPr>
        <b/>
        <sz val="12"/>
        <color theme="1"/>
        <rFont val="Calibri"/>
        <family val="2"/>
        <scheme val="minor"/>
      </rPr>
      <t>Please write your commentary in the coloured cell below and click 'Save' button above after you've finished ↓</t>
    </r>
  </si>
  <si>
    <t>(Project detail must be fixed before adding first return)</t>
  </si>
  <si>
    <t>Project Description:</t>
  </si>
  <si>
    <t>PCF Stage (MP):</t>
  </si>
  <si>
    <t>3D model (Ops):</t>
  </si>
  <si>
    <t>IF(VLOOKUP($aa25,$aa:$ak,1,FALSE)=$aa25,IF(VLOOKUP($aa25,$aa:$ak,2,FALSE)=1,"Complete","-"),"-")</t>
  </si>
  <si>
    <t>IF(VLOOKUP($aa25,$aa:$ak,1,FALSE)=$aa25,IF(VLOOKUP($aa25,$aa:$ak,3,FALSE)=1,"Complete","-"),"-")</t>
  </si>
  <si>
    <t>IF(VLOOKUP($aa25,$aa:$ak,1,FALSE)=$aa25,IF(VLOOKUP($aa25,$aa:$ak,4,FALSE)=1,"Complete","-"),"-")</t>
  </si>
  <si>
    <t>IF(VLOOKUP($aa25,$aa:$ak,1,FALSE)=$aa25,IF(VLOOKUP($aa25,$aa:$ak,5,FALSE)=1,"Complete","-"),"-")</t>
  </si>
  <si>
    <t>IF(VLOOKUP($aa25,$aa:$ak,1,FALSE)=$aa25,IF(VLOOKUP($aa25,$aa:$ak,6,FALSE)=1,"Complete","-"),"-")</t>
  </si>
  <si>
    <t>IF(VLOOKUP($aa25,$aa:$ak,1,FALSE)=$aa25,IF(VLOOKUP($aa25,$aa:$ak,7,FALSE)=1,"Complete","-"),"-")</t>
  </si>
  <si>
    <t>IF(VLOOKUP($aa25,$aa:$ak,1,FALSE)=$aa25,IF(VLOOKUP($aa25,$aa:$ak,8,FALSE)=1,"Complete","-"),"-")</t>
  </si>
  <si>
    <t>IF(VLOOKUP($aa25,$aa:$ak,1,FALSE)=$aa25,IF(VLOOKUP($aa25,$aa:$ak,9,FALSE)=1,"Complete","-"),"-")</t>
  </si>
  <si>
    <t>IF(VLOOKUP($aa25,$aa:$ak,1,FALSE)=$aa25,IF(VLOOKUP($aa25,$aa:$ak,10,FALSE)=1,"Complete","-"),"-")</t>
  </si>
  <si>
    <t>IF(VLOOKUP($aa25,$aa:$ak,1,FALSE)=$aa25,IF(VLOOKUP($aa25,$aa:$ak,11,FALSE)=1,"Complete","-"),"-")</t>
  </si>
  <si>
    <t>IF(SUM(ab25:ak25)&gt;=SUM($ab$20:$ak$20),"Complete", IF(SUM(ab25:ak25)&gt;0,"Partially Complete","Not Started"))</t>
  </si>
  <si>
    <r>
      <t xml:space="preserve">Step 3) Project Details. </t>
    </r>
    <r>
      <rPr>
        <sz val="12"/>
        <color theme="1"/>
        <rFont val="Calibri"/>
        <family val="2"/>
        <scheme val="minor"/>
      </rPr>
      <t>Now that you have enabled macros, the buttons at the top of the page will work. These buttons will allow you to move between pages in this tool. After reading this guidance, begin your carbon return at the 'Home Page'. You shall enter the Project Details in the purple formatted cells. These questions can only be filled in once per contract/project and cannot be edited once you click 'Fix Project Details', which is required before you can submit your data to National Highways. This includes your as agreed choice of carbon return frequency, either monthly or quarterly.</t>
    </r>
  </si>
  <si>
    <r>
      <rPr>
        <sz val="12"/>
        <rFont val="Calibri"/>
        <family val="2"/>
        <scheme val="minor"/>
      </rPr>
      <t>The tool requires data for energy, materials, transport and waste. These have been split into 10 categories. The diagram below summarises the data requirements of the tool and the carbon emission boundaries this captures. For more in depth explanation of the boundaries for data, please refer to the</t>
    </r>
    <r>
      <rPr>
        <u/>
        <sz val="11"/>
        <color theme="10"/>
        <rFont val="Calibri"/>
        <family val="2"/>
        <scheme val="minor"/>
      </rPr>
      <t xml:space="preserve"> separate guidance document</t>
    </r>
    <r>
      <rPr>
        <sz val="11"/>
        <rFont val="Calibri"/>
        <family val="2"/>
        <scheme val="minor"/>
      </rPr>
      <t xml:space="preserve"> and</t>
    </r>
    <r>
      <rPr>
        <u/>
        <sz val="11"/>
        <color theme="10"/>
        <rFont val="Calibri"/>
        <family val="2"/>
        <scheme val="minor"/>
      </rPr>
      <t xml:space="preserve"> E-learning training programme.
</t>
    </r>
  </si>
  <si>
    <r>
      <rPr>
        <sz val="12"/>
        <rFont val="Calibri"/>
        <family val="2"/>
        <scheme val="minor"/>
      </rPr>
      <t xml:space="preserve">Welcome to the National Highways carbon tool. National Highways is committed to net zero construction and maintenance carbon by 2040, as set out in our </t>
    </r>
    <r>
      <rPr>
        <u/>
        <sz val="12"/>
        <color theme="10"/>
        <rFont val="Calibri"/>
        <family val="2"/>
        <scheme val="minor"/>
      </rPr>
      <t>Net zero highways plan</t>
    </r>
    <r>
      <rPr>
        <sz val="12"/>
        <rFont val="Calibri"/>
        <family val="2"/>
        <scheme val="minor"/>
      </rPr>
      <t>. This means we need to accurately monitor all of the greenhouse gases (measured as carbon equivalents (CO2e)) generated by building and maintaining the Strategic Road Network.
As one of our supply chain members, you shall complete the tool as accurately as possible for the entirety of the contract or project for which you are contracted for. Our carbon tool has been developed based on supply chain user feedback to improve the carbon reporting process, ensuring ease of use and accurate data.</t>
    </r>
  </si>
  <si>
    <r>
      <rPr>
        <sz val="12"/>
        <rFont val="Calibri"/>
        <family val="2"/>
        <scheme val="minor"/>
      </rPr>
      <t>The data you input into this tool is known as your 'Carbon Return'. You must send your carbon returns to National Highways on a quarterly or monthly basis, depending on agreement with National Highways Project Managers. You shall read this guidance page (which should only take 10 minutes) to ensure you use the tool correctly. You shall also refer to the</t>
    </r>
    <r>
      <rPr>
        <u/>
        <sz val="12"/>
        <color theme="10"/>
        <rFont val="Calibri"/>
        <family val="2"/>
        <scheme val="minor"/>
      </rPr>
      <t xml:space="preserve"> separate detailed guidance document</t>
    </r>
    <r>
      <rPr>
        <sz val="12"/>
        <rFont val="Calibri"/>
        <family val="2"/>
        <scheme val="minor"/>
      </rPr>
      <t xml:space="preserve"> as necessary when completing the tool. You shall use the same file for the entire length of your contract, so make sure you save it somewhere so that you can access it again for future returns.</t>
    </r>
  </si>
  <si>
    <t>General - C6/8 (Gen 0)</t>
  </si>
  <si>
    <t>General - C8/10 (Gen 1)</t>
  </si>
  <si>
    <t>General - C12/15 (Gen 2)</t>
  </si>
  <si>
    <t>General - C16/20 (Gen 3)</t>
  </si>
  <si>
    <t xml:space="preserve">General - C20/25 </t>
  </si>
  <si>
    <t>100% CEM I - C6/8 (Gen 0)</t>
  </si>
  <si>
    <t>100% CEM I - C8/10 (Gen 1)</t>
  </si>
  <si>
    <t>100% CEM I - C12/15 (Gen 2)</t>
  </si>
  <si>
    <t>100% CEM I - C16/20 (Gen 3)</t>
  </si>
  <si>
    <t xml:space="preserve">100% CEM I - C20/25 </t>
  </si>
  <si>
    <t>14% Limestone replacement - C6/8 (Gen 0)</t>
  </si>
  <si>
    <t>14% Limestone replacement - C8/10 (Gen 1)</t>
  </si>
  <si>
    <t>14% Limestone replacement - C12/15 (Gen 2)</t>
  </si>
  <si>
    <t>14% Limestone replacement - C16/20 (Gen 3)</t>
  </si>
  <si>
    <t xml:space="preserve">14% Limestone replacement - C20/25 </t>
  </si>
  <si>
    <t>35% natural pozzolanic ash replacement - C6/8 (Gen 0)</t>
  </si>
  <si>
    <t>35% natural pozzolanic ash replacement - C8/10 (Gen 1)</t>
  </si>
  <si>
    <t>35% natural pozzolanic ash replacement - C12/15 (Gen 2)</t>
  </si>
  <si>
    <t>35% natural pozzolanic ash replacement - C16/20 (Gen 3)</t>
  </si>
  <si>
    <t xml:space="preserve">35% natural pozzolanic ash replacement - C20/25 </t>
  </si>
  <si>
    <t>30% fly ash replacement - C6/8 (Gen 0)</t>
  </si>
  <si>
    <t>30% fly ash replacement - C8/10 (Gen 1)</t>
  </si>
  <si>
    <t>30% fly ash replacement - C12/15 (Gen 2)</t>
  </si>
  <si>
    <t>30% fly ash replacement - C16/20 (Gen 3)</t>
  </si>
  <si>
    <t xml:space="preserve">30% fly ash replacement - C20/25 </t>
  </si>
  <si>
    <t>25% GGBS replacement - C6/8 (Gen 0)</t>
  </si>
  <si>
    <t>25% GGBS replacement - C8/10 (Gen 1)</t>
  </si>
  <si>
    <t>25% GGBS replacement - C16/20 (Gen 3)</t>
  </si>
  <si>
    <t xml:space="preserve">25% GGBS replacement - C20/25 </t>
  </si>
  <si>
    <r>
      <t>For this return, the  table and pie chart displayed below show the CO</t>
    </r>
    <r>
      <rPr>
        <vertAlign val="subscript"/>
        <sz val="11"/>
        <color theme="1"/>
        <rFont val="Arial"/>
        <family val="2"/>
      </rPr>
      <t>2</t>
    </r>
    <r>
      <rPr>
        <sz val="11"/>
        <color theme="1"/>
        <rFont val="Arial"/>
        <family val="2"/>
      </rPr>
      <t xml:space="preserve">e emissions associated with materials purchased for the contract. </t>
    </r>
  </si>
  <si>
    <r>
      <t>For this return, this  table and pie chart  show the CO</t>
    </r>
    <r>
      <rPr>
        <vertAlign val="subscript"/>
        <sz val="11"/>
        <color theme="1"/>
        <rFont val="Arial"/>
        <family val="2"/>
      </rPr>
      <t>2</t>
    </r>
    <r>
      <rPr>
        <sz val="11"/>
        <color theme="1"/>
        <rFont val="Arial"/>
        <family val="2"/>
      </rPr>
      <t>e emissions associated with materials compared to materials transport, energy use, business and employee transport and waste</t>
    </r>
  </si>
  <si>
    <r>
      <t xml:space="preserve">Step 4) Create a Carbon Return. </t>
    </r>
    <r>
      <rPr>
        <sz val="12"/>
        <color theme="1"/>
        <rFont val="Calibri"/>
        <family val="2"/>
        <scheme val="minor"/>
      </rPr>
      <t>From the 'Home Page' you will need to click 'Add new return'. This will bring up a box where you will need to input the relevant year and month for the period you are reporting (this box may appear on another screen if using multiple monitors). This will then appear as a line in the table on the Home Page. The blue line around a carbon return shows which return you currently have loaded and active. Once you have created a carbon return, you can save and close the tool down, re-open it and continue to enter your data into the return at any time by clicking 'Resume'.</t>
    </r>
  </si>
  <si>
    <r>
      <t>Step 5) Inputting data - Bulk Materials.</t>
    </r>
    <r>
      <rPr>
        <sz val="12"/>
        <color theme="1"/>
        <rFont val="Calibri"/>
        <family val="2"/>
        <scheme val="minor"/>
      </rPr>
      <t xml:space="preserve"> Now that you have created a carbon return, you shall enter the data into each of the pages which are accessible from the second row of buttons at the top of the page. You shall start with the bulk materials page. For each material you need to add, click ‘standard carbon factor’ under the ‘add new row’ heading and enter the information required in the purple cells.  If you believe you have a more accurate or representative carbon factor than the one shown in the tool, you can click the ‘custom carbon factor’ button which will allow you to input your own carbon factor. More of the cells in the row turn purple, and you should enter information in to each of these, including the methodology as to where the factor came from and why it has been used.   </t>
    </r>
  </si>
  <si>
    <r>
      <rPr>
        <b/>
        <sz val="12"/>
        <color theme="1"/>
        <rFont val="Calibri"/>
        <family val="2"/>
        <scheme val="minor"/>
      </rPr>
      <t>Step 2) Enable Macros.</t>
    </r>
    <r>
      <rPr>
        <sz val="12"/>
        <color theme="1"/>
        <rFont val="Calibri"/>
        <family val="2"/>
        <scheme val="minor"/>
      </rPr>
      <t xml:space="preserve"> Next, you will need to enable macros/editing by pressing the 'Enable Content' or 'Enable Editing' button on the yellow banner at the top of this page. Once you have clicked this button, the banner should disappear and you can begin using the tool. </t>
    </r>
  </si>
  <si>
    <r>
      <t xml:space="preserve">Step 10) Create Export file and Email to National Highways. </t>
    </r>
    <r>
      <rPr>
        <sz val="12"/>
        <color theme="1"/>
        <rFont val="Calibri"/>
        <family val="2"/>
        <scheme val="minor"/>
      </rPr>
      <t xml:space="preserve"> Once you have finished inputting your data and returned to the Home Page, you should click the ‘Create export file’ button. This will generate an export file (which has a ‘.rct’ file extension) which you will automatically be saved into the same folder that the carbon tool is saved in. You need to email the</t>
    </r>
    <r>
      <rPr>
        <b/>
        <sz val="12"/>
        <color theme="1"/>
        <rFont val="Calibri"/>
        <family val="2"/>
        <scheme val="minor"/>
      </rPr>
      <t xml:space="preserve"> export file and a copy of the carbon tool</t>
    </r>
    <r>
      <rPr>
        <sz val="12"/>
        <color theme="1"/>
        <rFont val="Calibri"/>
        <family val="2"/>
        <scheme val="minor"/>
      </rPr>
      <t xml:space="preserve"> to us at the following address: carbon.reporting@nationalhighways.co.uk
Notes
</t>
    </r>
    <r>
      <rPr>
        <i/>
        <sz val="12"/>
        <color theme="1"/>
        <rFont val="Calibri"/>
        <family val="2"/>
        <scheme val="minor"/>
      </rPr>
      <t>The export file will not open directly, National Highways will open the .rct file upon receipt.</t>
    </r>
    <r>
      <rPr>
        <sz val="12"/>
        <color theme="1"/>
        <rFont val="Calibri"/>
        <family val="2"/>
        <scheme val="minor"/>
      </rPr>
      <t xml:space="preserve">
</t>
    </r>
    <r>
      <rPr>
        <b/>
        <sz val="12"/>
        <color theme="1"/>
        <rFont val="Calibri"/>
        <family val="2"/>
        <scheme val="minor"/>
      </rPr>
      <t xml:space="preserve">
</t>
    </r>
  </si>
  <si>
    <r>
      <rPr>
        <b/>
        <sz val="12"/>
        <color theme="1"/>
        <rFont val="Calibri"/>
        <family val="2"/>
        <scheme val="minor"/>
      </rPr>
      <t>Step 1) Download the current version of the Carbon Tool from the National Highways website and save to local machine</t>
    </r>
    <r>
      <rPr>
        <sz val="12"/>
        <color theme="1"/>
        <rFont val="Calibri"/>
        <family val="2"/>
        <scheme val="minor"/>
      </rPr>
      <t xml:space="preserve">. Firstly, ensure the carbon tool is saved on your local computer drive. (Saving the tool on OneDrive can cause the tool to behave incorrectly or not work at all.) Please read the main </t>
    </r>
    <r>
      <rPr>
        <u/>
        <sz val="12"/>
        <color theme="10"/>
        <rFont val="Calibri"/>
        <family val="2"/>
        <scheme val="minor"/>
      </rPr>
      <t>Guidance Document</t>
    </r>
    <r>
      <rPr>
        <sz val="12"/>
        <color theme="1"/>
        <rFont val="Calibri"/>
        <family val="2"/>
        <scheme val="minor"/>
      </rPr>
      <t xml:space="preserve"> before using the tool.</t>
    </r>
  </si>
  <si>
    <t>Concrete: Reconstruction (Recon)</t>
  </si>
  <si>
    <t>Concrete: Lifecycle Extension Works (LEW)</t>
  </si>
  <si>
    <t>Pavement Delivery Framework (PDF)</t>
  </si>
  <si>
    <t>Scheme Delivery Framework (SDF)</t>
  </si>
  <si>
    <t>Technical Services (TS)</t>
  </si>
  <si>
    <t>Technical Surveys and Testing (TST)</t>
  </si>
  <si>
    <t>Specialist Bridge Inspection and Maintenance (SBIM)</t>
  </si>
  <si>
    <r>
      <t xml:space="preserve">Step 8) Save the Tool. </t>
    </r>
    <r>
      <rPr>
        <sz val="12"/>
        <rFont val="Calibri"/>
        <family val="2"/>
        <scheme val="minor"/>
      </rPr>
      <t>Save the completed tool on your own computer and close the tool. A reminder that saving the tool on OneDrive can cause the tool to behave incorrectly or not work at all. The tool autosaves when it is closed but please re-open the tool and check each tab to ensure that the data has not gone missing.</t>
    </r>
  </si>
  <si>
    <r>
      <t xml:space="preserve">Step 11) Next Carbon Return. </t>
    </r>
    <r>
      <rPr>
        <sz val="12"/>
        <color theme="1"/>
        <rFont val="Calibri"/>
        <family val="2"/>
        <scheme val="minor"/>
      </rPr>
      <t>The next time you come to enter a new carbon return, please download a new version of the Carbon Tool from the National Highways website and repeat steps 3 to 10 for each month/quarter.</t>
    </r>
  </si>
  <si>
    <r>
      <t xml:space="preserve">Step 9)  Add your commentary. </t>
    </r>
    <r>
      <rPr>
        <sz val="12"/>
        <color theme="1"/>
        <rFont val="Calibri"/>
        <family val="2"/>
        <scheme val="minor"/>
      </rPr>
      <t>Please populate the commentary tab, selecting the correct return period and provide a narrative summary to justify your carbon emission totals. Electronic declaration signature is required to ensure assurance checks have been completed prior to submission to National Highways.</t>
    </r>
    <r>
      <rPr>
        <b/>
        <sz val="12"/>
        <color theme="1"/>
        <rFont val="Calibri"/>
        <family val="2"/>
        <scheme val="minor"/>
      </rPr>
      <t xml:space="preserve">
</t>
    </r>
    <r>
      <rPr>
        <sz val="12"/>
        <color theme="1"/>
        <rFont val="Calibri"/>
        <family val="2"/>
        <scheme val="minor"/>
      </rPr>
      <t xml:space="preserve">Notes </t>
    </r>
    <r>
      <rPr>
        <b/>
        <sz val="12"/>
        <color theme="1"/>
        <rFont val="Calibri"/>
        <family val="2"/>
        <scheme val="minor"/>
      </rPr>
      <t xml:space="preserve">
</t>
    </r>
    <r>
      <rPr>
        <i/>
        <sz val="12"/>
        <color theme="1"/>
        <rFont val="Calibri"/>
        <family val="2"/>
        <scheme val="minor"/>
      </rPr>
      <t xml:space="preserve">The ‘commentary’ button can be found on the top right of the tool. You will need to select which carbon return you wish to add commentary about from the drop-down list, then enter text in the large grey cell. Once you have finished your commentary click ‘save’. This is your opportunity to tell us about any innovation or good practice you have employed to reduce carbon. For example, if you have reduced steel by leaving some in situ, or reduced employee travel by introducing a car share scheme. This commentary tab should also be used to provide narrative around why emissions are high or low. </t>
    </r>
  </si>
  <si>
    <t xml:space="preserve">Carbon factor taken directly from Government Carbon Factors 2024:  Freighting Goods &gt; Average van &gt; Diesel &gt;  tonne/km. Includes all well to tank emissions: WTT - delivery vehicles and freight &gt; Average van &gt; Diesel &gt;  tonne/km.  </t>
  </si>
  <si>
    <t>Carbon factor taken directly from Government Carbon Factors 2024:  Freighting Goods &gt; Average HGV &gt;  Average laden &gt; tonne/km. Includes all well to tank emissions: WTT - delivery vehicles and freight &gt; Average HGV &gt;  Average laden &gt; tonne/km.</t>
  </si>
  <si>
    <t>Carbon factor taken directly from Government Carbon Factors 2024: Freighting Goods &gt; Rail &gt; tonne/km. Includes all well to tank emissions: WTT - delivery vehicles and freight &gt; Rail &gt; tonne/km</t>
  </si>
  <si>
    <t>Carbon factor taken directly from Government Carbon Factors 2024:  Freighting Goods &gt; Cargo Ship &gt; General Cargo &gt; Average &gt; tonne/km. Includes all well to tank emissions: WTT - delivery vehicles and freight &gt; Cargo Ship &gt; General Cargo &gt; Average &gt; tonne/km</t>
  </si>
  <si>
    <t>Carbon factor taken directly from the ICE V4: Concrete &gt; General. Please note that ICE strongly recommend to avoid selecting a 'general' value for concrete. Selecting data for a specific cement content in the concrete type will give much greater accuracy. Please either specify cement content used by selecting the appropriate option from the tool or enter a custom carbon factor if an appropriate option is not available. If additional cement is added to ready mix concrete this should be added separately in the cement item.</t>
  </si>
  <si>
    <t>Carbon factor taken directly from the ICE V4: Concrete &gt; Gen 0</t>
  </si>
  <si>
    <t>Carbon factor taken directly from the ICE V4: Concrete &gt; Gen 1</t>
  </si>
  <si>
    <t xml:space="preserve">Carbon factor taken directly from the ICE V4: Concrete &gt; Gen 2 </t>
  </si>
  <si>
    <t>Carbon factor taken directly from the ICE V4: Concrete &gt; Gen 3</t>
  </si>
  <si>
    <t>Carbon factor taken directly from the ICE V4: Concrete &gt; 20/25 mpa.</t>
  </si>
  <si>
    <t>Carbon factor taken directly from the ICE V4: Concrete &gt; 25/30 mpa.</t>
  </si>
  <si>
    <t>Carbon factor taken directly from the ICE V4: Concrete &gt; 28/35 mpa.</t>
  </si>
  <si>
    <t>Carbon factor taken directly from the ICE V4: Concrete &gt; 32/40 mpa.</t>
  </si>
  <si>
    <t>Carbon factor taken directly from the ICE V4: Concrete &gt; 35/45 mpa.</t>
  </si>
  <si>
    <t>Carbon factor taken directly from the ICE V4: Concrete &gt; 40/50 mpa.</t>
  </si>
  <si>
    <t>Carbon factor taken directly from the ICE V4: Concrete &gt; CEM I &gt; Gen 0</t>
  </si>
  <si>
    <t>Carbon factor taken directly from the ICE V4: Concrete &gt; CEM I &gt; Gen 1</t>
  </si>
  <si>
    <t xml:space="preserve">Carbon factor taken directly from the ICE V4: Concrete &gt; CEM I &gt; Gen 2 </t>
  </si>
  <si>
    <t>Carbon factor taken directly from the ICE V4: Concrete &gt; CEM I &gt; Gen 3</t>
  </si>
  <si>
    <t>Carbon factor taken directly from the ICE V4: Concrete &gt; CEM I &gt; 20/25 mpa.</t>
  </si>
  <si>
    <t>Carbon factor taken directly from the ICE V4: Concrete &gt; CEM I &gt; 25/30 mpa.</t>
  </si>
  <si>
    <t>Carbon factor taken directly from the ICE V4: Concrete &gt; CEM I &gt; 28/35 mpa.</t>
  </si>
  <si>
    <t>Carbon factor taken directly from the ICE V4: Concrete &gt; CEM I &gt; 32/40 mpa.</t>
  </si>
  <si>
    <t>Carbon factor taken directly from the ICE V4: Concrete &gt; CEM I &gt; 35/45 mpa.</t>
  </si>
  <si>
    <t>Carbon factor taken directly from the ICE V4: Concrete &gt; CEM I &gt; 40/50 mpa.</t>
  </si>
  <si>
    <t>Carbon factor taken directly from the ICE V4: Concrete &gt; 14% Limestone &gt; Gen 0</t>
  </si>
  <si>
    <t>Carbon factor taken directly from the ICE V4: Concrete &gt; 14% Limestone &gt; Gen 1</t>
  </si>
  <si>
    <t xml:space="preserve">Carbon factor taken directly from the ICE V4: Concrete &gt; 14% Limestone &gt; Gen 2 </t>
  </si>
  <si>
    <t>Carbon factor taken directly from the ICE V4: Concrete &gt; 14% Limestone &gt; Gen 3</t>
  </si>
  <si>
    <t>Carbon factor taken directly from the ICE V4: Concrete &gt; 14% Limestone &gt; 20/25 mpa.</t>
  </si>
  <si>
    <t>Carbon factor taken directly from the ICE V4: Concrete &gt; 14% Limestone &gt; 25/30 mpa.</t>
  </si>
  <si>
    <t>Carbon factor taken directly from the ICE V4: Concrete &gt; 14% Limestone &gt; 28/35 mpa.</t>
  </si>
  <si>
    <t>Carbon factor taken directly from the ICE V4: Concrete &gt; 14% Limestone &gt; 32/40 mpa.</t>
  </si>
  <si>
    <t>Carbon factor taken directly from the ICE V4: Concrete &gt; 14% Limestone &gt; 35/45 mpa.</t>
  </si>
  <si>
    <t>Carbon factor taken directly from the ICE V4: Concrete &gt; 14% Limestone &gt; 40/50 mpa.</t>
  </si>
  <si>
    <t>Carbon factor taken directly from the ICE V4: Concrete &gt; 35% NPA &gt; Gen 0</t>
  </si>
  <si>
    <t>Carbon factor taken directly from the ICE V4: Concrete &gt; 35% NPA &gt; Gen 1</t>
  </si>
  <si>
    <t xml:space="preserve">Carbon factor taken directly from the ICE V4: Concrete &gt; 35% NPA &gt; Gen 2 </t>
  </si>
  <si>
    <t>Carbon factor taken directly from the ICE V4: Concrete &gt; 35% NPA &gt; Gen 3</t>
  </si>
  <si>
    <t>Carbon factor taken directly from the ICE V4: Concrete &gt; 35% NPA &gt; 20/25 mpa.</t>
  </si>
  <si>
    <t>Carbon factor taken directly from the ICE V4: Concrete &gt; 35% NPA &gt; 25/30 mpa.</t>
  </si>
  <si>
    <t>Carbon factor taken directly from the ICE V4: Concrete &gt; 35% NPA &gt; 28/35 mpa.</t>
  </si>
  <si>
    <t>Carbon factor taken directly from the ICE V4: Concrete &gt; 35% NPA &gt; 32/40 mpa.</t>
  </si>
  <si>
    <t>Carbon factor taken directly from the ICE V4: Concrete &gt; 35% NPA &gt; 35/45 mpa.</t>
  </si>
  <si>
    <t>Carbon factor taken directly from the ICE V4: Concrete &gt; 35% NPA &gt; 40/50 mpa.</t>
  </si>
  <si>
    <t>Carbon factor taken directly from the ICE V4: Concrete &gt; 30% fly ash &gt; Gen 0</t>
  </si>
  <si>
    <t>Carbon factor taken directly from the ICE V4: Concrete &gt; 30% fly ash &gt; Gen 1</t>
  </si>
  <si>
    <t xml:space="preserve">Carbon factor taken directly from the ICE V4: Concrete &gt; 30% fly ash &gt; Gen 2 </t>
  </si>
  <si>
    <t>Carbon factor taken directly from the ICE V4: Concrete &gt; 30% fly ash &gt; Gen 3</t>
  </si>
  <si>
    <t>Carbon factor taken directly from the ICE V4: Concrete &gt; 30% fly ash &gt; 20/25 mpa.</t>
  </si>
  <si>
    <t>Carbon factor taken directly from the ICE V4: Concrete &gt; 30% fly ash &gt; 25/30 mpa.</t>
  </si>
  <si>
    <t>Carbon factor taken directly from the ICE V4: Concrete &gt; 30% fly ash &gt; 28/35 mpa.</t>
  </si>
  <si>
    <t>Carbon factor taken directly from the ICE V4: Concrete &gt; 30% fly ash &gt; 32/40 mpa.</t>
  </si>
  <si>
    <t>Carbon factor taken directly from the ICE V4: Concrete &gt; 30% fly ash &gt; 35/45 mpa.</t>
  </si>
  <si>
    <t>Carbon factor taken directly from the ICE V4: Concrete &gt; 30% fly ash &gt; 40/50 mpa.</t>
  </si>
  <si>
    <t>Carbon factor taken directly from the ICE V4: Concrete &gt; 25% GGBS &gt; Gen 0</t>
  </si>
  <si>
    <t>Carbon factor taken directly from the ICE V4: Concrete &gt; 25% GGBS &gt; Gen 1</t>
  </si>
  <si>
    <t xml:space="preserve">Carbon factor taken directly from the ICE V4: Concrete &gt; 25% GGBS &gt; Gen 2 </t>
  </si>
  <si>
    <t>Carbon factor taken directly from the ICE V4: Concrete &gt; 25% GGBS &gt; Gen 3</t>
  </si>
  <si>
    <t>Carbon factor taken directly from the ICE V4: Concrete &gt; 25% GGBS &gt; 20/25 mpa.</t>
  </si>
  <si>
    <t>Carbon factor taken directly from the ICE V4: Concrete &gt; 25% GGBS &gt; 25/30 mpa.</t>
  </si>
  <si>
    <t>Carbon factor taken directly from the ICE V4: Concrete &gt; 25% GGBS &gt; 28/35 mpa.</t>
  </si>
  <si>
    <t>Carbon factor taken directly from the ICE V4: Concrete &gt; 25% GGBS &gt; 32/40 mpa.</t>
  </si>
  <si>
    <t>Carbon factor taken directly from the ICE V4: Concrete &gt; 25% GGBS &gt; 35/45 mpa.</t>
  </si>
  <si>
    <t>Carbon factor taken directly from the ICE V4: Concrete &gt; 25% GGBS &gt; 40/50 mpa.</t>
  </si>
  <si>
    <t>Carbon factor taken directly from the ICE V4: Cement &gt; CEM I &gt; Ordinary Portland Cement (OPC)</t>
  </si>
  <si>
    <t>Carbon factor taken directly from the ICE V4: Cement &gt; Portland-slag cement &gt; CEM II-A-S - 13% GGBs</t>
  </si>
  <si>
    <t>Carbon factor taken directly from the ICE V4: Cement &gt; Portland-slag cement &gt; CEM II/B-S - 28% GGBs</t>
  </si>
  <si>
    <t>Carbon factor taken directly from the ICE V4: Cement &gt; Portland-pozzolana cement &gt; CEM II/A-P - 13% natural pozzolanic ash</t>
  </si>
  <si>
    <t>Carbon factor taken directly from the ICE V4: Cement &gt; Portland-pozzolana cement &gt; CEM II/B-P 28% natural pozzolanic ash</t>
  </si>
  <si>
    <t>Carbon factor taken directly from the ICE V4: Cement &gt; Portland-fly ash cement &gt; CEM II/A-V - 13% fly ash siliceous</t>
  </si>
  <si>
    <t>Carbon factor taken directly from the ICE V4: Cement &gt; Portland-fly ash cement &gt; CEM II/B-V - 28% fly ash siliceous</t>
  </si>
  <si>
    <t>Carbon factor taken directly from the ICE V4: Cement &gt; Portland-fly ash cement &gt; CEM II/A-W - 13% fly ash calcareous</t>
  </si>
  <si>
    <t>Carbon factor taken directly from the ICE V4: Cement &gt; Portland-fly ash cement &gt; CEM II/B-W - 28% fly ash calcareous</t>
  </si>
  <si>
    <t>Carbon factor taken directly from the ICE V4: Cement &gt; Portland-limestone cement &gt; CEM II/A-L - 13% limestone</t>
  </si>
  <si>
    <t>Carbon factor taken directly from the ICE V4: Cement &gt; Portland-limestone cement &gt; CEM II/B-L- 28% limestone</t>
  </si>
  <si>
    <t>Carbon factor taken directly from the ICE V4: Cement &gt; Portland-limestone cement &gt; CEM II/A-LL - 13% limestone</t>
  </si>
  <si>
    <t>Carbon factor taken directly from the ICE V4: Cement &gt; Portland-limestone cement &gt; CEM II/B-LL - 28% limestone</t>
  </si>
  <si>
    <t>Carbon factor taken directly from the ICE V4: Cement &gt; Portland-composite cement &gt; CEM II/A-M - 16% cement replacement</t>
  </si>
  <si>
    <t>Carbon factor taken directly from the ICE V4: Cement &gt; Portland-composite cement &gt; CEM II/B-M - 28% cement replacement</t>
  </si>
  <si>
    <t>Carbon factor taken directly from the ICE V4: Cement &gt; Blast furnace cement &gt; CEM III/A - 50.5% GGBS</t>
  </si>
  <si>
    <t>Carbon factor taken directly from the ICE V4: Cement &gt; Blast furnace cement &gt; CEM III/B - 73% GGBS</t>
  </si>
  <si>
    <t>Carbon factor taken directly from the ICE V4: Cement &gt; Blast furnace cement &gt; CEM III/C - 88% GGBS</t>
  </si>
  <si>
    <t>Carbon factor taken directly from the ICE V4: Cement &gt; Pozzolanic cement &gt; CEM IV/A - 23% cement replacement</t>
  </si>
  <si>
    <t>Carbon factor taken directly from the ICE V4: Cement &gt; Pozzolanic cement &gt; CEM IV/B - 46% cement replacement</t>
  </si>
  <si>
    <t>Carbon factor taken directly from the ICE V4: Cement &gt; Composite cement &gt; CEM V/A - 24% GGBS and 24% cement replacement</t>
  </si>
  <si>
    <t>Carbon factor taken directly from the ICE V4: Cement &gt; Composite cement &gt; CEM V/B - 36% GGBS and 36% cement replacement</t>
  </si>
  <si>
    <t>Carbon factor taken directly from the ICE V4: Carbon Factors: Steel &gt; Rebar. Please note the carbon factor is based on world average steel. If the recycled content is known, you may consult the ICE database to identify a more accurate value to enter as a custom carbon factor.</t>
  </si>
  <si>
    <t>Carbon factor taken directly from the ICE V4: Asphalt &gt; Bitumen binder content ranges from 3% to 7%. Value of 5.5% used here as a typical content.</t>
  </si>
  <si>
    <t>Road Surface Asphalt</t>
  </si>
  <si>
    <t>Carbon factor taken directly from the ICE V4: Asphalt &gt; Road Surface Asphalt &gt; Bitumen binder content ranges from 3% to 7%. Value of 5.5% used here as a typical content.</t>
  </si>
  <si>
    <t>Carbon factor taken directly from ICE V4: Aggregate &gt; General UK mixture</t>
  </si>
  <si>
    <t>Carbon factor taken directly from ICE V4: Aggregate &gt; Mixture of recycled and secondary</t>
  </si>
  <si>
    <t>Carbon factor taken directly from ICE V4: Aggregate &gt; Virgin mixture of land won and marine</t>
  </si>
  <si>
    <t>Carbon factor taken directly from ICE V4: Aggregate &gt; Virgin mixture of land won resources</t>
  </si>
  <si>
    <t>Carbon factor taken directly from ICE V4: Aggregate &gt; virgin marine resources. Data uncertainty for aggregate and sand from marine sources is high due to large variations.</t>
  </si>
  <si>
    <t>Carbon factor taken directly from ICE V4: Aggregate &gt; recycled imported resources, no heat treatment</t>
  </si>
  <si>
    <t>Carbon factor taken directly from ICE V4: Aggregate &gt; recycled imported resources, with heat treatment</t>
  </si>
  <si>
    <t>Carbon factor taken directly from ICE V4: Aggregate &gt; Expanded clay</t>
  </si>
  <si>
    <t>Carbon factor taken directly from ICE V4: Aggregate &gt; Expanded foamed glass</t>
  </si>
  <si>
    <t>Carbon factor taken directly from ICE V4: Aggregate &gt; Secondary resources</t>
  </si>
  <si>
    <t>Carbon factor taken directly from the ICE V2: Miscellaneous &gt; Grit.</t>
  </si>
  <si>
    <t>Carbon factor taken directly from the ICE V2: Soil &gt; General (rammed soil)</t>
  </si>
  <si>
    <t>Carbon factor taken directly from the ICE V2: Lime &gt; General.</t>
  </si>
  <si>
    <t>Carbon factor taken from the ICE V4: Timber &gt; Softwood no carbon storage. Alternative ICE carbon factors are presented for sustainable timber which may be used where a chain of custody of timber provides sufficient justification.</t>
  </si>
  <si>
    <t>Carbon factor taken from the ICE V4: Timber &gt; Softwood no carbon storage. Alternative ICE carbon factors are presented for sustainable timber which may be used where a chain of custody of timber provides sufficient justification. Weight of fencing material per metre taken as an average from Specification for Highways Works - Volume 3 H series drawings 3 and 4 rail fencing with a calculated weight of  14.3kg per metre. Fittings and  small miscellaneous items have been omitted due their relatively small contribution to the overall carbon emissions associated with fencing.</t>
  </si>
  <si>
    <t>Carbon factor taken from the ICE V4: Timber &gt; Softwood no carbon storage. Alternative ICE carbon factors are presented for sustainable timber which may be used where a chain of custody of timber provides sufficient justification. Weight of fence panel and post taken from supplier with a stated weight of 35.8kg per panel and post. Fittings and  small miscellaneous items have been omitted due their relatively small contribution to the overall carbon emissions associated with fencing.</t>
  </si>
  <si>
    <t>Carbon factor taken directly from the ICE V4: Steel &gt;  Hot dipped galvanised steel Weight of steel per metre estimate from supplier for a 1.8m high chain link fence and steel post to be 3.8kg. Fittings and  small miscellaneous items have been omitted due their relatively small contribution to the overall carbon emissions associated with fencing.</t>
  </si>
  <si>
    <r>
      <t>Carbon factor taken from the ICE V4: Timber &gt; Softwood no carbon storage. Alternative ICE carbon factors are presented for sustainable timber which may be used where a chain of custody of timber provides sufficient justification. Weight taken to be 33kg/m</t>
    </r>
    <r>
      <rPr>
        <vertAlign val="superscript"/>
        <sz val="11"/>
        <rFont val="Calibri"/>
        <family val="2"/>
        <scheme val="minor"/>
      </rPr>
      <t>2</t>
    </r>
    <r>
      <rPr>
        <sz val="11"/>
        <rFont val="Calibri"/>
        <family val="2"/>
        <scheme val="minor"/>
      </rPr>
      <t xml:space="preserve"> from supplier of typical timber noise barrier. Posts are assumed to be steel I beams of 16kg per m, of 1 meter longer than the height of the barrier. Fittings and  small miscellaneous items have been omitted due their relatively small contribution to the overall carbon emissions associated with noise barriers.</t>
    </r>
  </si>
  <si>
    <r>
      <t>Carbon factor taken from the ICE V4: Steel &gt;  Hot dipped galvanised steel. Weight taken to be 25kg/m</t>
    </r>
    <r>
      <rPr>
        <vertAlign val="superscript"/>
        <sz val="11"/>
        <rFont val="Calibri"/>
        <family val="2"/>
        <scheme val="minor"/>
      </rPr>
      <t>2</t>
    </r>
    <r>
      <rPr>
        <sz val="11"/>
        <rFont val="Calibri"/>
        <family val="2"/>
        <scheme val="minor"/>
      </rPr>
      <t xml:space="preserve">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t>
    </r>
  </si>
  <si>
    <r>
      <t>Carbon factor taken from the ICE V4: Aluminium &gt; General aluminium. Weight taken to be 19kg/m</t>
    </r>
    <r>
      <rPr>
        <vertAlign val="superscript"/>
        <sz val="11"/>
        <rFont val="Calibri"/>
        <family val="2"/>
        <scheme val="minor"/>
      </rPr>
      <t>2</t>
    </r>
    <r>
      <rPr>
        <sz val="11"/>
        <rFont val="Calibri"/>
        <family val="2"/>
        <scheme val="minor"/>
      </rPr>
      <t xml:space="preserve">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t>
    </r>
  </si>
  <si>
    <t>Carbon factor taken from the ICE V4: ICE Summary &gt; Plastic &gt; General Plastic. Thickness taken to be 15mm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t>
  </si>
  <si>
    <t>Carbon factor taken directly from the ICE V4: Steel &gt; Hot dip galvanised Steel. Weight of barrier taken from supplier, including W3 beam, bolts and a 2m post spacing.</t>
  </si>
  <si>
    <t>Carbon factor taken directly from the ICE V4: Steel &gt; Hot dip galvanised Steel. Weight of barrier taken from supplier, including beam, posts and bolts.</t>
  </si>
  <si>
    <t>Carbon factor taken from the ICE V4: Concrete &gt; Precast concrete beams and columns - steel reinforced with 100kg world average steel per m3. Volume of concrete step barrier taken to be 0.5m3 per metre with density of 2.4 tonnes per m3.</t>
  </si>
  <si>
    <t>Carbon factor taken from ICE V4: Paint &gt; Solvent borne.  Conversion factor calculated from density of paint, 1.2kg/l.</t>
  </si>
  <si>
    <r>
      <t>Carbon factor taken directly from the ICE V4: ICE Summary &gt; Plastic &gt; HDPE Pipe. Conversion factor calculated from approximate 150mm pipe wall thickness of 5mm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</si>
  <si>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225mm pipe wall thickness of 6mm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</si>
  <si>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300mm pipe wall thickness of 8mm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</si>
  <si>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450mm pipe wall thickness of 8mm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</si>
  <si>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600mm pipe wall thickness of 11mm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</si>
  <si>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900mm pipe wall thickness of 16mm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</si>
  <si>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1200mm pipe wall thickness of 20mm and HDPE density of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</si>
  <si>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1500mm pipe wall thickness of 25mm and HDPE density of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</si>
  <si>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1800mm pipe wall thickness of 30mm and HDPE density of 0.97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</si>
  <si>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150mm pipe wall thickness of 5mm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</si>
  <si>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225mm pipe wall thickness of 6mm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</si>
  <si>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300mm pipe wall thickness of 8mm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</si>
  <si>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450mm pipe wall thickness of 8mm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</si>
  <si>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600mm pipe wall thickness of 11mm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</si>
  <si>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900mm pipe wall thickness of 16mm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</si>
  <si>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1200mm pipe wall thickness of 20mm and PVC density of 1.3 t/m</t>
    </r>
    <r>
      <rPr>
        <vertAlign val="superscript"/>
        <sz val="11"/>
        <rFont val="Calibri"/>
        <family val="2"/>
        <scheme val="minor"/>
      </rPr>
      <t>3</t>
    </r>
    <r>
      <rPr>
        <sz val="11"/>
        <rFont val="Calibri"/>
        <family val="2"/>
        <scheme val="minor"/>
      </rPr>
      <t>.</t>
    </r>
  </si>
  <si>
    <r>
      <t>Carbon factor taken directly from the ICE V4: ICE Summary &gt; Plastic &gt; PVC Pipe. Conversion factor calculated from approximate 1500mm pipe wall thickness of 25mm and PVC density of 1.3 t/m</t>
    </r>
    <r>
      <rPr>
        <vertAlign val="superscript"/>
        <sz val="11"/>
        <rFont val="Calibri"/>
        <family val="2"/>
        <scheme val="minor"/>
      </rPr>
      <t>3</t>
    </r>
    <r>
      <rPr>
        <sz val="11"/>
        <rFont val="Calibri"/>
        <family val="2"/>
        <scheme val="minor"/>
      </rPr>
      <t>.</t>
    </r>
  </si>
  <si>
    <t>Carbon factor taken directly from the ICE V4: ICE Summary &gt; Plastic &gt; PVC Pipe. Conversion factor calculated from approximate 1800mm pipe wall thickness of 30mm and PVC density of 1.3 t/m3.</t>
  </si>
  <si>
    <r>
      <t>Carbon factor taken directly from the ICE V4: ICE Summary &gt; Plastic &gt; Injection moulded polypropylene. Conversion factor calculated from approximate 150mm pipe wall thickness of 5mm and PP density of 0.946 t/m</t>
    </r>
    <r>
      <rPr>
        <vertAlign val="superscript"/>
        <sz val="11"/>
        <rFont val="Calibri"/>
        <family val="2"/>
        <scheme val="minor"/>
      </rPr>
      <t>3</t>
    </r>
    <r>
      <rPr>
        <sz val="11"/>
        <rFont val="Calibri"/>
        <family val="2"/>
        <scheme val="minor"/>
      </rPr>
      <t>.</t>
    </r>
  </si>
  <si>
    <t>Carbon factor taken directly from the ICE V4: ICE Summary &gt; Plastic &gt; Injection moulded polypropylene. Conversion factor calculated from approximate 225mm pipe wall thickness of 6mm and PP density of 0.946 t/m3.</t>
  </si>
  <si>
    <r>
      <t>Carbon factor taken directly from the ICE V4: ICE Summary &gt; Plastic &gt; Injection moulded polypropylene. Conversion factor calculated from approximate 300mm pipe wall thickness of 8mm and PP density of 0.946 t/m</t>
    </r>
    <r>
      <rPr>
        <vertAlign val="superscript"/>
        <sz val="11"/>
        <rFont val="Calibri"/>
        <family val="2"/>
        <scheme val="minor"/>
      </rPr>
      <t>3</t>
    </r>
    <r>
      <rPr>
        <sz val="11"/>
        <rFont val="Calibri"/>
        <family val="2"/>
        <scheme val="minor"/>
      </rPr>
      <t>.</t>
    </r>
  </si>
  <si>
    <r>
      <t>Carbon factor taken directly from the ICE V4:  ICE Summary &gt; Plastic &gt; Injection moulded polypropylene. Conversion factor calculated from approximate 450mm pipe wall thickness of 8mm and PP density of 0.946 t/m</t>
    </r>
    <r>
      <rPr>
        <vertAlign val="superscript"/>
        <sz val="11"/>
        <rFont val="Calibri"/>
        <family val="2"/>
        <scheme val="minor"/>
      </rPr>
      <t>3</t>
    </r>
    <r>
      <rPr>
        <sz val="11"/>
        <rFont val="Calibri"/>
        <family val="2"/>
        <scheme val="minor"/>
      </rPr>
      <t>.</t>
    </r>
  </si>
  <si>
    <r>
      <t>Carbon factor taken directly from the ICE V4: Plastic &gt; Injection moulded polypropylene. Conversion factor calculated from approximate 600mm pipe wall thickness of 11mm and PP density of 0.946 t/m</t>
    </r>
    <r>
      <rPr>
        <vertAlign val="superscript"/>
        <sz val="11"/>
        <rFont val="Calibri"/>
        <family val="2"/>
        <scheme val="minor"/>
      </rPr>
      <t>3</t>
    </r>
    <r>
      <rPr>
        <sz val="11"/>
        <rFont val="Calibri"/>
        <family val="2"/>
        <scheme val="minor"/>
      </rPr>
      <t>.</t>
    </r>
  </si>
  <si>
    <r>
      <t>Carbon factor taken directly from the ICE V4:  ICE Summary &gt; Plastic &gt; Injection moulded polypropylene. Conversion factor calculated from approximate 900mm pipe wall thickness of 16mm and PP density of 0.946 t/m</t>
    </r>
    <r>
      <rPr>
        <vertAlign val="superscript"/>
        <sz val="11"/>
        <rFont val="Calibri"/>
        <family val="2"/>
        <scheme val="minor"/>
      </rPr>
      <t>3</t>
    </r>
    <r>
      <rPr>
        <sz val="11"/>
        <rFont val="Calibri"/>
        <family val="2"/>
        <scheme val="minor"/>
      </rPr>
      <t>.</t>
    </r>
  </si>
  <si>
    <r>
      <t>Carbon factor taken directly from the ICE V4:  ICE Summary &gt; Plastic &gt; Injection moulded polypropylene. Conversion factor calculated from approximate 1200mm pipe wall thickness of 20mm and PP density of 0.946 t/m</t>
    </r>
    <r>
      <rPr>
        <vertAlign val="superscript"/>
        <sz val="11"/>
        <rFont val="Calibri"/>
        <family val="2"/>
        <scheme val="minor"/>
      </rPr>
      <t>3</t>
    </r>
    <r>
      <rPr>
        <sz val="11"/>
        <rFont val="Calibri"/>
        <family val="2"/>
        <scheme val="minor"/>
      </rPr>
      <t>.</t>
    </r>
  </si>
  <si>
    <r>
      <t>Carbon factor taken directly from the ICE V4:  ICE Summary &gt; Plastic &gt; Injection moulded polypropylene. Conversion factor calculated from approximate 1500mm pipe wall thickness of 25mm and PP density of 0.946 t/m</t>
    </r>
    <r>
      <rPr>
        <vertAlign val="superscript"/>
        <sz val="11"/>
        <rFont val="Calibri"/>
        <family val="2"/>
        <scheme val="minor"/>
      </rPr>
      <t>3</t>
    </r>
    <r>
      <rPr>
        <sz val="11"/>
        <rFont val="Calibri"/>
        <family val="2"/>
        <scheme val="minor"/>
      </rPr>
      <t>.</t>
    </r>
  </si>
  <si>
    <r>
      <t>Carbon factor taken directly from the ICE V4:  ICE Summary &gt; Plastic &gt; Injection moulded polypropylene. Conversion factor calculated from approximate 1800mm pipe wall thickness of 30mm and PP density of 0.946 t/m</t>
    </r>
    <r>
      <rPr>
        <vertAlign val="superscript"/>
        <sz val="11"/>
        <rFont val="Calibri"/>
        <family val="2"/>
        <scheme val="minor"/>
      </rPr>
      <t>3</t>
    </r>
    <r>
      <rPr>
        <sz val="11"/>
        <rFont val="Calibri"/>
        <family val="2"/>
        <scheme val="minor"/>
      </rPr>
      <t>.</t>
    </r>
  </si>
  <si>
    <t>Carbon factor taken directly from the ICE V4: Concrete &gt; Precast concrete pipe, DN600 unreinforced per kg. Conversion factor based on precast unit mass estimation from supplier.</t>
  </si>
  <si>
    <t>Carbon factor taken directly from the ICE V2: Miscellaneous &gt; GRP. Conversion factor calculated from typical GRP pipe unit mass from supplier.</t>
  </si>
  <si>
    <t>Iron</t>
  </si>
  <si>
    <t>Carbon factor taken directly from the ICE V4: ICE Summary &gt; Iron &gt; General.</t>
  </si>
  <si>
    <t>Carbon factor taken directly from the ICE V4: ICE Summary &gt; Bricks &gt; General. Assumed weight of brick is 2.13kg and 10mm of mortar.</t>
  </si>
  <si>
    <t>Carbon factor taken directly from the ICE V4: Concrete &gt; 40/50mpa + precast factor. Factor presented is weighted average based on relative estimated mass of precast concrete and ductile iron cover and frame. Conversion factor based on indicative unit mass from supplier for concrete house inspection chambers.</t>
  </si>
  <si>
    <t>Carbon factor uses ICE V4: ICE Summary &gt; Plastic &gt; Polypropylene, injection moulding for plastic module and ICE V4: ICE Summary &gt; Iron &gt; General for covers and frames. Factor presented is weighted average based on estimated relative masses of plastic pot and ductile iron cover and frame. Conversion factor based on indicative unit masses for plastic chamber from supplier and ductile iron cover and frame from supplier. Concrete elements for cover and frame support are assumed to be cast in-situ and thus included in bulk materials category; concrete elements here are excluded.</t>
  </si>
  <si>
    <t>Carbon factor uses ICE V4: ICE Summary &gt; Plastic &gt; PVC Injection Moulding for plastic pot and ICE V4:  ICE Summary &gt; Iron &gt; General for covers. Factor presented is weighted average based on relative estimated mass of plastic pot and ductile iron cover and frame. Conversion factor based on indicative plastic volume in gully pot DN150 and 300mm depth, PVC density of approximately 1.3t/m3, and indicative unit mass for DN150 grating from supplier.</t>
  </si>
  <si>
    <t>Carbon factor uses ICE V4: ICE Summary &gt;  Plastic &gt; Polyethylene for plastic pot and ICE V4:  ICE Summary &gt; Iron &gt; General for covers. Factor presented is weighted average based on relative estimated mass of plastic pot and ductile iron cover and frame. Conversion factor based on indicative plastic volume in gully pot DN150 and 300mm depth, HDPE density of approximately 0.97t/m3, and indicative unit mass for DN150 grating from supplier.</t>
  </si>
  <si>
    <t>Carbon factor uses ICE V4:  ICE Summary &gt; Plastic &gt; Polypropylene Injection Moulding for plastic pot and ICE V4:  ICE Summary &gt; Iron &gt; General for covers. Factor presented is weighted average based on relative estimated mass of plastic pot and ductile iron cover and frame. Conversion factor based on indicative plastic volume in gully pot DN150 and 300mm depth, PP density of approximately 0.946t/m3, and indicative unit mass for DN150 grating from supplier.</t>
  </si>
  <si>
    <t>Carbon factor uses ICE V4: ICE Summary &gt; Plastic &gt; Polypropylene Injection Moulding for plastic channel and ICE V4: ICE Summary &gt; Iron &gt; General for channel gratings. Factor presented is weighted average based on relative estimated mass of plastic and ductile iron. Conversion factor based on indicative unit mass from supplier for light duty polypropylene 150mm channel, and indicative unit mass for C250 rated ductile iron grating from supplier.</t>
  </si>
  <si>
    <t>Carbon factor taken directly from the ICE V4: Brick &gt; General. Assumed weight of brick is 2.13kg and 10mm of mortar.</t>
  </si>
  <si>
    <t>Carbon factor taken from the ICE V4: ICE Summary &gt; Plastic &gt; Polyethylene. Conversion factor has assumed membrane thickness is approximately 1mm. General PE value given. Density of PE = 950 kg/m3 used.</t>
  </si>
  <si>
    <t>Carbon factor taken directly from the ICE V4: Bitumen &gt; Straight-run bitumen.</t>
  </si>
  <si>
    <t xml:space="preserve">Carbon factor taken directly from the ICE V4: Bitumen &gt; Bitumen emulsion. Include only the weight of set bitumen not water. </t>
  </si>
  <si>
    <t>Carbon factor taken directly from the ICE V4: Concrete &gt; Precast concrete paving (Blocks, Slabs, Channels and Kerbs). Dimensions of kerbs taken from supplier.</t>
  </si>
  <si>
    <r>
      <t>Carbon factor taken directly from the ICE V4: Aluminium &gt; Aluminium general European mix. Weight of sign taken from supplier to be approximately 50kg per m</t>
    </r>
    <r>
      <rPr>
        <vertAlign val="superscript"/>
        <sz val="11"/>
        <rFont val="Calibri"/>
        <family val="2"/>
        <scheme val="minor"/>
      </rPr>
      <t>2</t>
    </r>
    <r>
      <rPr>
        <sz val="11"/>
        <rFont val="Calibri"/>
        <family val="2"/>
        <scheme val="minor"/>
      </rPr>
      <t>.</t>
    </r>
  </si>
  <si>
    <r>
      <t>Carbon factor taken directly from the ICE V4: World average Steel &gt; Hot dipped galvanised steel. Weight of sign taken from supplier to be approximately 50kg per m</t>
    </r>
    <r>
      <rPr>
        <vertAlign val="superscript"/>
        <sz val="11"/>
        <rFont val="Calibri"/>
        <family val="2"/>
        <scheme val="minor"/>
      </rPr>
      <t>2</t>
    </r>
    <r>
      <rPr>
        <sz val="11"/>
        <rFont val="Calibri"/>
        <family val="2"/>
        <scheme val="minor"/>
      </rPr>
      <t>.</t>
    </r>
  </si>
  <si>
    <t>Carbon factor taken for ICE V4: Aluminium &gt; Aluminium general. ICE Summary &gt; Copper &gt;EU tube and sheet and  ICE Summary &gt; Plastic &gt; General Plastic. Supplier gives VMS MS4 to be 725kg. Assumed relative proportions are, 40% aluminium, 50% plastic and 10% copper.</t>
  </si>
  <si>
    <t>Carbon factor taken from the ICE V4: Aluminium &gt; General aluminium  general European mix. Supplier of highway LED lights gives a standard weight of 12kg.</t>
  </si>
  <si>
    <t>Carbon factor taken from the ICE V4: World average Steel &gt;  Hot dipped galvanised steel. The weight of a 8m steel column plus double lighting bracket is taken from a supplier to be 132kg.</t>
  </si>
  <si>
    <t>Carbon factor taken from the ICE V4: World average Steel &gt;  Hot dipped galvanised steel. The weight of a 10m steel column plus double lighting bracket is taken from a supplier to be 189kg.</t>
  </si>
  <si>
    <t>Carbon factor taken from the ICE V4: World average Steel &gt;  Hot dipped galvanised steel. The weight of a 12m steel column plus double lighting bracket is taken from a supplier to be 288kg.</t>
  </si>
  <si>
    <t>Carbon factor taken from the ICE V4: Aluminium &gt; Aluminium general  European mix. The weight of a 8m aluminium column plus double lighting bracket is taken from a supplier to be 100kg.</t>
  </si>
  <si>
    <t>Carbon factor taken from the ICE V4: Aluminium &gt; Aluminium general  European mix. The weight of a 10m aluminium column plus double lighting bracket is taken from a supplier to be 142kg.</t>
  </si>
  <si>
    <t>Carbon factor taken from the ICE V4: Aluminium &gt; Aluminium general European mix. The weight of a 12m aluminium column plus double lighting bracket is taken from a supplier to be 205kg.</t>
  </si>
  <si>
    <r>
      <t>Carbon factor taken directly from the ICE V4: ICE Summary &gt; Plastic &gt; HDPE Pipe. Conversion factor calculated from approximate 50mm pipe wall thickness of 5mm and HDPE density 0.97 t/m</t>
    </r>
    <r>
      <rPr>
        <vertAlign val="superscript"/>
        <sz val="11"/>
        <rFont val="Calibri"/>
        <family val="2"/>
        <scheme val="minor"/>
      </rPr>
      <t>3</t>
    </r>
    <r>
      <rPr>
        <sz val="11"/>
        <rFont val="Calibri"/>
        <family val="2"/>
        <scheme val="minor"/>
      </rPr>
      <t>.</t>
    </r>
  </si>
  <si>
    <r>
      <t>Carbon factor taken directly from the ICE V4:  ICE Summary &gt; Plastic &gt; HDPE Pipe. Conversion factor calculated from approximate 150mm pipe wall thickness of 5mm and HDPE density 0.97 t/m</t>
    </r>
    <r>
      <rPr>
        <vertAlign val="superscript"/>
        <sz val="11"/>
        <rFont val="Calibri"/>
        <family val="2"/>
        <scheme val="minor"/>
      </rPr>
      <t>3</t>
    </r>
    <r>
      <rPr>
        <sz val="11"/>
        <rFont val="Calibri"/>
        <family val="2"/>
        <scheme val="minor"/>
      </rPr>
      <t>.</t>
    </r>
  </si>
  <si>
    <t>Carbon factor taken from the ICE V4: Steel &gt; Hot dipped galvanised steel. Weight of a 609 type cabinet taken from supplier to be an average cabinet of approximately 200kg.</t>
  </si>
  <si>
    <t>Carbon factor taken from the ICE V4: Steel &gt; Hot dipped galvanised steel. The weight of a 12m steel column plus camera bracket is taken from a supplier to be 1.096t.</t>
  </si>
  <si>
    <t>Carbon factor taken directly from the ICE V4:  ICE Summary &gt; Plastic &gt; General plastic, Steel; &gt; wire rod. Weight of camera taken from supplier to be 25kg. Assumed main constituent materials to be 90% plastic and 10% steel.</t>
  </si>
  <si>
    <t>Carbon factor taken directly from the ICE V4: Aluminium &gt; Aluminium general European mix. Weight of sign taken from supplier to be 10kg.</t>
  </si>
  <si>
    <t>Carbon factor taken directly from the ICE V4: ICE Summary &gt; Plastic &gt; General plastic. Weight of  plastic per distance marker taken from Specification for Highways Works - Volume 3 E series drawings to be 163 grams.</t>
  </si>
  <si>
    <t>carbon factor taken directly from the ICE V4: ICE Summary &gt; Plastic &gt; General plastic. Weight of road stud taken as an average of multiple road stud designs from suppliers.</t>
  </si>
  <si>
    <t>Carbon factor taken directly from the ICE V4: Steel &gt; Hot dipped galvanised steel.</t>
  </si>
  <si>
    <t>Carbon factor taken directly from the ICE V4: Timber &gt; Plywood.</t>
  </si>
  <si>
    <t>Carbon factor taken directly from the ICE V4: Timber &gt; Softwood no carbon storage. Alternative ICE carbon factors are presented for sustainable timber which may be used where a chain of custody of timber provides sufficient justification.</t>
  </si>
  <si>
    <t>Carbon factor taken directly from the ICE V4: Timber &gt; Particle board .</t>
  </si>
  <si>
    <t>Carbon factor taken directly from the ICE V4: Plastic &gt; HDPE Pipe.</t>
  </si>
  <si>
    <t>Carbon factor taken directly from the ICE V4: Concrete &gt; Precast concrete beams and columns - steel reinforced with 100kg world average steel per m3.</t>
  </si>
  <si>
    <t>Carbon factor taken from the ICE V4: ICE Summary &gt; Stone &gt; General. It has been assumed there is 3kg of steel per tonne of stone.</t>
  </si>
  <si>
    <t>Carbon factor taken from the ICE V4: Steel &gt; Hot dipped galvanised steel. Average weight taken from gantry fabricator to be 5 tonnes.</t>
  </si>
  <si>
    <t>Carbon factor taken from the ICE V4: Steel &gt; Hot dipped galvanised steel. Average weight taken from gantry fabricator to be 8 tonnes.</t>
  </si>
  <si>
    <t>Carbon factor taken from the ICE V4: Steel &gt; Hot dipped galvanised steel. Average weight taken from gantry fabricator to be 11.5 tonnes.</t>
  </si>
  <si>
    <t>Carbon factor taken from the ICE V4: Steel &gt; Hot dipped galvanised steel. Average weight taken from gantry fabricator to be 21.5 tonnes.</t>
  </si>
  <si>
    <t>Carbon factor taken from the ICE V4: Steel &gt; Hot dipped galvanised steel. Average weight taken from gantry fabricator to be 22 tonnes.</t>
  </si>
  <si>
    <t>Carbon factor taken from the ICE V4: Steel &gt; Hot dipped galvanised steel. Average weight taken from gantry fabricator to be 25 tonnes.</t>
  </si>
  <si>
    <t>Carbon factor taken from the ICE V4: Steel &gt; Hot dipped galvanised steel. Average weight taken from gantry fabricator to be 40 tonnes.</t>
  </si>
  <si>
    <t>Carbon factor taken from the ICE V4: Steel &gt; Hot dipped galvanised steel. Average weight taken from gantry fabricator to be 85 tonnes.</t>
  </si>
  <si>
    <t>Carbon factor taken from ICE V4: ICE Summary &gt; Paint &gt; Solvent borne.  Conversion factor calculated from density of paint, 1.2kg/l.</t>
  </si>
  <si>
    <t>Carbon factor taken directly from the ICE V4: Steel &gt; Steel section.</t>
  </si>
  <si>
    <t>Carbon factor taken directly from the ICE V4: Concrete &gt; Precast Concrete Model &gt; Concrete average UK mix</t>
  </si>
  <si>
    <t>Carbon factor taken directly from the ICE V4: Concrete &gt; Precast Concrete Model &gt;  RC40/50 with CEM I Cement</t>
  </si>
  <si>
    <t>Carbon factor taken directly from Government Carbon Factors 2024. Fuel &gt; Natural Gas &gt; Gross CV. Includes all well to tank emissions: WTT - fuels &gt; Gaseous fuels &gt; Natural Gas &gt; Gross CV.</t>
  </si>
  <si>
    <t>Carbon factor taken from Government Carbon Factors 2024. Fuel &gt; Gas Oil. Includes all well to tank emissions: WTT - fuels &gt; Liquid Fuels &gt; Gas Oil litres.</t>
  </si>
  <si>
    <t>Carbon factor taken from Government Carbon Factors 2024. Fuel &gt; Petrol (average blend). Includes all well to tank emissions: WTT - fuels &gt; Liquid Fuels &gt; Petrol (average biofuel blend) &gt; litres.</t>
  </si>
  <si>
    <t>Carbon factor taken from Government Carbon Factors 2024. Fuel &gt; Diesel (average blend). Includes all well to tank emissions: WTT - fuels &gt; Liquid Fuels &gt; Diesel (average biofuel blend) &gt; litres.</t>
  </si>
  <si>
    <t>Carbon factor taken from Government Carbon Factors 2024. Bioenergy &gt; Biodiesel. Includes all well to tank emissions: WTT - Bioenergy &gt; WTT - Biofuel &gt; Biodiesel &gt; litres.</t>
  </si>
  <si>
    <t>Carbon factor taken from Government Carbon Factors 2024. Bioenergy &gt; Biodiesel HVO. Includes all well to tank emissions: WTT - bioenergy &gt;  Biodiesel HVO &gt; litres.</t>
  </si>
  <si>
    <t>Carbon factor taken from Government Carbon Factors 2024. Bioenergy &gt; Bioethanol. Includes all well to tank emissions: WTT - Bioenergy &gt;  Bioethanol &gt; litres.</t>
  </si>
  <si>
    <t>Carbon factor taken from Government Carbon Factors 2024. Bioenergy &gt; Biopropane. Includes all well to tank emission: WTT - Bioenergy &gt; Biopropane &gt; litres.</t>
  </si>
  <si>
    <t>Carbon factor taken from Government Carbon Factors 2024. Bioenergy &gt; Biomethane (compressed). Includes all well to tank emissions: : WTT - Bioenergy &gt;  Biomethane (compressed) &gt; kg.</t>
  </si>
  <si>
    <t>Carbon factor taken from Government Carbon Factors 2024. Bioenergy &gt; Biomethane (liquified). Includes all well to tank emissions: WTT - Bioenergy &gt; Biomethane (liquified) &gt; kg.</t>
  </si>
  <si>
    <t>Carbon factor taken from Government Carbon Factors 2024. Bioenergy &gt; Biomethanol. Includes all well to tank emissions: WTT - Bioenergy &gt; Biomethanol &gt; litres.</t>
  </si>
  <si>
    <t>Carbon factor taken from Government Carbon Factors 2024. Fuel &gt; Fuel Oil.  Includes all well to tank emissions: WTT - fuels &gt; Liquid fuels &gt; Fuel oil &gt; litres.</t>
  </si>
  <si>
    <t>Carbon factor taken from Government Carbon Factors 2024. Fuel &gt; Burning Oil.  Includes all well to tank emissions: WTT - fuels &gt; liquid fuels &gt; Burning oil &gt; litres.</t>
  </si>
  <si>
    <t>Carbon factor taken directly from Government Carbon Factors 2024 &gt; Mains water.</t>
  </si>
  <si>
    <t>Carbon factor of unknown average car emissions from Government Carbon Factors 2024. Business Travel &gt; Average car. Conversion factor for kg into tonnes. Includes all well to tank emissions: WTT - passenger vehicles and freight &gt; Average car &gt; km.</t>
  </si>
  <si>
    <t>Carbon factor taken directly from Government Carbon Factors 2024. Business Travel &gt; National rail. Conversion factor for kg into tonnes:  Includes all well to tank emissions: WTT - passenger vehicles and freight &gt; National rail &gt; passenger.km.</t>
  </si>
  <si>
    <t>Carbon factor is an average of the diesel and petrol average car emissions from Government Carbon Factors 2024. Conversion factor for kg into tonnes. Includes all well to tank emissions: WTT - passenger vehicles and freight &gt; Average car &gt; km.</t>
  </si>
  <si>
    <t>Carbon factor taken directly from Government Carbon Factors 2024: Freighting goods &gt; All HGVs &gt; 0% Laden. Includes all well to tank emissions: WTT delivery vehicles and freight  &gt; All HGVs &gt; 0% Laden</t>
  </si>
  <si>
    <t>Carbon factor taken directly from Government Carbon Factors 2024: Freighting goods &gt; All HGVs &gt; Average Laden. Includes all well to tank emissions: WTT delivery vehicles and freight  &gt; All HGVs &gt; Average Laden</t>
  </si>
  <si>
    <t>Carbon factor taken directly from Government Carbon Factors 2024: Freighting goods &gt; Vans &gt; Average Unknown. Includes all well to tank emissions: WTT delivery vehicles and freight  &gt; Average Unknown.</t>
  </si>
  <si>
    <t>Carbon factor taken directly from Government Carbon Factors 2024: Freighting goods &gt; Vans &gt; Average Battery Electric. Includes all well to tank emissions: WTT delivery vehicles and freight  &gt; Average Battery Electric. Includes UK electricity for EVs and transmission and distribution losses.</t>
  </si>
  <si>
    <t>Carbon factor taken directly from Government Carbon Factors 2024: Business Travel &gt; Cars &gt; Average Unknown. Includes all well to tank emissions:  WTT - passenger vehicles and freight &gt; Average Unknown.</t>
  </si>
  <si>
    <t>Carbon factor taken directly from Government Carbon Factors 2024: Business Travel &gt; Cars &gt; Average Battery Electric. Includes all well to tank emissions:  WTT - passenger vehicles and freight &gt; Average Battery Electric. Includes UK electricity for EVs and transmission and distribution losses.</t>
  </si>
  <si>
    <t>Carbon factor taken directly from Government Carbon Factors 2024: Business Travel &gt; Cars &gt; Plug-in Hybrid Electric Vehicle. Includes all well to tank emissions:  WTT - passenger vehicles and freight &gt;Plug-in Hybrid Electric Vehicle. Includes UK electricity for EVs and transmission and distribution losses.</t>
  </si>
  <si>
    <t>Carbon factor taken directly from Government Carbon Factors 2024: Business Travel &gt; Cars &gt; Hybrid. Includes all well to tank emissions:  WTT - passenger vehicles and freight &gt; Hybrid.</t>
  </si>
  <si>
    <t>Carbon factor taken directly from Government Carbon Factors 2024: Waste disposal &gt; Average Construction</t>
  </si>
  <si>
    <t>Carbon factor taken directly from Government Carbon Factors 2024: Waste disposal &gt; Average of all construction wastes</t>
  </si>
  <si>
    <t>Carbon factor taken directly from Government Carbon Factors 2024: Waste disposal &gt; Refuse &gt; Commercial and industrial.</t>
  </si>
  <si>
    <t>Carbon factor taken directly from Government Carbon Factors 2024: Waste disposal &gt; Organic garden waste &gt; combustion.</t>
  </si>
  <si>
    <t>Carbon factor taken directly from Government Carbon Factors 2024: Waste disposal &gt; Organic garden waste &gt; composting.</t>
  </si>
  <si>
    <t>Carbon factor taken directly from Government Carbon Factors 2024: Waste disposal &gt; Organic garden waste &gt; Landfill.</t>
  </si>
  <si>
    <t>Carbon factor taken directly from Government Carbon Factors 2024. Waste disposal &gt; Plastic &gt; Average plastic</t>
  </si>
  <si>
    <t>Carbon factor taken directly from Government Carbon Factors 2024. Waste disposal &gt; Other &gt; Glass</t>
  </si>
  <si>
    <t>Carbon factor taken directly from Government Carbon Factors 2024. Waste disposal &gt; Construction &gt; Concrete / Brick</t>
  </si>
  <si>
    <t>Carbon factor taken directly from Government Carbon Factors 2024. Waste disposal &gt; Construction &gt; Wood</t>
  </si>
  <si>
    <t>Carbon factor taken directly from Government Carbon Factors 2024. Waste disposal &gt; Construction &gt; Asphalt</t>
  </si>
  <si>
    <t>Carbon factor taken directly from Government Carbon Factors 2024. Waste disposal &gt; Metal</t>
  </si>
  <si>
    <t>Carbon factor taken directly from Government Carbon Factors 2024. Waste disposal &gt; Electrical Items</t>
  </si>
  <si>
    <t>Carbon factor taken directly from Government Carbon Factors 2024. Waste disposal &gt; Paper and Board mixed</t>
  </si>
  <si>
    <t>Carbon factor taken directly from Government Carbon Factors 2024. Waste disposal &gt; Aggregates</t>
  </si>
  <si>
    <t>Carbon factor taken directly from Government Carbon Factors 2024. Waste disposal &gt; Mineral Oil &gt; Recycled.</t>
  </si>
  <si>
    <t>Carbon factor taken directly from Government Carbon Factors 2024. Waste disposal &gt; Mineral Oil &gt; Combustion</t>
  </si>
  <si>
    <t>Carbon factor taken directly from Government Carbon Factors 2024: Waste disposal &gt; Average incineration factor.</t>
  </si>
  <si>
    <t>Carbon factor taken directly from Government Carbon Factors 2024: Waste disposal &gt; Batteries</t>
  </si>
  <si>
    <t>Carbon factor taken directly from Government Carbon Factors 2024 &gt; Water treatment</t>
  </si>
  <si>
    <t>Carbon Tool v2.7</t>
  </si>
  <si>
    <t>Transport (one way from site to supplier)</t>
  </si>
  <si>
    <t xml:space="preserve">Transport (one way from site to supplier) </t>
  </si>
  <si>
    <t>Carbon factor taken from Government Carbon Factors 2024:  Freighting Goods &gt; Average van &gt; Diesel &gt; km.  Assumed average load is 1 tonnes to calculate number of return journeys. Includes all well to tank emissions: WTT - delivery vehicles and freight &gt; Average van &gt; Diesel &gt; km</t>
  </si>
  <si>
    <t>Carbon factor taken from Government Carbon Factors 2024:  Freighting Goods &gt; Average HGV &gt;  0% laden &gt; km. Assumed average load is 7.5 tonnes to calculate number of return journeys. Includes all well to tank emissions: WTT - delivery vehicles and freight  &gt; Average HGV &gt;  0% laden &gt; km</t>
  </si>
  <si>
    <t>Carbon factors taken from the ICE V4: ICE Summary &gt; Soil &gt; Cement stabilised soils. Average taken of all the variations in stabilised soil.</t>
  </si>
  <si>
    <r>
      <t>Carbon factor taken from the ICE V4: ICE Summary &gt; Plastic &gt; General Polypropylene. Conversion factor has assumed geotextile thickness is approximately 1mm. Density of polypropylene = 946 kg/m</t>
    </r>
    <r>
      <rPr>
        <vertAlign val="superscript"/>
        <sz val="11"/>
        <rFont val="Calibri"/>
        <family val="2"/>
        <scheme val="minor"/>
      </rPr>
      <t>3</t>
    </r>
    <r>
      <rPr>
        <sz val="11"/>
        <rFont val="Calibri"/>
        <family val="2"/>
        <scheme val="minor"/>
      </rPr>
      <t xml:space="preserve"> .</t>
    </r>
  </si>
  <si>
    <t>Carbon factor taken directly from the ICE V4: ICE Summary &gt; Clay &gt; Pipes 200-300mm. Conversion factor based on typical unit mass estimate from Hepworth Drainage.</t>
  </si>
  <si>
    <t>Carbon factor taken directly from the ICE V4: Steel &gt; welded pipe. Conversion factor based on indicative unit mass from supplier.</t>
  </si>
  <si>
    <t>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t>
  </si>
  <si>
    <t>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t>
  </si>
  <si>
    <t>Carbon factor uses ICE V4: Concrete &gt; OPC precast concrete and ICE V4: ICE Summary &gt; Iron &gt; General for covers. Factor presented is weighted average based on relative estimated mass of precast concrete and ductile iron cover and frame. Conversion factor based on indicative unit mass from supplier for typical concrete gully pot DN450 and 900mm depth and suitable cover slab, and indicative unit mass for iron cover and frame from supplier.</t>
  </si>
  <si>
    <t>Carbon factor uses ICE V4: Concrete &gt; Precast RC40/50 with average UK additions and ICE V4: ICE Summary &gt; Iron &gt; General for channel gratings. Factor presented is weighted average based on relative estimated mass of precast concrete and ductile iron. Conversion factor estimated based on technical specs from ACO for heavy duty 200mm channel, and indicative unit mass for D400 rated ductile iron grating from supplier.</t>
  </si>
  <si>
    <t>Carbon factor taken directly from the ICE V4: ICE Summary &gt; Plastic &gt; General Polyethylene. Weight of petrol interceptor taken to be 0.5 tonnes based on supplier information for a 52l/s bypass interceptor.</t>
  </si>
  <si>
    <t>Carbon factor taken from ICE V4: ICE Summary &gt; Copper &gt; EU tube and sheet, Steel &gt; wire rod and ICE V4: ICE Summary &gt; Plastic &gt; General plastic. Weight of medium copper armoured power cable taken from supplier to be 0.74kg per meter. Weight of copper , steel and plastic assumed to be equal.</t>
  </si>
  <si>
    <t>Carbon factor taken from ICE V4: ICE Summary &gt; Copper &gt; EU tube and sheet, Steel &gt; wire rod and ICE V4: ICE Summary &gt; Plastic &gt; General plastic. Weight of medium copper armoured power cable taken from supplier to be 0.425kg per meter. Weight of copper , steel and plastic assumed to be equal.</t>
  </si>
  <si>
    <t>Carbon factor taken directly from the ICE V4: ICE Summary &gt; Plastic &gt; PVC General.</t>
  </si>
  <si>
    <t>Carbon factors taken from the ICE V4: Average strength Precast concrete block types. Assumed weight of block is 15kg and 10mm of mortar.</t>
  </si>
  <si>
    <t>Carbon factor taken directly from the ICE V4: ICE Summary &gt; Stone &gt; General.</t>
  </si>
  <si>
    <t>Carbon factor taken directly from Government Carbon Factors 2024. UK electricity. Includes electricity supplied by the grid, generation, transmission and distribution losses of electricity.</t>
  </si>
  <si>
    <t>Carbon factor taken directly from Government Carbon Factors 2024. Fuel &gt; Other LPG&gt; tonnes. Includes all well to tank emissions: WTT - fuels &gt; Gaseous fuels &gt; LPG &gt; tonnes.</t>
  </si>
  <si>
    <t>Carbon factor taken directly from Government Carbon Factors 2024. Business Travel &gt; Average local Bus. Conversion factor for kg into tonnes. Includes all well to tank emissions: WTT - passenger vehicles and freight &gt; Average local bus &gt; passenger.km.</t>
  </si>
  <si>
    <t>Carbon factor taken directly from Government Carbon Factors 2024. Business Travel &gt; Average Local Bus. Conversion factor for kg into tonnes. Includes all well to tank emissions: WTT - passenger vehicles and freight &gt; Average local bus &gt; passenger.km.</t>
  </si>
  <si>
    <t>Materials emissions factors have been taken from the Inventory of Carbon and Energy (ICE) version 4 (please note that some of the emissions factors in version 4 are the same as version 2). Energy, waste and transport emissions factors have been taken from the UK Government emission conversion factors for greenhouse gas company reporting 2024 (Department for Energy Security and Net Zero and Department for Business, Energy &amp; Industrial Strategy). Where an input unit is not required as a weight, such as a number (no.) of products or metres of product, a conversion factor has been  applied. This is based upon the weight of a product calculated using suppliers specifications and technical drawings. When a product contains multiple materials a weighted average carbon factor has been calculated using multiple factors from the ICE V4. ICE carbon factors used within this tool include the embodied carbon within the raw materials but do not account for the carbon associated with the manufacture or processing of the raw materials into a product prior to their purchase by the reporting contractor. Well to tank emissions, also known as upstream or indirect emissions, is an average of all the GHG emissions released into the atmosphere from the production, processing and delivery of a fuel. Well to tank emissions have been included for fuels and electricity directly used on site, for fuels used by third parties transporting materials and people to and from the site.</t>
  </si>
  <si>
    <t>Carbon factor taken directly from ICE V4: ICE Summary &gt; Sealants and adhesives &gt; Epoxide resin.</t>
  </si>
  <si>
    <r>
      <t>Carbon factor taken directly from ICE V4: ICE Summary &gt; Sealants and adhesives &gt; Epoxide resin. Note the carbon factor is for CO</t>
    </r>
    <r>
      <rPr>
        <vertAlign val="subscript"/>
        <sz val="11"/>
        <rFont val="Calibri"/>
        <family val="2"/>
        <scheme val="minor"/>
      </rPr>
      <t>2</t>
    </r>
    <r>
      <rPr>
        <sz val="11"/>
        <rFont val="Calibri"/>
        <family val="2"/>
        <scheme val="minor"/>
      </rPr>
      <t xml:space="preserve"> only and not CO</t>
    </r>
    <r>
      <rPr>
        <vertAlign val="subscript"/>
        <sz val="11"/>
        <rFont val="Calibri"/>
        <family val="2"/>
        <scheme val="minor"/>
      </rPr>
      <t>2</t>
    </r>
    <r>
      <rPr>
        <sz val="11"/>
        <rFont val="Calibri"/>
        <family val="2"/>
        <scheme val="minor"/>
      </rPr>
      <t>e.</t>
    </r>
  </si>
  <si>
    <t>Carbon factor taken from ICE V3: Paint &gt; Solvent borne. Conversion factor calculated from density of paint, 1.2kg/l. The factor for solvent borne paint has not been updated in V4 as solvent based paint is becoming less common.</t>
  </si>
  <si>
    <r>
      <t xml:space="preserve">Step 7) Complete the Carbon Return. </t>
    </r>
    <r>
      <rPr>
        <sz val="12"/>
        <color theme="1"/>
        <rFont val="Calibri"/>
        <family val="2"/>
        <scheme val="minor"/>
      </rPr>
      <t>When you have completed the Bulk Materials, repeat this process for Step 5 for each of the nine categories which are relevant to your project or contract. If the exact item you have is not available in the drop down list, choose the closest option available. For example if you a have a 475mm pipe and the tool only has 450mm pipe then choose this.
Don't forget to record the mode of transport and the distance from your supplier to your site for each item. The transport distance is measured in km and is the single one-way distance between the location of the supplier to the site location/point of deposition. Where you are unable to estimate the transport distance of a material, assumptions based of the Royal Institute of Chartered Surveyors should be used instead, these are as follows:
- Locally manufactured (e.g. ready mix concrete) should be assumed as 20km by road.
- Locally manufactured (e.g. aggregate, earth or asphalt) should be assumed as 50km by road.
- Regionally manufactured (e.g. blockwork, glass or plasterboard) should be assumed as 80km by road.
- Nationally manufactured (e.g. structural timber, steelwork or precast concrete) should be assumed at 120km by road. 
As you complete each category, you should click the 'Mark page as complete' box at the top of the page and move onto the next category. When you have finished inputting your data, click the 'Home Page' button to return to the front screen. The carbon return you have just entered will now be marked as 'Complete' and highlighted as green. If it is not, check each of the categories again, making sure you have entered the necessary data and ticked each category as complete.</t>
    </r>
  </si>
  <si>
    <t>Holcim</t>
  </si>
  <si>
    <t>2025Q3</t>
  </si>
  <si>
    <t>202509b</t>
  </si>
  <si>
    <t>2025 Oct - Dec</t>
  </si>
  <si>
    <t>2025 Oct - Dec   -   Bulk Materials</t>
  </si>
  <si>
    <t>2025 Oct - Dec   -   Earthworks</t>
  </si>
  <si>
    <t>2025 Oct - Dec   -   Fencing, Barriers &amp; Road Restraint Systems</t>
  </si>
  <si>
    <t>2025 Oct - Dec   -   Drainage</t>
  </si>
  <si>
    <t>2025 Oct - Dec   -   Road Pavements</t>
  </si>
  <si>
    <t>2025 Oct - Dec   -   Street Furniture &amp; Electrical Equipment</t>
  </si>
  <si>
    <t>2025 Oct - Dec   -   Civils Structures &amp; Retaining Walls</t>
  </si>
  <si>
    <t>2025 Oct - Dec   -   Fuel, Energy &amp; Water</t>
  </si>
  <si>
    <t>2025 Oct - Dec   -   Business and Employee Transport</t>
  </si>
  <si>
    <t>2025 Oct - Dec   -   Waste</t>
  </si>
  <si>
    <t xml:space="preserve">Resurfacing </t>
  </si>
  <si>
    <t>kgCO2e/km</t>
  </si>
  <si>
    <t>613703. A1M Wentbridge</t>
  </si>
  <si>
    <t xml:space="preserve">Resurfacing of carriageway. WMA is used within all layers. The data has been issued from as-built data, and input into NH tool by Neil Leake, National Technical Manager. Other low-carbon alternatives could have been used on the scheme through a DFS, Our SuperLow Carbon asphalt would have saved a further 20% carbon against what was reported. </t>
  </si>
  <si>
    <t/>
  </si>
  <si>
    <t xml:space="preserve">N/A </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</si>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</sst>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00_);_(* \(#,##0.00\);_(* &quot;-&quot;??_);_(@_)"/>
    <numFmt numFmtId="165" formatCode="&quot;£&quot;#,##0_);\(&quot;£&quot;#,##0\)"/>
    <numFmt numFmtId="166" formatCode="_(&quot;£&quot;* #,##0_);_(&quot;£&quot;* \(#,##0\);_(&quot;£&quot;* &quot;-&quot;_);_(@_)"/>
    <numFmt numFmtId="167" formatCode="_(* #,##0_);_(* \(#,##0\);_(* &quot;-&quot;_);_(@_)"/>
    <numFmt numFmtId="168" formatCode="_(&quot;£&quot;* #,##0.00_);_(&quot;£&quot;* \(#,##0.00\);_(&quot;£&quot;* &quot;-&quot;??_);_(@_)"/>
    <numFmt numFmtId="169" formatCode="_-[$€-2]* #,##0.00_-;\-[$€-2]* #,##0.00_-;_-[$€-2]* &quot;-&quot;??_-"/>
    <numFmt numFmtId="170" formatCode="[&gt;0.5]#,##0;[&lt;-0.5]\-#,##0;\-"/>
    <numFmt numFmtId="171" formatCode="_-* #,##0\ _F_-;\-* #,##0\ _F_-;_-* &quot;-&quot;\ _F_-;_-@_-"/>
    <numFmt numFmtId="172" formatCode="_-* #,##0.00\ _F_-;\-* #,##0.00\ _F_-;_-* &quot;-&quot;??\ _F_-;_-@_-"/>
    <numFmt numFmtId="173" formatCode="_-* #,##0\ &quot;F&quot;_-;\-* #,##0\ &quot;F&quot;_-;_-* &quot;-&quot;\ &quot;F&quot;_-;_-@_-"/>
    <numFmt numFmtId="174" formatCode="_-* #,##0.00\ &quot;F&quot;_-;\-* #,##0.00\ &quot;F&quot;_-;_-* &quot;-&quot;??\ &quot;F&quot;_-;_-@_-"/>
    <numFmt numFmtId="175" formatCode="###.0"/>
    <numFmt numFmtId="176" formatCode="0.000"/>
    <numFmt numFmtId="177" formatCode="##.0"/>
    <numFmt numFmtId="178" formatCode="#,###,##0"/>
    <numFmt numFmtId="179" formatCode="_-&quot;öS&quot;\ * #,##0_-;\-&quot;öS&quot;\ * #,##0_-;_-&quot;öS&quot;\ * &quot;-&quot;_-;_-@_-"/>
    <numFmt numFmtId="180" formatCode="_-&quot;öS&quot;\ * #,##0.00_-;\-&quot;öS&quot;\ * #,##0.00_-;_-&quot;öS&quot;\ * &quot;-&quot;??_-;_-@_-"/>
    <numFmt numFmtId="181" formatCode="0.0"/>
    <numFmt numFmtId="182" formatCode="#,##0.000"/>
    <numFmt numFmtId="183" formatCode="0.0000"/>
    <numFmt numFmtId="184" formatCode="0;\-0;;@"/>
    <numFmt numFmtId="185" formatCode="#,##0.000_ ;\-#,##0.000\ "/>
    <numFmt numFmtId="186" formatCode="0.0000000"/>
    <numFmt numFmtId="187" formatCode="#,##0.00000000"/>
    <numFmt numFmtId="188" formatCode="0.000000"/>
    <numFmt numFmtId="189" formatCode="&quot;£&quot;#,##0"/>
  </numFmts>
  <fonts count="119" x14ac:knownFonts="1">
    <font>
      <sz val="11"/>
      <color theme="1"/>
      <name val="Calibri"/>
      <family val="2"/>
      <scheme val="minor"/>
    </font>
    <font>
      <b/>
      <sz val="14"/>
      <color theme="1"/>
      <name val="Calibri"/>
      <family val="2"/>
      <scheme val="minor"/>
    </font>
    <font>
      <b/>
      <sz val="11"/>
      <color theme="1"/>
      <name val="Calibri"/>
      <family val="2"/>
      <scheme val="minor"/>
    </font>
    <font>
      <sz val="10"/>
      <color theme="1"/>
      <name val="Verdana"/>
      <family val="2"/>
    </font>
    <font>
      <sz val="11"/>
      <name val="Calibri"/>
      <family val="2"/>
      <scheme val="minor"/>
    </font>
    <font>
      <sz val="11"/>
      <color theme="1"/>
      <name val="Calibri"/>
      <family val="2"/>
      <scheme val="minor"/>
    </font>
    <font>
      <sz val="11"/>
      <color rgb="FFFF0000"/>
      <name val="Calibri"/>
      <family val="2"/>
      <scheme val="minor"/>
    </font>
    <font>
      <b/>
      <sz val="20"/>
      <color theme="1"/>
      <name val="Calibri"/>
      <family val="2"/>
      <scheme val="minor"/>
    </font>
    <font>
      <b/>
      <sz val="11"/>
      <name val="Calibri"/>
      <family val="2"/>
      <scheme val="minor"/>
    </font>
    <font>
      <vertAlign val="superscript"/>
      <sz val="11"/>
      <name val="Calibri"/>
      <family val="2"/>
      <scheme val="minor"/>
    </font>
    <font>
      <sz val="10"/>
      <name val="Arial"/>
      <family val="2"/>
    </font>
    <font>
      <sz val="12"/>
      <color indexed="8"/>
      <name val="Arial"/>
      <family val="2"/>
    </font>
    <font>
      <sz val="10"/>
      <name val="Arial Cyr"/>
      <charset val="204"/>
    </font>
    <font>
      <sz val="12"/>
      <color indexed="9"/>
      <name val="Arial"/>
      <family val="2"/>
    </font>
    <font>
      <sz val="9"/>
      <name val="Times New Roman"/>
      <family val="1"/>
    </font>
    <font>
      <sz val="12"/>
      <color indexed="20"/>
      <name val="Arial"/>
      <family val="2"/>
    </font>
    <font>
      <b/>
      <sz val="9"/>
      <name val="Times New Roman"/>
      <family val="1"/>
    </font>
    <font>
      <b/>
      <sz val="12"/>
      <color indexed="52"/>
      <name val="Arial"/>
      <family val="2"/>
    </font>
    <font>
      <b/>
      <sz val="12"/>
      <color indexed="9"/>
      <name val="Arial"/>
      <family val="2"/>
    </font>
    <font>
      <i/>
      <sz val="12"/>
      <color indexed="23"/>
      <name val="Arial"/>
      <family val="2"/>
    </font>
    <font>
      <sz val="12"/>
      <color indexed="17"/>
      <name val="Arial"/>
      <family val="2"/>
    </font>
    <font>
      <sz val="14"/>
      <name val="Arial"/>
      <family val="2"/>
    </font>
    <font>
      <b/>
      <sz val="15"/>
      <color indexed="56"/>
      <name val="Arial"/>
      <family val="2"/>
    </font>
    <font>
      <b/>
      <sz val="13"/>
      <color indexed="56"/>
      <name val="Arial"/>
      <family val="2"/>
    </font>
    <font>
      <b/>
      <sz val="11"/>
      <color indexed="56"/>
      <name val="Arial"/>
      <family val="2"/>
    </font>
    <font>
      <u/>
      <sz val="10"/>
      <color indexed="12"/>
      <name val="Arial"/>
      <family val="2"/>
    </font>
    <font>
      <u/>
      <sz val="10"/>
      <color theme="10"/>
      <name val="Arial"/>
      <family val="2"/>
    </font>
    <font>
      <u/>
      <sz val="11"/>
      <color theme="10"/>
      <name val="Calibri"/>
      <family val="2"/>
      <scheme val="minor"/>
    </font>
    <font>
      <sz val="12"/>
      <color indexed="62"/>
      <name val="Arial"/>
      <family val="2"/>
    </font>
    <font>
      <sz val="12"/>
      <color indexed="52"/>
      <name val="Arial"/>
      <family val="2"/>
    </font>
    <font>
      <sz val="12"/>
      <color indexed="60"/>
      <name val="Arial"/>
      <family val="2"/>
    </font>
    <font>
      <sz val="11"/>
      <color theme="1"/>
      <name val="Arial"/>
      <family val="2"/>
    </font>
    <font>
      <b/>
      <sz val="12"/>
      <color indexed="63"/>
      <name val="Arial"/>
      <family val="2"/>
    </font>
    <font>
      <sz val="10"/>
      <color theme="1"/>
      <name val="Arial"/>
      <family val="2"/>
    </font>
    <font>
      <sz val="11"/>
      <color indexed="8"/>
      <name val="Arial"/>
      <family val="2"/>
    </font>
    <font>
      <sz val="10"/>
      <name val="Times New Roman"/>
      <family val="1"/>
    </font>
    <font>
      <i/>
      <sz val="12"/>
      <name val="Times New Roman"/>
      <family val="1"/>
    </font>
    <font>
      <sz val="8"/>
      <name val="Helv"/>
    </font>
    <font>
      <sz val="8"/>
      <name val="Arial"/>
      <family val="2"/>
    </font>
    <font>
      <b/>
      <sz val="18"/>
      <color indexed="56"/>
      <name val="Cambria"/>
      <family val="2"/>
    </font>
    <font>
      <b/>
      <sz val="14"/>
      <name val="Helv"/>
    </font>
    <font>
      <b/>
      <sz val="12"/>
      <name val="Helv"/>
    </font>
    <font>
      <b/>
      <sz val="10"/>
      <color indexed="18"/>
      <name val="Arial"/>
      <family val="2"/>
    </font>
    <font>
      <b/>
      <sz val="12"/>
      <color indexed="8"/>
      <name val="Arial"/>
      <family val="2"/>
    </font>
    <font>
      <b/>
      <sz val="10"/>
      <color indexed="8"/>
      <name val="Arial"/>
      <family val="2"/>
    </font>
    <font>
      <sz val="12"/>
      <color indexed="10"/>
      <name val="Arial"/>
      <family val="2"/>
    </font>
    <font>
      <b/>
      <sz val="12"/>
      <color indexed="12"/>
      <name val="Arial"/>
      <family val="2"/>
    </font>
    <font>
      <sz val="11"/>
      <color rgb="FF006100"/>
      <name val="Calibri"/>
      <family val="2"/>
      <scheme val="minor"/>
    </font>
    <font>
      <sz val="11"/>
      <color rgb="FF9C0006"/>
      <name val="Calibri"/>
      <family val="2"/>
      <scheme val="minor"/>
    </font>
    <font>
      <b/>
      <sz val="11"/>
      <color rgb="FFFA7D00"/>
      <name val="Calibri"/>
      <family val="2"/>
      <scheme val="minor"/>
    </font>
    <font>
      <sz val="9"/>
      <color theme="1"/>
      <name val="Calibri"/>
      <family val="2"/>
      <scheme val="minor"/>
    </font>
    <font>
      <b/>
      <sz val="11"/>
      <color theme="1"/>
      <name val="Calibri"/>
      <family val="2"/>
      <charset val="238"/>
      <scheme val="minor"/>
    </font>
    <font>
      <sz val="8"/>
      <color rgb="FF000000"/>
      <name val="Tahoma"/>
      <family val="2"/>
    </font>
    <font>
      <sz val="10"/>
      <color rgb="FF9C0006"/>
      <name val="Calibri"/>
      <family val="2"/>
      <scheme val="minor"/>
    </font>
    <font>
      <sz val="10"/>
      <color theme="1"/>
      <name val="Calibri"/>
      <family val="2"/>
      <scheme val="minor"/>
    </font>
    <font>
      <b/>
      <sz val="10"/>
      <color theme="1"/>
      <name val="Calibri"/>
      <family val="2"/>
      <scheme val="minor"/>
    </font>
    <font>
      <b/>
      <sz val="10"/>
      <color theme="0"/>
      <name val="Calibri"/>
      <family val="2"/>
      <scheme val="minor"/>
    </font>
    <font>
      <sz val="10"/>
      <color rgb="FF006100"/>
      <name val="Calibri"/>
      <family val="2"/>
      <scheme val="minor"/>
    </font>
    <font>
      <u/>
      <sz val="11"/>
      <color theme="1"/>
      <name val="Calibri"/>
      <family val="2"/>
      <scheme val="minor"/>
    </font>
    <font>
      <sz val="10"/>
      <name val="Calibri"/>
      <family val="2"/>
      <scheme val="minor"/>
    </font>
    <font>
      <sz val="11"/>
      <color rgb="FF000000"/>
      <name val="Calibri"/>
      <family val="2"/>
    </font>
    <font>
      <sz val="11"/>
      <color theme="0"/>
      <name val="Calibri"/>
      <family val="2"/>
      <scheme val="minor"/>
    </font>
    <font>
      <b/>
      <sz val="14"/>
      <color theme="0"/>
      <name val="Calibri"/>
      <family val="2"/>
      <scheme val="minor"/>
    </font>
    <font>
      <sz val="8"/>
      <color theme="0"/>
      <name val="Calibri"/>
      <family val="2"/>
      <scheme val="minor"/>
    </font>
    <font>
      <sz val="8"/>
      <color theme="1"/>
      <name val="Calibri"/>
      <family val="2"/>
      <scheme val="minor"/>
    </font>
    <font>
      <b/>
      <sz val="12"/>
      <color theme="1"/>
      <name val="Calibri"/>
      <family val="2"/>
      <scheme val="minor"/>
    </font>
    <font>
      <b/>
      <sz val="8"/>
      <color theme="0"/>
      <name val="Calibri"/>
      <family val="2"/>
      <scheme val="minor"/>
    </font>
    <font>
      <sz val="7"/>
      <color rgb="FFFFFFFF"/>
      <name val="Calibri"/>
      <family val="2"/>
      <scheme val="minor"/>
    </font>
    <font>
      <sz val="11"/>
      <color rgb="FF1F497D"/>
      <name val="Calibri"/>
      <family val="2"/>
      <scheme val="minor"/>
    </font>
    <font>
      <sz val="8"/>
      <color indexed="81"/>
      <name val="Tahoma"/>
      <family val="2"/>
    </font>
    <font>
      <b/>
      <sz val="8"/>
      <color indexed="81"/>
      <name val="Tahoma"/>
      <family val="2"/>
    </font>
    <font>
      <b/>
      <sz val="9"/>
      <color theme="1"/>
      <name val="Calibri"/>
      <family val="2"/>
      <scheme val="minor"/>
    </font>
    <font>
      <i/>
      <sz val="8"/>
      <color theme="1"/>
      <name val="Arial"/>
      <family val="2"/>
    </font>
    <font>
      <b/>
      <sz val="10"/>
      <color rgb="FF000000"/>
      <name val="Calibri"/>
      <family val="2"/>
    </font>
    <font>
      <b/>
      <sz val="20"/>
      <color theme="0"/>
      <name val="Calibri"/>
      <family val="2"/>
      <scheme val="minor"/>
    </font>
    <font>
      <b/>
      <sz val="16"/>
      <color theme="1"/>
      <name val="Calibri"/>
      <family val="2"/>
      <scheme val="minor"/>
    </font>
    <font>
      <sz val="11"/>
      <color rgb="FFFFFFFF"/>
      <name val="Calibri"/>
      <family val="2"/>
      <scheme val="minor"/>
    </font>
    <font>
      <sz val="9"/>
      <color theme="0"/>
      <name val="Calibri"/>
      <family val="2"/>
      <scheme val="minor"/>
    </font>
    <font>
      <b/>
      <sz val="9"/>
      <color theme="0"/>
      <name val="Calibri"/>
      <family val="2"/>
      <scheme val="minor"/>
    </font>
    <font>
      <vertAlign val="subscript"/>
      <sz val="11"/>
      <name val="Calibri"/>
      <family val="2"/>
      <scheme val="minor"/>
    </font>
    <font>
      <vertAlign val="subscript"/>
      <sz val="11"/>
      <color theme="1"/>
      <name val="Calibri"/>
      <family val="2"/>
      <scheme val="minor"/>
    </font>
    <font>
      <b/>
      <vertAlign val="subscript"/>
      <sz val="10"/>
      <color theme="0"/>
      <name val="Calibri"/>
      <family val="2"/>
      <scheme val="minor"/>
    </font>
    <font>
      <vertAlign val="superscript"/>
      <sz val="11"/>
      <color theme="1"/>
      <name val="Calibri"/>
      <family val="2"/>
      <scheme val="minor"/>
    </font>
    <font>
      <vertAlign val="subscript"/>
      <sz val="11"/>
      <color theme="1"/>
      <name val="Arial"/>
      <family val="2"/>
    </font>
    <font>
      <sz val="11"/>
      <color rgb="FFFF0000"/>
      <name val="Arial"/>
      <family val="2"/>
    </font>
    <font>
      <sz val="11"/>
      <color theme="0"/>
      <name val="Arial"/>
      <family val="2"/>
    </font>
    <font>
      <b/>
      <sz val="11"/>
      <color theme="1"/>
      <name val="Arial"/>
      <family val="2"/>
    </font>
    <font>
      <b/>
      <sz val="11"/>
      <name val="Arial"/>
      <family val="2"/>
    </font>
    <font>
      <sz val="10"/>
      <color rgb="FFFF0000"/>
      <name val="Arial"/>
      <family val="2"/>
    </font>
    <font>
      <b/>
      <sz val="11"/>
      <color rgb="FFFF0000"/>
      <name val="Arial"/>
      <family val="2"/>
    </font>
    <font>
      <sz val="9"/>
      <name val="Calibri"/>
      <family val="2"/>
      <scheme val="minor"/>
    </font>
    <font>
      <i/>
      <sz val="8"/>
      <name val="Arial"/>
      <family val="2"/>
    </font>
    <font>
      <b/>
      <sz val="9"/>
      <name val="Calibri"/>
      <family val="2"/>
      <scheme val="minor"/>
    </font>
    <font>
      <b/>
      <sz val="11"/>
      <color rgb="FF002E5F"/>
      <name val="Arial"/>
      <family val="2"/>
    </font>
    <font>
      <b/>
      <sz val="9"/>
      <color rgb="FF003366"/>
      <name val="Calibri"/>
      <family val="2"/>
    </font>
    <font>
      <b/>
      <sz val="10"/>
      <name val="Arial"/>
      <family val="2"/>
    </font>
    <font>
      <b/>
      <sz val="11"/>
      <color theme="0"/>
      <name val="Calibri"/>
      <family val="2"/>
      <scheme val="minor"/>
    </font>
    <font>
      <b/>
      <sz val="16"/>
      <color theme="3"/>
      <name val="Arial"/>
      <family val="2"/>
    </font>
    <font>
      <b/>
      <sz val="11"/>
      <color rgb="FF000000"/>
      <name val="Calibri"/>
      <family val="2"/>
      <scheme val="minor"/>
    </font>
    <font>
      <b/>
      <sz val="10"/>
      <color rgb="FF000000"/>
      <name val="Calibri"/>
      <family val="2"/>
      <scheme val="minor"/>
    </font>
    <font>
      <b/>
      <sz val="14"/>
      <color rgb="FF808080"/>
      <name val="Calibri"/>
      <family val="2"/>
    </font>
    <font>
      <b/>
      <sz val="12"/>
      <color rgb="FF003366"/>
      <name val="Calibri"/>
      <family val="2"/>
    </font>
    <font>
      <b/>
      <sz val="20"/>
      <name val="Calibri"/>
      <family val="2"/>
      <scheme val="minor"/>
    </font>
    <font>
      <b/>
      <sz val="18"/>
      <color theme="0"/>
      <name val="Calibri"/>
      <family val="2"/>
      <scheme val="minor"/>
    </font>
    <font>
      <b/>
      <sz val="16"/>
      <color theme="0"/>
      <name val="Calibri"/>
      <family val="2"/>
      <scheme val="minor"/>
    </font>
    <font>
      <b/>
      <sz val="12"/>
      <name val="Calibri"/>
      <family val="2"/>
      <scheme val="minor"/>
    </font>
    <font>
      <b/>
      <vertAlign val="subscript"/>
      <sz val="12"/>
      <name val="Calibri"/>
      <family val="2"/>
      <scheme val="minor"/>
    </font>
    <font>
      <b/>
      <sz val="18"/>
      <name val="Calibri"/>
      <family val="2"/>
      <scheme val="minor"/>
    </font>
    <font>
      <b/>
      <sz val="14"/>
      <color theme="3"/>
      <name val="Calibri"/>
      <family val="2"/>
      <scheme val="minor"/>
    </font>
    <font>
      <b/>
      <sz val="14"/>
      <color rgb="FF002E5F"/>
      <name val="Calibri"/>
      <family val="2"/>
      <scheme val="minor"/>
    </font>
    <font>
      <sz val="12"/>
      <color theme="1"/>
      <name val="Calibri"/>
      <family val="2"/>
      <scheme val="minor"/>
    </font>
    <font>
      <sz val="12"/>
      <name val="Calibri"/>
      <family val="2"/>
      <scheme val="minor"/>
    </font>
    <font>
      <b/>
      <sz val="12"/>
      <color theme="0"/>
      <name val="Calibri"/>
      <family val="2"/>
      <scheme val="minor"/>
    </font>
    <font>
      <b/>
      <sz val="12"/>
      <color theme="1"/>
      <name val="Calibri"/>
      <family val="2"/>
    </font>
    <font>
      <b/>
      <sz val="11"/>
      <color rgb="FF000000"/>
      <name val="Calibri"/>
      <family val="2"/>
    </font>
    <font>
      <b/>
      <sz val="16"/>
      <color rgb="FF000000"/>
      <name val="Calibri"/>
      <family val="2"/>
    </font>
    <font>
      <i/>
      <sz val="12"/>
      <color theme="1"/>
      <name val="Calibri"/>
      <family val="2"/>
      <scheme val="minor"/>
    </font>
    <font>
      <u/>
      <sz val="12"/>
      <color theme="10"/>
      <name val="Calibri"/>
      <family val="2"/>
      <scheme val="minor"/>
    </font>
    <font>
      <sz val="10"/>
      <color rgb="FFFFFFFF"/>
      <name val="Calibri"/>
      <family val="2"/>
      <scheme val="minor"/>
    </font>
  </fonts>
  <fills count="5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lightGray">
        <fgColor indexed="9"/>
      </patternFill>
    </fill>
    <fill>
      <patternFill patternType="gray0625">
        <fgColor indexed="9"/>
      </patternFill>
    </fill>
    <fill>
      <patternFill patternType="solid">
        <fgColor rgb="FFC6EFCE"/>
      </patternFill>
    </fill>
    <fill>
      <patternFill patternType="solid">
        <fgColor rgb="FFFFC7CE"/>
      </patternFill>
    </fill>
    <fill>
      <patternFill patternType="solid">
        <fgColor rgb="FFF2F2F2"/>
      </patternFill>
    </fill>
    <fill>
      <patternFill patternType="solid">
        <fgColor theme="0" tint="-4.9989318521683403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8"/>
        <bgColor indexed="64"/>
      </patternFill>
    </fill>
    <fill>
      <patternFill patternType="solid">
        <fgColor theme="8" tint="0.39997558519241921"/>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4659260841701"/>
        <bgColor indexed="64"/>
      </patternFill>
    </fill>
    <fill>
      <patternFill patternType="solid">
        <fgColor rgb="FFA0A0BE"/>
        <bgColor indexed="64"/>
      </patternFill>
    </fill>
    <fill>
      <patternFill patternType="solid">
        <fgColor rgb="FF008BCE"/>
        <bgColor indexed="64"/>
      </patternFill>
    </fill>
    <fill>
      <patternFill patternType="solid">
        <fgColor rgb="FF008BCB"/>
        <bgColor indexed="64"/>
      </patternFill>
    </fill>
    <fill>
      <patternFill patternType="solid">
        <fgColor theme="3" tint="0.59999389629810485"/>
        <bgColor indexed="64"/>
      </patternFill>
    </fill>
    <fill>
      <patternFill patternType="solid">
        <fgColor rgb="FFBCC5C4"/>
        <bgColor indexed="64"/>
      </patternFill>
    </fill>
    <fill>
      <patternFill patternType="solid">
        <fgColor rgb="FF002E5F"/>
        <bgColor indexed="64"/>
      </patternFill>
    </fill>
    <fill>
      <patternFill patternType="solid">
        <fgColor theme="0" tint="-0.34998626667073579"/>
        <bgColor indexed="64"/>
      </patternFill>
    </fill>
    <fill>
      <patternFill patternType="solid">
        <fgColor rgb="FFFFFFFF"/>
        <bgColor indexed="64"/>
      </patternFill>
    </fill>
    <fill>
      <patternFill patternType="solid">
        <fgColor rgb="FFDCE6F1"/>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medium">
        <color auto="1"/>
      </top>
      <bottom/>
      <diagonal/>
    </border>
    <border>
      <left style="medium">
        <color indexed="64"/>
      </left>
      <right style="medium">
        <color indexed="64"/>
      </right>
      <top style="medium">
        <color indexed="64"/>
      </top>
      <bottom style="medium">
        <color indexed="64"/>
      </bottom>
      <diagonal/>
    </border>
    <border>
      <left/>
      <right/>
      <top style="thin">
        <color theme="0" tint="-0.34998626667073579"/>
      </top>
      <bottom style="thin">
        <color theme="0" tint="-0.34998626667073579"/>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dotted">
        <color auto="1"/>
      </right>
      <top style="thin">
        <color indexed="64"/>
      </top>
      <bottom/>
      <diagonal/>
    </border>
    <border>
      <left style="dotted">
        <color auto="1"/>
      </left>
      <right style="thin">
        <color indexed="64"/>
      </right>
      <top style="thin">
        <color indexed="64"/>
      </top>
      <bottom/>
      <diagonal/>
    </border>
    <border>
      <left style="thin">
        <color indexed="64"/>
      </left>
      <right style="dotted">
        <color auto="1"/>
      </right>
      <top/>
      <bottom style="thin">
        <color indexed="64"/>
      </bottom>
      <diagonal/>
    </border>
    <border>
      <left style="dotted">
        <color auto="1"/>
      </left>
      <right style="thin">
        <color indexed="64"/>
      </right>
      <top/>
      <bottom style="thin">
        <color indexed="64"/>
      </bottom>
      <diagonal/>
    </border>
    <border>
      <left style="thin">
        <color indexed="64"/>
      </left>
      <right style="dotted">
        <color auto="1"/>
      </right>
      <top style="thin">
        <color indexed="64"/>
      </top>
      <bottom style="thin">
        <color indexed="64"/>
      </bottom>
      <diagonal/>
    </border>
    <border>
      <left style="dotted">
        <color auto="1"/>
      </left>
      <right style="thin">
        <color indexed="64"/>
      </right>
      <top style="thin">
        <color indexed="64"/>
      </top>
      <bottom style="thin">
        <color indexed="64"/>
      </bottom>
      <diagonal/>
    </border>
    <border>
      <left style="thin">
        <color indexed="64"/>
      </left>
      <right style="dotted">
        <color auto="1"/>
      </right>
      <top/>
      <bottom/>
      <diagonal/>
    </border>
    <border>
      <left style="dotted">
        <color auto="1"/>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0" tint="-0.34998626667073579"/>
      </bottom>
      <diagonal/>
    </border>
    <border>
      <left/>
      <right/>
      <top/>
      <bottom style="thin">
        <color theme="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000000"/>
      </left>
      <right style="thin">
        <color indexed="64"/>
      </right>
      <top style="thin">
        <color indexed="64"/>
      </top>
      <bottom style="thin">
        <color indexed="64"/>
      </bottom>
      <diagonal/>
    </border>
  </borders>
  <cellStyleXfs count="283">
    <xf numFmtId="0" fontId="0" fillId="0" borderId="0"/>
    <xf numFmtId="0" fontId="10" fillId="0" borderId="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20"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2" fillId="0" borderId="0" applyNumberFormat="0" applyFont="0" applyFill="0" applyBorder="0" applyProtection="0">
      <alignment horizontal="left" vertical="center" indent="5"/>
    </xf>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4" fontId="14" fillId="16" borderId="1">
      <alignment horizontal="right" vertical="center"/>
    </xf>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4" fontId="16" fillId="0" borderId="5" applyFill="0" applyBorder="0" applyProtection="0">
      <alignment horizontal="right" vertical="center"/>
    </xf>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7" fillId="30" borderId="11" applyNumberFormat="0" applyAlignment="0" applyProtection="0"/>
    <xf numFmtId="0" fontId="18" fillId="31" borderId="12" applyNumberFormat="0" applyAlignment="0" applyProtection="0"/>
    <xf numFmtId="0" fontId="18" fillId="31" borderId="12" applyNumberFormat="0" applyAlignment="0" applyProtection="0"/>
    <xf numFmtId="0" fontId="18" fillId="31" borderId="12" applyNumberFormat="0" applyAlignment="0" applyProtection="0"/>
    <xf numFmtId="0" fontId="18" fillId="31" borderId="12" applyNumberFormat="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5" fillId="0" borderId="0" applyFont="0" applyFill="0" applyBorder="0" applyAlignment="0" applyProtection="0"/>
    <xf numFmtId="0" fontId="10" fillId="32" borderId="0" applyNumberFormat="0" applyFont="0" applyBorder="0" applyAlignment="0"/>
    <xf numFmtId="167" fontId="10" fillId="0" borderId="0" applyFont="0" applyFill="0" applyBorder="0" applyAlignment="0" applyProtection="0">
      <alignment wrapText="1"/>
    </xf>
    <xf numFmtId="164" fontId="10" fillId="0" borderId="0" applyFont="0" applyFill="0" applyBorder="0" applyAlignment="0" applyProtection="0">
      <alignment wrapText="1"/>
    </xf>
    <xf numFmtId="169" fontId="10" fillId="0" borderId="0" applyFont="0" applyFill="0" applyBorder="0" applyAlignment="0" applyProtection="0"/>
    <xf numFmtId="169" fontId="10" fillId="0" borderId="0" applyFont="0" applyFill="0" applyBorder="0" applyAlignment="0" applyProtection="0"/>
    <xf numFmtId="0" fontId="19" fillId="0" borderId="0" applyNumberFormat="0" applyFill="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170" fontId="21" fillId="0" borderId="0">
      <alignment horizontal="left" vertical="center"/>
    </xf>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7" fillId="0" borderId="0" applyNumberFormat="0" applyFill="0" applyBorder="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0" fontId="28" fillId="17" borderId="11" applyNumberFormat="0" applyAlignment="0" applyProtection="0"/>
    <xf numFmtId="4" fontId="14" fillId="0" borderId="4">
      <alignment horizontal="right" vertical="center"/>
    </xf>
    <xf numFmtId="0" fontId="29" fillId="0" borderId="16" applyNumberFormat="0" applyFill="0" applyAlignment="0" applyProtection="0"/>
    <xf numFmtId="0" fontId="10" fillId="17" borderId="0" applyNumberFormat="0" applyFont="0" applyBorder="0" applyAlignment="0"/>
    <xf numFmtId="171" fontId="10" fillId="0" borderId="0" applyFont="0" applyFill="0" applyBorder="0" applyAlignment="0" applyProtection="0"/>
    <xf numFmtId="172" fontId="10" fillId="0" borderId="0" applyFont="0" applyFill="0" applyBorder="0" applyAlignment="0" applyProtection="0"/>
    <xf numFmtId="173" fontId="10" fillId="0" borderId="0" applyFont="0" applyFill="0" applyBorder="0" applyAlignment="0" applyProtection="0"/>
    <xf numFmtId="174" fontId="10" fillId="0" borderId="0" applyFont="0" applyFill="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30" fillId="32"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0" fillId="0" borderId="0"/>
    <xf numFmtId="0" fontId="10" fillId="0" borderId="0"/>
    <xf numFmtId="0" fontId="10" fillId="0" borderId="0"/>
    <xf numFmtId="0" fontId="10" fillId="0" borderId="0"/>
    <xf numFmtId="0" fontId="5" fillId="0" borderId="0"/>
    <xf numFmtId="0" fontId="5" fillId="0" borderId="0"/>
    <xf numFmtId="0" fontId="5" fillId="0" borderId="0"/>
    <xf numFmtId="0" fontId="5" fillId="0" borderId="0"/>
    <xf numFmtId="0" fontId="5" fillId="0" borderId="0"/>
    <xf numFmtId="0" fontId="5" fillId="0" borderId="0"/>
    <xf numFmtId="0" fontId="10" fillId="0" borderId="0"/>
    <xf numFmtId="0" fontId="10" fillId="0" borderId="0"/>
    <xf numFmtId="0" fontId="10" fillId="0" borderId="0"/>
    <xf numFmtId="0" fontId="31" fillId="0" borderId="0"/>
    <xf numFmtId="0" fontId="31" fillId="0" borderId="0"/>
    <xf numFmtId="0" fontId="31" fillId="0" borderId="0"/>
    <xf numFmtId="0" fontId="10" fillId="0" borderId="0"/>
    <xf numFmtId="0" fontId="31" fillId="0" borderId="0"/>
    <xf numFmtId="0" fontId="5" fillId="0" borderId="0"/>
    <xf numFmtId="0" fontId="5" fillId="0" borderId="0"/>
    <xf numFmtId="0" fontId="5" fillId="0" borderId="0"/>
    <xf numFmtId="0" fontId="5" fillId="0" borderId="0"/>
    <xf numFmtId="0" fontId="5" fillId="0" borderId="0"/>
    <xf numFmtId="0" fontId="5" fillId="0" borderId="0"/>
    <xf numFmtId="0" fontId="31" fillId="0" borderId="0"/>
    <xf numFmtId="0" fontId="31" fillId="0" borderId="0"/>
    <xf numFmtId="0" fontId="31" fillId="0" borderId="0"/>
    <xf numFmtId="0" fontId="31" fillId="0" borderId="0"/>
    <xf numFmtId="0" fontId="10" fillId="0" borderId="0"/>
    <xf numFmtId="0" fontId="12" fillId="31" borderId="0" applyNumberFormat="0" applyFont="0" applyBorder="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11" fillId="33" borderId="17" applyNumberFormat="0" applyFon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0" fontId="32" fillId="30" borderId="18" applyNumberFormat="0" applyAlignment="0" applyProtection="0"/>
    <xf numFmtId="9" fontId="10"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0" fillId="0" borderId="0" applyFont="0" applyFill="0" applyBorder="0" applyAlignment="0" applyProtection="0"/>
    <xf numFmtId="9" fontId="33" fillId="0" borderId="0" applyFont="0" applyFill="0" applyBorder="0" applyAlignment="0" applyProtection="0"/>
    <xf numFmtId="9" fontId="10"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13" fontId="10" fillId="0" borderId="0" applyFont="0" applyFill="0" applyProtection="0"/>
    <xf numFmtId="9" fontId="31" fillId="0" borderId="0" applyFont="0" applyFill="0" applyBorder="0" applyAlignment="0" applyProtection="0"/>
    <xf numFmtId="170" fontId="35" fillId="0" borderId="0" applyFill="0" applyBorder="0" applyAlignment="0" applyProtection="0"/>
    <xf numFmtId="0" fontId="10" fillId="0" borderId="0"/>
    <xf numFmtId="0" fontId="10" fillId="0" borderId="0"/>
    <xf numFmtId="0" fontId="14" fillId="31" borderId="1"/>
    <xf numFmtId="0" fontId="14" fillId="31" borderId="1"/>
    <xf numFmtId="0" fontId="14" fillId="31" borderId="1"/>
    <xf numFmtId="0" fontId="36" fillId="0" borderId="0"/>
    <xf numFmtId="0" fontId="37" fillId="0" borderId="0">
      <alignment horizontal="right"/>
    </xf>
    <xf numFmtId="0" fontId="37" fillId="0" borderId="0">
      <alignment horizontal="left"/>
    </xf>
    <xf numFmtId="0" fontId="38" fillId="0" borderId="0"/>
    <xf numFmtId="175" fontId="10" fillId="0" borderId="0" applyFont="0" applyFill="0" applyBorder="0" applyAlignment="0" applyProtection="0">
      <alignment horizontal="left"/>
    </xf>
    <xf numFmtId="175" fontId="10" fillId="0" borderId="0" applyFont="0" applyFill="0" applyBorder="0" applyAlignment="0" applyProtection="0">
      <alignment horizontal="left"/>
    </xf>
    <xf numFmtId="176" fontId="10" fillId="0" borderId="0" applyFont="0" applyFill="0" applyBorder="0" applyAlignment="0" applyProtection="0">
      <alignment horizontal="left"/>
    </xf>
    <xf numFmtId="176" fontId="10" fillId="0" borderId="0" applyFont="0" applyFill="0" applyBorder="0" applyAlignment="0" applyProtection="0">
      <alignment horizontal="left"/>
    </xf>
    <xf numFmtId="177" fontId="10" fillId="0" borderId="0" applyFont="0" applyFill="0" applyBorder="0" applyAlignment="0" applyProtection="0">
      <alignment horizontal="left"/>
    </xf>
    <xf numFmtId="177" fontId="10" fillId="0" borderId="0" applyFont="0" applyFill="0" applyBorder="0" applyAlignment="0" applyProtection="0">
      <alignment horizontal="left"/>
    </xf>
    <xf numFmtId="49" fontId="10" fillId="0" borderId="0" applyFill="0" applyBorder="0" applyProtection="0">
      <alignment horizontal="left"/>
    </xf>
    <xf numFmtId="49" fontId="10" fillId="0" borderId="0" applyFill="0" applyBorder="0" applyProtection="0">
      <alignment horizontal="left"/>
    </xf>
    <xf numFmtId="175" fontId="10" fillId="0" borderId="0" applyFont="0" applyFill="0" applyBorder="0" applyAlignment="0" applyProtection="0">
      <alignment horizontal="left"/>
    </xf>
    <xf numFmtId="175" fontId="10" fillId="0" borderId="0" applyFont="0" applyFill="0" applyBorder="0" applyAlignment="0" applyProtection="0">
      <alignment horizontal="left"/>
    </xf>
    <xf numFmtId="176" fontId="10" fillId="0" borderId="0" applyFont="0" applyFill="0" applyBorder="0" applyAlignment="0" applyProtection="0">
      <alignment horizontal="left"/>
    </xf>
    <xf numFmtId="176" fontId="10" fillId="0" borderId="0" applyFont="0" applyFill="0" applyBorder="0" applyAlignment="0" applyProtection="0">
      <alignment horizontal="left"/>
    </xf>
    <xf numFmtId="177" fontId="10" fillId="0" borderId="0" applyFont="0" applyFill="0" applyBorder="0" applyAlignment="0" applyProtection="0">
      <alignment horizontal="left"/>
    </xf>
    <xf numFmtId="177" fontId="10" fillId="0" borderId="0" applyFont="0" applyFill="0" applyBorder="0" applyAlignment="0" applyProtection="0">
      <alignment horizontal="left"/>
    </xf>
    <xf numFmtId="49" fontId="10" fillId="0" borderId="0" applyFill="0" applyBorder="0" applyProtection="0">
      <alignment horizontal="left"/>
    </xf>
    <xf numFmtId="49" fontId="10" fillId="0" borderId="0" applyFill="0" applyBorder="0" applyProtection="0">
      <alignment horizontal="left"/>
    </xf>
    <xf numFmtId="0" fontId="39" fillId="0" borderId="0" applyNumberFormat="0" applyFill="0" applyBorder="0" applyAlignment="0" applyProtection="0"/>
    <xf numFmtId="0" fontId="40" fillId="0" borderId="0">
      <alignment horizontal="left" vertical="top"/>
    </xf>
    <xf numFmtId="0" fontId="41" fillId="0" borderId="0">
      <alignment horizontal="left"/>
    </xf>
    <xf numFmtId="178" fontId="42" fillId="34" borderId="0" applyNumberFormat="0" applyBorder="0">
      <protection locked="0"/>
    </xf>
    <xf numFmtId="0" fontId="43" fillId="0" borderId="19" applyNumberFormat="0" applyFill="0" applyAlignment="0" applyProtection="0"/>
    <xf numFmtId="0" fontId="43" fillId="0" borderId="19" applyNumberFormat="0" applyFill="0" applyAlignment="0" applyProtection="0"/>
    <xf numFmtId="178" fontId="44" fillId="35" borderId="0" applyNumberFormat="0" applyBorder="0">
      <protection locked="0"/>
    </xf>
    <xf numFmtId="167" fontId="10" fillId="0" borderId="0" applyFont="0" applyFill="0" applyBorder="0" applyAlignment="0" applyProtection="0"/>
    <xf numFmtId="164" fontId="10" fillId="0" borderId="0" applyFont="0" applyFill="0" applyBorder="0" applyAlignment="0" applyProtection="0"/>
    <xf numFmtId="166" fontId="10" fillId="0" borderId="0" applyFont="0" applyFill="0" applyBorder="0" applyAlignment="0" applyProtection="0"/>
    <xf numFmtId="168" fontId="10" fillId="0" borderId="0" applyFont="0" applyFill="0" applyBorder="0" applyAlignment="0" applyProtection="0"/>
    <xf numFmtId="179" fontId="35" fillId="0" borderId="0" applyFont="0" applyFill="0" applyBorder="0" applyAlignment="0" applyProtection="0"/>
    <xf numFmtId="180" fontId="35" fillId="0" borderId="0" applyFont="0" applyFill="0" applyBorder="0" applyAlignment="0" applyProtection="0"/>
    <xf numFmtId="0" fontId="45" fillId="0" borderId="0" applyNumberFormat="0" applyFill="0" applyBorder="0" applyAlignment="0" applyProtection="0"/>
    <xf numFmtId="0" fontId="46" fillId="32" borderId="0">
      <alignment horizontal="left" vertical="center" indent="1"/>
    </xf>
    <xf numFmtId="4" fontId="14" fillId="0" borderId="0"/>
    <xf numFmtId="0" fontId="47" fillId="36" borderId="0" applyNumberFormat="0" applyBorder="0" applyAlignment="0" applyProtection="0"/>
    <xf numFmtId="0" fontId="48" fillId="37" borderId="0" applyNumberFormat="0" applyBorder="0" applyAlignment="0" applyProtection="0"/>
    <xf numFmtId="0" fontId="49" fillId="38" borderId="20" applyNumberFormat="0" applyAlignment="0" applyProtection="0"/>
    <xf numFmtId="0" fontId="10" fillId="0" borderId="0"/>
    <xf numFmtId="0" fontId="5" fillId="0" borderId="0"/>
    <xf numFmtId="164" fontId="5" fillId="0" borderId="0" applyFont="0" applyFill="0" applyBorder="0" applyAlignment="0" applyProtection="0"/>
    <xf numFmtId="0" fontId="27" fillId="0" borderId="0" applyNumberFormat="0" applyFill="0" applyBorder="0" applyAlignment="0" applyProtection="0"/>
  </cellStyleXfs>
  <cellXfs count="566">
    <xf numFmtId="0" fontId="0" fillId="0" borderId="0" xfId="0"/>
    <xf numFmtId="0" fontId="2" fillId="0" borderId="0" xfId="0" applyFont="1"/>
    <xf numFmtId="0" fontId="0" fillId="0" borderId="0" xfId="0" quotePrefix="1"/>
    <xf numFmtId="1" fontId="0" fillId="0" borderId="0" xfId="0" applyNumberFormat="1"/>
    <xf numFmtId="0" fontId="0" fillId="0" borderId="0" xfId="0" applyAlignment="1">
      <alignment vertical="center" wrapText="1"/>
    </xf>
    <xf numFmtId="0" fontId="49" fillId="38" borderId="20" xfId="278"/>
    <xf numFmtId="0" fontId="50" fillId="0" borderId="0" xfId="0" applyFont="1"/>
    <xf numFmtId="0" fontId="2" fillId="0" borderId="0" xfId="0" applyFont="1" applyAlignment="1">
      <alignment vertical="center" wrapText="1"/>
    </xf>
    <xf numFmtId="0" fontId="51" fillId="0" borderId="0" xfId="0" applyFont="1" applyAlignment="1">
      <alignment vertical="center" wrapText="1"/>
    </xf>
    <xf numFmtId="0" fontId="2" fillId="0" borderId="0" xfId="0" applyFont="1" applyAlignment="1">
      <alignment horizontal="center" vertical="center"/>
    </xf>
    <xf numFmtId="0" fontId="2" fillId="0" borderId="0" xfId="0" applyFont="1" applyAlignment="1">
      <alignment horizontal="center" vertical="center" wrapText="1"/>
    </xf>
    <xf numFmtId="1" fontId="2" fillId="0" borderId="0" xfId="0" applyNumberFormat="1" applyFont="1" applyAlignment="1">
      <alignment horizontal="center" vertical="center" wrapText="1"/>
    </xf>
    <xf numFmtId="1" fontId="2" fillId="0" borderId="0" xfId="0" applyNumberFormat="1" applyFont="1" applyAlignment="1">
      <alignment horizontal="center" vertical="center"/>
    </xf>
    <xf numFmtId="0" fontId="0" fillId="0" borderId="0" xfId="0" applyAlignment="1">
      <alignment horizontal="right"/>
    </xf>
    <xf numFmtId="0" fontId="0" fillId="0" borderId="0" xfId="0" applyAlignment="1">
      <alignment vertical="center"/>
    </xf>
    <xf numFmtId="0" fontId="0" fillId="0" borderId="0" xfId="0" applyAlignment="1">
      <alignment horizontal="center"/>
    </xf>
    <xf numFmtId="0" fontId="3" fillId="0" borderId="0" xfId="0" applyFont="1" applyAlignment="1">
      <alignment horizontal="center" vertical="center"/>
    </xf>
    <xf numFmtId="0" fontId="4" fillId="0" borderId="0" xfId="0" applyFont="1" applyAlignment="1">
      <alignment vertical="center"/>
    </xf>
    <xf numFmtId="0" fontId="54" fillId="0" borderId="0" xfId="0" applyFont="1" applyAlignment="1">
      <alignment vertical="center"/>
    </xf>
    <xf numFmtId="0" fontId="54" fillId="0" borderId="0" xfId="0" applyFont="1" applyAlignment="1">
      <alignment vertical="center" wrapText="1"/>
    </xf>
    <xf numFmtId="0" fontId="59" fillId="0" borderId="0" xfId="0" applyFont="1" applyAlignment="1">
      <alignment vertical="center"/>
    </xf>
    <xf numFmtId="0" fontId="64" fillId="0" borderId="0" xfId="0" applyFont="1" applyAlignment="1">
      <alignment vertical="center" wrapText="1"/>
    </xf>
    <xf numFmtId="0" fontId="61" fillId="0" borderId="0" xfId="0" applyFont="1" applyAlignment="1">
      <alignment horizontal="right" vertical="center"/>
    </xf>
    <xf numFmtId="0" fontId="62" fillId="0" borderId="0" xfId="0" applyFont="1" applyAlignment="1">
      <alignment horizontal="right" vertical="center"/>
    </xf>
    <xf numFmtId="0" fontId="61" fillId="2" borderId="0" xfId="0" applyFont="1" applyFill="1" applyAlignment="1">
      <alignment horizontal="right" vertical="center"/>
    </xf>
    <xf numFmtId="0" fontId="65" fillId="0" borderId="21" xfId="0" applyFont="1" applyBorder="1" applyAlignment="1">
      <alignment vertical="center"/>
    </xf>
    <xf numFmtId="0" fontId="46" fillId="32" borderId="0" xfId="274">
      <alignment horizontal="left" vertical="center" indent="1"/>
    </xf>
    <xf numFmtId="0" fontId="65" fillId="0" borderId="2" xfId="0" applyFont="1" applyBorder="1" applyAlignment="1">
      <alignment horizontal="center" vertical="center" wrapText="1"/>
    </xf>
    <xf numFmtId="0" fontId="63" fillId="0" borderId="0" xfId="0" applyFont="1" applyAlignment="1">
      <alignment horizontal="right" vertical="center" wrapText="1"/>
    </xf>
    <xf numFmtId="0" fontId="66" fillId="0" borderId="0" xfId="0" applyFont="1" applyAlignment="1">
      <alignment horizontal="right" vertical="center" wrapText="1"/>
    </xf>
    <xf numFmtId="0" fontId="63" fillId="2" borderId="0" xfId="0" applyFont="1" applyFill="1" applyAlignment="1">
      <alignment horizontal="right" vertical="center" wrapText="1"/>
    </xf>
    <xf numFmtId="0" fontId="63" fillId="0" borderId="0" xfId="0" applyFont="1" applyAlignment="1">
      <alignment wrapText="1"/>
    </xf>
    <xf numFmtId="0" fontId="2" fillId="0" borderId="0" xfId="0" applyFont="1" applyAlignment="1">
      <alignment horizontal="center" wrapText="1"/>
    </xf>
    <xf numFmtId="0" fontId="55" fillId="0" borderId="1" xfId="0" applyFont="1" applyBorder="1" applyAlignment="1">
      <alignment horizontal="center" vertical="center"/>
    </xf>
    <xf numFmtId="0" fontId="0" fillId="2" borderId="0" xfId="0" applyFill="1"/>
    <xf numFmtId="0" fontId="0" fillId="2" borderId="0" xfId="0" applyFill="1" applyAlignment="1">
      <alignment vertical="center" wrapText="1"/>
    </xf>
    <xf numFmtId="0" fontId="4" fillId="0" borderId="25" xfId="0" applyFont="1" applyBorder="1" applyAlignment="1">
      <alignment vertical="center"/>
    </xf>
    <xf numFmtId="0" fontId="4" fillId="0" borderId="25" xfId="0" applyFont="1" applyBorder="1" applyAlignment="1">
      <alignment horizontal="center" vertical="center"/>
    </xf>
    <xf numFmtId="0" fontId="4" fillId="0" borderId="25" xfId="0" applyFont="1" applyBorder="1" applyAlignment="1">
      <alignment horizontal="left" vertical="center"/>
    </xf>
    <xf numFmtId="0" fontId="0" fillId="0" borderId="0" xfId="0" applyAlignment="1">
      <alignment horizontal="left" vertical="top" wrapText="1"/>
    </xf>
    <xf numFmtId="0" fontId="4" fillId="0" borderId="0" xfId="0" applyFont="1" applyAlignment="1">
      <alignment horizontal="left" vertical="top" wrapText="1"/>
    </xf>
    <xf numFmtId="0" fontId="4" fillId="2" borderId="0" xfId="0" applyFont="1" applyFill="1" applyAlignment="1">
      <alignment horizontal="left" vertical="top" wrapText="1"/>
    </xf>
    <xf numFmtId="0" fontId="0" fillId="2" borderId="0" xfId="0" applyFill="1" applyAlignment="1">
      <alignment horizontal="center" vertical="center" wrapText="1"/>
    </xf>
    <xf numFmtId="0" fontId="7" fillId="2" borderId="0" xfId="0" applyFont="1" applyFill="1" applyAlignment="1">
      <alignment horizontal="center" vertical="center" wrapText="1"/>
    </xf>
    <xf numFmtId="0" fontId="7" fillId="2" borderId="0" xfId="0" applyFont="1" applyFill="1"/>
    <xf numFmtId="0" fontId="67" fillId="0" borderId="0" xfId="0" applyFont="1" applyAlignment="1">
      <alignment horizontal="left" vertical="center" wrapText="1"/>
    </xf>
    <xf numFmtId="0" fontId="0" fillId="3" borderId="0" xfId="0" applyFill="1"/>
    <xf numFmtId="0" fontId="0" fillId="2" borderId="0" xfId="0" applyFill="1" applyAlignment="1">
      <alignment wrapText="1"/>
    </xf>
    <xf numFmtId="0" fontId="0" fillId="0" borderId="0" xfId="0" applyAlignment="1">
      <alignment horizontal="left" vertical="center" wrapText="1"/>
    </xf>
    <xf numFmtId="0" fontId="72" fillId="0" borderId="0" xfId="0" applyFont="1" applyAlignment="1">
      <alignment horizontal="center" vertical="center"/>
    </xf>
    <xf numFmtId="0" fontId="50" fillId="0" borderId="0" xfId="0" applyFont="1" applyAlignment="1">
      <alignment vertical="center"/>
    </xf>
    <xf numFmtId="1" fontId="50" fillId="0" borderId="0" xfId="0" applyNumberFormat="1" applyFont="1"/>
    <xf numFmtId="0" fontId="71" fillId="0" borderId="0" xfId="0" applyFont="1" applyAlignment="1">
      <alignment vertical="center"/>
    </xf>
    <xf numFmtId="0" fontId="71" fillId="0" borderId="22" xfId="0" applyFont="1" applyBorder="1" applyAlignment="1">
      <alignment vertical="center"/>
    </xf>
    <xf numFmtId="0" fontId="71" fillId="0" borderId="3" xfId="0" applyFont="1" applyBorder="1" applyAlignment="1">
      <alignment vertical="center"/>
    </xf>
    <xf numFmtId="0" fontId="50" fillId="0" borderId="0" xfId="0" applyFont="1" applyAlignment="1">
      <alignment vertical="center" wrapText="1"/>
    </xf>
    <xf numFmtId="0" fontId="50" fillId="0" borderId="0" xfId="0" applyFont="1" applyAlignment="1">
      <alignment wrapText="1"/>
    </xf>
    <xf numFmtId="0" fontId="50" fillId="0" borderId="0" xfId="0" applyFont="1" applyAlignment="1">
      <alignment horizontal="right" wrapText="1"/>
    </xf>
    <xf numFmtId="1" fontId="50" fillId="0" borderId="0" xfId="0" applyNumberFormat="1" applyFont="1" applyAlignment="1">
      <alignment wrapText="1"/>
    </xf>
    <xf numFmtId="0" fontId="0" fillId="0" borderId="0" xfId="0" applyAlignment="1">
      <alignment wrapText="1"/>
    </xf>
    <xf numFmtId="0" fontId="0" fillId="0" borderId="0" xfId="0" applyAlignment="1">
      <alignment horizontal="center" vertical="center" wrapText="1"/>
    </xf>
    <xf numFmtId="0" fontId="74" fillId="0" borderId="0" xfId="0" applyFont="1" applyAlignment="1">
      <alignment vertical="center"/>
    </xf>
    <xf numFmtId="10" fontId="57" fillId="36" borderId="25" xfId="276" applyNumberFormat="1" applyFont="1" applyBorder="1" applyAlignment="1" applyProtection="1">
      <alignment horizontal="right" vertical="center" wrapText="1"/>
      <protection locked="0"/>
    </xf>
    <xf numFmtId="0" fontId="8" fillId="0" borderId="25" xfId="0" applyFont="1" applyBorder="1" applyAlignment="1">
      <alignment horizontal="center" vertical="center"/>
    </xf>
    <xf numFmtId="2" fontId="0" fillId="0" borderId="25" xfId="0" applyNumberFormat="1" applyBorder="1" applyAlignment="1">
      <alignment vertical="center"/>
    </xf>
    <xf numFmtId="0" fontId="76" fillId="0" borderId="0" xfId="0" applyFont="1"/>
    <xf numFmtId="10" fontId="54" fillId="0" borderId="25" xfId="0" applyNumberFormat="1" applyFont="1" applyBorder="1" applyAlignment="1">
      <alignment horizontal="right" vertical="center" wrapText="1"/>
    </xf>
    <xf numFmtId="1" fontId="0" fillId="0" borderId="0" xfId="0" applyNumberFormat="1" applyAlignment="1">
      <alignment vertical="center"/>
    </xf>
    <xf numFmtId="1" fontId="8" fillId="0" borderId="0" xfId="0" applyNumberFormat="1" applyFont="1" applyAlignment="1">
      <alignment vertical="top"/>
    </xf>
    <xf numFmtId="1" fontId="54" fillId="0" borderId="0" xfId="0" applyNumberFormat="1" applyFont="1" applyAlignment="1">
      <alignment vertical="center"/>
    </xf>
    <xf numFmtId="1" fontId="76" fillId="0" borderId="0" xfId="0" applyNumberFormat="1" applyFont="1"/>
    <xf numFmtId="0" fontId="8" fillId="0" borderId="0" xfId="0" applyFont="1" applyAlignment="1">
      <alignment horizontal="right"/>
    </xf>
    <xf numFmtId="1" fontId="54" fillId="0" borderId="6" xfId="0" applyNumberFormat="1" applyFont="1" applyBorder="1" applyAlignment="1">
      <alignment vertical="center"/>
    </xf>
    <xf numFmtId="0" fontId="7" fillId="0" borderId="0" xfId="0" applyFont="1" applyAlignment="1">
      <alignment vertical="center"/>
    </xf>
    <xf numFmtId="0" fontId="61" fillId="0" borderId="0" xfId="0" applyFont="1" applyAlignment="1">
      <alignment horizontal="right"/>
    </xf>
    <xf numFmtId="0" fontId="77" fillId="0" borderId="0" xfId="0" applyFont="1" applyAlignment="1">
      <alignment horizontal="right" vertical="center" wrapText="1"/>
    </xf>
    <xf numFmtId="0" fontId="77" fillId="0" borderId="0" xfId="0" applyFont="1" applyAlignment="1">
      <alignment horizontal="right" wrapText="1"/>
    </xf>
    <xf numFmtId="0" fontId="63" fillId="0" borderId="0" xfId="0" applyFont="1" applyAlignment="1">
      <alignment horizontal="right" wrapText="1"/>
    </xf>
    <xf numFmtId="0" fontId="0" fillId="0" borderId="6" xfId="0" applyBorder="1"/>
    <xf numFmtId="0" fontId="77" fillId="0" borderId="0" xfId="0" applyFont="1" applyAlignment="1">
      <alignment vertical="center"/>
    </xf>
    <xf numFmtId="0" fontId="78" fillId="0" borderId="0" xfId="0" applyFont="1" applyAlignment="1">
      <alignment vertical="center"/>
    </xf>
    <xf numFmtId="182" fontId="77" fillId="0" borderId="0" xfId="0" applyNumberFormat="1" applyFont="1" applyAlignment="1">
      <alignment vertical="center"/>
    </xf>
    <xf numFmtId="0" fontId="4" fillId="0" borderId="25" xfId="0" applyFont="1" applyBorder="1" applyAlignment="1">
      <alignment horizontal="left" vertical="center" wrapText="1"/>
    </xf>
    <xf numFmtId="0" fontId="0" fillId="0" borderId="25" xfId="0" applyBorder="1" applyAlignment="1">
      <alignment horizontal="left"/>
    </xf>
    <xf numFmtId="0" fontId="4" fillId="0" borderId="5" xfId="0" applyFont="1" applyBorder="1" applyAlignment="1">
      <alignment horizontal="left" vertical="center" wrapText="1"/>
    </xf>
    <xf numFmtId="0" fontId="0" fillId="2" borderId="0" xfId="0" applyFill="1" applyAlignment="1">
      <alignment vertical="center"/>
    </xf>
    <xf numFmtId="2" fontId="4" fillId="0" borderId="25" xfId="0" applyNumberFormat="1" applyFont="1" applyBorder="1" applyAlignment="1">
      <alignment horizontal="right" vertical="center"/>
    </xf>
    <xf numFmtId="0" fontId="4" fillId="39" borderId="5" xfId="0" applyFont="1" applyFill="1" applyBorder="1" applyAlignment="1">
      <alignment horizontal="left" vertical="center" wrapText="1"/>
    </xf>
    <xf numFmtId="0" fontId="4" fillId="39" borderId="27" xfId="0" applyFont="1" applyFill="1" applyBorder="1" applyAlignment="1">
      <alignment vertical="center" wrapText="1"/>
    </xf>
    <xf numFmtId="0" fontId="4" fillId="39" borderId="25" xfId="0" applyFont="1" applyFill="1" applyBorder="1" applyAlignment="1">
      <alignment horizontal="left" vertical="center" wrapText="1"/>
    </xf>
    <xf numFmtId="0" fontId="4" fillId="39" borderId="25" xfId="0" applyFont="1" applyFill="1" applyBorder="1" applyAlignment="1">
      <alignment vertical="center" wrapText="1"/>
    </xf>
    <xf numFmtId="0" fontId="4" fillId="39" borderId="6" xfId="0" applyFont="1" applyFill="1" applyBorder="1" applyAlignment="1">
      <alignment vertical="center" wrapText="1"/>
    </xf>
    <xf numFmtId="0" fontId="4" fillId="7" borderId="25" xfId="0" applyFont="1" applyFill="1" applyBorder="1" applyAlignment="1">
      <alignment horizontal="left" vertical="center" wrapText="1"/>
    </xf>
    <xf numFmtId="176" fontId="4" fillId="0" borderId="25" xfId="0" applyNumberFormat="1" applyFont="1" applyBorder="1" applyAlignment="1">
      <alignment horizontal="center" vertical="center" wrapText="1"/>
    </xf>
    <xf numFmtId="0" fontId="4" fillId="0" borderId="25" xfId="0" applyFont="1" applyBorder="1" applyAlignment="1">
      <alignment horizontal="center" vertical="center" wrapText="1"/>
    </xf>
    <xf numFmtId="0" fontId="4" fillId="0" borderId="25" xfId="0" applyFont="1" applyBorder="1" applyAlignment="1">
      <alignment vertical="center" wrapText="1"/>
    </xf>
    <xf numFmtId="0" fontId="4" fillId="7" borderId="6" xfId="0" applyFont="1" applyFill="1" applyBorder="1" applyAlignment="1">
      <alignment horizontal="left" vertical="center" wrapText="1"/>
    </xf>
    <xf numFmtId="0" fontId="0" fillId="0" borderId="7" xfId="0" applyBorder="1" applyAlignment="1">
      <alignment vertical="center"/>
    </xf>
    <xf numFmtId="0" fontId="0" fillId="0" borderId="25" xfId="0" applyBorder="1" applyAlignment="1">
      <alignment horizontal="left" vertical="center" wrapText="1"/>
    </xf>
    <xf numFmtId="0" fontId="4" fillId="0" borderId="7" xfId="0" applyFont="1" applyBorder="1" applyAlignment="1">
      <alignment vertical="center" wrapText="1"/>
    </xf>
    <xf numFmtId="0" fontId="4" fillId="0" borderId="5" xfId="0" applyFont="1" applyBorder="1" applyAlignment="1">
      <alignment horizontal="center" vertical="center" wrapText="1"/>
    </xf>
    <xf numFmtId="0" fontId="4" fillId="8" borderId="25" xfId="0" applyFont="1" applyFill="1" applyBorder="1" applyAlignment="1">
      <alignment horizontal="left" vertical="center" wrapText="1"/>
    </xf>
    <xf numFmtId="0" fontId="0" fillId="0" borderId="25" xfId="0" applyBorder="1" applyAlignment="1">
      <alignment horizontal="left" vertical="center"/>
    </xf>
    <xf numFmtId="0" fontId="4" fillId="2" borderId="0" xfId="0" applyFont="1" applyFill="1"/>
    <xf numFmtId="0" fontId="4" fillId="0" borderId="0" xfId="0" applyFont="1"/>
    <xf numFmtId="0" fontId="4" fillId="8" borderId="7" xfId="0" applyFont="1" applyFill="1" applyBorder="1" applyAlignment="1">
      <alignment horizontal="left" vertical="center" wrapText="1"/>
    </xf>
    <xf numFmtId="0" fontId="4" fillId="2" borderId="25" xfId="0" applyFont="1" applyFill="1" applyBorder="1" applyAlignment="1">
      <alignment horizontal="left" vertical="center"/>
    </xf>
    <xf numFmtId="0" fontId="0" fillId="8" borderId="25" xfId="0" applyFill="1" applyBorder="1" applyAlignment="1">
      <alignment vertical="center" wrapText="1"/>
    </xf>
    <xf numFmtId="0" fontId="0" fillId="8" borderId="25" xfId="0" applyFill="1" applyBorder="1" applyAlignment="1">
      <alignment horizontal="center" vertical="center" wrapText="1"/>
    </xf>
    <xf numFmtId="0" fontId="0" fillId="0" borderId="25" xfId="0" applyBorder="1" applyAlignment="1">
      <alignment horizontal="center" vertical="center" wrapText="1"/>
    </xf>
    <xf numFmtId="0" fontId="4" fillId="5" borderId="25" xfId="0" applyFont="1" applyFill="1" applyBorder="1" applyAlignment="1">
      <alignment horizontal="left" vertical="center" wrapText="1"/>
    </xf>
    <xf numFmtId="0" fontId="4" fillId="2" borderId="25" xfId="0" applyFont="1" applyFill="1" applyBorder="1" applyAlignment="1">
      <alignment vertical="center"/>
    </xf>
    <xf numFmtId="0" fontId="4" fillId="5" borderId="5" xfId="0" applyFont="1" applyFill="1" applyBorder="1" applyAlignment="1">
      <alignment horizontal="left" vertical="center" wrapText="1"/>
    </xf>
    <xf numFmtId="0" fontId="4" fillId="2" borderId="5" xfId="0" applyFont="1" applyFill="1" applyBorder="1" applyAlignment="1">
      <alignment vertical="center"/>
    </xf>
    <xf numFmtId="0" fontId="0" fillId="0" borderId="25" xfId="0" applyBorder="1" applyAlignment="1">
      <alignment vertical="center"/>
    </xf>
    <xf numFmtId="0" fontId="4" fillId="0" borderId="5" xfId="0" applyFont="1" applyBorder="1" applyAlignment="1">
      <alignment vertical="center"/>
    </xf>
    <xf numFmtId="0" fontId="0" fillId="6" borderId="25" xfId="0" applyFill="1" applyBorder="1" applyAlignment="1">
      <alignment horizontal="left" vertical="center" wrapText="1"/>
    </xf>
    <xf numFmtId="183" fontId="0" fillId="0" borderId="25" xfId="0" applyNumberFormat="1" applyBorder="1" applyAlignment="1">
      <alignment horizontal="center" vertical="center" wrapText="1"/>
    </xf>
    <xf numFmtId="0" fontId="4" fillId="6" borderId="25" xfId="0" applyFont="1" applyFill="1" applyBorder="1" applyAlignment="1">
      <alignment horizontal="center" vertical="center" wrapText="1"/>
    </xf>
    <xf numFmtId="0" fontId="0" fillId="0" borderId="25" xfId="0" applyBorder="1" applyAlignment="1">
      <alignment vertical="center" wrapText="1"/>
    </xf>
    <xf numFmtId="0" fontId="0" fillId="0" borderId="25" xfId="0" applyBorder="1" applyAlignment="1">
      <alignment horizontal="center" vertical="center"/>
    </xf>
    <xf numFmtId="0" fontId="4" fillId="9" borderId="25" xfId="0" applyFont="1" applyFill="1" applyBorder="1" applyAlignment="1">
      <alignment horizontal="left" vertical="center" wrapText="1"/>
    </xf>
    <xf numFmtId="0" fontId="0" fillId="2" borderId="25" xfId="0" applyFill="1" applyBorder="1" applyAlignment="1">
      <alignment horizontal="left" vertical="center"/>
    </xf>
    <xf numFmtId="0" fontId="0" fillId="9" borderId="25" xfId="0" applyFill="1" applyBorder="1" applyAlignment="1">
      <alignment horizontal="center" vertical="center" wrapText="1"/>
    </xf>
    <xf numFmtId="183" fontId="4" fillId="0" borderId="25" xfId="0" applyNumberFormat="1" applyFont="1" applyBorder="1" applyAlignment="1">
      <alignment horizontal="center" vertical="center" wrapText="1"/>
    </xf>
    <xf numFmtId="0" fontId="0" fillId="9" borderId="25" xfId="0" applyFill="1" applyBorder="1" applyAlignment="1">
      <alignment horizontal="left" vertical="center" wrapText="1"/>
    </xf>
    <xf numFmtId="0" fontId="0" fillId="10" borderId="25" xfId="0" applyFill="1" applyBorder="1" applyAlignment="1">
      <alignment horizontal="left" vertical="center"/>
    </xf>
    <xf numFmtId="0" fontId="4" fillId="10" borderId="25" xfId="0" applyFont="1" applyFill="1" applyBorder="1" applyAlignment="1">
      <alignment horizontal="center" vertical="center" wrapText="1"/>
    </xf>
    <xf numFmtId="0" fontId="0" fillId="10" borderId="25" xfId="0" applyFill="1" applyBorder="1" applyAlignment="1">
      <alignment horizontal="left" vertical="center" wrapText="1"/>
    </xf>
    <xf numFmtId="0" fontId="4" fillId="10" borderId="25" xfId="0" applyFont="1" applyFill="1" applyBorder="1" applyAlignment="1">
      <alignment horizontal="left" vertical="center" wrapText="1"/>
    </xf>
    <xf numFmtId="0" fontId="4" fillId="10" borderId="7" xfId="0" applyFont="1" applyFill="1" applyBorder="1" applyAlignment="1">
      <alignment horizontal="left" vertical="center" wrapText="1"/>
    </xf>
    <xf numFmtId="0" fontId="0" fillId="3" borderId="25" xfId="0" applyFill="1" applyBorder="1" applyAlignment="1">
      <alignment horizontal="left" vertical="center"/>
    </xf>
    <xf numFmtId="0" fontId="0" fillId="3" borderId="25" xfId="0" applyFill="1" applyBorder="1" applyAlignment="1">
      <alignment horizontal="center" vertical="center"/>
    </xf>
    <xf numFmtId="0" fontId="4" fillId="3" borderId="25" xfId="0" applyFont="1" applyFill="1" applyBorder="1" applyAlignment="1">
      <alignment horizontal="center" vertical="center" wrapText="1"/>
    </xf>
    <xf numFmtId="0" fontId="4" fillId="3" borderId="25" xfId="0" applyFont="1" applyFill="1" applyBorder="1" applyAlignment="1">
      <alignment horizontal="left" vertical="center" wrapText="1"/>
    </xf>
    <xf numFmtId="0" fontId="4" fillId="3" borderId="7" xfId="0" applyFont="1" applyFill="1" applyBorder="1" applyAlignment="1">
      <alignment horizontal="left" vertical="center" wrapText="1"/>
    </xf>
    <xf numFmtId="0" fontId="4" fillId="11" borderId="25" xfId="0" applyFont="1" applyFill="1" applyBorder="1" applyAlignment="1">
      <alignment horizontal="left" vertical="center"/>
    </xf>
    <xf numFmtId="0" fontId="4" fillId="11" borderId="25" xfId="0" applyFont="1" applyFill="1" applyBorder="1" applyAlignment="1">
      <alignment horizontal="center" vertical="center" wrapText="1"/>
    </xf>
    <xf numFmtId="0" fontId="4" fillId="11" borderId="7" xfId="0" applyFont="1" applyFill="1" applyBorder="1" applyAlignment="1">
      <alignment horizontal="left" vertical="center"/>
    </xf>
    <xf numFmtId="0" fontId="0" fillId="6" borderId="25" xfId="0" applyFill="1" applyBorder="1" applyAlignment="1">
      <alignment horizontal="left" vertical="center"/>
    </xf>
    <xf numFmtId="0" fontId="4" fillId="6" borderId="25" xfId="0" applyFont="1" applyFill="1" applyBorder="1" applyAlignment="1">
      <alignment horizontal="left" vertical="center" wrapText="1"/>
    </xf>
    <xf numFmtId="0" fontId="33" fillId="0" borderId="0" xfId="0" applyFont="1" applyAlignment="1">
      <alignment vertical="center" wrapText="1"/>
    </xf>
    <xf numFmtId="0" fontId="87" fillId="2" borderId="0" xfId="0" applyFont="1" applyFill="1" applyAlignment="1">
      <alignment vertical="center"/>
    </xf>
    <xf numFmtId="0" fontId="10" fillId="2" borderId="0" xfId="0" applyFont="1" applyFill="1" applyAlignment="1">
      <alignment horizontal="center" vertical="center" wrapText="1"/>
    </xf>
    <xf numFmtId="0" fontId="88" fillId="2" borderId="0" xfId="0" applyFont="1" applyFill="1" applyAlignment="1">
      <alignment horizontal="center" vertical="center" wrapText="1"/>
    </xf>
    <xf numFmtId="0" fontId="31" fillId="2" borderId="0" xfId="0" applyFont="1" applyFill="1" applyAlignment="1">
      <alignment vertical="center"/>
    </xf>
    <xf numFmtId="0" fontId="0" fillId="0" borderId="0" xfId="0" applyAlignment="1">
      <alignment horizontal="right" vertical="center"/>
    </xf>
    <xf numFmtId="0" fontId="6" fillId="0" borderId="0" xfId="0" applyFont="1" applyAlignment="1">
      <alignment vertical="center"/>
    </xf>
    <xf numFmtId="184" fontId="0" fillId="0" borderId="0" xfId="0" applyNumberFormat="1" applyAlignment="1">
      <alignment vertical="center"/>
    </xf>
    <xf numFmtId="0" fontId="87" fillId="0" borderId="0" xfId="0" applyFont="1" applyAlignment="1">
      <alignment vertical="center"/>
    </xf>
    <xf numFmtId="0" fontId="84" fillId="2" borderId="0" xfId="0" quotePrefix="1" applyFont="1" applyFill="1" applyAlignment="1">
      <alignment vertical="center"/>
    </xf>
    <xf numFmtId="0" fontId="77" fillId="0" borderId="0" xfId="0" applyFont="1"/>
    <xf numFmtId="0" fontId="90" fillId="0" borderId="0" xfId="0" applyFont="1"/>
    <xf numFmtId="0" fontId="91" fillId="0" borderId="0" xfId="0" applyFont="1" applyAlignment="1">
      <alignment horizontal="center" vertical="center"/>
    </xf>
    <xf numFmtId="0" fontId="92" fillId="0" borderId="0" xfId="0" applyFont="1" applyAlignment="1">
      <alignment vertical="center"/>
    </xf>
    <xf numFmtId="0" fontId="92" fillId="0" borderId="6" xfId="0" applyFont="1" applyBorder="1" applyAlignment="1">
      <alignment horizontal="right" vertical="center"/>
    </xf>
    <xf numFmtId="0" fontId="92" fillId="0" borderId="6" xfId="0" applyFont="1" applyBorder="1" applyAlignment="1">
      <alignment vertical="center"/>
    </xf>
    <xf numFmtId="0" fontId="4" fillId="47" borderId="5" xfId="0" applyFont="1" applyFill="1" applyBorder="1" applyAlignment="1">
      <alignment horizontal="center" vertical="center" wrapText="1"/>
    </xf>
    <xf numFmtId="2" fontId="4" fillId="47" borderId="5" xfId="0" applyNumberFormat="1" applyFont="1" applyFill="1" applyBorder="1" applyAlignment="1">
      <alignment horizontal="center" vertical="center" wrapText="1"/>
    </xf>
    <xf numFmtId="0" fontId="4" fillId="47" borderId="25" xfId="0" applyFont="1" applyFill="1" applyBorder="1" applyAlignment="1">
      <alignment horizontal="center" vertical="center" wrapText="1"/>
    </xf>
    <xf numFmtId="0" fontId="56" fillId="49" borderId="5" xfId="0" applyFont="1" applyFill="1" applyBorder="1" applyAlignment="1">
      <alignment horizontal="center" vertical="center" wrapText="1"/>
    </xf>
    <xf numFmtId="0" fontId="56" fillId="49" borderId="1" xfId="0" applyFont="1" applyFill="1" applyBorder="1" applyAlignment="1">
      <alignment horizontal="center" vertical="center" wrapText="1"/>
    </xf>
    <xf numFmtId="2" fontId="5" fillId="48" borderId="25" xfId="276" applyNumberFormat="1" applyFont="1" applyFill="1" applyBorder="1" applyAlignment="1" applyProtection="1">
      <alignment vertical="center"/>
      <protection locked="0"/>
    </xf>
    <xf numFmtId="0" fontId="56" fillId="50" borderId="1" xfId="0" applyFont="1" applyFill="1" applyBorder="1" applyAlignment="1">
      <alignment horizontal="center" vertical="center" wrapText="1"/>
    </xf>
    <xf numFmtId="0" fontId="90" fillId="0" borderId="0" xfId="0" applyFont="1" applyAlignment="1">
      <alignment wrapText="1"/>
    </xf>
    <xf numFmtId="0" fontId="6" fillId="0" borderId="0" xfId="0" applyFont="1"/>
    <xf numFmtId="2" fontId="0" fillId="0" borderId="0" xfId="0" applyNumberFormat="1"/>
    <xf numFmtId="2" fontId="0" fillId="4" borderId="0" xfId="0" applyNumberFormat="1" applyFill="1"/>
    <xf numFmtId="0" fontId="33" fillId="2" borderId="0" xfId="0" applyFont="1" applyFill="1" applyAlignment="1">
      <alignment vertical="center" wrapText="1"/>
    </xf>
    <xf numFmtId="0" fontId="33" fillId="2" borderId="3" xfId="0" applyFont="1" applyFill="1" applyBorder="1" applyAlignment="1">
      <alignment vertical="center" wrapText="1"/>
    </xf>
    <xf numFmtId="0" fontId="89" fillId="2" borderId="0" xfId="0" quotePrefix="1" applyFont="1" applyFill="1" applyAlignment="1">
      <alignment horizontal="center" vertical="center"/>
    </xf>
    <xf numFmtId="0" fontId="31" fillId="2" borderId="0" xfId="0" applyFont="1" applyFill="1" applyAlignment="1">
      <alignment horizontal="left" vertical="center"/>
    </xf>
    <xf numFmtId="0" fontId="84" fillId="0" borderId="0" xfId="0" quotePrefix="1" applyFont="1" applyAlignment="1">
      <alignment vertical="center"/>
    </xf>
    <xf numFmtId="0" fontId="31" fillId="2" borderId="0" xfId="0" applyFont="1" applyFill="1" applyAlignment="1">
      <alignment vertical="center" wrapText="1"/>
    </xf>
    <xf numFmtId="0" fontId="85" fillId="2" borderId="0" xfId="0" applyFont="1" applyFill="1" applyAlignment="1">
      <alignment vertical="center"/>
    </xf>
    <xf numFmtId="0" fontId="31" fillId="0" borderId="0" xfId="0" applyFont="1" applyAlignment="1">
      <alignment vertical="center" wrapText="1"/>
    </xf>
    <xf numFmtId="0" fontId="31" fillId="2" borderId="0" xfId="0" applyFont="1" applyFill="1" applyAlignment="1">
      <alignment vertical="top" wrapText="1"/>
    </xf>
    <xf numFmtId="0" fontId="31" fillId="2" borderId="0" xfId="0" applyFont="1" applyFill="1" applyAlignment="1">
      <alignment horizontal="left" vertical="center" wrapText="1"/>
    </xf>
    <xf numFmtId="0" fontId="33" fillId="2" borderId="0" xfId="0" applyFont="1" applyFill="1" applyAlignment="1">
      <alignment horizontal="center" vertical="center"/>
    </xf>
    <xf numFmtId="0" fontId="86" fillId="2" borderId="0" xfId="0" applyFont="1" applyFill="1" applyAlignment="1">
      <alignment vertical="center"/>
    </xf>
    <xf numFmtId="0" fontId="54" fillId="0" borderId="0" xfId="0" applyFont="1" applyAlignment="1">
      <alignment horizontal="center" vertical="center"/>
    </xf>
    <xf numFmtId="0" fontId="31" fillId="2" borderId="3" xfId="0" applyFont="1" applyFill="1" applyBorder="1" applyAlignment="1">
      <alignment vertical="center"/>
    </xf>
    <xf numFmtId="0" fontId="87" fillId="2" borderId="3" xfId="0" applyFont="1" applyFill="1" applyBorder="1" applyAlignment="1">
      <alignment vertical="center"/>
    </xf>
    <xf numFmtId="0" fontId="0" fillId="0" borderId="3" xfId="0" applyBorder="1" applyAlignment="1">
      <alignment vertical="center"/>
    </xf>
    <xf numFmtId="0" fontId="31" fillId="2" borderId="10" xfId="0" applyFont="1" applyFill="1" applyBorder="1" applyAlignment="1">
      <alignment vertical="center"/>
    </xf>
    <xf numFmtId="0" fontId="0" fillId="0" borderId="10" xfId="0" applyBorder="1" applyAlignment="1">
      <alignment vertical="center"/>
    </xf>
    <xf numFmtId="0" fontId="0" fillId="0" borderId="23" xfId="0" applyBorder="1" applyAlignment="1">
      <alignment vertical="center"/>
    </xf>
    <xf numFmtId="0" fontId="31" fillId="2" borderId="10" xfId="0" applyFont="1" applyFill="1" applyBorder="1" applyAlignment="1">
      <alignment vertical="center" wrapText="1"/>
    </xf>
    <xf numFmtId="0" fontId="10" fillId="0" borderId="23" xfId="0" applyFont="1" applyBorder="1" applyAlignment="1">
      <alignment horizontal="center" vertical="center" wrapText="1"/>
    </xf>
    <xf numFmtId="0" fontId="87" fillId="0" borderId="23" xfId="0" applyFont="1" applyBorder="1" applyAlignment="1">
      <alignment vertical="center"/>
    </xf>
    <xf numFmtId="0" fontId="31" fillId="2" borderId="10" xfId="0" applyFont="1" applyFill="1" applyBorder="1" applyAlignment="1">
      <alignment vertical="top" wrapText="1"/>
    </xf>
    <xf numFmtId="0" fontId="86" fillId="2" borderId="10" xfId="0" applyFont="1" applyFill="1" applyBorder="1" applyAlignment="1">
      <alignment vertical="center"/>
    </xf>
    <xf numFmtId="0" fontId="31" fillId="2" borderId="9" xfId="0" applyFont="1" applyFill="1" applyBorder="1" applyAlignment="1">
      <alignment vertical="center"/>
    </xf>
    <xf numFmtId="0" fontId="0" fillId="0" borderId="24" xfId="0" applyBorder="1" applyAlignment="1">
      <alignment vertical="center"/>
    </xf>
    <xf numFmtId="0" fontId="50" fillId="0" borderId="0" xfId="0" applyFont="1" applyAlignment="1">
      <alignment horizontal="right" vertical="center"/>
    </xf>
    <xf numFmtId="0" fontId="92" fillId="0" borderId="6" xfId="0" applyFont="1" applyBorder="1" applyAlignment="1">
      <alignment horizontal="left" vertical="center"/>
    </xf>
    <xf numFmtId="0" fontId="50" fillId="0" borderId="0" xfId="0" applyFont="1" applyAlignment="1">
      <alignment horizontal="right"/>
    </xf>
    <xf numFmtId="0" fontId="56" fillId="50" borderId="4" xfId="0" applyFont="1" applyFill="1" applyBorder="1" applyAlignment="1">
      <alignment horizontal="center" vertical="center" wrapText="1"/>
    </xf>
    <xf numFmtId="0" fontId="96" fillId="50" borderId="25" xfId="0" applyFont="1" applyFill="1" applyBorder="1" applyAlignment="1">
      <alignment horizontal="center" vertical="center"/>
    </xf>
    <xf numFmtId="0" fontId="0" fillId="0" borderId="28" xfId="0" applyBorder="1"/>
    <xf numFmtId="0" fontId="0" fillId="0" borderId="0" xfId="0" quotePrefix="1" applyAlignment="1">
      <alignment vertical="center"/>
    </xf>
    <xf numFmtId="0" fontId="0" fillId="4" borderId="0" xfId="0" quotePrefix="1" applyFill="1" applyAlignment="1">
      <alignment vertical="center"/>
    </xf>
    <xf numFmtId="0" fontId="93" fillId="2" borderId="0" xfId="0" quotePrefix="1" applyFont="1" applyFill="1" applyAlignment="1">
      <alignment horizontal="center" vertical="center"/>
    </xf>
    <xf numFmtId="182" fontId="86" fillId="2" borderId="22" xfId="0" quotePrefix="1" applyNumberFormat="1" applyFont="1" applyFill="1" applyBorder="1" applyAlignment="1">
      <alignment horizontal="right" vertical="center" indent="1"/>
    </xf>
    <xf numFmtId="182" fontId="71" fillId="52" borderId="43" xfId="0" applyNumberFormat="1" applyFont="1" applyFill="1" applyBorder="1" applyAlignment="1">
      <alignment horizontal="right" vertical="center" wrapText="1"/>
    </xf>
    <xf numFmtId="182" fontId="71" fillId="52" borderId="44" xfId="0" applyNumberFormat="1" applyFont="1" applyFill="1" applyBorder="1" applyAlignment="1">
      <alignment horizontal="right" vertical="center" wrapText="1"/>
    </xf>
    <xf numFmtId="182" fontId="50" fillId="0" borderId="45" xfId="0" applyNumberFormat="1" applyFont="1" applyBorder="1" applyAlignment="1">
      <alignment horizontal="right" vertical="center"/>
    </xf>
    <xf numFmtId="182" fontId="50" fillId="0" borderId="46" xfId="0" applyNumberFormat="1" applyFont="1" applyBorder="1" applyAlignment="1">
      <alignment horizontal="right" vertical="center"/>
    </xf>
    <xf numFmtId="182" fontId="50" fillId="0" borderId="45" xfId="0" applyNumberFormat="1" applyFont="1" applyBorder="1" applyAlignment="1">
      <alignment horizontal="right"/>
    </xf>
    <xf numFmtId="182" fontId="50" fillId="0" borderId="46" xfId="0" applyNumberFormat="1" applyFont="1" applyBorder="1" applyAlignment="1">
      <alignment horizontal="right"/>
    </xf>
    <xf numFmtId="182" fontId="71" fillId="0" borderId="45" xfId="0" applyNumberFormat="1" applyFont="1" applyBorder="1" applyAlignment="1">
      <alignment horizontal="right" vertical="center"/>
    </xf>
    <xf numFmtId="176" fontId="6" fillId="0" borderId="0" xfId="0" applyNumberFormat="1" applyFont="1" applyAlignment="1">
      <alignment vertical="center"/>
    </xf>
    <xf numFmtId="176" fontId="0" fillId="0" borderId="0" xfId="0" applyNumberFormat="1" applyAlignment="1">
      <alignment vertical="center"/>
    </xf>
    <xf numFmtId="0" fontId="0" fillId="0" borderId="49" xfId="0" applyBorder="1" applyAlignment="1">
      <alignment horizontal="right"/>
    </xf>
    <xf numFmtId="1" fontId="0" fillId="0" borderId="0" xfId="0" applyNumberFormat="1" applyAlignment="1">
      <alignment horizontal="right"/>
    </xf>
    <xf numFmtId="0" fontId="72" fillId="0" borderId="0" xfId="0" applyFont="1" applyAlignment="1">
      <alignment horizontal="right" vertical="top" wrapText="1"/>
    </xf>
    <xf numFmtId="1" fontId="0" fillId="0" borderId="28" xfId="0" quotePrefix="1" applyNumberFormat="1" applyBorder="1" applyAlignment="1">
      <alignment horizontal="right" vertical="center"/>
    </xf>
    <xf numFmtId="1" fontId="0" fillId="0" borderId="28" xfId="0" applyNumberFormat="1" applyBorder="1" applyAlignment="1">
      <alignment horizontal="right" vertical="center"/>
    </xf>
    <xf numFmtId="1" fontId="0" fillId="0" borderId="0" xfId="0" applyNumberFormat="1" applyAlignment="1">
      <alignment horizontal="right" vertical="center"/>
    </xf>
    <xf numFmtId="0" fontId="0" fillId="0" borderId="48" xfId="0" applyBorder="1" applyAlignment="1">
      <alignment horizontal="right"/>
    </xf>
    <xf numFmtId="0" fontId="0" fillId="0" borderId="50" xfId="0" applyBorder="1" applyAlignment="1">
      <alignment horizontal="right"/>
    </xf>
    <xf numFmtId="0" fontId="0" fillId="0" borderId="30" xfId="0" applyBorder="1" applyAlignment="1">
      <alignment horizontal="right"/>
    </xf>
    <xf numFmtId="0" fontId="0" fillId="0" borderId="31" xfId="0" applyBorder="1" applyAlignment="1">
      <alignment horizontal="right"/>
    </xf>
    <xf numFmtId="0" fontId="0" fillId="0" borderId="32" xfId="0" applyBorder="1" applyAlignment="1">
      <alignment horizontal="right"/>
    </xf>
    <xf numFmtId="0" fontId="3" fillId="0" borderId="0" xfId="0" applyFont="1" applyAlignment="1">
      <alignment horizontal="right" vertical="center"/>
    </xf>
    <xf numFmtId="0" fontId="3" fillId="0" borderId="1" xfId="0" applyFont="1" applyBorder="1" applyAlignment="1">
      <alignment horizontal="right" vertical="center"/>
    </xf>
    <xf numFmtId="0" fontId="3" fillId="0" borderId="26" xfId="0" applyFont="1" applyBorder="1" applyAlignment="1">
      <alignment horizontal="right" vertical="center"/>
    </xf>
    <xf numFmtId="0" fontId="0" fillId="0" borderId="26" xfId="0" applyBorder="1" applyAlignment="1">
      <alignment horizontal="right"/>
    </xf>
    <xf numFmtId="1" fontId="0" fillId="0" borderId="26" xfId="0" applyNumberFormat="1" applyBorder="1" applyAlignment="1">
      <alignment horizontal="right"/>
    </xf>
    <xf numFmtId="0" fontId="0" fillId="0" borderId="23" xfId="0" applyBorder="1" applyAlignment="1">
      <alignment horizontal="right"/>
    </xf>
    <xf numFmtId="0" fontId="58" fillId="0" borderId="0" xfId="0" applyFont="1" applyAlignment="1">
      <alignment horizontal="right"/>
    </xf>
    <xf numFmtId="0" fontId="0" fillId="0" borderId="0" xfId="0" quotePrefix="1" applyAlignment="1">
      <alignment horizontal="right"/>
    </xf>
    <xf numFmtId="0" fontId="68" fillId="0" borderId="0" xfId="0" applyFont="1" applyAlignment="1">
      <alignment horizontal="right" vertical="center"/>
    </xf>
    <xf numFmtId="0" fontId="31" fillId="0" borderId="0" xfId="0" applyFont="1"/>
    <xf numFmtId="0" fontId="31" fillId="2" borderId="0" xfId="0" applyFont="1" applyFill="1"/>
    <xf numFmtId="0" fontId="31" fillId="2" borderId="0" xfId="0" applyFont="1" applyFill="1" applyAlignment="1">
      <alignment wrapText="1"/>
    </xf>
    <xf numFmtId="0" fontId="85" fillId="50" borderId="0" xfId="0" applyFont="1" applyFill="1"/>
    <xf numFmtId="0" fontId="85" fillId="50" borderId="0" xfId="0" applyFont="1" applyFill="1" applyAlignment="1">
      <alignment wrapText="1"/>
    </xf>
    <xf numFmtId="0" fontId="86" fillId="2" borderId="0" xfId="0" applyFont="1" applyFill="1" applyAlignment="1">
      <alignment horizontal="left" vertical="top" wrapText="1"/>
    </xf>
    <xf numFmtId="0" fontId="89" fillId="2" borderId="0" xfId="0" applyFont="1" applyFill="1" applyAlignment="1">
      <alignment horizontal="left" vertical="top" wrapText="1"/>
    </xf>
    <xf numFmtId="0" fontId="86" fillId="2" borderId="0" xfId="0" applyFont="1" applyFill="1" applyAlignment="1">
      <alignment vertical="center" wrapText="1"/>
    </xf>
    <xf numFmtId="0" fontId="31" fillId="50" borderId="0" xfId="0" applyFont="1" applyFill="1"/>
    <xf numFmtId="0" fontId="97" fillId="50" borderId="0" xfId="0" applyFont="1" applyFill="1" applyAlignment="1">
      <alignment horizontal="center" vertical="center"/>
    </xf>
    <xf numFmtId="0" fontId="86" fillId="50" borderId="0" xfId="0" applyFont="1" applyFill="1" applyAlignment="1">
      <alignment wrapText="1"/>
    </xf>
    <xf numFmtId="0" fontId="31" fillId="53" borderId="0" xfId="0" applyFont="1" applyFill="1"/>
    <xf numFmtId="0" fontId="86" fillId="53" borderId="0" xfId="0" applyFont="1" applyFill="1" applyAlignment="1">
      <alignment wrapText="1"/>
    </xf>
    <xf numFmtId="0" fontId="89" fillId="2" borderId="0" xfId="0" applyFont="1" applyFill="1" applyAlignment="1">
      <alignment horizontal="center" vertical="center"/>
    </xf>
    <xf numFmtId="0" fontId="31" fillId="2" borderId="0" xfId="0" applyFont="1" applyFill="1" applyAlignment="1">
      <alignment vertical="top"/>
    </xf>
    <xf numFmtId="0" fontId="31" fillId="0" borderId="0" xfId="0" applyFont="1" applyAlignment="1">
      <alignment vertical="top"/>
    </xf>
    <xf numFmtId="0" fontId="96" fillId="0" borderId="0" xfId="0" applyFont="1" applyAlignment="1">
      <alignment horizontal="left" vertical="center"/>
    </xf>
    <xf numFmtId="176" fontId="6" fillId="0" borderId="0" xfId="0" applyNumberFormat="1" applyFont="1"/>
    <xf numFmtId="0" fontId="77" fillId="0" borderId="0" xfId="0" applyFont="1" applyAlignment="1">
      <alignment wrapText="1"/>
    </xf>
    <xf numFmtId="0" fontId="99" fillId="48" borderId="25" xfId="276" applyFont="1" applyFill="1" applyBorder="1" applyAlignment="1" applyProtection="1">
      <alignment horizontal="left" vertical="center" wrapText="1"/>
      <protection locked="0"/>
    </xf>
    <xf numFmtId="181" fontId="99" fillId="48" borderId="25" xfId="276" applyNumberFormat="1" applyFont="1" applyFill="1" applyBorder="1" applyAlignment="1" applyProtection="1">
      <alignment horizontal="right" vertical="center" wrapText="1"/>
      <protection locked="0"/>
    </xf>
    <xf numFmtId="10" fontId="99" fillId="48" borderId="25" xfId="276" applyNumberFormat="1" applyFont="1" applyFill="1" applyBorder="1" applyAlignment="1" applyProtection="1">
      <alignment horizontal="right" vertical="center" wrapText="1"/>
      <protection locked="0"/>
    </xf>
    <xf numFmtId="0" fontId="102" fillId="0" borderId="0" xfId="0" applyFont="1" applyAlignment="1">
      <alignment vertical="center"/>
    </xf>
    <xf numFmtId="0" fontId="7" fillId="0" borderId="0" xfId="0" applyFont="1" applyAlignment="1">
      <alignment horizontal="center" vertical="center"/>
    </xf>
    <xf numFmtId="0" fontId="0" fillId="3" borderId="51" xfId="0" applyFill="1" applyBorder="1"/>
    <xf numFmtId="0" fontId="0" fillId="0" borderId="29" xfId="0" applyBorder="1"/>
    <xf numFmtId="0" fontId="65" fillId="2" borderId="0" xfId="0" applyFont="1" applyFill="1" applyAlignment="1">
      <alignment vertical="center"/>
    </xf>
    <xf numFmtId="0" fontId="55" fillId="52" borderId="25" xfId="0" applyFont="1" applyFill="1" applyBorder="1" applyAlignment="1">
      <alignment horizontal="center" vertical="center" wrapText="1"/>
    </xf>
    <xf numFmtId="0" fontId="2" fillId="0" borderId="2" xfId="0" applyFont="1" applyBorder="1" applyAlignment="1">
      <alignment horizontal="right" vertical="center" wrapText="1"/>
    </xf>
    <xf numFmtId="0" fontId="55" fillId="0" borderId="25" xfId="0" applyFont="1" applyBorder="1" applyAlignment="1">
      <alignment horizontal="center" vertical="center" wrapText="1"/>
    </xf>
    <xf numFmtId="0" fontId="96" fillId="49" borderId="5" xfId="0" applyFont="1" applyFill="1" applyBorder="1" applyAlignment="1">
      <alignment horizontal="center" vertical="center" wrapText="1"/>
    </xf>
    <xf numFmtId="0" fontId="55" fillId="0" borderId="0" xfId="0" applyFont="1" applyAlignment="1">
      <alignment horizontal="right" vertical="center"/>
    </xf>
    <xf numFmtId="0" fontId="65" fillId="0" borderId="0" xfId="0" applyFont="1" applyAlignment="1">
      <alignment vertical="center"/>
    </xf>
    <xf numFmtId="0" fontId="65" fillId="0" borderId="0" xfId="0" applyFont="1" applyAlignment="1">
      <alignment horizontal="left" vertical="top"/>
    </xf>
    <xf numFmtId="0" fontId="4" fillId="5" borderId="25" xfId="0" applyFont="1" applyFill="1" applyBorder="1" applyAlignment="1">
      <alignment horizontal="center" vertical="center" wrapText="1"/>
    </xf>
    <xf numFmtId="0" fontId="4" fillId="8" borderId="25" xfId="0" applyFont="1" applyFill="1" applyBorder="1" applyAlignment="1">
      <alignment horizontal="center" vertical="center" wrapText="1"/>
    </xf>
    <xf numFmtId="0" fontId="4" fillId="39" borderId="25" xfId="0" applyFont="1" applyFill="1" applyBorder="1" applyAlignment="1">
      <alignment horizontal="center" vertical="center" wrapText="1"/>
    </xf>
    <xf numFmtId="0" fontId="4" fillId="7" borderId="25" xfId="0" applyFont="1" applyFill="1" applyBorder="1" applyAlignment="1">
      <alignment horizontal="center" vertical="center" wrapText="1"/>
    </xf>
    <xf numFmtId="0" fontId="0" fillId="6" borderId="25" xfId="0" applyFill="1" applyBorder="1" applyAlignment="1">
      <alignment horizontal="center" vertical="center" wrapText="1"/>
    </xf>
    <xf numFmtId="0" fontId="4" fillId="9" borderId="25" xfId="0" applyFont="1" applyFill="1" applyBorder="1" applyAlignment="1">
      <alignment horizontal="center" vertical="center" wrapText="1"/>
    </xf>
    <xf numFmtId="188" fontId="4" fillId="47" borderId="5" xfId="0" applyNumberFormat="1" applyFont="1" applyFill="1" applyBorder="1" applyAlignment="1">
      <alignment horizontal="center" vertical="center" wrapText="1"/>
    </xf>
    <xf numFmtId="0" fontId="4" fillId="7" borderId="25" xfId="0" applyFont="1" applyFill="1" applyBorder="1" applyAlignment="1">
      <alignment horizontal="center" vertical="center"/>
    </xf>
    <xf numFmtId="0" fontId="0" fillId="2" borderId="25" xfId="0" applyFill="1" applyBorder="1" applyAlignment="1">
      <alignment vertical="center" wrapText="1"/>
    </xf>
    <xf numFmtId="176" fontId="0" fillId="0" borderId="25" xfId="0" applyNumberFormat="1" applyBorder="1" applyAlignment="1">
      <alignment horizontal="center" vertical="center"/>
    </xf>
    <xf numFmtId="176" fontId="4" fillId="0" borderId="25" xfId="0" applyNumberFormat="1" applyFont="1" applyBorder="1" applyAlignment="1">
      <alignment horizontal="left" vertical="center" wrapText="1"/>
    </xf>
    <xf numFmtId="0" fontId="56" fillId="0" borderId="0" xfId="0" applyFont="1" applyAlignment="1">
      <alignment horizontal="left" vertical="center"/>
    </xf>
    <xf numFmtId="0" fontId="0" fillId="0" borderId="2" xfId="0" applyBorder="1" applyAlignment="1">
      <alignment vertical="center"/>
    </xf>
    <xf numFmtId="0" fontId="4" fillId="0" borderId="21" xfId="0" applyFont="1" applyBorder="1" applyAlignment="1">
      <alignment horizontal="center" vertical="center" wrapText="1"/>
    </xf>
    <xf numFmtId="2" fontId="4" fillId="2" borderId="25" xfId="0" applyNumberFormat="1" applyFont="1" applyFill="1" applyBorder="1" applyAlignment="1">
      <alignment horizontal="right" vertical="center"/>
    </xf>
    <xf numFmtId="0" fontId="111" fillId="0" borderId="0" xfId="0" applyFont="1" applyAlignment="1">
      <alignment vertical="top"/>
    </xf>
    <xf numFmtId="0" fontId="86" fillId="2" borderId="0" xfId="0" applyFont="1" applyFill="1" applyAlignment="1">
      <alignment horizontal="left" vertical="center" wrapText="1"/>
    </xf>
    <xf numFmtId="0" fontId="65" fillId="2" borderId="0" xfId="0" applyFont="1" applyFill="1" applyAlignment="1">
      <alignment horizontal="left" vertical="center" wrapText="1"/>
    </xf>
    <xf numFmtId="0" fontId="0" fillId="2" borderId="25" xfId="0" applyFill="1" applyBorder="1" applyAlignment="1">
      <alignment horizontal="left" vertical="center" wrapText="1"/>
    </xf>
    <xf numFmtId="0" fontId="4" fillId="2" borderId="25" xfId="0" applyFont="1" applyFill="1" applyBorder="1" applyAlignment="1">
      <alignment horizontal="left" vertical="center" wrapText="1"/>
    </xf>
    <xf numFmtId="0" fontId="4" fillId="2" borderId="25" xfId="0" applyFont="1" applyFill="1" applyBorder="1" applyAlignment="1">
      <alignment vertical="center" wrapText="1"/>
    </xf>
    <xf numFmtId="0" fontId="4" fillId="10" borderId="7" xfId="0" applyFont="1" applyFill="1" applyBorder="1" applyAlignment="1">
      <alignment horizontal="center" vertical="center" wrapText="1"/>
    </xf>
    <xf numFmtId="0" fontId="4" fillId="11" borderId="7"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9" borderId="5"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4" fillId="39" borderId="5"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0" fillId="6" borderId="7" xfId="0" applyFill="1" applyBorder="1" applyAlignment="1">
      <alignment horizontal="center" vertical="center" wrapText="1"/>
    </xf>
    <xf numFmtId="1" fontId="118" fillId="55" borderId="0" xfId="0" applyNumberFormat="1" applyFont="1" applyFill="1" applyAlignment="1">
      <alignment vertical="center"/>
    </xf>
    <xf numFmtId="0" fontId="56" fillId="55" borderId="0" xfId="0" applyFont="1" applyFill="1" applyAlignment="1">
      <alignment horizontal="center" vertical="center" wrapText="1"/>
    </xf>
    <xf numFmtId="0" fontId="0" fillId="55" borderId="0" xfId="0" applyFill="1"/>
    <xf numFmtId="183" fontId="4" fillId="0" borderId="5" xfId="0" applyNumberFormat="1" applyFont="1" applyBorder="1" applyAlignment="1">
      <alignment horizontal="center" vertical="center" wrapText="1"/>
    </xf>
    <xf numFmtId="183" fontId="4" fillId="0" borderId="25" xfId="0" applyNumberFormat="1" applyFont="1" applyBorder="1" applyAlignment="1">
      <alignment horizontal="center" vertical="center"/>
    </xf>
    <xf numFmtId="183" fontId="4" fillId="0" borderId="2" xfId="0" applyNumberFormat="1" applyFont="1" applyBorder="1" applyAlignment="1">
      <alignment horizontal="center" vertical="center" wrapText="1"/>
    </xf>
    <xf numFmtId="183" fontId="0" fillId="0" borderId="25" xfId="0" applyNumberFormat="1" applyBorder="1" applyAlignment="1">
      <alignment horizontal="center" vertical="center"/>
    </xf>
    <xf numFmtId="0" fontId="0" fillId="10" borderId="25" xfId="0" applyFill="1" applyBorder="1" applyAlignment="1">
      <alignment horizontal="center" vertical="center" wrapText="1"/>
    </xf>
    <xf numFmtId="183" fontId="0" fillId="0" borderId="25" xfId="0" applyNumberFormat="1" applyBorder="1"/>
    <xf numFmtId="183" fontId="0" fillId="0" borderId="25" xfId="0" applyNumberFormat="1" applyBorder="1" applyAlignment="1">
      <alignment horizontal="right"/>
    </xf>
    <xf numFmtId="183" fontId="4" fillId="0" borderId="25" xfId="276" applyNumberFormat="1" applyFont="1" applyFill="1" applyBorder="1" applyAlignment="1">
      <alignment horizontal="right"/>
    </xf>
    <xf numFmtId="183" fontId="4" fillId="0" borderId="25" xfId="276" applyNumberFormat="1" applyFont="1" applyFill="1" applyBorder="1" applyAlignment="1">
      <alignment horizontal="right" vertical="center" wrapText="1"/>
    </xf>
    <xf numFmtId="183" fontId="4" fillId="0" borderId="25" xfId="276" applyNumberFormat="1" applyFont="1" applyFill="1" applyBorder="1"/>
    <xf numFmtId="183" fontId="4" fillId="0" borderId="25" xfId="0" applyNumberFormat="1" applyFont="1" applyBorder="1" applyAlignment="1">
      <alignment horizontal="right" vertical="center" wrapText="1"/>
    </xf>
    <xf numFmtId="183" fontId="50" fillId="0" borderId="0" xfId="0" applyNumberFormat="1" applyFont="1" applyAlignment="1">
      <alignment wrapText="1"/>
    </xf>
    <xf numFmtId="183" fontId="7" fillId="2" borderId="0" xfId="0" applyNumberFormat="1" applyFont="1" applyFill="1" applyAlignment="1">
      <alignment horizontal="center" vertical="center" wrapText="1"/>
    </xf>
    <xf numFmtId="183" fontId="56" fillId="50" borderId="4" xfId="0" applyNumberFormat="1" applyFont="1" applyFill="1" applyBorder="1" applyAlignment="1">
      <alignment horizontal="center" vertical="center" wrapText="1"/>
    </xf>
    <xf numFmtId="183" fontId="0" fillId="0" borderId="0" xfId="0" applyNumberFormat="1" applyAlignment="1">
      <alignment vertical="center" wrapText="1"/>
    </xf>
    <xf numFmtId="183" fontId="0" fillId="0" borderId="0" xfId="0" applyNumberFormat="1" applyAlignment="1">
      <alignment wrapText="1"/>
    </xf>
    <xf numFmtId="0" fontId="0" fillId="0" borderId="0" xfId="0" applyFont="1" applyAlignment="1">
      <alignment horizontal="right"/>
    </xf>
    <xf numFmtId="0" fontId="54" fillId="0" borderId="25" xfId="0" applyFont="1" applyBorder="1" applyAlignment="1" applyProtection="1">
      <alignment horizontal="left" vertical="center" wrapText="1"/>
    </xf>
    <xf numFmtId="176" fontId="54" fillId="0" borderId="25" xfId="0" applyNumberFormat="1" applyFont="1" applyBorder="1" applyAlignment="1" applyProtection="1">
      <alignment horizontal="right" vertical="center" wrapText="1"/>
    </xf>
    <xf numFmtId="10" fontId="54" fillId="0" borderId="25" xfId="0" applyNumberFormat="1" applyFont="1" applyBorder="1" applyAlignment="1" applyProtection="1">
      <alignment horizontal="right" vertical="center" wrapText="1"/>
    </xf>
    <xf numFmtId="186" fontId="54" fillId="0" borderId="25" xfId="0" applyNumberFormat="1" applyFont="1" applyBorder="1" applyAlignment="1" applyProtection="1">
      <alignment horizontal="right" vertical="center" wrapText="1"/>
    </xf>
    <xf numFmtId="0" fontId="0" fillId="0" borderId="26" xfId="0" applyFont="1" applyFill="1" applyBorder="1" applyAlignment="1">
      <alignment horizontal="left" vertical="center"/>
    </xf>
    <xf numFmtId="0" fontId="0" fillId="0" borderId="26" xfId="0" applyFont="1" applyFill="1" applyBorder="1" applyAlignment="1">
      <alignment horizontal="right"/>
    </xf>
    <xf numFmtId="0" fontId="0" fillId="0" borderId="26" xfId="0" applyFont="1" applyFill="1" applyBorder="1" applyAlignment="1">
      <alignment horizontal="center" vertical="center"/>
    </xf>
    <xf numFmtId="189" fontId="98" fillId="48" borderId="60" xfId="276" applyNumberFormat="1" applyFont="1" applyFill="1" applyBorder="1" applyAlignment="1" applyProtection="1">
      <alignment horizontal="right" vertical="center"/>
      <protection locked="0"/>
    </xf>
    <xf numFmtId="189" fontId="0" fillId="0" borderId="0" xfId="0" applyNumberFormat="1" applyAlignment="1">
      <alignment horizontal="right"/>
    </xf>
    <xf numFmtId="0" fontId="65" fillId="0" borderId="26" xfId="0" applyFont="1" applyFill="1" applyBorder="1" applyAlignment="1">
      <alignment horizontal="center" vertical="center" wrapText="1"/>
    </xf>
    <xf numFmtId="0" fontId="65" fillId="0" borderId="26" xfId="0" applyFont="1" applyFill="1" applyBorder="1" applyAlignment="1">
      <alignment horizontal="center" vertical="center"/>
    </xf>
    <xf numFmtId="0" fontId="0" fillId="0" borderId="26" xfId="0" applyFill="1" applyBorder="1" applyAlignment="1">
      <alignment horizontal="center" vertical="center"/>
    </xf>
    <xf numFmtId="0" fontId="63" fillId="2" borderId="0" xfId="0" applyFont="1" applyFill="1" applyAlignment="1" applyProtection="1">
      <alignment horizontal="right" vertical="center" wrapText="1"/>
    </xf>
    <xf numFmtId="0" fontId="67" fillId="0" borderId="0" xfId="0" applyFont="1" applyAlignment="1" applyProtection="1">
      <alignment horizontal="left" vertical="center" wrapText="1"/>
    </xf>
    <xf numFmtId="1" fontId="118" fillId="55" borderId="0" xfId="0" applyNumberFormat="1" applyFont="1" applyFill="1" applyAlignment="1" applyProtection="1">
      <alignment vertical="center"/>
    </xf>
    <xf numFmtId="0" fontId="56" fillId="55" borderId="0" xfId="0" applyFont="1" applyFill="1" applyBorder="1" applyAlignment="1" applyProtection="1">
      <alignment horizontal="center" vertical="center" wrapText="1"/>
    </xf>
    <xf numFmtId="0" fontId="0" fillId="55" borderId="0" xfId="0" applyFill="1" applyProtection="1"/>
    <xf numFmtId="0" fontId="0" fillId="0" borderId="0" xfId="0" applyAlignment="1" applyProtection="1">
      <alignment vertical="center"/>
    </xf>
    <xf numFmtId="0" fontId="0" fillId="0" borderId="0" xfId="0" applyProtection="1"/>
    <xf numFmtId="0" fontId="64" fillId="0" borderId="0" xfId="0" applyFont="1" applyAlignment="1" applyProtection="1">
      <alignment vertical="center" wrapText="1"/>
    </xf>
    <xf numFmtId="0" fontId="2" fillId="56" borderId="26" xfId="0" applyFont="1" applyFill="1" applyBorder="1" applyAlignment="1">
      <alignment horizontal="left" vertical="center"/>
    </xf>
    <xf numFmtId="0" fontId="55" fillId="0" borderId="23" xfId="0" applyFont="1" applyBorder="1" applyAlignment="1">
      <alignment horizontal="left" vertical="top" wrapText="1"/>
    </xf>
    <xf numFmtId="0" fontId="98" fillId="0" borderId="53" xfId="276" applyNumberFormat="1" applyFont="1" applyFill="1" applyBorder="1" applyAlignment="1" applyProtection="1">
      <alignment horizontal="center" vertical="center"/>
    </xf>
    <xf numFmtId="0" fontId="98" fillId="0" borderId="22" xfId="276" applyNumberFormat="1" applyFont="1" applyFill="1" applyBorder="1" applyAlignment="1" applyProtection="1">
      <alignment horizontal="center" vertical="center"/>
    </xf>
    <xf numFmtId="0" fontId="98" fillId="0" borderId="54" xfId="276" applyNumberFormat="1" applyFont="1" applyFill="1" applyBorder="1" applyAlignment="1" applyProtection="1">
      <alignment horizontal="center" vertical="center"/>
    </xf>
    <xf numFmtId="0" fontId="98" fillId="0" borderId="55" xfId="276" applyNumberFormat="1" applyFont="1" applyFill="1" applyBorder="1" applyAlignment="1" applyProtection="1">
      <alignment horizontal="center" vertical="center"/>
    </xf>
    <xf numFmtId="0" fontId="98" fillId="0" borderId="56" xfId="276" applyNumberFormat="1" applyFont="1" applyFill="1" applyBorder="1" applyAlignment="1" applyProtection="1">
      <alignment horizontal="center" vertical="center"/>
    </xf>
    <xf numFmtId="0" fontId="98" fillId="0" borderId="57" xfId="276" applyNumberFormat="1" applyFont="1" applyFill="1" applyBorder="1" applyAlignment="1" applyProtection="1">
      <alignment horizontal="center" vertical="center"/>
    </xf>
    <xf numFmtId="0" fontId="65" fillId="0" borderId="26" xfId="0" applyFont="1" applyFill="1" applyBorder="1" applyAlignment="1">
      <alignment horizontal="center" vertical="center"/>
    </xf>
    <xf numFmtId="182" fontId="0" fillId="0" borderId="25" xfId="0" applyNumberFormat="1" applyBorder="1" applyAlignment="1">
      <alignment horizontal="center" vertical="center"/>
    </xf>
    <xf numFmtId="0" fontId="64" fillId="0" borderId="0" xfId="0" applyFont="1" applyAlignment="1">
      <alignment horizontal="right" vertical="center" wrapText="1"/>
    </xf>
    <xf numFmtId="1" fontId="0" fillId="0" borderId="2" xfId="0" applyNumberFormat="1" applyBorder="1" applyAlignment="1">
      <alignment horizontal="center" vertical="center"/>
    </xf>
    <xf numFmtId="1" fontId="0" fillId="0" borderId="22" xfId="0" applyNumberFormat="1" applyBorder="1" applyAlignment="1">
      <alignment horizontal="center" vertical="center"/>
    </xf>
    <xf numFmtId="1" fontId="0" fillId="0" borderId="21" xfId="0" applyNumberFormat="1" applyBorder="1" applyAlignment="1">
      <alignment horizontal="center" vertical="center"/>
    </xf>
    <xf numFmtId="0" fontId="0" fillId="56" borderId="2" xfId="0" applyFill="1" applyBorder="1" applyAlignment="1">
      <alignment horizontal="center" vertical="center"/>
    </xf>
    <xf numFmtId="0" fontId="0" fillId="0" borderId="22" xfId="0" applyBorder="1" applyAlignment="1">
      <alignment horizontal="center" vertical="center"/>
    </xf>
    <xf numFmtId="0" fontId="0" fillId="0" borderId="21" xfId="0" applyBorder="1" applyAlignment="1">
      <alignment horizontal="center" vertical="center"/>
    </xf>
    <xf numFmtId="0" fontId="0" fillId="48" borderId="8" xfId="0" applyFill="1" applyBorder="1" applyAlignment="1">
      <alignment horizontal="center" vertical="center"/>
    </xf>
    <xf numFmtId="0" fontId="0" fillId="48" borderId="33" xfId="0" applyFill="1" applyBorder="1" applyAlignment="1">
      <alignment horizontal="center" vertical="center"/>
    </xf>
    <xf numFmtId="0" fontId="0" fillId="48" borderId="34" xfId="0" applyFill="1" applyBorder="1" applyAlignment="1">
      <alignment horizontal="center" vertical="center"/>
    </xf>
    <xf numFmtId="0" fontId="0" fillId="48" borderId="9" xfId="0" applyFill="1" applyBorder="1" applyAlignment="1">
      <alignment horizontal="center" vertical="center"/>
    </xf>
    <xf numFmtId="0" fontId="0" fillId="48" borderId="3" xfId="0" applyFill="1" applyBorder="1" applyAlignment="1">
      <alignment horizontal="center" vertical="center"/>
    </xf>
    <xf numFmtId="0" fontId="0" fillId="48" borderId="24" xfId="0" applyFill="1" applyBorder="1" applyAlignment="1">
      <alignment horizontal="center" vertical="center"/>
    </xf>
    <xf numFmtId="0" fontId="50" fillId="0" borderId="0" xfId="0" applyFont="1" applyAlignment="1">
      <alignment horizontal="center"/>
    </xf>
    <xf numFmtId="0" fontId="2" fillId="0" borderId="25" xfId="0" applyFont="1" applyBorder="1" applyAlignment="1">
      <alignment horizontal="center"/>
    </xf>
    <xf numFmtId="0" fontId="1" fillId="0" borderId="8"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2" fillId="0" borderId="25" xfId="0" applyFont="1" applyBorder="1" applyAlignment="1">
      <alignment horizontal="right" vertical="center"/>
    </xf>
    <xf numFmtId="0" fontId="2" fillId="0" borderId="25" xfId="0" applyFont="1" applyBorder="1" applyAlignment="1">
      <alignment horizontal="right" vertical="center" wrapText="1"/>
    </xf>
    <xf numFmtId="165" fontId="2" fillId="48" borderId="58" xfId="276" applyNumberFormat="1" applyFont="1" applyFill="1" applyBorder="1" applyAlignment="1" applyProtection="1">
      <alignment horizontal="left" vertical="top" wrapText="1"/>
      <protection locked="0"/>
    </xf>
    <xf numFmtId="165" fontId="2" fillId="48" borderId="25" xfId="276" applyNumberFormat="1" applyFont="1" applyFill="1" applyBorder="1" applyAlignment="1" applyProtection="1">
      <alignment horizontal="left" vertical="top" wrapText="1"/>
      <protection locked="0"/>
    </xf>
    <xf numFmtId="165" fontId="2" fillId="48" borderId="59" xfId="276" applyNumberFormat="1" applyFont="1" applyFill="1" applyBorder="1" applyAlignment="1" applyProtection="1">
      <alignment horizontal="left" vertical="top" wrapText="1"/>
      <protection locked="0"/>
    </xf>
    <xf numFmtId="14" fontId="2" fillId="48" borderId="53" xfId="276" applyNumberFormat="1" applyFont="1" applyFill="1" applyBorder="1" applyAlignment="1" applyProtection="1">
      <alignment horizontal="center" vertical="center"/>
      <protection locked="0"/>
    </xf>
    <xf numFmtId="14" fontId="2" fillId="48" borderId="22" xfId="276" applyNumberFormat="1" applyFont="1" applyFill="1" applyBorder="1" applyAlignment="1" applyProtection="1">
      <alignment horizontal="center" vertical="center"/>
      <protection locked="0"/>
    </xf>
    <xf numFmtId="14" fontId="2" fillId="48" borderId="54" xfId="276" applyNumberFormat="1" applyFont="1" applyFill="1" applyBorder="1" applyAlignment="1" applyProtection="1">
      <alignment horizontal="center" vertical="center"/>
      <protection locked="0"/>
    </xf>
    <xf numFmtId="165" fontId="2" fillId="48" borderId="53" xfId="276" applyNumberFormat="1" applyFont="1" applyFill="1" applyBorder="1" applyAlignment="1" applyProtection="1">
      <alignment horizontal="center" vertical="center"/>
      <protection locked="0"/>
    </xf>
    <xf numFmtId="165" fontId="2" fillId="48" borderId="22" xfId="276" applyNumberFormat="1" applyFont="1" applyFill="1" applyBorder="1" applyAlignment="1" applyProtection="1">
      <alignment horizontal="center" vertical="center"/>
      <protection locked="0"/>
    </xf>
    <xf numFmtId="165" fontId="2" fillId="48" borderId="54" xfId="276" applyNumberFormat="1" applyFont="1" applyFill="1" applyBorder="1" applyAlignment="1" applyProtection="1">
      <alignment horizontal="center" vertical="center"/>
      <protection locked="0"/>
    </xf>
    <xf numFmtId="3" fontId="98" fillId="0" borderId="53" xfId="276" applyNumberFormat="1" applyFont="1" applyFill="1" applyBorder="1" applyAlignment="1" applyProtection="1">
      <alignment horizontal="center" vertical="center"/>
    </xf>
    <xf numFmtId="3" fontId="98" fillId="0" borderId="22" xfId="276" applyNumberFormat="1" applyFont="1" applyFill="1" applyBorder="1" applyAlignment="1" applyProtection="1">
      <alignment horizontal="center" vertical="center"/>
    </xf>
    <xf numFmtId="3" fontId="98" fillId="0" borderId="54" xfId="276" applyNumberFormat="1" applyFont="1" applyFill="1" applyBorder="1" applyAlignment="1" applyProtection="1">
      <alignment horizontal="center" vertical="center"/>
    </xf>
    <xf numFmtId="0" fontId="104" fillId="50" borderId="0" xfId="0" applyFont="1" applyFill="1" applyAlignment="1">
      <alignment horizontal="left" vertical="center"/>
    </xf>
    <xf numFmtId="0" fontId="110" fillId="0" borderId="0" xfId="0" applyFont="1" applyAlignment="1">
      <alignment horizontal="left" vertical="center" wrapText="1"/>
    </xf>
    <xf numFmtId="0" fontId="65" fillId="2" borderId="0" xfId="0" applyFont="1" applyFill="1" applyAlignment="1">
      <alignment horizontal="left" vertical="center" wrapText="1"/>
    </xf>
    <xf numFmtId="0" fontId="105" fillId="48" borderId="2" xfId="0" applyFont="1" applyFill="1" applyBorder="1" applyAlignment="1">
      <alignment horizontal="center" vertical="center" wrapText="1"/>
    </xf>
    <xf numFmtId="0" fontId="105" fillId="48" borderId="22" xfId="0" applyFont="1" applyFill="1" applyBorder="1" applyAlignment="1">
      <alignment horizontal="center" vertical="center" wrapText="1"/>
    </xf>
    <xf numFmtId="0" fontId="105" fillId="48" borderId="21" xfId="0" applyFont="1" applyFill="1" applyBorder="1" applyAlignment="1">
      <alignment horizontal="center" vertical="center" wrapText="1"/>
    </xf>
    <xf numFmtId="0" fontId="105" fillId="54" borderId="2" xfId="0" applyFont="1" applyFill="1" applyBorder="1" applyAlignment="1">
      <alignment horizontal="center" vertical="center" wrapText="1"/>
    </xf>
    <xf numFmtId="0" fontId="105" fillId="54" borderId="22" xfId="0" applyFont="1" applyFill="1" applyBorder="1" applyAlignment="1">
      <alignment horizontal="center" vertical="center" wrapText="1"/>
    </xf>
    <xf numFmtId="0" fontId="105" fillId="54" borderId="21" xfId="0" applyFont="1" applyFill="1" applyBorder="1" applyAlignment="1">
      <alignment horizontal="center" vertical="center" wrapText="1"/>
    </xf>
    <xf numFmtId="0" fontId="117" fillId="2" borderId="0" xfId="282" applyFont="1" applyFill="1" applyBorder="1" applyAlignment="1">
      <alignment horizontal="left" vertical="center" wrapText="1"/>
    </xf>
    <xf numFmtId="0" fontId="27" fillId="2" borderId="0" xfId="282" applyFill="1" applyBorder="1" applyAlignment="1">
      <alignment horizontal="left" vertical="center" wrapText="1"/>
    </xf>
    <xf numFmtId="0" fontId="89" fillId="2" borderId="0" xfId="0" applyFont="1" applyFill="1" applyAlignment="1">
      <alignment horizontal="center" vertical="center"/>
    </xf>
    <xf numFmtId="0" fontId="103" fillId="53" borderId="0" xfId="0" applyFont="1" applyFill="1" applyAlignment="1">
      <alignment horizontal="center" vertical="center"/>
    </xf>
    <xf numFmtId="0" fontId="110" fillId="2" borderId="0" xfId="0" applyFont="1" applyFill="1" applyAlignment="1">
      <alignment horizontal="left" vertical="center" wrapText="1"/>
    </xf>
    <xf numFmtId="0" fontId="117" fillId="2" borderId="0" xfId="282" applyFont="1" applyFill="1" applyAlignment="1">
      <alignment horizontal="left" vertical="top" wrapText="1"/>
    </xf>
    <xf numFmtId="0" fontId="27" fillId="2" borderId="0" xfId="282" applyFill="1" applyAlignment="1">
      <alignment horizontal="left" vertical="top" wrapText="1"/>
    </xf>
    <xf numFmtId="0" fontId="65" fillId="2" borderId="0" xfId="0" applyFont="1" applyFill="1" applyAlignment="1">
      <alignment horizontal="left" vertical="top" wrapText="1"/>
    </xf>
    <xf numFmtId="0" fontId="110" fillId="2" borderId="0" xfId="0" applyFont="1" applyFill="1" applyAlignment="1">
      <alignment vertical="top" wrapText="1"/>
    </xf>
    <xf numFmtId="0" fontId="105" fillId="2" borderId="0" xfId="282" applyFont="1" applyFill="1" applyBorder="1" applyAlignment="1">
      <alignment horizontal="left" vertical="center" wrapText="1"/>
    </xf>
    <xf numFmtId="0" fontId="109" fillId="2" borderId="35" xfId="0" quotePrefix="1" applyFont="1" applyFill="1" applyBorder="1" applyAlignment="1" applyProtection="1">
      <alignment horizontal="center" vertical="center"/>
      <protection locked="0"/>
    </xf>
    <xf numFmtId="0" fontId="109" fillId="2" borderId="36" xfId="0" quotePrefix="1" applyFont="1" applyFill="1" applyBorder="1" applyAlignment="1" applyProtection="1">
      <alignment horizontal="center" vertical="center"/>
      <protection locked="0"/>
    </xf>
    <xf numFmtId="0" fontId="109" fillId="2" borderId="37" xfId="0" quotePrefix="1" applyFont="1" applyFill="1" applyBorder="1" applyAlignment="1" applyProtection="1">
      <alignment horizontal="center" vertical="center"/>
      <protection locked="0"/>
    </xf>
    <xf numFmtId="0" fontId="109" fillId="2" borderId="38" xfId="0" quotePrefix="1" applyFont="1" applyFill="1" applyBorder="1" applyAlignment="1" applyProtection="1">
      <alignment horizontal="center" vertical="center"/>
      <protection locked="0"/>
    </xf>
    <xf numFmtId="0" fontId="108" fillId="0" borderId="35" xfId="0" applyFont="1" applyBorder="1" applyAlignment="1">
      <alignment horizontal="center" vertical="center"/>
    </xf>
    <xf numFmtId="0" fontId="108" fillId="0" borderId="36" xfId="0" applyFont="1" applyBorder="1" applyAlignment="1">
      <alignment horizontal="center" vertical="center"/>
    </xf>
    <xf numFmtId="0" fontId="108" fillId="0" borderId="37" xfId="0" applyFont="1" applyBorder="1" applyAlignment="1">
      <alignment horizontal="center" vertical="center"/>
    </xf>
    <xf numFmtId="0" fontId="108" fillId="0" borderId="38" xfId="0" applyFont="1" applyBorder="1" applyAlignment="1">
      <alignment horizontal="center" vertical="center"/>
    </xf>
    <xf numFmtId="187" fontId="86" fillId="2" borderId="2" xfId="0" quotePrefix="1" applyNumberFormat="1" applyFont="1" applyFill="1" applyBorder="1" applyAlignment="1">
      <alignment horizontal="right" vertical="center" indent="1"/>
    </xf>
    <xf numFmtId="187" fontId="86" fillId="2" borderId="21" xfId="0" quotePrefix="1" applyNumberFormat="1" applyFont="1" applyFill="1" applyBorder="1" applyAlignment="1">
      <alignment horizontal="right" vertical="center" indent="1"/>
    </xf>
    <xf numFmtId="0" fontId="65" fillId="0" borderId="47" xfId="0" applyFont="1" applyBorder="1" applyAlignment="1">
      <alignment horizontal="right" vertical="center"/>
    </xf>
    <xf numFmtId="185" fontId="95" fillId="0" borderId="25" xfId="281" applyNumberFormat="1" applyFont="1" applyFill="1" applyBorder="1" applyAlignment="1">
      <alignment horizontal="right" vertical="center" wrapText="1"/>
    </xf>
    <xf numFmtId="185" fontId="10" fillId="0" borderId="25" xfId="281" applyNumberFormat="1" applyFont="1" applyFill="1" applyBorder="1" applyAlignment="1">
      <alignment horizontal="right" vertical="center" wrapText="1"/>
    </xf>
    <xf numFmtId="0" fontId="102" fillId="0" borderId="8" xfId="0" applyFont="1" applyBorder="1" applyAlignment="1">
      <alignment horizontal="right" vertical="center"/>
    </xf>
    <xf numFmtId="0" fontId="102" fillId="0" borderId="33" xfId="0" applyFont="1" applyBorder="1" applyAlignment="1">
      <alignment horizontal="right" vertical="center"/>
    </xf>
    <xf numFmtId="0" fontId="102" fillId="0" borderId="10" xfId="0" applyFont="1" applyBorder="1" applyAlignment="1">
      <alignment horizontal="right" vertical="center"/>
    </xf>
    <xf numFmtId="0" fontId="102" fillId="0" borderId="0" xfId="0" applyFont="1" applyAlignment="1">
      <alignment horizontal="right" vertical="center"/>
    </xf>
    <xf numFmtId="0" fontId="107" fillId="0" borderId="33" xfId="0" quotePrefix="1" applyFont="1" applyBorder="1" applyAlignment="1">
      <alignment vertical="center" wrapText="1"/>
    </xf>
    <xf numFmtId="0" fontId="107" fillId="0" borderId="34" xfId="0" quotePrefix="1" applyFont="1" applyBorder="1" applyAlignment="1">
      <alignment vertical="center" wrapText="1"/>
    </xf>
    <xf numFmtId="0" fontId="107" fillId="0" borderId="0" xfId="0" quotePrefix="1" applyFont="1" applyAlignment="1">
      <alignment vertical="center" wrapText="1"/>
    </xf>
    <xf numFmtId="0" fontId="107" fillId="0" borderId="23" xfId="0" quotePrefix="1" applyFont="1" applyBorder="1" applyAlignment="1">
      <alignment vertical="center" wrapText="1"/>
    </xf>
    <xf numFmtId="185" fontId="10" fillId="0" borderId="2" xfId="281" applyNumberFormat="1" applyFont="1" applyFill="1" applyBorder="1" applyAlignment="1">
      <alignment horizontal="right" vertical="center" wrapText="1"/>
    </xf>
    <xf numFmtId="185" fontId="10" fillId="0" borderId="21" xfId="281" applyNumberFormat="1" applyFont="1" applyFill="1" applyBorder="1" applyAlignment="1">
      <alignment horizontal="right" vertical="center" wrapText="1"/>
    </xf>
    <xf numFmtId="0" fontId="31" fillId="2" borderId="0" xfId="0" applyFont="1" applyFill="1" applyAlignment="1">
      <alignment vertical="top" wrapText="1"/>
    </xf>
    <xf numFmtId="0" fontId="105" fillId="0" borderId="25" xfId="0" applyFont="1" applyBorder="1" applyAlignment="1">
      <alignment horizontal="center" vertical="center"/>
    </xf>
    <xf numFmtId="182" fontId="86" fillId="2" borderId="2" xfId="0" quotePrefix="1" applyNumberFormat="1" applyFont="1" applyFill="1" applyBorder="1" applyAlignment="1">
      <alignment horizontal="right" vertical="center" indent="1"/>
    </xf>
    <xf numFmtId="182" fontId="86" fillId="2" borderId="21" xfId="0" quotePrefix="1" applyNumberFormat="1" applyFont="1" applyFill="1" applyBorder="1" applyAlignment="1">
      <alignment horizontal="right" vertical="center" indent="1"/>
    </xf>
    <xf numFmtId="0" fontId="65" fillId="2" borderId="0" xfId="0" applyFont="1" applyFill="1" applyAlignment="1">
      <alignment vertical="center"/>
    </xf>
    <xf numFmtId="0" fontId="33" fillId="9" borderId="25" xfId="0" applyFont="1" applyFill="1" applyBorder="1" applyAlignment="1">
      <alignment vertical="center" wrapText="1"/>
    </xf>
    <xf numFmtId="0" fontId="33" fillId="11" borderId="25" xfId="0" applyFont="1" applyFill="1" applyBorder="1" applyAlignment="1">
      <alignment vertical="center" wrapText="1"/>
    </xf>
    <xf numFmtId="0" fontId="64" fillId="0" borderId="0" xfId="0" applyFont="1" applyAlignment="1">
      <alignment horizontal="center" vertical="center" wrapText="1"/>
    </xf>
    <xf numFmtId="0" fontId="0" fillId="0" borderId="0" xfId="0" applyAlignment="1">
      <alignment horizontal="center" vertical="center" wrapText="1"/>
    </xf>
    <xf numFmtId="0" fontId="0" fillId="0" borderId="23" xfId="0" applyBorder="1" applyAlignment="1">
      <alignment horizontal="center" vertical="center" wrapText="1"/>
    </xf>
    <xf numFmtId="0" fontId="6" fillId="0" borderId="0" xfId="0" applyFont="1" applyAlignment="1">
      <alignment horizontal="right" vertical="center"/>
    </xf>
    <xf numFmtId="0" fontId="33" fillId="46" borderId="25" xfId="0" applyFont="1" applyFill="1" applyBorder="1" applyAlignment="1">
      <alignment vertical="center" wrapText="1"/>
    </xf>
    <xf numFmtId="0" fontId="33" fillId="45" borderId="25" xfId="0" applyFont="1" applyFill="1" applyBorder="1" applyAlignment="1">
      <alignment vertical="center" wrapText="1"/>
    </xf>
    <xf numFmtId="0" fontId="33" fillId="40" borderId="25" xfId="0" applyFont="1" applyFill="1" applyBorder="1" applyAlignment="1">
      <alignment vertical="center" wrapText="1"/>
    </xf>
    <xf numFmtId="0" fontId="33" fillId="41" borderId="25" xfId="0" applyFont="1" applyFill="1" applyBorder="1" applyAlignment="1">
      <alignment vertical="center" wrapText="1"/>
    </xf>
    <xf numFmtId="0" fontId="33" fillId="42" borderId="25" xfId="0" applyFont="1" applyFill="1" applyBorder="1" applyAlignment="1">
      <alignment vertical="center" wrapText="1"/>
    </xf>
    <xf numFmtId="0" fontId="33" fillId="43" borderId="25" xfId="0" applyFont="1" applyFill="1" applyBorder="1" applyAlignment="1">
      <alignment vertical="center" wrapText="1"/>
    </xf>
    <xf numFmtId="0" fontId="95" fillId="0" borderId="25" xfId="0" applyFont="1" applyBorder="1" applyAlignment="1">
      <alignment horizontal="center" vertical="center"/>
    </xf>
    <xf numFmtId="0" fontId="33" fillId="7" borderId="25" xfId="0" applyFont="1" applyFill="1" applyBorder="1" applyAlignment="1">
      <alignment vertical="center" wrapText="1"/>
    </xf>
    <xf numFmtId="0" fontId="87" fillId="2" borderId="3" xfId="0" applyFont="1" applyFill="1" applyBorder="1" applyAlignment="1">
      <alignment horizontal="center" vertical="center"/>
    </xf>
    <xf numFmtId="0" fontId="33" fillId="51" borderId="25" xfId="0" applyFont="1" applyFill="1" applyBorder="1" applyAlignment="1">
      <alignment vertical="center" wrapText="1"/>
    </xf>
    <xf numFmtId="0" fontId="33" fillId="44" borderId="25" xfId="0" applyFont="1" applyFill="1" applyBorder="1" applyAlignment="1">
      <alignment vertical="center" wrapText="1"/>
    </xf>
    <xf numFmtId="0" fontId="78" fillId="50" borderId="40" xfId="0" applyFont="1" applyFill="1" applyBorder="1" applyAlignment="1">
      <alignment horizontal="center" wrapText="1"/>
    </xf>
    <xf numFmtId="0" fontId="78" fillId="50" borderId="42" xfId="0" applyFont="1" applyFill="1" applyBorder="1" applyAlignment="1">
      <alignment horizontal="center" wrapText="1"/>
    </xf>
    <xf numFmtId="0" fontId="96" fillId="50" borderId="39" xfId="0" applyFont="1" applyFill="1" applyBorder="1" applyAlignment="1">
      <alignment horizontal="center" vertical="center" wrapText="1"/>
    </xf>
    <xf numFmtId="0" fontId="96" fillId="50" borderId="41" xfId="0" applyFont="1" applyFill="1" applyBorder="1" applyAlignment="1">
      <alignment horizontal="center" vertical="center" wrapText="1"/>
    </xf>
    <xf numFmtId="0" fontId="50" fillId="0" borderId="0" xfId="0" applyFont="1" applyAlignment="1">
      <alignment horizontal="center" vertical="center" wrapText="1"/>
    </xf>
    <xf numFmtId="0" fontId="96" fillId="50" borderId="7" xfId="0" applyFont="1" applyFill="1" applyBorder="1" applyAlignment="1">
      <alignment horizontal="center" vertical="center"/>
    </xf>
    <xf numFmtId="0" fontId="96" fillId="50" borderId="5" xfId="0" applyFont="1" applyFill="1" applyBorder="1" applyAlignment="1">
      <alignment horizontal="center" vertical="center"/>
    </xf>
    <xf numFmtId="0" fontId="96" fillId="50" borderId="39" xfId="0" applyFont="1" applyFill="1" applyBorder="1" applyAlignment="1">
      <alignment horizontal="center" vertical="center"/>
    </xf>
    <xf numFmtId="0" fontId="96" fillId="50" borderId="41" xfId="0" applyFont="1" applyFill="1" applyBorder="1" applyAlignment="1">
      <alignment horizontal="center" vertical="center"/>
    </xf>
    <xf numFmtId="0" fontId="56" fillId="50" borderId="39" xfId="0" applyFont="1" applyFill="1" applyBorder="1" applyAlignment="1">
      <alignment horizontal="center" vertical="center" wrapText="1"/>
    </xf>
    <xf numFmtId="0" fontId="56" fillId="50" borderId="41" xfId="0" applyFont="1" applyFill="1" applyBorder="1" applyAlignment="1">
      <alignment horizontal="center" vertical="center" wrapText="1"/>
    </xf>
    <xf numFmtId="0" fontId="0" fillId="0" borderId="2" xfId="0" applyBorder="1" applyAlignment="1">
      <alignment horizontal="center" vertical="center" wrapText="1"/>
    </xf>
    <xf numFmtId="0" fontId="0" fillId="0" borderId="22" xfId="0" applyBorder="1" applyAlignment="1">
      <alignment horizontal="center" vertical="center" wrapText="1"/>
    </xf>
    <xf numFmtId="0" fontId="0" fillId="0" borderId="21" xfId="0" applyBorder="1" applyAlignment="1">
      <alignment horizontal="center" vertical="center" wrapText="1"/>
    </xf>
    <xf numFmtId="0" fontId="4" fillId="10" borderId="7" xfId="0" applyFont="1" applyFill="1" applyBorder="1" applyAlignment="1">
      <alignment horizontal="center" vertical="center" wrapText="1"/>
    </xf>
    <xf numFmtId="0" fontId="4" fillId="10" borderId="6" xfId="0" applyFont="1" applyFill="1" applyBorder="1" applyAlignment="1">
      <alignment horizontal="center" vertical="center" wrapText="1"/>
    </xf>
    <xf numFmtId="0" fontId="4" fillId="10" borderId="5" xfId="0" applyFont="1" applyFill="1" applyBorder="1" applyAlignment="1">
      <alignment horizontal="center" vertical="center" wrapText="1"/>
    </xf>
    <xf numFmtId="0" fontId="8" fillId="11" borderId="7" xfId="0" applyFont="1" applyFill="1" applyBorder="1" applyAlignment="1">
      <alignment horizontal="center" vertical="center" wrapText="1"/>
    </xf>
    <xf numFmtId="0" fontId="8" fillId="11" borderId="6" xfId="0" applyFont="1" applyFill="1" applyBorder="1" applyAlignment="1">
      <alignment horizontal="center" vertical="center" wrapText="1"/>
    </xf>
    <xf numFmtId="0" fontId="8" fillId="11" borderId="5" xfId="0" applyFont="1" applyFill="1" applyBorder="1" applyAlignment="1">
      <alignment horizontal="center" vertical="center" wrapText="1"/>
    </xf>
    <xf numFmtId="0" fontId="4" fillId="11" borderId="7"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11" borderId="5"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0" borderId="7" xfId="0" applyFont="1" applyBorder="1" applyAlignment="1">
      <alignment horizontal="left" vertical="center" wrapText="1"/>
    </xf>
    <xf numFmtId="0" fontId="4" fillId="0" borderId="6" xfId="0" applyFont="1" applyBorder="1" applyAlignment="1">
      <alignment horizontal="left" vertical="center" wrapText="1"/>
    </xf>
    <xf numFmtId="0" fontId="4" fillId="0" borderId="5" xfId="0" applyFont="1" applyBorder="1" applyAlignment="1">
      <alignment horizontal="left" vertical="center" wrapText="1"/>
    </xf>
    <xf numFmtId="0" fontId="8" fillId="9" borderId="7"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5" xfId="0" applyFont="1" applyFill="1" applyBorder="1" applyAlignment="1">
      <alignment horizontal="center" vertical="center" wrapText="1"/>
    </xf>
    <xf numFmtId="0" fontId="4" fillId="9" borderId="7" xfId="0" applyFont="1" applyFill="1" applyBorder="1" applyAlignment="1">
      <alignment horizontal="center" vertical="center" wrapText="1"/>
    </xf>
    <xf numFmtId="0" fontId="4" fillId="9" borderId="5" xfId="0" applyFont="1" applyFill="1" applyBorder="1" applyAlignment="1">
      <alignment horizontal="center" vertical="center" wrapText="1"/>
    </xf>
    <xf numFmtId="0" fontId="4" fillId="9" borderId="6" xfId="0" applyFont="1" applyFill="1" applyBorder="1" applyAlignment="1">
      <alignment horizontal="center" vertical="center" wrapText="1"/>
    </xf>
    <xf numFmtId="0" fontId="0" fillId="9" borderId="7" xfId="0" applyFill="1" applyBorder="1" applyAlignment="1">
      <alignment horizontal="center" vertical="center" wrapText="1"/>
    </xf>
    <xf numFmtId="0" fontId="0" fillId="9" borderId="5" xfId="0"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5" borderId="5"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6" xfId="0" applyFont="1" applyFill="1" applyBorder="1" applyAlignment="1">
      <alignment horizontal="center" vertical="center" wrapText="1"/>
    </xf>
    <xf numFmtId="0" fontId="8" fillId="8" borderId="5"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4" fillId="8" borderId="5" xfId="0" applyFont="1" applyFill="1" applyBorder="1" applyAlignment="1">
      <alignment horizontal="center" vertical="center" wrapText="1"/>
    </xf>
    <xf numFmtId="0" fontId="4" fillId="8" borderId="6" xfId="0" applyFont="1" applyFill="1" applyBorder="1" applyAlignment="1">
      <alignment horizontal="center" vertical="center" wrapText="1"/>
    </xf>
    <xf numFmtId="0" fontId="55" fillId="2" borderId="3" xfId="0" applyFont="1" applyFill="1" applyBorder="1" applyAlignment="1">
      <alignment horizontal="left" vertical="top" wrapText="1"/>
    </xf>
    <xf numFmtId="0" fontId="7" fillId="2" borderId="0" xfId="0" applyFont="1" applyFill="1" applyAlignment="1">
      <alignment horizontal="left" vertical="center" wrapText="1"/>
    </xf>
    <xf numFmtId="0" fontId="8" fillId="39" borderId="27" xfId="0" applyFont="1" applyFill="1" applyBorder="1" applyAlignment="1">
      <alignment horizontal="center" vertical="center" wrapText="1"/>
    </xf>
    <xf numFmtId="0" fontId="8" fillId="39" borderId="6" xfId="0" applyFont="1" applyFill="1" applyBorder="1" applyAlignment="1">
      <alignment horizontal="center" vertical="center" wrapText="1"/>
    </xf>
    <xf numFmtId="0" fontId="8" fillId="39" borderId="5" xfId="0" applyFont="1" applyFill="1" applyBorder="1" applyAlignment="1">
      <alignment horizontal="center" vertical="center" wrapText="1"/>
    </xf>
    <xf numFmtId="0" fontId="4" fillId="39" borderId="27" xfId="0" applyFont="1" applyFill="1" applyBorder="1" applyAlignment="1">
      <alignment horizontal="center" vertical="center" wrapText="1"/>
    </xf>
    <xf numFmtId="0" fontId="4" fillId="39" borderId="6" xfId="0" applyFont="1" applyFill="1" applyBorder="1" applyAlignment="1">
      <alignment horizontal="center" vertical="center" wrapText="1"/>
    </xf>
    <xf numFmtId="0" fontId="4" fillId="39" borderId="5" xfId="0" applyFont="1" applyFill="1" applyBorder="1" applyAlignment="1">
      <alignment horizontal="center" vertical="center" wrapText="1"/>
    </xf>
    <xf numFmtId="0" fontId="4" fillId="39" borderId="7" xfId="0" applyFont="1" applyFill="1" applyBorder="1" applyAlignment="1">
      <alignment horizontal="center" vertical="center" wrapText="1"/>
    </xf>
    <xf numFmtId="0" fontId="0" fillId="0" borderId="2" xfId="0" applyBorder="1" applyAlignment="1">
      <alignment horizontal="center" vertical="center"/>
    </xf>
    <xf numFmtId="0" fontId="4" fillId="7" borderId="7" xfId="0" applyFont="1" applyFill="1" applyBorder="1" applyAlignment="1">
      <alignment horizontal="center" vertical="center" wrapText="1"/>
    </xf>
    <xf numFmtId="0" fontId="4" fillId="7" borderId="6"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5" xfId="0" applyFont="1" applyFill="1" applyBorder="1" applyAlignment="1">
      <alignment horizontal="center" vertical="center" wrapText="1"/>
    </xf>
    <xf numFmtId="0" fontId="8" fillId="6" borderId="7"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0" fillId="6" borderId="7" xfId="0" applyFill="1" applyBorder="1" applyAlignment="1">
      <alignment horizontal="center" vertical="center" wrapText="1"/>
    </xf>
    <xf numFmtId="0" fontId="0" fillId="6" borderId="6" xfId="0" applyFill="1" applyBorder="1" applyAlignment="1">
      <alignment horizontal="center" vertical="center" wrapText="1"/>
    </xf>
    <xf numFmtId="0" fontId="0" fillId="6" borderId="5" xfId="0" applyFill="1" applyBorder="1" applyAlignment="1">
      <alignment horizontal="center" vertical="center" wrapText="1"/>
    </xf>
    <xf numFmtId="0" fontId="0" fillId="8" borderId="7" xfId="0" applyFill="1" applyBorder="1" applyAlignment="1">
      <alignment horizontal="center" vertical="center" wrapText="1"/>
    </xf>
    <xf numFmtId="0" fontId="0" fillId="8" borderId="6" xfId="0" applyFill="1" applyBorder="1" applyAlignment="1">
      <alignment horizontal="center" vertical="center" wrapText="1"/>
    </xf>
    <xf numFmtId="0" fontId="0" fillId="8" borderId="5" xfId="0" applyFill="1" applyBorder="1" applyAlignment="1">
      <alignment horizontal="center" vertical="center" wrapText="1"/>
    </xf>
    <xf numFmtId="0" fontId="0" fillId="10" borderId="25" xfId="0"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6" xfId="0" applyFont="1" applyFill="1" applyBorder="1" applyAlignment="1">
      <alignment horizontal="center" vertical="center" wrapText="1"/>
    </xf>
    <xf numFmtId="0" fontId="8" fillId="10" borderId="5" xfId="0" applyFont="1" applyFill="1" applyBorder="1" applyAlignment="1">
      <alignment horizontal="center" vertical="center" wrapText="1"/>
    </xf>
    <xf numFmtId="0" fontId="0" fillId="10" borderId="7"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5" xfId="0" applyFill="1" applyBorder="1" applyAlignment="1">
      <alignment horizontal="center" vertical="center" wrapText="1"/>
    </xf>
    <xf numFmtId="0" fontId="8" fillId="6" borderId="25" xfId="0" applyFont="1" applyFill="1" applyBorder="1" applyAlignment="1">
      <alignment horizontal="center" vertical="center" wrapText="1"/>
    </xf>
    <xf numFmtId="0" fontId="0" fillId="6" borderId="25" xfId="0" applyFill="1" applyBorder="1" applyAlignment="1">
      <alignment horizontal="center" vertical="center" wrapText="1"/>
    </xf>
    <xf numFmtId="0" fontId="0" fillId="6" borderId="25" xfId="0" applyFill="1" applyBorder="1" applyAlignment="1">
      <alignment horizontal="center" vertical="center"/>
    </xf>
    <xf numFmtId="0" fontId="53" fillId="37" borderId="0" xfId="277" applyFont="1" applyAlignment="1">
      <alignment horizontal="center" vertical="center" wrapText="1"/>
    </xf>
    <xf numFmtId="0" fontId="0" fillId="0" borderId="0" xfId="0" applyAlignment="1" applyProtection="1">
      <alignment vertical="center"/>
      <protection locked="0"/>
    </xf>
    <xf numFmtId="0" fontId="0" fillId="0" borderId="52" xfId="0" applyBorder="1" applyAlignment="1" applyProtection="1">
      <alignment vertical="center"/>
      <protection locked="0"/>
    </xf>
    <xf numFmtId="0" fontId="65" fillId="48" borderId="8" xfId="0" applyFont="1" applyFill="1" applyBorder="1" applyAlignment="1" applyProtection="1">
      <alignment horizontal="left" vertical="top" wrapText="1"/>
      <protection locked="0"/>
    </xf>
    <xf numFmtId="0" fontId="0" fillId="48" borderId="33" xfId="0" applyFill="1" applyBorder="1" applyAlignment="1" applyProtection="1">
      <alignment horizontal="left" vertical="top" wrapText="1"/>
      <protection locked="0"/>
    </xf>
    <xf numFmtId="0" fontId="0" fillId="48" borderId="10" xfId="0" applyFill="1" applyBorder="1" applyAlignment="1" applyProtection="1">
      <alignment horizontal="left" vertical="top" wrapText="1"/>
      <protection locked="0"/>
    </xf>
    <xf numFmtId="0" fontId="0" fillId="48" borderId="0" xfId="0" applyFill="1" applyAlignment="1" applyProtection="1">
      <alignment horizontal="left" vertical="top" wrapText="1"/>
      <protection locked="0"/>
    </xf>
    <xf numFmtId="0" fontId="1" fillId="0" borderId="22" xfId="0" applyFont="1" applyBorder="1" applyAlignment="1">
      <alignment horizontal="center" vertical="center"/>
    </xf>
    <xf numFmtId="0" fontId="1" fillId="0" borderId="21" xfId="0" applyFont="1" applyBorder="1" applyAlignment="1">
      <alignment horizontal="center" vertical="center"/>
    </xf>
    <xf numFmtId="0" fontId="7" fillId="0" borderId="0" xfId="0" applyFont="1" applyAlignment="1">
      <alignment horizontal="center" vertical="center"/>
    </xf>
    <xf numFmtId="0" fontId="112" fillId="49" borderId="8" xfId="0" applyFont="1" applyFill="1" applyBorder="1" applyAlignment="1">
      <alignment horizontal="center" vertical="center" wrapText="1"/>
    </xf>
    <xf numFmtId="0" fontId="112" fillId="49" borderId="33" xfId="0" applyFont="1" applyFill="1" applyBorder="1" applyAlignment="1">
      <alignment horizontal="center" vertical="center" wrapText="1"/>
    </xf>
    <xf numFmtId="0" fontId="112" fillId="49" borderId="34" xfId="0" applyFont="1" applyFill="1" applyBorder="1" applyAlignment="1">
      <alignment horizontal="center" vertical="center" wrapText="1"/>
    </xf>
    <xf numFmtId="0" fontId="65" fillId="0" borderId="10" xfId="0" applyFont="1" applyBorder="1" applyAlignment="1">
      <alignment horizontal="center" vertical="center"/>
    </xf>
    <xf numFmtId="0" fontId="65" fillId="0" borderId="0" xfId="0" applyFont="1" applyAlignment="1">
      <alignment horizontal="center" vertical="center"/>
    </xf>
    <xf numFmtId="0" fontId="65" fillId="0" borderId="23" xfId="0" applyFont="1" applyBorder="1" applyAlignment="1">
      <alignment horizontal="center" vertical="center"/>
    </xf>
    <xf numFmtId="0" fontId="65" fillId="0" borderId="9" xfId="0" applyFont="1" applyBorder="1" applyAlignment="1">
      <alignment horizontal="left" vertical="center"/>
    </xf>
    <xf numFmtId="0" fontId="65" fillId="0" borderId="3" xfId="0" applyFont="1" applyBorder="1" applyAlignment="1">
      <alignment horizontal="left" vertical="center"/>
    </xf>
    <xf numFmtId="0" fontId="65" fillId="0" borderId="24" xfId="0" applyFont="1" applyBorder="1" applyAlignment="1">
      <alignment horizontal="left" vertical="center"/>
    </xf>
    <xf numFmtId="0" fontId="65" fillId="0" borderId="2" xfId="0" applyFont="1" applyBorder="1" applyAlignment="1">
      <alignment horizontal="center" vertical="center"/>
    </xf>
    <xf numFmtId="0" fontId="65" fillId="0" borderId="22" xfId="0" applyFont="1" applyBorder="1" applyAlignment="1">
      <alignment horizontal="center" vertical="center"/>
    </xf>
    <xf numFmtId="0" fontId="55" fillId="0" borderId="2" xfId="0" applyFont="1" applyBorder="1" applyAlignment="1">
      <alignment horizontal="center"/>
    </xf>
    <xf numFmtId="0" fontId="55" fillId="0" borderId="22" xfId="0" applyFont="1" applyBorder="1" applyAlignment="1">
      <alignment horizontal="center"/>
    </xf>
    <xf numFmtId="0" fontId="55" fillId="0" borderId="21" xfId="0" applyFont="1" applyBorder="1" applyAlignment="1">
      <alignment horizontal="center"/>
    </xf>
    <xf numFmtId="0" fontId="55" fillId="0" borderId="2" xfId="0" applyFont="1" applyBorder="1" applyAlignment="1">
      <alignment horizontal="center" vertical="center"/>
    </xf>
    <xf numFmtId="0" fontId="55" fillId="0" borderId="22" xfId="0" applyFont="1" applyBorder="1" applyAlignment="1">
      <alignment horizontal="center" vertical="center"/>
    </xf>
    <xf numFmtId="0" fontId="55" fillId="0" borderId="21" xfId="0" applyFont="1" applyBorder="1" applyAlignment="1">
      <alignment horizontal="center" vertical="center"/>
    </xf>
    <xf numFmtId="182" fontId="65" fillId="0" borderId="2" xfId="0" applyNumberFormat="1" applyFont="1" applyBorder="1" applyAlignment="1">
      <alignment horizontal="center" vertical="center"/>
    </xf>
    <xf numFmtId="182" fontId="65" fillId="0" borderId="22" xfId="0" applyNumberFormat="1" applyFont="1" applyBorder="1" applyAlignment="1">
      <alignment horizontal="center" vertical="center"/>
    </xf>
    <xf numFmtId="0" fontId="2" fillId="0" borderId="3" xfId="0" applyFont="1" applyBorder="1" applyAlignment="1">
      <alignment horizontal="center"/>
    </xf>
    <xf numFmtId="0" fontId="55" fillId="0" borderId="25" xfId="0" applyFont="1" applyBorder="1" applyAlignment="1">
      <alignment horizontal="center"/>
    </xf>
    <xf numFmtId="0" fontId="75" fillId="0" borderId="0" xfId="0" applyFont="1" applyAlignment="1">
      <alignment horizontal="center" vertical="center"/>
    </xf>
    <xf numFmtId="0" fontId="8" fillId="0" borderId="2" xfId="0" applyFont="1" applyBorder="1" applyAlignment="1">
      <alignment horizontal="center" vertical="center"/>
    </xf>
    <xf numFmtId="0" fontId="8" fillId="0" borderId="21" xfId="0" applyFont="1" applyBorder="1" applyAlignment="1">
      <alignment horizontal="center" vertical="center"/>
    </xf>
    <xf numFmtId="0" fontId="0" fillId="0" borderId="2" xfId="0" quotePrefix="1" applyBorder="1" applyAlignment="1">
      <alignment horizontal="center" vertical="center"/>
    </xf>
    <xf numFmtId="0" fontId="0" fillId="0" borderId="21" xfId="0" quotePrefix="1" applyBorder="1" applyAlignment="1">
      <alignment horizontal="center" vertical="center"/>
    </xf>
  </cellXfs>
  <cellStyles count="283">
    <cellStyle name="%" xfId="1" xr:uid="{00000000-0005-0000-0000-000000000000}"/>
    <cellStyle name="20% - Accent1 2" xfId="2" xr:uid="{00000000-0005-0000-0000-000001000000}"/>
    <cellStyle name="20% - Accent1 2 2" xfId="3" xr:uid="{00000000-0005-0000-0000-000002000000}"/>
    <cellStyle name="20% - Accent1 2 2 2" xfId="4" xr:uid="{00000000-0005-0000-0000-000003000000}"/>
    <cellStyle name="20% - Accent1 2 2 3" xfId="5" xr:uid="{00000000-0005-0000-0000-000004000000}"/>
    <cellStyle name="20% - Accent2 2" xfId="6" xr:uid="{00000000-0005-0000-0000-000005000000}"/>
    <cellStyle name="20% - Accent2 2 2" xfId="7" xr:uid="{00000000-0005-0000-0000-000006000000}"/>
    <cellStyle name="20% - Accent2 2 2 2" xfId="8" xr:uid="{00000000-0005-0000-0000-000007000000}"/>
    <cellStyle name="20% - Accent2 2 2 3" xfId="9" xr:uid="{00000000-0005-0000-0000-000008000000}"/>
    <cellStyle name="20% - Accent3 2" xfId="10" xr:uid="{00000000-0005-0000-0000-000009000000}"/>
    <cellStyle name="20% - Accent3 2 2" xfId="11" xr:uid="{00000000-0005-0000-0000-00000A000000}"/>
    <cellStyle name="20% - Accent3 2 2 2" xfId="12" xr:uid="{00000000-0005-0000-0000-00000B000000}"/>
    <cellStyle name="20% - Accent3 2 2 3" xfId="13" xr:uid="{00000000-0005-0000-0000-00000C000000}"/>
    <cellStyle name="20% - Accent4 2" xfId="14" xr:uid="{00000000-0005-0000-0000-00000D000000}"/>
    <cellStyle name="20% - Accent4 2 2" xfId="15" xr:uid="{00000000-0005-0000-0000-00000E000000}"/>
    <cellStyle name="20% - Accent4 2 2 2" xfId="16" xr:uid="{00000000-0005-0000-0000-00000F000000}"/>
    <cellStyle name="20% - Accent4 2 2 3" xfId="17" xr:uid="{00000000-0005-0000-0000-000010000000}"/>
    <cellStyle name="20% - Accent5 2" xfId="18" xr:uid="{00000000-0005-0000-0000-000011000000}"/>
    <cellStyle name="20% - Accent5 2 2" xfId="19" xr:uid="{00000000-0005-0000-0000-000012000000}"/>
    <cellStyle name="20% - Accent5 2 2 2" xfId="20" xr:uid="{00000000-0005-0000-0000-000013000000}"/>
    <cellStyle name="20% - Accent5 2 2 3" xfId="21" xr:uid="{00000000-0005-0000-0000-000014000000}"/>
    <cellStyle name="20% - Accent6 2" xfId="22" xr:uid="{00000000-0005-0000-0000-000015000000}"/>
    <cellStyle name="20% - Accent6 2 2" xfId="23" xr:uid="{00000000-0005-0000-0000-000016000000}"/>
    <cellStyle name="20% - Accent6 2 2 2" xfId="24" xr:uid="{00000000-0005-0000-0000-000017000000}"/>
    <cellStyle name="20% - Accent6 2 2 3" xfId="25" xr:uid="{00000000-0005-0000-0000-000018000000}"/>
    <cellStyle name="40% - Accent1 2" xfId="26" xr:uid="{00000000-0005-0000-0000-000019000000}"/>
    <cellStyle name="40% - Accent1 2 2" xfId="27" xr:uid="{00000000-0005-0000-0000-00001A000000}"/>
    <cellStyle name="40% - Accent1 2 2 2" xfId="28" xr:uid="{00000000-0005-0000-0000-00001B000000}"/>
    <cellStyle name="40% - Accent1 2 2 3" xfId="29" xr:uid="{00000000-0005-0000-0000-00001C000000}"/>
    <cellStyle name="40% - Accent2 2" xfId="30" xr:uid="{00000000-0005-0000-0000-00001D000000}"/>
    <cellStyle name="40% - Accent2 2 2" xfId="31" xr:uid="{00000000-0005-0000-0000-00001E000000}"/>
    <cellStyle name="40% - Accent2 2 2 2" xfId="32" xr:uid="{00000000-0005-0000-0000-00001F000000}"/>
    <cellStyle name="40% - Accent2 2 2 3" xfId="33" xr:uid="{00000000-0005-0000-0000-000020000000}"/>
    <cellStyle name="40% - Accent3 2" xfId="34" xr:uid="{00000000-0005-0000-0000-000021000000}"/>
    <cellStyle name="40% - Accent3 2 2" xfId="35" xr:uid="{00000000-0005-0000-0000-000022000000}"/>
    <cellStyle name="40% - Accent3 2 2 2" xfId="36" xr:uid="{00000000-0005-0000-0000-000023000000}"/>
    <cellStyle name="40% - Accent3 2 2 3" xfId="37" xr:uid="{00000000-0005-0000-0000-000024000000}"/>
    <cellStyle name="40% - Accent4 2" xfId="38" xr:uid="{00000000-0005-0000-0000-000025000000}"/>
    <cellStyle name="40% - Accent4 2 2" xfId="39" xr:uid="{00000000-0005-0000-0000-000026000000}"/>
    <cellStyle name="40% - Accent4 2 2 2" xfId="40" xr:uid="{00000000-0005-0000-0000-000027000000}"/>
    <cellStyle name="40% - Accent4 2 2 3" xfId="41" xr:uid="{00000000-0005-0000-0000-000028000000}"/>
    <cellStyle name="40% - Accent5 2" xfId="42" xr:uid="{00000000-0005-0000-0000-000029000000}"/>
    <cellStyle name="40% - Accent5 2 2" xfId="43" xr:uid="{00000000-0005-0000-0000-00002A000000}"/>
    <cellStyle name="40% - Accent5 2 2 2" xfId="44" xr:uid="{00000000-0005-0000-0000-00002B000000}"/>
    <cellStyle name="40% - Accent5 2 2 3" xfId="45" xr:uid="{00000000-0005-0000-0000-00002C000000}"/>
    <cellStyle name="40% - Accent6 2" xfId="46" xr:uid="{00000000-0005-0000-0000-00002D000000}"/>
    <cellStyle name="40% - Accent6 2 2" xfId="47" xr:uid="{00000000-0005-0000-0000-00002E000000}"/>
    <cellStyle name="40% - Accent6 2 2 2" xfId="48" xr:uid="{00000000-0005-0000-0000-00002F000000}"/>
    <cellStyle name="40% - Accent6 2 2 3" xfId="49" xr:uid="{00000000-0005-0000-0000-000030000000}"/>
    <cellStyle name="5x indented GHG Textfiels" xfId="50" xr:uid="{00000000-0005-0000-0000-000031000000}"/>
    <cellStyle name="60% - Accent1 2" xfId="51" xr:uid="{00000000-0005-0000-0000-000032000000}"/>
    <cellStyle name="60% - Accent1 2 2" xfId="52" xr:uid="{00000000-0005-0000-0000-000033000000}"/>
    <cellStyle name="60% - Accent1 2 2 2" xfId="53" xr:uid="{00000000-0005-0000-0000-000034000000}"/>
    <cellStyle name="60% - Accent1 2 2 3" xfId="54" xr:uid="{00000000-0005-0000-0000-000035000000}"/>
    <cellStyle name="60% - Accent2 2" xfId="55" xr:uid="{00000000-0005-0000-0000-000036000000}"/>
    <cellStyle name="60% - Accent2 2 2" xfId="56" xr:uid="{00000000-0005-0000-0000-000037000000}"/>
    <cellStyle name="60% - Accent2 2 2 2" xfId="57" xr:uid="{00000000-0005-0000-0000-000038000000}"/>
    <cellStyle name="60% - Accent2 2 2 3" xfId="58" xr:uid="{00000000-0005-0000-0000-000039000000}"/>
    <cellStyle name="60% - Accent3 2" xfId="59" xr:uid="{00000000-0005-0000-0000-00003A000000}"/>
    <cellStyle name="60% - Accent3 2 2" xfId="60" xr:uid="{00000000-0005-0000-0000-00003B000000}"/>
    <cellStyle name="60% - Accent3 2 2 2" xfId="61" xr:uid="{00000000-0005-0000-0000-00003C000000}"/>
    <cellStyle name="60% - Accent3 2 2 3" xfId="62" xr:uid="{00000000-0005-0000-0000-00003D000000}"/>
    <cellStyle name="60% - Accent4 2" xfId="63" xr:uid="{00000000-0005-0000-0000-00003E000000}"/>
    <cellStyle name="60% - Accent4 2 2" xfId="64" xr:uid="{00000000-0005-0000-0000-00003F000000}"/>
    <cellStyle name="60% - Accent4 2 2 2" xfId="65" xr:uid="{00000000-0005-0000-0000-000040000000}"/>
    <cellStyle name="60% - Accent4 2 2 3" xfId="66" xr:uid="{00000000-0005-0000-0000-000041000000}"/>
    <cellStyle name="60% - Accent5 2" xfId="67" xr:uid="{00000000-0005-0000-0000-000042000000}"/>
    <cellStyle name="60% - Accent5 2 2" xfId="68" xr:uid="{00000000-0005-0000-0000-000043000000}"/>
    <cellStyle name="60% - Accent5 2 2 2" xfId="69" xr:uid="{00000000-0005-0000-0000-000044000000}"/>
    <cellStyle name="60% - Accent5 2 2 3" xfId="70" xr:uid="{00000000-0005-0000-0000-000045000000}"/>
    <cellStyle name="60% - Accent6 2" xfId="71" xr:uid="{00000000-0005-0000-0000-000046000000}"/>
    <cellStyle name="60% - Accent6 2 2" xfId="72" xr:uid="{00000000-0005-0000-0000-000047000000}"/>
    <cellStyle name="60% - Accent6 2 2 2" xfId="73" xr:uid="{00000000-0005-0000-0000-000048000000}"/>
    <cellStyle name="60% - Accent6 2 2 3" xfId="74" xr:uid="{00000000-0005-0000-0000-000049000000}"/>
    <cellStyle name="Accent1 2" xfId="75" xr:uid="{00000000-0005-0000-0000-00004A000000}"/>
    <cellStyle name="Accent1 2 2" xfId="76" xr:uid="{00000000-0005-0000-0000-00004B000000}"/>
    <cellStyle name="Accent1 2 2 2" xfId="77" xr:uid="{00000000-0005-0000-0000-00004C000000}"/>
    <cellStyle name="Accent1 2 2 3" xfId="78" xr:uid="{00000000-0005-0000-0000-00004D000000}"/>
    <cellStyle name="Accent2 2" xfId="79" xr:uid="{00000000-0005-0000-0000-00004E000000}"/>
    <cellStyle name="Accent2 2 2" xfId="80" xr:uid="{00000000-0005-0000-0000-00004F000000}"/>
    <cellStyle name="Accent2 2 2 2" xfId="81" xr:uid="{00000000-0005-0000-0000-000050000000}"/>
    <cellStyle name="Accent2 2 2 3" xfId="82" xr:uid="{00000000-0005-0000-0000-000051000000}"/>
    <cellStyle name="Accent3 2" xfId="83" xr:uid="{00000000-0005-0000-0000-000052000000}"/>
    <cellStyle name="Accent3 2 2" xfId="84" xr:uid="{00000000-0005-0000-0000-000053000000}"/>
    <cellStyle name="Accent3 2 2 2" xfId="85" xr:uid="{00000000-0005-0000-0000-000054000000}"/>
    <cellStyle name="Accent3 2 2 3" xfId="86" xr:uid="{00000000-0005-0000-0000-000055000000}"/>
    <cellStyle name="Accent4 2" xfId="87" xr:uid="{00000000-0005-0000-0000-000056000000}"/>
    <cellStyle name="Accent4 2 2" xfId="88" xr:uid="{00000000-0005-0000-0000-000057000000}"/>
    <cellStyle name="Accent4 2 2 2" xfId="89" xr:uid="{00000000-0005-0000-0000-000058000000}"/>
    <cellStyle name="Accent4 2 2 3" xfId="90" xr:uid="{00000000-0005-0000-0000-000059000000}"/>
    <cellStyle name="Accent5 2" xfId="91" xr:uid="{00000000-0005-0000-0000-00005A000000}"/>
    <cellStyle name="Accent5 2 2" xfId="92" xr:uid="{00000000-0005-0000-0000-00005B000000}"/>
    <cellStyle name="Accent5 2 2 2" xfId="93" xr:uid="{00000000-0005-0000-0000-00005C000000}"/>
    <cellStyle name="Accent5 2 2 3" xfId="94" xr:uid="{00000000-0005-0000-0000-00005D000000}"/>
    <cellStyle name="Accent6 2" xfId="95" xr:uid="{00000000-0005-0000-0000-00005E000000}"/>
    <cellStyle name="Accent6 2 2" xfId="96" xr:uid="{00000000-0005-0000-0000-00005F000000}"/>
    <cellStyle name="Accent6 2 2 2" xfId="97" xr:uid="{00000000-0005-0000-0000-000060000000}"/>
    <cellStyle name="Accent6 2 2 3" xfId="98" xr:uid="{00000000-0005-0000-0000-000061000000}"/>
    <cellStyle name="AggblueCels_1x" xfId="99" xr:uid="{00000000-0005-0000-0000-000062000000}"/>
    <cellStyle name="Bad" xfId="277" builtinId="27"/>
    <cellStyle name="Bad 2" xfId="100" xr:uid="{00000000-0005-0000-0000-000064000000}"/>
    <cellStyle name="Bad 2 2" xfId="101" xr:uid="{00000000-0005-0000-0000-000065000000}"/>
    <cellStyle name="Bad 2 2 2" xfId="102" xr:uid="{00000000-0005-0000-0000-000066000000}"/>
    <cellStyle name="Bad 2 2 3" xfId="103" xr:uid="{00000000-0005-0000-0000-000067000000}"/>
    <cellStyle name="Bold GHG Numbers (0.00)" xfId="104" xr:uid="{00000000-0005-0000-0000-000068000000}"/>
    <cellStyle name="Calculation" xfId="278" builtinId="22"/>
    <cellStyle name="Calculation 2" xfId="105" xr:uid="{00000000-0005-0000-0000-00006A000000}"/>
    <cellStyle name="Calculation 2 2" xfId="106" xr:uid="{00000000-0005-0000-0000-00006B000000}"/>
    <cellStyle name="Calculation 2 2 2" xfId="107" xr:uid="{00000000-0005-0000-0000-00006C000000}"/>
    <cellStyle name="Calculation 2 2 2 2" xfId="108" xr:uid="{00000000-0005-0000-0000-00006D000000}"/>
    <cellStyle name="Calculation 2 2 2 3" xfId="109" xr:uid="{00000000-0005-0000-0000-00006E000000}"/>
    <cellStyle name="Calculation 2 3" xfId="110" xr:uid="{00000000-0005-0000-0000-00006F000000}"/>
    <cellStyle name="Calculation 2 3 2" xfId="111" xr:uid="{00000000-0005-0000-0000-000070000000}"/>
    <cellStyle name="Calculation 2 3 2 2" xfId="112" xr:uid="{00000000-0005-0000-0000-000071000000}"/>
    <cellStyle name="Calculation 2 3 2 3" xfId="113" xr:uid="{00000000-0005-0000-0000-000072000000}"/>
    <cellStyle name="Calculation 2 4" xfId="114" xr:uid="{00000000-0005-0000-0000-000073000000}"/>
    <cellStyle name="Calculation 2 4 2" xfId="115" xr:uid="{00000000-0005-0000-0000-000074000000}"/>
    <cellStyle name="Calculation 2 4 3" xfId="116" xr:uid="{00000000-0005-0000-0000-000075000000}"/>
    <cellStyle name="Check Cell 2" xfId="117" xr:uid="{00000000-0005-0000-0000-000076000000}"/>
    <cellStyle name="Check Cell 2 2" xfId="118" xr:uid="{00000000-0005-0000-0000-000077000000}"/>
    <cellStyle name="Check Cell 2 2 2" xfId="119" xr:uid="{00000000-0005-0000-0000-000078000000}"/>
    <cellStyle name="Check Cell 2 2 3" xfId="120" xr:uid="{00000000-0005-0000-0000-000079000000}"/>
    <cellStyle name="Comma" xfId="281" builtinId="3"/>
    <cellStyle name="Comma 2" xfId="121" xr:uid="{00000000-0005-0000-0000-00007B000000}"/>
    <cellStyle name="Comma 2 2" xfId="122" xr:uid="{00000000-0005-0000-0000-00007C000000}"/>
    <cellStyle name="Comma 2 3" xfId="123" xr:uid="{00000000-0005-0000-0000-00007D000000}"/>
    <cellStyle name="Comma 2 4" xfId="124" xr:uid="{00000000-0005-0000-0000-00007E000000}"/>
    <cellStyle name="Comma 3" xfId="125" xr:uid="{00000000-0005-0000-0000-00007F000000}"/>
    <cellStyle name="Cover" xfId="126" xr:uid="{00000000-0005-0000-0000-000080000000}"/>
    <cellStyle name="Dezimal [0]_Tfz-Anzahl" xfId="127" xr:uid="{00000000-0005-0000-0000-000081000000}"/>
    <cellStyle name="Dezimal_Tfz-Anzahl" xfId="128" xr:uid="{00000000-0005-0000-0000-000082000000}"/>
    <cellStyle name="Euro" xfId="129" xr:uid="{00000000-0005-0000-0000-000083000000}"/>
    <cellStyle name="Euro 2" xfId="130" xr:uid="{00000000-0005-0000-0000-000084000000}"/>
    <cellStyle name="Explanatory Text 2" xfId="131" xr:uid="{00000000-0005-0000-0000-000085000000}"/>
    <cellStyle name="Good" xfId="276" builtinId="26"/>
    <cellStyle name="Good 2" xfId="132" xr:uid="{00000000-0005-0000-0000-000087000000}"/>
    <cellStyle name="Good 2 2" xfId="133" xr:uid="{00000000-0005-0000-0000-000088000000}"/>
    <cellStyle name="Good 2 2 2" xfId="134" xr:uid="{00000000-0005-0000-0000-000089000000}"/>
    <cellStyle name="Good 2 2 3" xfId="135" xr:uid="{00000000-0005-0000-0000-00008A000000}"/>
    <cellStyle name="Heading" xfId="136" xr:uid="{00000000-0005-0000-0000-00008B000000}"/>
    <cellStyle name="Heading 1 2" xfId="137" xr:uid="{00000000-0005-0000-0000-00008C000000}"/>
    <cellStyle name="Heading 2 2" xfId="138" xr:uid="{00000000-0005-0000-0000-00008D000000}"/>
    <cellStyle name="Heading 3 2" xfId="139" xr:uid="{00000000-0005-0000-0000-00008E000000}"/>
    <cellStyle name="Heading 4 2" xfId="140" xr:uid="{00000000-0005-0000-0000-00008F000000}"/>
    <cellStyle name="Hyperlink" xfId="282" builtinId="8"/>
    <cellStyle name="Hyperlink 2" xfId="141" xr:uid="{00000000-0005-0000-0000-000090000000}"/>
    <cellStyle name="Hyperlink 3" xfId="142" xr:uid="{00000000-0005-0000-0000-000091000000}"/>
    <cellStyle name="Hyperlink 4" xfId="143" xr:uid="{00000000-0005-0000-0000-000092000000}"/>
    <cellStyle name="Hyperlink 5" xfId="144" xr:uid="{00000000-0005-0000-0000-000093000000}"/>
    <cellStyle name="Input 2" xfId="145" xr:uid="{00000000-0005-0000-0000-000094000000}"/>
    <cellStyle name="Input 2 2" xfId="146" xr:uid="{00000000-0005-0000-0000-000095000000}"/>
    <cellStyle name="Input 2 2 2" xfId="147" xr:uid="{00000000-0005-0000-0000-000096000000}"/>
    <cellStyle name="Input 2 2 2 2" xfId="148" xr:uid="{00000000-0005-0000-0000-000097000000}"/>
    <cellStyle name="Input 2 2 2 3" xfId="149" xr:uid="{00000000-0005-0000-0000-000098000000}"/>
    <cellStyle name="Input 2 3" xfId="150" xr:uid="{00000000-0005-0000-0000-000099000000}"/>
    <cellStyle name="Input 2 3 2" xfId="151" xr:uid="{00000000-0005-0000-0000-00009A000000}"/>
    <cellStyle name="Input 2 3 2 2" xfId="152" xr:uid="{00000000-0005-0000-0000-00009B000000}"/>
    <cellStyle name="Input 2 3 2 3" xfId="153" xr:uid="{00000000-0005-0000-0000-00009C000000}"/>
    <cellStyle name="Input 2 4" xfId="154" xr:uid="{00000000-0005-0000-0000-00009D000000}"/>
    <cellStyle name="Input 2 4 2" xfId="155" xr:uid="{00000000-0005-0000-0000-00009E000000}"/>
    <cellStyle name="Input 2 4 3" xfId="156" xr:uid="{00000000-0005-0000-0000-00009F000000}"/>
    <cellStyle name="InputCells12_BBorder_CRFReport-template" xfId="157" xr:uid="{00000000-0005-0000-0000-0000A0000000}"/>
    <cellStyle name="Linked Cell 2" xfId="158" xr:uid="{00000000-0005-0000-0000-0000A1000000}"/>
    <cellStyle name="Menu" xfId="159" xr:uid="{00000000-0005-0000-0000-0000A2000000}"/>
    <cellStyle name="Milliers [0]_03tabmat" xfId="160" xr:uid="{00000000-0005-0000-0000-0000A3000000}"/>
    <cellStyle name="Milliers_03tabmat" xfId="161" xr:uid="{00000000-0005-0000-0000-0000A4000000}"/>
    <cellStyle name="Monétaire [0]_03tabmat" xfId="162" xr:uid="{00000000-0005-0000-0000-0000A5000000}"/>
    <cellStyle name="Monétaire_03tabmat" xfId="163" xr:uid="{00000000-0005-0000-0000-0000A6000000}"/>
    <cellStyle name="Neutral 2" xfId="164" xr:uid="{00000000-0005-0000-0000-0000A7000000}"/>
    <cellStyle name="Neutral 2 2" xfId="165" xr:uid="{00000000-0005-0000-0000-0000A8000000}"/>
    <cellStyle name="Neutral 2 2 2" xfId="166" xr:uid="{00000000-0005-0000-0000-0000A9000000}"/>
    <cellStyle name="Neutral 2 2 3" xfId="167" xr:uid="{00000000-0005-0000-0000-0000AA000000}"/>
    <cellStyle name="Normal" xfId="0" builtinId="0"/>
    <cellStyle name="Normal 10" xfId="168" xr:uid="{00000000-0005-0000-0000-0000AC000000}"/>
    <cellStyle name="Normal 10 2" xfId="169" xr:uid="{00000000-0005-0000-0000-0000AD000000}"/>
    <cellStyle name="Normal 10 2 2" xfId="170" xr:uid="{00000000-0005-0000-0000-0000AE000000}"/>
    <cellStyle name="Normal 10 3" xfId="171" xr:uid="{00000000-0005-0000-0000-0000AF000000}"/>
    <cellStyle name="Normal 10 3 2" xfId="172" xr:uid="{00000000-0005-0000-0000-0000B0000000}"/>
    <cellStyle name="Normal 10 4" xfId="173" xr:uid="{00000000-0005-0000-0000-0000B1000000}"/>
    <cellStyle name="Normal 11" xfId="174" xr:uid="{00000000-0005-0000-0000-0000B2000000}"/>
    <cellStyle name="Normal 11 2" xfId="175" xr:uid="{00000000-0005-0000-0000-0000B3000000}"/>
    <cellStyle name="Normal 12" xfId="176" xr:uid="{00000000-0005-0000-0000-0000B4000000}"/>
    <cellStyle name="Normal 13" xfId="177" xr:uid="{00000000-0005-0000-0000-0000B5000000}"/>
    <cellStyle name="Normal 13 2" xfId="178" xr:uid="{00000000-0005-0000-0000-0000B6000000}"/>
    <cellStyle name="Normal 13 3" xfId="179" xr:uid="{00000000-0005-0000-0000-0000B7000000}"/>
    <cellStyle name="Normal 14" xfId="180" xr:uid="{00000000-0005-0000-0000-0000B8000000}"/>
    <cellStyle name="Normal 15" xfId="181" xr:uid="{00000000-0005-0000-0000-0000B9000000}"/>
    <cellStyle name="Normal 16" xfId="279" xr:uid="{00000000-0005-0000-0000-0000BA000000}"/>
    <cellStyle name="Normal 17" xfId="182" xr:uid="{00000000-0005-0000-0000-0000BB000000}"/>
    <cellStyle name="Normal 18" xfId="183" xr:uid="{00000000-0005-0000-0000-0000BC000000}"/>
    <cellStyle name="Normal 2" xfId="184" xr:uid="{00000000-0005-0000-0000-0000BD000000}"/>
    <cellStyle name="Normal 2 2" xfId="185" xr:uid="{00000000-0005-0000-0000-0000BE000000}"/>
    <cellStyle name="Normal 2 3" xfId="186" xr:uid="{00000000-0005-0000-0000-0000BF000000}"/>
    <cellStyle name="Normal 2 4" xfId="280" xr:uid="{00000000-0005-0000-0000-0000C0000000}"/>
    <cellStyle name="Normal 3" xfId="187" xr:uid="{00000000-0005-0000-0000-0000C1000000}"/>
    <cellStyle name="Normal 3 2" xfId="188" xr:uid="{00000000-0005-0000-0000-0000C2000000}"/>
    <cellStyle name="Normal 3 3" xfId="189" xr:uid="{00000000-0005-0000-0000-0000C3000000}"/>
    <cellStyle name="Normal 3 4" xfId="190" xr:uid="{00000000-0005-0000-0000-0000C4000000}"/>
    <cellStyle name="Normal 4" xfId="191" xr:uid="{00000000-0005-0000-0000-0000C5000000}"/>
    <cellStyle name="Normal 4 2" xfId="192" xr:uid="{00000000-0005-0000-0000-0000C6000000}"/>
    <cellStyle name="Normal 4 2 2" xfId="193" xr:uid="{00000000-0005-0000-0000-0000C7000000}"/>
    <cellStyle name="Normal 4 3" xfId="194" xr:uid="{00000000-0005-0000-0000-0000C8000000}"/>
    <cellStyle name="Normal 4 3 2" xfId="195" xr:uid="{00000000-0005-0000-0000-0000C9000000}"/>
    <cellStyle name="Normal 4 4" xfId="196" xr:uid="{00000000-0005-0000-0000-0000CA000000}"/>
    <cellStyle name="Normal 4 5" xfId="197" xr:uid="{00000000-0005-0000-0000-0000CB000000}"/>
    <cellStyle name="Normal 5" xfId="198" xr:uid="{00000000-0005-0000-0000-0000CC000000}"/>
    <cellStyle name="Normal 6" xfId="199" xr:uid="{00000000-0005-0000-0000-0000CD000000}"/>
    <cellStyle name="Normal 7" xfId="200" xr:uid="{00000000-0005-0000-0000-0000CE000000}"/>
    <cellStyle name="Normal 8" xfId="201" xr:uid="{00000000-0005-0000-0000-0000CF000000}"/>
    <cellStyle name="Normal 9" xfId="202" xr:uid="{00000000-0005-0000-0000-0000D0000000}"/>
    <cellStyle name="Normal GHG-Shade" xfId="203" xr:uid="{00000000-0005-0000-0000-0000D1000000}"/>
    <cellStyle name="Note 2" xfId="204" xr:uid="{00000000-0005-0000-0000-0000D2000000}"/>
    <cellStyle name="Note 2 2" xfId="205" xr:uid="{00000000-0005-0000-0000-0000D3000000}"/>
    <cellStyle name="Note 2 2 2" xfId="206" xr:uid="{00000000-0005-0000-0000-0000D4000000}"/>
    <cellStyle name="Note 2 2 2 2" xfId="207" xr:uid="{00000000-0005-0000-0000-0000D5000000}"/>
    <cellStyle name="Note 2 2 2 3" xfId="208" xr:uid="{00000000-0005-0000-0000-0000D6000000}"/>
    <cellStyle name="Note 2 3" xfId="209" xr:uid="{00000000-0005-0000-0000-0000D7000000}"/>
    <cellStyle name="Note 2 3 2" xfId="210" xr:uid="{00000000-0005-0000-0000-0000D8000000}"/>
    <cellStyle name="Note 2 3 3" xfId="211" xr:uid="{00000000-0005-0000-0000-0000D9000000}"/>
    <cellStyle name="Output 2" xfId="212" xr:uid="{00000000-0005-0000-0000-0000DA000000}"/>
    <cellStyle name="Output 2 2" xfId="213" xr:uid="{00000000-0005-0000-0000-0000DB000000}"/>
    <cellStyle name="Output 2 2 2" xfId="214" xr:uid="{00000000-0005-0000-0000-0000DC000000}"/>
    <cellStyle name="Output 2 2 2 2" xfId="215" xr:uid="{00000000-0005-0000-0000-0000DD000000}"/>
    <cellStyle name="Output 2 2 2 3" xfId="216" xr:uid="{00000000-0005-0000-0000-0000DE000000}"/>
    <cellStyle name="Output 2 3" xfId="217" xr:uid="{00000000-0005-0000-0000-0000DF000000}"/>
    <cellStyle name="Output 2 3 2" xfId="218" xr:uid="{00000000-0005-0000-0000-0000E0000000}"/>
    <cellStyle name="Output 2 3 3" xfId="219" xr:uid="{00000000-0005-0000-0000-0000E1000000}"/>
    <cellStyle name="Percent 10" xfId="220" xr:uid="{00000000-0005-0000-0000-0000E2000000}"/>
    <cellStyle name="Percent 10 2" xfId="221" xr:uid="{00000000-0005-0000-0000-0000E3000000}"/>
    <cellStyle name="Percent 10 3" xfId="222" xr:uid="{00000000-0005-0000-0000-0000E4000000}"/>
    <cellStyle name="Percent 2" xfId="223" xr:uid="{00000000-0005-0000-0000-0000E5000000}"/>
    <cellStyle name="Percent 2 2" xfId="224" xr:uid="{00000000-0005-0000-0000-0000E6000000}"/>
    <cellStyle name="Percent 2 3" xfId="225" xr:uid="{00000000-0005-0000-0000-0000E7000000}"/>
    <cellStyle name="Percent 3" xfId="226" xr:uid="{00000000-0005-0000-0000-0000E8000000}"/>
    <cellStyle name="Percent 4" xfId="227" xr:uid="{00000000-0005-0000-0000-0000E9000000}"/>
    <cellStyle name="Percent 5" xfId="228" xr:uid="{00000000-0005-0000-0000-0000EA000000}"/>
    <cellStyle name="Percent 5 2" xfId="229" xr:uid="{00000000-0005-0000-0000-0000EB000000}"/>
    <cellStyle name="Percent 6" xfId="230" xr:uid="{00000000-0005-0000-0000-0000EC000000}"/>
    <cellStyle name="Percent 7" xfId="231" xr:uid="{00000000-0005-0000-0000-0000ED000000}"/>
    <cellStyle name="Percent 8" xfId="232" xr:uid="{00000000-0005-0000-0000-0000EE000000}"/>
    <cellStyle name="Percent 9" xfId="233" xr:uid="{00000000-0005-0000-0000-0000EF000000}"/>
    <cellStyle name="Publication_style" xfId="234" xr:uid="{00000000-0005-0000-0000-0000F0000000}"/>
    <cellStyle name="Refdb standard" xfId="235" xr:uid="{00000000-0005-0000-0000-0000F1000000}"/>
    <cellStyle name="Refdb standard 2" xfId="236" xr:uid="{00000000-0005-0000-0000-0000F2000000}"/>
    <cellStyle name="Shade" xfId="237" xr:uid="{00000000-0005-0000-0000-0000F3000000}"/>
    <cellStyle name="Shade 2" xfId="238" xr:uid="{00000000-0005-0000-0000-0000F4000000}"/>
    <cellStyle name="Shade 3" xfId="239" xr:uid="{00000000-0005-0000-0000-0000F5000000}"/>
    <cellStyle name="Source" xfId="240" xr:uid="{00000000-0005-0000-0000-0000F6000000}"/>
    <cellStyle name="Source Hed" xfId="241" xr:uid="{00000000-0005-0000-0000-0000F7000000}"/>
    <cellStyle name="Source Text" xfId="242" xr:uid="{00000000-0005-0000-0000-0000F8000000}"/>
    <cellStyle name="Standard_E00seit45" xfId="243" xr:uid="{00000000-0005-0000-0000-0000F9000000}"/>
    <cellStyle name="Style 21" xfId="244" xr:uid="{00000000-0005-0000-0000-0000FA000000}"/>
    <cellStyle name="Style 21 2" xfId="245" xr:uid="{00000000-0005-0000-0000-0000FB000000}"/>
    <cellStyle name="Style 22" xfId="246" xr:uid="{00000000-0005-0000-0000-0000FC000000}"/>
    <cellStyle name="Style 22 2" xfId="247" xr:uid="{00000000-0005-0000-0000-0000FD000000}"/>
    <cellStyle name="Style 23" xfId="248" xr:uid="{00000000-0005-0000-0000-0000FE000000}"/>
    <cellStyle name="Style 23 2" xfId="249" xr:uid="{00000000-0005-0000-0000-0000FF000000}"/>
    <cellStyle name="Style 24" xfId="250" xr:uid="{00000000-0005-0000-0000-000000010000}"/>
    <cellStyle name="Style 24 2" xfId="251" xr:uid="{00000000-0005-0000-0000-000001010000}"/>
    <cellStyle name="Style 29" xfId="252" xr:uid="{00000000-0005-0000-0000-000002010000}"/>
    <cellStyle name="Style 29 2" xfId="253" xr:uid="{00000000-0005-0000-0000-000003010000}"/>
    <cellStyle name="Style 30" xfId="254" xr:uid="{00000000-0005-0000-0000-000004010000}"/>
    <cellStyle name="Style 30 2" xfId="255" xr:uid="{00000000-0005-0000-0000-000005010000}"/>
    <cellStyle name="Style 31" xfId="256" xr:uid="{00000000-0005-0000-0000-000006010000}"/>
    <cellStyle name="Style 31 2" xfId="257" xr:uid="{00000000-0005-0000-0000-000007010000}"/>
    <cellStyle name="Style 32" xfId="258" xr:uid="{00000000-0005-0000-0000-000008010000}"/>
    <cellStyle name="Style 32 2" xfId="259" xr:uid="{00000000-0005-0000-0000-000009010000}"/>
    <cellStyle name="Title 2" xfId="260" xr:uid="{00000000-0005-0000-0000-00000A010000}"/>
    <cellStyle name="Title-1" xfId="261" xr:uid="{00000000-0005-0000-0000-00000B010000}"/>
    <cellStyle name="Title-2" xfId="262" xr:uid="{00000000-0005-0000-0000-00000C010000}"/>
    <cellStyle name="Titre ligne" xfId="263" xr:uid="{00000000-0005-0000-0000-00000D010000}"/>
    <cellStyle name="Total 2" xfId="264" xr:uid="{00000000-0005-0000-0000-00000E010000}"/>
    <cellStyle name="Total 2 2" xfId="265" xr:uid="{00000000-0005-0000-0000-00000F010000}"/>
    <cellStyle name="Total intermediaire" xfId="266" xr:uid="{00000000-0005-0000-0000-000010010000}"/>
    <cellStyle name="Tusenskille [0]_rob4-mon.xls Diagram 1" xfId="267" xr:uid="{00000000-0005-0000-0000-000011010000}"/>
    <cellStyle name="Tusenskille_rob4-mon.xls Diagram 1" xfId="268" xr:uid="{00000000-0005-0000-0000-000012010000}"/>
    <cellStyle name="Valuta [0]_rob4-mon.xls Diagram 1" xfId="269" xr:uid="{00000000-0005-0000-0000-000013010000}"/>
    <cellStyle name="Valuta_rob4-mon.xls Diagram 1" xfId="270" xr:uid="{00000000-0005-0000-0000-000014010000}"/>
    <cellStyle name="Währung [0]_Excel2" xfId="271" xr:uid="{00000000-0005-0000-0000-000015010000}"/>
    <cellStyle name="Währung_Excel2" xfId="272" xr:uid="{00000000-0005-0000-0000-000016010000}"/>
    <cellStyle name="Warning Text 2" xfId="273" xr:uid="{00000000-0005-0000-0000-000017010000}"/>
    <cellStyle name="Year" xfId="274" xr:uid="{00000000-0005-0000-0000-000018010000}"/>
    <cellStyle name="Обычный_2++_CRFReport-template" xfId="275" xr:uid="{00000000-0005-0000-0000-000019010000}"/>
  </cellStyles>
  <dxfs count="90">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FF0000"/>
        </patternFill>
      </fill>
    </dxf>
    <dxf>
      <fill>
        <patternFill>
          <fgColor indexed="64"/>
          <bgColor rgb="FF50C878"/>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FF000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FF000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FF000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bgColor rgb="FFFF000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808080"/>
        </patternFill>
      </fill>
    </dxf>
    <dxf>
      <fill>
        <patternFill patternType="solid">
          <fgColor indexed="64"/>
          <bgColor rgb="FFFF0000"/>
        </patternFill>
      </fill>
    </dxf>
    <dxf>
      <fill>
        <patternFill>
          <bgColor rgb="FFFF0000"/>
        </patternFill>
      </fill>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dxf>
    <dxf>
      <numFmt numFmtId="0" formatCode="General"/>
    </dxf>
    <dxf>
      <alignment horizontal="general" vertical="center" textRotation="0" wrapText="1" indent="0" justifyLastLine="0" shrinkToFit="0" readingOrder="0"/>
    </dxf>
    <dxf>
      <fill>
        <patternFill>
          <fgColor indexed="64"/>
          <bgColor rgb="FF50C878"/>
        </patternFill>
      </fill>
    </dxf>
    <dxf>
      <font>
        <color auto="1"/>
      </font>
      <fill>
        <patternFill>
          <bgColor rgb="FFFF0000"/>
        </patternFill>
      </fill>
    </dxf>
    <dxf>
      <font>
        <color auto="1"/>
      </font>
      <fill>
        <patternFill>
          <bgColor rgb="FFFF0000"/>
        </patternFill>
      </fill>
    </dxf>
    <dxf>
      <font>
        <color theme="1" tint="0.499984740745262"/>
      </font>
      <fill>
        <patternFill>
          <bgColor theme="0" tint="-0.34998626667073579"/>
        </patternFill>
      </fill>
    </dxf>
    <dxf>
      <font>
        <color rgb="FFFF0000"/>
      </font>
    </dxf>
    <dxf>
      <fill>
        <patternFill>
          <bgColor rgb="FFFF0000"/>
        </patternFill>
      </fill>
    </dxf>
    <dxf>
      <fill>
        <patternFill>
          <bgColor rgb="FFFF0000"/>
        </patternFill>
      </fill>
    </dxf>
    <dxf>
      <font>
        <color rgb="FFFF0000"/>
      </font>
    </dxf>
    <dxf>
      <font>
        <color theme="0"/>
      </font>
    </dxf>
    <dxf>
      <font>
        <color theme="0"/>
      </font>
    </dxf>
    <dxf>
      <font>
        <color theme="0" tint="-0.499984740745262"/>
      </font>
      <fill>
        <patternFill>
          <bgColor theme="0" tint="-0.34998626667073579"/>
        </patternFill>
      </fill>
    </dxf>
  </dxfs>
  <tableStyles count="0" defaultTableStyle="TableStyleMedium2" defaultPivotStyle="PivotStyleLight16"/>
  <colors>
    <mruColors>
      <color rgb="FF008BCE"/>
      <color rgb="FFBCC5C4"/>
      <color rgb="FFA0A0BE"/>
      <color rgb="FFFF7C80"/>
      <color rgb="FF002E5F"/>
      <color rgb="FF008BCB"/>
      <color rgb="FFCB268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285806851822281E-2"/>
          <c:y val="2.9035223592019051E-2"/>
          <c:w val="0.86306931310913226"/>
          <c:h val="0.8020644845016538"/>
        </c:manualLayout>
      </c:layout>
      <c:barChart>
        <c:barDir val="col"/>
        <c:grouping val="clustered"/>
        <c:varyColors val="0"/>
        <c:ser>
          <c:idx val="0"/>
          <c:order val="0"/>
          <c:spPr>
            <a:solidFill>
              <a:srgbClr val="A0A0BE"/>
            </a:solidFill>
            <a:ln>
              <a:solidFill>
                <a:srgbClr val="A0A0BE"/>
              </a:solidFill>
            </a:ln>
          </c:spPr>
          <c:invertIfNegative val="0"/>
          <c:val>
            <c:numRef>
              <c:f>'Chart data'!$C$8</c:f>
              <c:numCache>
                <c:formatCode>General</c:formatCode>
                <c:ptCount val="1"/>
                <c:pt idx="0">
                  <c:v>78.086150529999998</c:v>
                </c:pt>
              </c:numCache>
            </c:numRef>
          </c:val>
          <c:extLst>
            <c:ext xmlns:c16="http://schemas.microsoft.com/office/drawing/2014/chart" uri="{C3380CC4-5D6E-409C-BE32-E72D297353CC}">
              <c16:uniqueId val="{00000000-3EA7-4636-8C21-756844B656B0}"/>
            </c:ext>
          </c:extLst>
        </c:ser>
        <c:ser>
          <c:idx val="4"/>
          <c:order val="3"/>
          <c:spPr>
            <a:solidFill>
              <a:srgbClr val="008BCB"/>
            </a:solidFill>
            <a:ln>
              <a:solidFill>
                <a:srgbClr val="008BCB"/>
              </a:solidFill>
            </a:ln>
          </c:spPr>
          <c:invertIfNegative val="0"/>
          <c:val>
            <c:numRef>
              <c:f>'Chart data'!$G$8</c:f>
              <c:numCache>
                <c:formatCode>General</c:formatCode>
                <c:ptCount val="1"/>
                <c:pt idx="0">
                  <c:v>78.086150529999998</c:v>
                </c:pt>
              </c:numCache>
            </c:numRef>
          </c:val>
          <c:extLst>
            <c:ext xmlns:c16="http://schemas.microsoft.com/office/drawing/2014/chart" uri="{C3380CC4-5D6E-409C-BE32-E72D297353CC}">
              <c16:uniqueId val="{00000003-AA2A-4D02-823A-79824903FF34}"/>
            </c:ext>
          </c:extLst>
        </c:ser>
        <c:dLbls>
          <c:showLegendKey val="0"/>
          <c:showVal val="0"/>
          <c:showCatName val="0"/>
          <c:showSerName val="0"/>
          <c:showPercent val="0"/>
          <c:showBubbleSize val="0"/>
        </c:dLbls>
        <c:gapWidth val="150"/>
        <c:axId val="149099648"/>
        <c:axId val="149101184"/>
      </c:barChart>
      <c:lineChart>
        <c:grouping val="standard"/>
        <c:varyColors val="0"/>
        <c:ser>
          <c:idx val="1"/>
          <c:order val="1"/>
          <c:spPr>
            <a:ln>
              <a:solidFill>
                <a:srgbClr val="98B954"/>
              </a:solidFill>
            </a:ln>
          </c:spPr>
          <c:marker>
            <c:symbol val="none"/>
          </c:marker>
          <c:val>
            <c:numRef>
              <c:f>'Chart data'!$D$8</c:f>
              <c:numCache>
                <c:formatCode>General</c:formatCode>
                <c:ptCount val="1"/>
                <c:pt idx="0">
                  <c:v>43.337783999999999</c:v>
                </c:pt>
              </c:numCache>
            </c:numRef>
          </c:val>
          <c:smooth val="0"/>
          <c:extLst>
            <c:ext xmlns:c16="http://schemas.microsoft.com/office/drawing/2014/chart" uri="{C3380CC4-5D6E-409C-BE32-E72D297353CC}">
              <c16:uniqueId val="{00000000-AA2A-4D02-823A-79824903FF34}"/>
            </c:ext>
          </c:extLst>
        </c:ser>
        <c:ser>
          <c:idx val="2"/>
          <c:order val="2"/>
          <c:spPr>
            <a:ln>
              <a:solidFill>
                <a:srgbClr val="BE4B48"/>
              </a:solidFill>
            </a:ln>
          </c:spPr>
          <c:marker>
            <c:symbol val="none"/>
          </c:marker>
          <c:val>
            <c:numRef>
              <c:f>'Chart data'!$E$8</c:f>
              <c:numCache>
                <c:formatCode>General</c:formatCode>
                <c:ptCount val="1"/>
                <c:pt idx="0">
                  <c:v>99.790950000000009</c:v>
                </c:pt>
              </c:numCache>
            </c:numRef>
          </c:val>
          <c:smooth val="0"/>
          <c:extLst>
            <c:ext xmlns:c16="http://schemas.microsoft.com/office/drawing/2014/chart" uri="{C3380CC4-5D6E-409C-BE32-E72D297353CC}">
              <c16:uniqueId val="{00000001-AA2A-4D02-823A-79824903FF34}"/>
            </c:ext>
          </c:extLst>
        </c:ser>
        <c:dLbls>
          <c:showLegendKey val="0"/>
          <c:showVal val="0"/>
          <c:showCatName val="0"/>
          <c:showSerName val="0"/>
          <c:showPercent val="0"/>
          <c:showBubbleSize val="0"/>
        </c:dLbls>
        <c:marker val="1"/>
        <c:smooth val="0"/>
        <c:axId val="149099648"/>
        <c:axId val="149101184"/>
      </c:lineChart>
      <c:catAx>
        <c:axId val="149099648"/>
        <c:scaling>
          <c:orientation val="minMax"/>
        </c:scaling>
        <c:delete val="0"/>
        <c:axPos val="b"/>
        <c:numFmt formatCode="General" sourceLinked="1"/>
        <c:majorTickMark val="out"/>
        <c:minorTickMark val="none"/>
        <c:tickLblPos val="none"/>
        <c:crossAx val="149101184"/>
        <c:crosses val="autoZero"/>
        <c:auto val="1"/>
        <c:lblAlgn val="ctr"/>
        <c:lblOffset val="100"/>
        <c:noMultiLvlLbl val="0"/>
      </c:catAx>
      <c:valAx>
        <c:axId val="149101184"/>
        <c:scaling>
          <c:orientation val="minMax"/>
        </c:scaling>
        <c:delete val="0"/>
        <c:axPos val="l"/>
        <c:title>
          <c:tx>
            <c:rich>
              <a:bodyPr rot="-5400000" vert="horz"/>
              <a:lstStyle/>
              <a:p>
                <a:pPr>
                  <a:defRPr/>
                </a:pPr>
                <a:r>
                  <a:rPr lang="en-GB" sz="1100"/>
                  <a:t>Tonnes of CO</a:t>
                </a:r>
                <a:r>
                  <a:rPr lang="en-GB" sz="1100" baseline="-25000"/>
                  <a:t>2</a:t>
                </a:r>
                <a:r>
                  <a:rPr lang="en-GB" sz="1100"/>
                  <a:t>e</a:t>
                </a:r>
              </a:p>
            </c:rich>
          </c:tx>
          <c:layout>
            <c:manualLayout>
              <c:xMode val="edge"/>
              <c:yMode val="edge"/>
              <c:x val="5.7722067866258775E-3"/>
              <c:y val="0.30378183451708585"/>
            </c:manualLayout>
          </c:layout>
          <c:overlay val="0"/>
        </c:title>
        <c:numFmt formatCode="General" sourceLinked="1"/>
        <c:majorTickMark val="out"/>
        <c:minorTickMark val="none"/>
        <c:tickLblPos val="nextTo"/>
        <c:crossAx val="149099648"/>
        <c:crosses val="autoZero"/>
        <c:crossBetween val="between"/>
      </c:valAx>
    </c:plotArea>
    <c:plotVisOnly val="1"/>
    <c:dispBlanksAs val="gap"/>
    <c:showDLblsOverMax val="0"/>
  </c:chart>
  <c:spPr>
    <a:ln>
      <a:no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725517788378905E-2"/>
          <c:y val="0.40070917633320152"/>
          <c:w val="0.77884856087107945"/>
          <c:h val="0.50360900528572639"/>
        </c:manualLayout>
      </c:layout>
      <c:lineChart>
        <c:grouping val="standard"/>
        <c:varyColors val="0"/>
        <c:ser>
          <c:idx val="0"/>
          <c:order val="0"/>
          <c:tx>
            <c:v>Individual Return</c:v>
          </c:tx>
          <c:spPr>
            <a:ln>
              <a:solidFill>
                <a:srgbClr val="008BCB"/>
              </a:solidFill>
            </a:ln>
          </c:spPr>
          <c:marker>
            <c:symbol val="triangle"/>
            <c:size val="5"/>
            <c:spPr>
              <a:ln>
                <a:solidFill>
                  <a:srgbClr val="008BCB"/>
                </a:solidFill>
              </a:ln>
            </c:spPr>
          </c:marker>
          <c:cat>
            <c:strRef>
              <c:f>'Chart data'!$N$8</c:f>
              <c:strCache>
                <c:ptCount val="1"/>
                <c:pt idx="0">
                  <c:v>2025 Oct - Dec</c:v>
                </c:pt>
              </c:strCache>
            </c:strRef>
          </c:cat>
          <c:val>
            <c:numRef>
              <c:f>'Chart data'!$O$8</c:f>
              <c:numCache>
                <c:formatCode>0.00</c:formatCode>
                <c:ptCount val="1"/>
                <c:pt idx="0">
                  <c:v>435.21915599326712</c:v>
                </c:pt>
              </c:numCache>
            </c:numRef>
          </c:val>
          <c:smooth val="0"/>
          <c:extLst>
            <c:ext xmlns:c16="http://schemas.microsoft.com/office/drawing/2014/chart" uri="{C3380CC4-5D6E-409C-BE32-E72D297353CC}">
              <c16:uniqueId val="{00000000-7524-4487-983F-9EA75F125A86}"/>
            </c:ext>
          </c:extLst>
        </c:ser>
        <c:ser>
          <c:idx val="1"/>
          <c:order val="1"/>
          <c:tx>
            <c:v>Lower Benchmark</c:v>
          </c:tx>
          <c:spPr>
            <a:ln>
              <a:solidFill>
                <a:srgbClr val="98B954"/>
              </a:solidFill>
            </a:ln>
          </c:spPr>
          <c:marker>
            <c:symbol val="none"/>
          </c:marker>
          <c:cat>
            <c:strRef>
              <c:f>'Chart data'!$N$8</c:f>
              <c:strCache>
                <c:ptCount val="1"/>
                <c:pt idx="0">
                  <c:v>2025 Oct - Dec</c:v>
                </c:pt>
              </c:strCache>
            </c:strRef>
          </c:cat>
          <c:val>
            <c:numRef>
              <c:f>'Chart data'!$P$8</c:f>
              <c:numCache>
                <c:formatCode>General</c:formatCode>
                <c:ptCount val="1"/>
                <c:pt idx="0">
                  <c:v>152</c:v>
                </c:pt>
              </c:numCache>
            </c:numRef>
          </c:val>
          <c:smooth val="0"/>
          <c:extLst>
            <c:ext xmlns:c16="http://schemas.microsoft.com/office/drawing/2014/chart" uri="{C3380CC4-5D6E-409C-BE32-E72D297353CC}">
              <c16:uniqueId val="{00000000-D86F-481E-9B8D-909C3CB01F29}"/>
            </c:ext>
          </c:extLst>
        </c:ser>
        <c:ser>
          <c:idx val="2"/>
          <c:order val="2"/>
          <c:tx>
            <c:v>Upper Benchmark</c:v>
          </c:tx>
          <c:spPr>
            <a:ln>
              <a:solidFill>
                <a:srgbClr val="BE4B48"/>
              </a:solidFill>
            </a:ln>
          </c:spPr>
          <c:marker>
            <c:symbol val="none"/>
          </c:marker>
          <c:cat>
            <c:strRef>
              <c:f>'Chart data'!$N$8</c:f>
              <c:strCache>
                <c:ptCount val="1"/>
                <c:pt idx="0">
                  <c:v>2025 Oct - Dec</c:v>
                </c:pt>
              </c:strCache>
            </c:strRef>
          </c:cat>
          <c:val>
            <c:numRef>
              <c:f>'Chart data'!$Q$8</c:f>
              <c:numCache>
                <c:formatCode>General</c:formatCode>
                <c:ptCount val="1"/>
                <c:pt idx="0">
                  <c:v>350</c:v>
                </c:pt>
              </c:numCache>
            </c:numRef>
          </c:val>
          <c:smooth val="0"/>
          <c:extLst>
            <c:ext xmlns:c16="http://schemas.microsoft.com/office/drawing/2014/chart" uri="{C3380CC4-5D6E-409C-BE32-E72D297353CC}">
              <c16:uniqueId val="{00000001-D86F-481E-9B8D-909C3CB01F29}"/>
            </c:ext>
          </c:extLst>
        </c:ser>
        <c:ser>
          <c:idx val="3"/>
          <c:order val="3"/>
          <c:tx>
            <c:v>Project to date</c:v>
          </c:tx>
          <c:spPr>
            <a:ln>
              <a:solidFill>
                <a:srgbClr val="A0A0BE"/>
              </a:solidFill>
            </a:ln>
          </c:spPr>
          <c:marker>
            <c:symbol val="diamond"/>
            <c:size val="5"/>
            <c:spPr>
              <a:ln>
                <a:solidFill>
                  <a:srgbClr val="A0A0BE"/>
                </a:solidFill>
              </a:ln>
            </c:spPr>
          </c:marker>
          <c:cat>
            <c:strRef>
              <c:f>'Chart data'!$N$8</c:f>
              <c:strCache>
                <c:ptCount val="1"/>
                <c:pt idx="0">
                  <c:v>2025 Oct - Dec</c:v>
                </c:pt>
              </c:strCache>
            </c:strRef>
          </c:cat>
          <c:val>
            <c:numRef>
              <c:f>'Chart data'!$R$8</c:f>
              <c:numCache>
                <c:formatCode>General</c:formatCode>
                <c:ptCount val="1"/>
                <c:pt idx="0">
                  <c:v>435.21915599326712</c:v>
                </c:pt>
              </c:numCache>
            </c:numRef>
          </c:val>
          <c:smooth val="0"/>
          <c:extLst>
            <c:ext xmlns:c16="http://schemas.microsoft.com/office/drawing/2014/chart" uri="{C3380CC4-5D6E-409C-BE32-E72D297353CC}">
              <c16:uniqueId val="{00000002-D86F-481E-9B8D-909C3CB01F29}"/>
            </c:ext>
          </c:extLst>
        </c:ser>
        <c:dLbls>
          <c:showLegendKey val="0"/>
          <c:showVal val="0"/>
          <c:showCatName val="0"/>
          <c:showSerName val="0"/>
          <c:showPercent val="0"/>
          <c:showBubbleSize val="0"/>
        </c:dLbls>
        <c:marker val="1"/>
        <c:smooth val="0"/>
        <c:axId val="149329024"/>
        <c:axId val="149330560"/>
      </c:lineChart>
      <c:catAx>
        <c:axId val="149329024"/>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149330560"/>
        <c:crosses val="autoZero"/>
        <c:auto val="1"/>
        <c:lblAlgn val="ctr"/>
        <c:lblOffset val="100"/>
        <c:noMultiLvlLbl val="0"/>
      </c:catAx>
      <c:valAx>
        <c:axId val="149330560"/>
        <c:scaling>
          <c:orientation val="minMax"/>
        </c:scaling>
        <c:delete val="0"/>
        <c:axPos val="l"/>
        <c:title>
          <c:tx>
            <c:rich>
              <a:bodyPr rot="-5400000" vert="horz"/>
              <a:lstStyle/>
              <a:p>
                <a:pPr>
                  <a:defRPr/>
                </a:pPr>
                <a:r>
                  <a:rPr lang="en-GB" sz="1100"/>
                  <a:t>CO</a:t>
                </a:r>
                <a:r>
                  <a:rPr lang="en-GB" sz="1100" baseline="-25000"/>
                  <a:t>2</a:t>
                </a:r>
                <a:r>
                  <a:rPr lang="en-GB" sz="1100"/>
                  <a:t>e per £ million spend</a:t>
                </a:r>
              </a:p>
            </c:rich>
          </c:tx>
          <c:layout>
            <c:manualLayout>
              <c:xMode val="edge"/>
              <c:yMode val="edge"/>
              <c:x val="3.5198129346393405E-3"/>
              <c:y val="0.43195853955897151"/>
            </c:manualLayout>
          </c:layout>
          <c:overlay val="0"/>
        </c:title>
        <c:numFmt formatCode="0.00" sourceLinked="1"/>
        <c:majorTickMark val="out"/>
        <c:minorTickMark val="none"/>
        <c:tickLblPos val="nextTo"/>
        <c:crossAx val="149329024"/>
        <c:crosses val="autoZero"/>
        <c:crossBetween val="between"/>
      </c:valAx>
    </c:plotArea>
    <c:legend>
      <c:legendPos val="tr"/>
      <c:layout>
        <c:manualLayout>
          <c:xMode val="edge"/>
          <c:yMode val="edge"/>
          <c:x val="0.85679289167867134"/>
          <c:y val="1.6885854064117051E-2"/>
          <c:w val="0.13536804652328865"/>
          <c:h val="0.5628618021372350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12257158640524"/>
          <c:y val="0"/>
          <c:w val="0.79547821464622592"/>
          <c:h val="0.97912575742846975"/>
        </c:manualLayout>
      </c:layout>
      <c:pieChart>
        <c:varyColors val="1"/>
        <c:ser>
          <c:idx val="0"/>
          <c:order val="0"/>
          <c:explosion val="1"/>
          <c:dPt>
            <c:idx val="0"/>
            <c:bubble3D val="0"/>
            <c:spPr>
              <a:solidFill>
                <a:schemeClr val="bg2">
                  <a:lumMod val="75000"/>
                </a:schemeClr>
              </a:solidFill>
            </c:spPr>
            <c:extLst>
              <c:ext xmlns:c16="http://schemas.microsoft.com/office/drawing/2014/chart" uri="{C3380CC4-5D6E-409C-BE32-E72D297353CC}">
                <c16:uniqueId val="{00000001-8DB3-480F-A7C9-63DC3F4CF44F}"/>
              </c:ext>
            </c:extLst>
          </c:dPt>
          <c:dPt>
            <c:idx val="1"/>
            <c:bubble3D val="0"/>
            <c:spPr>
              <a:solidFill>
                <a:schemeClr val="accent1">
                  <a:lumMod val="40000"/>
                  <a:lumOff val="60000"/>
                </a:schemeClr>
              </a:solidFill>
            </c:spPr>
            <c:extLst>
              <c:ext xmlns:c16="http://schemas.microsoft.com/office/drawing/2014/chart" uri="{C3380CC4-5D6E-409C-BE32-E72D297353CC}">
                <c16:uniqueId val="{00000003-8DB3-480F-A7C9-63DC3F4CF44F}"/>
              </c:ext>
            </c:extLst>
          </c:dPt>
          <c:dPt>
            <c:idx val="2"/>
            <c:bubble3D val="0"/>
            <c:spPr>
              <a:solidFill>
                <a:schemeClr val="accent6">
                  <a:lumMod val="20000"/>
                  <a:lumOff val="80000"/>
                </a:schemeClr>
              </a:solidFill>
            </c:spPr>
            <c:extLst>
              <c:ext xmlns:c16="http://schemas.microsoft.com/office/drawing/2014/chart" uri="{C3380CC4-5D6E-409C-BE32-E72D297353CC}">
                <c16:uniqueId val="{00000005-8DB3-480F-A7C9-63DC3F4CF44F}"/>
              </c:ext>
            </c:extLst>
          </c:dPt>
          <c:dPt>
            <c:idx val="3"/>
            <c:bubble3D val="0"/>
            <c:spPr>
              <a:solidFill>
                <a:schemeClr val="accent5"/>
              </a:solidFill>
            </c:spPr>
            <c:extLst>
              <c:ext xmlns:c16="http://schemas.microsoft.com/office/drawing/2014/chart" uri="{C3380CC4-5D6E-409C-BE32-E72D297353CC}">
                <c16:uniqueId val="{00000007-8DB3-480F-A7C9-63DC3F4CF44F}"/>
              </c:ext>
            </c:extLst>
          </c:dPt>
          <c:dPt>
            <c:idx val="4"/>
            <c:bubble3D val="0"/>
            <c:spPr>
              <a:solidFill>
                <a:schemeClr val="accent3"/>
              </a:solidFill>
            </c:spPr>
            <c:extLst>
              <c:ext xmlns:c16="http://schemas.microsoft.com/office/drawing/2014/chart" uri="{C3380CC4-5D6E-409C-BE32-E72D297353CC}">
                <c16:uniqueId val="{00000009-8DB3-480F-A7C9-63DC3F4CF44F}"/>
              </c:ext>
            </c:extLst>
          </c:dPt>
          <c:dPt>
            <c:idx val="5"/>
            <c:bubble3D val="0"/>
            <c:spPr>
              <a:solidFill>
                <a:schemeClr val="tx1">
                  <a:lumMod val="65000"/>
                  <a:lumOff val="35000"/>
                </a:schemeClr>
              </a:solidFill>
            </c:spPr>
            <c:extLst>
              <c:ext xmlns:c16="http://schemas.microsoft.com/office/drawing/2014/chart" uri="{C3380CC4-5D6E-409C-BE32-E72D297353CC}">
                <c16:uniqueId val="{0000000B-8DB3-480F-A7C9-63DC3F4CF44F}"/>
              </c:ext>
            </c:extLst>
          </c:dPt>
          <c:dPt>
            <c:idx val="6"/>
            <c:bubble3D val="0"/>
            <c:spPr>
              <a:solidFill>
                <a:schemeClr val="tx2">
                  <a:lumMod val="40000"/>
                  <a:lumOff val="60000"/>
                </a:schemeClr>
              </a:solidFill>
            </c:spPr>
            <c:extLst>
              <c:ext xmlns:c16="http://schemas.microsoft.com/office/drawing/2014/chart" uri="{C3380CC4-5D6E-409C-BE32-E72D297353CC}">
                <c16:uniqueId val="{0000000D-8DB3-480F-A7C9-63DC3F4CF44F}"/>
              </c:ext>
            </c:extLst>
          </c:dPt>
          <c:dPt>
            <c:idx val="7"/>
            <c:bubble3D val="0"/>
            <c:spPr>
              <a:solidFill>
                <a:schemeClr val="bg2">
                  <a:lumMod val="75000"/>
                </a:schemeClr>
              </a:solidFill>
            </c:spPr>
            <c:extLst>
              <c:ext xmlns:c16="http://schemas.microsoft.com/office/drawing/2014/chart" uri="{C3380CC4-5D6E-409C-BE32-E72D297353CC}">
                <c16:uniqueId val="{0000000F-8DB3-480F-A7C9-63DC3F4CF44F}"/>
              </c:ext>
            </c:extLst>
          </c:dPt>
          <c:val>
            <c:numRef>
              <c:f>'Summary Report'!$E$57:$E$63</c:f>
              <c:numCache>
                <c:formatCode>#,##0.000_ ;\-#,##0.000\ </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8DB3-480F-A7C9-63DC3F4CF44F}"/>
            </c:ext>
          </c:extLst>
        </c:ser>
        <c:dLbls>
          <c:showLegendKey val="0"/>
          <c:showVal val="0"/>
          <c:showCatName val="0"/>
          <c:showSerName val="0"/>
          <c:showPercent val="0"/>
          <c:showBubbleSize val="0"/>
          <c:showLeaderLines val="1"/>
        </c:dLbls>
        <c:firstSliceAng val="0"/>
      </c:pieChart>
    </c:plotArea>
    <c:plotVisOnly val="0"/>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explosion val="1"/>
          <c:dPt>
            <c:idx val="0"/>
            <c:bubble3D val="0"/>
            <c:spPr>
              <a:solidFill>
                <a:schemeClr val="accent2">
                  <a:lumMod val="40000"/>
                  <a:lumOff val="60000"/>
                </a:schemeClr>
              </a:solidFill>
            </c:spPr>
            <c:extLst>
              <c:ext xmlns:c16="http://schemas.microsoft.com/office/drawing/2014/chart" uri="{C3380CC4-5D6E-409C-BE32-E72D297353CC}">
                <c16:uniqueId val="{00000001-2EFD-4291-9F29-6698C8DE4C85}"/>
              </c:ext>
            </c:extLst>
          </c:dPt>
          <c:dPt>
            <c:idx val="1"/>
            <c:bubble3D val="0"/>
            <c:spPr>
              <a:solidFill>
                <a:schemeClr val="accent5">
                  <a:lumMod val="20000"/>
                  <a:lumOff val="80000"/>
                </a:schemeClr>
              </a:solidFill>
            </c:spPr>
            <c:extLst>
              <c:ext xmlns:c16="http://schemas.microsoft.com/office/drawing/2014/chart" uri="{C3380CC4-5D6E-409C-BE32-E72D297353CC}">
                <c16:uniqueId val="{00000003-2EFD-4291-9F29-6698C8DE4C85}"/>
              </c:ext>
            </c:extLst>
          </c:dPt>
          <c:dPt>
            <c:idx val="2"/>
            <c:bubble3D val="0"/>
            <c:spPr>
              <a:solidFill>
                <a:schemeClr val="accent6">
                  <a:lumMod val="20000"/>
                  <a:lumOff val="80000"/>
                </a:schemeClr>
              </a:solidFill>
            </c:spPr>
            <c:extLst>
              <c:ext xmlns:c16="http://schemas.microsoft.com/office/drawing/2014/chart" uri="{C3380CC4-5D6E-409C-BE32-E72D297353CC}">
                <c16:uniqueId val="{00000005-2EFD-4291-9F29-6698C8DE4C85}"/>
              </c:ext>
            </c:extLst>
          </c:dPt>
          <c:dPt>
            <c:idx val="3"/>
            <c:bubble3D val="0"/>
            <c:spPr>
              <a:solidFill>
                <a:schemeClr val="accent5"/>
              </a:solidFill>
            </c:spPr>
            <c:extLst>
              <c:ext xmlns:c16="http://schemas.microsoft.com/office/drawing/2014/chart" uri="{C3380CC4-5D6E-409C-BE32-E72D297353CC}">
                <c16:uniqueId val="{00000007-2EFD-4291-9F29-6698C8DE4C85}"/>
              </c:ext>
            </c:extLst>
          </c:dPt>
          <c:dPt>
            <c:idx val="5"/>
            <c:bubble3D val="0"/>
            <c:spPr>
              <a:solidFill>
                <a:schemeClr val="accent3"/>
              </a:solidFill>
            </c:spPr>
            <c:extLst>
              <c:ext xmlns:c16="http://schemas.microsoft.com/office/drawing/2014/chart" uri="{C3380CC4-5D6E-409C-BE32-E72D297353CC}">
                <c16:uniqueId val="{00000009-2EFD-4291-9F29-6698C8DE4C85}"/>
              </c:ext>
            </c:extLst>
          </c:dPt>
          <c:val>
            <c:numRef>
              <c:f>'Summary Report'!$M$57:$M$62</c:f>
              <c:numCache>
                <c:formatCode>#,##0.000_ ;\-#,##0.000\ </c:formatCode>
                <c:ptCount val="6"/>
                <c:pt idx="0">
                  <c:v>0</c:v>
                </c:pt>
                <c:pt idx="1">
                  <c:v>0</c:v>
                </c:pt>
                <c:pt idx="2">
                  <c:v>0</c:v>
                </c:pt>
                <c:pt idx="3">
                  <c:v>0</c:v>
                </c:pt>
                <c:pt idx="5">
                  <c:v>0</c:v>
                </c:pt>
              </c:numCache>
            </c:numRef>
          </c:val>
          <c:extLst>
            <c:ext xmlns:c16="http://schemas.microsoft.com/office/drawing/2014/chart" uri="{C3380CC4-5D6E-409C-BE32-E72D297353CC}">
              <c16:uniqueId val="{0000000A-2EFD-4291-9F29-6698C8DE4C85}"/>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Radio" firstButton="1" fmlaLink="$B$19" lockText="1" noThreeD="1"/>
</file>

<file path=xl/ctrlProps/ctrlProp54.xml><?xml version="1.0" encoding="utf-8"?>
<formControlPr xmlns="http://schemas.microsoft.com/office/spreadsheetml/2009/9/main" objectType="Radio" checked="Checked" lockText="1" noThreeD="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5.tmp"/></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7</xdr:row>
          <xdr:rowOff>220980</xdr:rowOff>
        </xdr:from>
        <xdr:to>
          <xdr:col>11</xdr:col>
          <xdr:colOff>601980</xdr:colOff>
          <xdr:row>9</xdr:row>
          <xdr:rowOff>106680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3366"/>
                  </a:solidFill>
                  <a:latin typeface="Calibri"/>
                  <a:ea typeface="Calibri"/>
                  <a:cs typeface="Calibri"/>
                </a:rPr>
                <a:t>Add new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10</xdr:row>
          <xdr:rowOff>30480</xdr:rowOff>
        </xdr:from>
        <xdr:to>
          <xdr:col>11</xdr:col>
          <xdr:colOff>601980</xdr:colOff>
          <xdr:row>11</xdr:row>
          <xdr:rowOff>182880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3366"/>
                  </a:solidFill>
                  <a:latin typeface="Calibri"/>
                  <a:ea typeface="Calibri"/>
                  <a:cs typeface="Calibri"/>
                </a:rPr>
                <a:t>Create export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449580</xdr:colOff>
          <xdr:row>23</xdr:row>
          <xdr:rowOff>259080</xdr:rowOff>
        </xdr:from>
        <xdr:to>
          <xdr:col>20</xdr:col>
          <xdr:colOff>106680</xdr:colOff>
          <xdr:row>23</xdr:row>
          <xdr:rowOff>487680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000-000008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On workbook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30480</xdr:colOff>
          <xdr:row>23</xdr:row>
          <xdr:rowOff>30480</xdr:rowOff>
        </xdr:from>
        <xdr:to>
          <xdr:col>4</xdr:col>
          <xdr:colOff>0</xdr:colOff>
          <xdr:row>23</xdr:row>
          <xdr:rowOff>830580</xdr:rowOff>
        </xdr:to>
        <xdr:sp macro="" textlink="">
          <xdr:nvSpPr>
            <xdr:cNvPr id="385445" name="category_1" hidden="1">
              <a:extLst>
                <a:ext uri="{63B3BB69-23CF-44E3-9099-C40C66FF867C}">
                  <a14:compatExt spid="_x0000_s385445"/>
                </a:ext>
                <a:ext uri="{FF2B5EF4-FFF2-40B4-BE49-F238E27FC236}">
                  <a16:creationId xmlns:a16="http://schemas.microsoft.com/office/drawing/2014/main" id="{00000000-0008-0000-0000-0000A5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30480</xdr:colOff>
          <xdr:row>23</xdr:row>
          <xdr:rowOff>30480</xdr:rowOff>
        </xdr:from>
        <xdr:to>
          <xdr:col>5</xdr:col>
          <xdr:colOff>0</xdr:colOff>
          <xdr:row>23</xdr:row>
          <xdr:rowOff>830580</xdr:rowOff>
        </xdr:to>
        <xdr:sp macro="" textlink="">
          <xdr:nvSpPr>
            <xdr:cNvPr id="385446" name="category_2" hidden="1">
              <a:extLst>
                <a:ext uri="{63B3BB69-23CF-44E3-9099-C40C66FF867C}">
                  <a14:compatExt spid="_x0000_s385446"/>
                </a:ext>
                <a:ext uri="{FF2B5EF4-FFF2-40B4-BE49-F238E27FC236}">
                  <a16:creationId xmlns:a16="http://schemas.microsoft.com/office/drawing/2014/main" id="{00000000-0008-0000-0000-0000A6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30480</xdr:colOff>
          <xdr:row>23</xdr:row>
          <xdr:rowOff>30480</xdr:rowOff>
        </xdr:from>
        <xdr:to>
          <xdr:col>6</xdr:col>
          <xdr:colOff>0</xdr:colOff>
          <xdr:row>23</xdr:row>
          <xdr:rowOff>830580</xdr:rowOff>
        </xdr:to>
        <xdr:sp macro="" textlink="">
          <xdr:nvSpPr>
            <xdr:cNvPr id="385447" name="category_3" hidden="1">
              <a:extLst>
                <a:ext uri="{63B3BB69-23CF-44E3-9099-C40C66FF867C}">
                  <a14:compatExt spid="_x0000_s385447"/>
                </a:ext>
                <a:ext uri="{FF2B5EF4-FFF2-40B4-BE49-F238E27FC236}">
                  <a16:creationId xmlns:a16="http://schemas.microsoft.com/office/drawing/2014/main" id="{00000000-0008-0000-0000-0000A7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30480</xdr:colOff>
          <xdr:row>23</xdr:row>
          <xdr:rowOff>30480</xdr:rowOff>
        </xdr:from>
        <xdr:to>
          <xdr:col>7</xdr:col>
          <xdr:colOff>0</xdr:colOff>
          <xdr:row>23</xdr:row>
          <xdr:rowOff>830580</xdr:rowOff>
        </xdr:to>
        <xdr:sp macro="" textlink="">
          <xdr:nvSpPr>
            <xdr:cNvPr id="385448" name="category_4" hidden="1">
              <a:extLst>
                <a:ext uri="{63B3BB69-23CF-44E3-9099-C40C66FF867C}">
                  <a14:compatExt spid="_x0000_s385448"/>
                </a:ext>
                <a:ext uri="{FF2B5EF4-FFF2-40B4-BE49-F238E27FC236}">
                  <a16:creationId xmlns:a16="http://schemas.microsoft.com/office/drawing/2014/main" id="{00000000-0008-0000-0000-0000A8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xdr:colOff>
          <xdr:row>23</xdr:row>
          <xdr:rowOff>30480</xdr:rowOff>
        </xdr:from>
        <xdr:to>
          <xdr:col>8</xdr:col>
          <xdr:colOff>0</xdr:colOff>
          <xdr:row>23</xdr:row>
          <xdr:rowOff>830580</xdr:rowOff>
        </xdr:to>
        <xdr:sp macro="" textlink="">
          <xdr:nvSpPr>
            <xdr:cNvPr id="385449" name="category_5" hidden="1">
              <a:extLst>
                <a:ext uri="{63B3BB69-23CF-44E3-9099-C40C66FF867C}">
                  <a14:compatExt spid="_x0000_s385449"/>
                </a:ext>
                <a:ext uri="{FF2B5EF4-FFF2-40B4-BE49-F238E27FC236}">
                  <a16:creationId xmlns:a16="http://schemas.microsoft.com/office/drawing/2014/main" id="{00000000-0008-0000-0000-0000A9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30480</xdr:colOff>
          <xdr:row>23</xdr:row>
          <xdr:rowOff>30480</xdr:rowOff>
        </xdr:from>
        <xdr:to>
          <xdr:col>9</xdr:col>
          <xdr:colOff>0</xdr:colOff>
          <xdr:row>23</xdr:row>
          <xdr:rowOff>830580</xdr:rowOff>
        </xdr:to>
        <xdr:sp macro="" textlink="">
          <xdr:nvSpPr>
            <xdr:cNvPr id="385450" name="category_6" hidden="1">
              <a:extLst>
                <a:ext uri="{63B3BB69-23CF-44E3-9099-C40C66FF867C}">
                  <a14:compatExt spid="_x0000_s385450"/>
                </a:ext>
                <a:ext uri="{FF2B5EF4-FFF2-40B4-BE49-F238E27FC236}">
                  <a16:creationId xmlns:a16="http://schemas.microsoft.com/office/drawing/2014/main" id="{00000000-0008-0000-0000-0000AA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xdr:colOff>
          <xdr:row>23</xdr:row>
          <xdr:rowOff>30480</xdr:rowOff>
        </xdr:from>
        <xdr:to>
          <xdr:col>10</xdr:col>
          <xdr:colOff>0</xdr:colOff>
          <xdr:row>23</xdr:row>
          <xdr:rowOff>830580</xdr:rowOff>
        </xdr:to>
        <xdr:sp macro="" textlink="">
          <xdr:nvSpPr>
            <xdr:cNvPr id="385451" name="category_7" hidden="1">
              <a:extLst>
                <a:ext uri="{63B3BB69-23CF-44E3-9099-C40C66FF867C}">
                  <a14:compatExt spid="_x0000_s385451"/>
                </a:ext>
                <a:ext uri="{FF2B5EF4-FFF2-40B4-BE49-F238E27FC236}">
                  <a16:creationId xmlns:a16="http://schemas.microsoft.com/office/drawing/2014/main" id="{00000000-0008-0000-0000-0000AB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30480</xdr:colOff>
          <xdr:row>23</xdr:row>
          <xdr:rowOff>30480</xdr:rowOff>
        </xdr:from>
        <xdr:to>
          <xdr:col>11</xdr:col>
          <xdr:colOff>0</xdr:colOff>
          <xdr:row>23</xdr:row>
          <xdr:rowOff>830580</xdr:rowOff>
        </xdr:to>
        <xdr:sp macro="" textlink="">
          <xdr:nvSpPr>
            <xdr:cNvPr id="385452" name="category_8" hidden="1">
              <a:extLst>
                <a:ext uri="{63B3BB69-23CF-44E3-9099-C40C66FF867C}">
                  <a14:compatExt spid="_x0000_s385452"/>
                </a:ext>
                <a:ext uri="{FF2B5EF4-FFF2-40B4-BE49-F238E27FC236}">
                  <a16:creationId xmlns:a16="http://schemas.microsoft.com/office/drawing/2014/main" id="{00000000-0008-0000-0000-0000AC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30480</xdr:colOff>
          <xdr:row>23</xdr:row>
          <xdr:rowOff>30480</xdr:rowOff>
        </xdr:from>
        <xdr:to>
          <xdr:col>12</xdr:col>
          <xdr:colOff>0</xdr:colOff>
          <xdr:row>23</xdr:row>
          <xdr:rowOff>830580</xdr:rowOff>
        </xdr:to>
        <xdr:sp macro="" textlink="">
          <xdr:nvSpPr>
            <xdr:cNvPr id="385453" name="category_9" hidden="1">
              <a:extLst>
                <a:ext uri="{63B3BB69-23CF-44E3-9099-C40C66FF867C}">
                  <a14:compatExt spid="_x0000_s385453"/>
                </a:ext>
                <a:ext uri="{FF2B5EF4-FFF2-40B4-BE49-F238E27FC236}">
                  <a16:creationId xmlns:a16="http://schemas.microsoft.com/office/drawing/2014/main" id="{00000000-0008-0000-0000-0000AD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30480</xdr:colOff>
          <xdr:row>23</xdr:row>
          <xdr:rowOff>30480</xdr:rowOff>
        </xdr:from>
        <xdr:to>
          <xdr:col>13</xdr:col>
          <xdr:colOff>0</xdr:colOff>
          <xdr:row>23</xdr:row>
          <xdr:rowOff>830580</xdr:rowOff>
        </xdr:to>
        <xdr:sp macro="" textlink="">
          <xdr:nvSpPr>
            <xdr:cNvPr id="385454" name="category_10" hidden="1">
              <a:extLst>
                <a:ext uri="{63B3BB69-23CF-44E3-9099-C40C66FF867C}">
                  <a14:compatExt spid="_x0000_s385454"/>
                </a:ext>
                <a:ext uri="{FF2B5EF4-FFF2-40B4-BE49-F238E27FC236}">
                  <a16:creationId xmlns:a16="http://schemas.microsoft.com/office/drawing/2014/main" id="{00000000-0008-0000-0000-0000AEE1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xdr:twoCellAnchor editAs="absolute">
    <xdr:from>
      <xdr:col>2</xdr:col>
      <xdr:colOff>958850</xdr:colOff>
      <xdr:row>0</xdr:row>
      <xdr:rowOff>114300</xdr:rowOff>
    </xdr:from>
    <xdr:to>
      <xdr:col>4</xdr:col>
      <xdr:colOff>38100</xdr:colOff>
      <xdr:row>0</xdr:row>
      <xdr:rowOff>393700</xdr:rowOff>
    </xdr:to>
    <xdr:sp macro="" textlink="">
      <xdr:nvSpPr>
        <xdr:cNvPr id="2" name="blue_rectangle">
          <a:extLst>
            <a:ext uri="{FF2B5EF4-FFF2-40B4-BE49-F238E27FC236}">
              <a16:creationId xmlns:a16="http://schemas.microsoft.com/office/drawing/2014/main" id="{00000000-0008-0000-0000-000002000000}"/>
            </a:ext>
          </a:extLst>
        </xdr:cNvPr>
        <xdr:cNvSpPr/>
      </xdr:nvSpPr>
      <xdr:spPr>
        <a:xfrm>
          <a:off x="2082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982980</xdr:colOff>
          <xdr:row>0</xdr:row>
          <xdr:rowOff>144780</xdr:rowOff>
        </xdr:from>
        <xdr:to>
          <xdr:col>4</xdr:col>
          <xdr:colOff>30480</xdr:colOff>
          <xdr:row>0</xdr:row>
          <xdr:rowOff>373380</xdr:rowOff>
        </xdr:to>
        <xdr:sp macro="" textlink="">
          <xdr:nvSpPr>
            <xdr:cNvPr id="450872" name="activate_home_page" hidden="1">
              <a:extLst>
                <a:ext uri="{63B3BB69-23CF-44E3-9099-C40C66FF867C}">
                  <a14:compatExt spid="_x0000_s450872"/>
                </a:ext>
                <a:ext uri="{FF2B5EF4-FFF2-40B4-BE49-F238E27FC236}">
                  <a16:creationId xmlns:a16="http://schemas.microsoft.com/office/drawing/2014/main" id="{00000000-0008-0000-0000-000038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0</xdr:row>
          <xdr:rowOff>144780</xdr:rowOff>
        </xdr:from>
        <xdr:to>
          <xdr:col>6</xdr:col>
          <xdr:colOff>106680</xdr:colOff>
          <xdr:row>0</xdr:row>
          <xdr:rowOff>373380</xdr:rowOff>
        </xdr:to>
        <xdr:sp macro="" textlink="">
          <xdr:nvSpPr>
            <xdr:cNvPr id="450873" name="activate_guidance" hidden="1">
              <a:extLst>
                <a:ext uri="{63B3BB69-23CF-44E3-9099-C40C66FF867C}">
                  <a14:compatExt spid="_x0000_s450873"/>
                </a:ext>
                <a:ext uri="{FF2B5EF4-FFF2-40B4-BE49-F238E27FC236}">
                  <a16:creationId xmlns:a16="http://schemas.microsoft.com/office/drawing/2014/main" id="{00000000-0008-0000-0000-000039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0</xdr:row>
          <xdr:rowOff>144780</xdr:rowOff>
        </xdr:from>
        <xdr:to>
          <xdr:col>8</xdr:col>
          <xdr:colOff>182880</xdr:colOff>
          <xdr:row>0</xdr:row>
          <xdr:rowOff>373380</xdr:rowOff>
        </xdr:to>
        <xdr:sp macro="" textlink="">
          <xdr:nvSpPr>
            <xdr:cNvPr id="450874" name="activate_summary_report" hidden="1">
              <a:extLst>
                <a:ext uri="{63B3BB69-23CF-44E3-9099-C40C66FF867C}">
                  <a14:compatExt spid="_x0000_s450874"/>
                </a:ext>
                <a:ext uri="{FF2B5EF4-FFF2-40B4-BE49-F238E27FC236}">
                  <a16:creationId xmlns:a16="http://schemas.microsoft.com/office/drawing/2014/main" id="{00000000-0008-0000-0000-00003A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220980</xdr:colOff>
          <xdr:row>0</xdr:row>
          <xdr:rowOff>144780</xdr:rowOff>
        </xdr:from>
        <xdr:to>
          <xdr:col>10</xdr:col>
          <xdr:colOff>259080</xdr:colOff>
          <xdr:row>0</xdr:row>
          <xdr:rowOff>373380</xdr:rowOff>
        </xdr:to>
        <xdr:sp macro="" textlink="">
          <xdr:nvSpPr>
            <xdr:cNvPr id="450875" name="activate_outputs" hidden="1">
              <a:extLst>
                <a:ext uri="{63B3BB69-23CF-44E3-9099-C40C66FF867C}">
                  <a14:compatExt spid="_x0000_s450875"/>
                </a:ext>
                <a:ext uri="{FF2B5EF4-FFF2-40B4-BE49-F238E27FC236}">
                  <a16:creationId xmlns:a16="http://schemas.microsoft.com/office/drawing/2014/main" id="{00000000-0008-0000-0000-00003B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297180</xdr:colOff>
          <xdr:row>0</xdr:row>
          <xdr:rowOff>144780</xdr:rowOff>
        </xdr:from>
        <xdr:to>
          <xdr:col>12</xdr:col>
          <xdr:colOff>342900</xdr:colOff>
          <xdr:row>0</xdr:row>
          <xdr:rowOff>373380</xdr:rowOff>
        </xdr:to>
        <xdr:sp macro="" textlink="">
          <xdr:nvSpPr>
            <xdr:cNvPr id="450876" name="activate_emissions_factors" hidden="1">
              <a:extLst>
                <a:ext uri="{63B3BB69-23CF-44E3-9099-C40C66FF867C}">
                  <a14:compatExt spid="_x0000_s450876"/>
                </a:ext>
                <a:ext uri="{FF2B5EF4-FFF2-40B4-BE49-F238E27FC236}">
                  <a16:creationId xmlns:a16="http://schemas.microsoft.com/office/drawing/2014/main" id="{00000000-0008-0000-0000-00003C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373380</xdr:colOff>
          <xdr:row>0</xdr:row>
          <xdr:rowOff>144780</xdr:rowOff>
        </xdr:from>
        <xdr:to>
          <xdr:col>14</xdr:col>
          <xdr:colOff>419100</xdr:colOff>
          <xdr:row>0</xdr:row>
          <xdr:rowOff>373380</xdr:rowOff>
        </xdr:to>
        <xdr:sp macro="" textlink="">
          <xdr:nvSpPr>
            <xdr:cNvPr id="450877" name="activate_material_density" hidden="1">
              <a:extLst>
                <a:ext uri="{63B3BB69-23CF-44E3-9099-C40C66FF867C}">
                  <a14:compatExt spid="_x0000_s450877"/>
                </a:ext>
                <a:ext uri="{FF2B5EF4-FFF2-40B4-BE49-F238E27FC236}">
                  <a16:creationId xmlns:a16="http://schemas.microsoft.com/office/drawing/2014/main" id="{00000000-0008-0000-0000-00003D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449580</xdr:colOff>
          <xdr:row>0</xdr:row>
          <xdr:rowOff>144780</xdr:rowOff>
        </xdr:from>
        <xdr:to>
          <xdr:col>16</xdr:col>
          <xdr:colOff>525780</xdr:colOff>
          <xdr:row>0</xdr:row>
          <xdr:rowOff>373380</xdr:rowOff>
        </xdr:to>
        <xdr:sp macro="" textlink="">
          <xdr:nvSpPr>
            <xdr:cNvPr id="450878" name="activate_notes" hidden="1">
              <a:extLst>
                <a:ext uri="{63B3BB69-23CF-44E3-9099-C40C66FF867C}">
                  <a14:compatExt spid="_x0000_s450878"/>
                </a:ext>
                <a:ext uri="{FF2B5EF4-FFF2-40B4-BE49-F238E27FC236}">
                  <a16:creationId xmlns:a16="http://schemas.microsoft.com/office/drawing/2014/main" id="{00000000-0008-0000-0000-00003EE1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2</xdr:col>
      <xdr:colOff>975471</xdr:colOff>
      <xdr:row>1</xdr:row>
      <xdr:rowOff>827941</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95250" y="95250"/>
          <a:ext cx="2023221" cy="1276977"/>
          <a:chOff x="47625" y="114300"/>
          <a:chExt cx="2004171" cy="1285141"/>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25" name="Picture 3" descr="National Highways Logo">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13</xdr:col>
          <xdr:colOff>22860</xdr:colOff>
          <xdr:row>24</xdr:row>
          <xdr:rowOff>15240</xdr:rowOff>
        </xdr:from>
        <xdr:to>
          <xdr:col>13</xdr:col>
          <xdr:colOff>632460</xdr:colOff>
          <xdr:row>24</xdr:row>
          <xdr:rowOff>236220</xdr:rowOff>
        </xdr:to>
        <xdr:sp macro="" textlink="">
          <xdr:nvSpPr>
            <xdr:cNvPr id="450943" name="Resume_2025Q3" hidden="1">
              <a:extLst>
                <a:ext uri="{63B3BB69-23CF-44E3-9099-C40C66FF867C}">
                  <a14:compatExt spid="_x0000_s450943"/>
                </a:ext>
                <a:ext uri="{FF2B5EF4-FFF2-40B4-BE49-F238E27FC236}">
                  <a16:creationId xmlns:a16="http://schemas.microsoft.com/office/drawing/2014/main" id="{6A599CB2-865E-D9D3-B9DE-29179DE72A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0000"/>
                  </a:solidFill>
                  <a:latin typeface="Calibri"/>
                  <a:ea typeface="Calibri"/>
                  <a:cs typeface="Calibri"/>
                </a:rPr>
                <a:t>Resume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24</xdr:row>
          <xdr:rowOff>15240</xdr:rowOff>
        </xdr:from>
        <xdr:to>
          <xdr:col>14</xdr:col>
          <xdr:colOff>632460</xdr:colOff>
          <xdr:row>24</xdr:row>
          <xdr:rowOff>236220</xdr:rowOff>
        </xdr:to>
        <xdr:sp macro="" textlink="">
          <xdr:nvSpPr>
            <xdr:cNvPr id="450944" name="Restart2025Q3" hidden="1">
              <a:extLst>
                <a:ext uri="{63B3BB69-23CF-44E3-9099-C40C66FF867C}">
                  <a14:compatExt spid="_x0000_s450944"/>
                </a:ext>
                <a:ext uri="{FF2B5EF4-FFF2-40B4-BE49-F238E27FC236}">
                  <a16:creationId xmlns:a16="http://schemas.microsoft.com/office/drawing/2014/main" id="{36F568C3-4FEE-C1B5-D5C1-E796CB48BF9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24</xdr:row>
          <xdr:rowOff>15240</xdr:rowOff>
        </xdr:from>
        <xdr:to>
          <xdr:col>15</xdr:col>
          <xdr:colOff>632460</xdr:colOff>
          <xdr:row>24</xdr:row>
          <xdr:rowOff>236220</xdr:rowOff>
        </xdr:to>
        <xdr:sp macro="" textlink="">
          <xdr:nvSpPr>
            <xdr:cNvPr id="450945" name="Delete_2025Q3" hidden="1">
              <a:extLst>
                <a:ext uri="{63B3BB69-23CF-44E3-9099-C40C66FF867C}">
                  <a14:compatExt spid="_x0000_s450945"/>
                </a:ext>
                <a:ext uri="{FF2B5EF4-FFF2-40B4-BE49-F238E27FC236}">
                  <a16:creationId xmlns:a16="http://schemas.microsoft.com/office/drawing/2014/main" id="{02B4113F-9136-2B6C-5DEC-0B0B73E89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0000"/>
                  </a:solidFill>
                  <a:latin typeface="Calibri"/>
                  <a:ea typeface="Calibri"/>
                  <a:cs typeface="Calibri"/>
                </a:rPr>
                <a:t>Delete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533401</xdr:colOff>
      <xdr:row>14</xdr:row>
      <xdr:rowOff>255588</xdr:rowOff>
    </xdr:to>
    <xdr:sp macro="" textlink="">
      <xdr:nvSpPr>
        <xdr:cNvPr id="4" name="AutoShape 3">
          <a:extLst>
            <a:ext uri="{FF2B5EF4-FFF2-40B4-BE49-F238E27FC236}">
              <a16:creationId xmlns:a16="http://schemas.microsoft.com/office/drawing/2014/main" id="{00000000-0008-0000-0100-000004000000}"/>
            </a:ext>
          </a:extLst>
        </xdr:cNvPr>
        <xdr:cNvSpPr>
          <a:spLocks noChangeAspect="1" noChangeArrowheads="1" noTextEdit="1"/>
        </xdr:cNvSpPr>
      </xdr:nvSpPr>
      <xdr:spPr bwMode="auto">
        <a:xfrm>
          <a:off x="0" y="0"/>
          <a:ext cx="9144001" cy="20939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GB"/>
        </a:p>
      </xdr:txBody>
    </xdr:sp>
    <xdr:clientData/>
  </xdr:twoCellAnchor>
  <mc:AlternateContent xmlns:mc="http://schemas.openxmlformats.org/markup-compatibility/2006">
    <mc:Choice xmlns:a14="http://schemas.microsoft.com/office/drawing/2010/main" Requires="a14">
      <xdr:twoCellAnchor editAs="absolute">
        <xdr:from>
          <xdr:col>3</xdr:col>
          <xdr:colOff>640080</xdr:colOff>
          <xdr:row>0</xdr:row>
          <xdr:rowOff>144780</xdr:rowOff>
        </xdr:from>
        <xdr:to>
          <xdr:col>6</xdr:col>
          <xdr:colOff>68580</xdr:colOff>
          <xdr:row>0</xdr:row>
          <xdr:rowOff>373380</xdr:rowOff>
        </xdr:to>
        <xdr:sp macro="" textlink="">
          <xdr:nvSpPr>
            <xdr:cNvPr id="511000" name="activate_home_page" hidden="1">
              <a:extLst>
                <a:ext uri="{63B3BB69-23CF-44E3-9099-C40C66FF867C}">
                  <a14:compatExt spid="_x0000_s511000"/>
                </a:ext>
                <a:ext uri="{FF2B5EF4-FFF2-40B4-BE49-F238E27FC236}">
                  <a16:creationId xmlns:a16="http://schemas.microsoft.com/office/drawing/2014/main" id="{00000000-0008-0000-0100-000018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xdr:twoCellAnchor editAs="absolute">
    <xdr:from>
      <xdr:col>6</xdr:col>
      <xdr:colOff>50800</xdr:colOff>
      <xdr:row>0</xdr:row>
      <xdr:rowOff>114300</xdr:rowOff>
    </xdr:from>
    <xdr:to>
      <xdr:col>8</xdr:col>
      <xdr:colOff>177800</xdr:colOff>
      <xdr:row>0</xdr:row>
      <xdr:rowOff>393700</xdr:rowOff>
    </xdr:to>
    <xdr:sp macro="" textlink="">
      <xdr:nvSpPr>
        <xdr:cNvPr id="2" name="blue_rectangle">
          <a:extLst>
            <a:ext uri="{FF2B5EF4-FFF2-40B4-BE49-F238E27FC236}">
              <a16:creationId xmlns:a16="http://schemas.microsoft.com/office/drawing/2014/main" id="{00000000-0008-0000-0100-000002000000}"/>
            </a:ext>
          </a:extLst>
        </xdr:cNvPr>
        <xdr:cNvSpPr/>
      </xdr:nvSpPr>
      <xdr:spPr>
        <a:xfrm>
          <a:off x="3479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6</xdr:col>
          <xdr:colOff>76200</xdr:colOff>
          <xdr:row>0</xdr:row>
          <xdr:rowOff>144780</xdr:rowOff>
        </xdr:from>
        <xdr:to>
          <xdr:col>8</xdr:col>
          <xdr:colOff>152400</xdr:colOff>
          <xdr:row>0</xdr:row>
          <xdr:rowOff>373380</xdr:rowOff>
        </xdr:to>
        <xdr:sp macro="" textlink="">
          <xdr:nvSpPr>
            <xdr:cNvPr id="511001" name="activate_guidance" hidden="1">
              <a:extLst>
                <a:ext uri="{63B3BB69-23CF-44E3-9099-C40C66FF867C}">
                  <a14:compatExt spid="_x0000_s511001"/>
                </a:ext>
                <a:ext uri="{FF2B5EF4-FFF2-40B4-BE49-F238E27FC236}">
                  <a16:creationId xmlns:a16="http://schemas.microsoft.com/office/drawing/2014/main" id="{00000000-0008-0000-0100-000019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182880</xdr:colOff>
          <xdr:row>0</xdr:row>
          <xdr:rowOff>144780</xdr:rowOff>
        </xdr:from>
        <xdr:to>
          <xdr:col>10</xdr:col>
          <xdr:colOff>259080</xdr:colOff>
          <xdr:row>0</xdr:row>
          <xdr:rowOff>373380</xdr:rowOff>
        </xdr:to>
        <xdr:sp macro="" textlink="">
          <xdr:nvSpPr>
            <xdr:cNvPr id="511002" name="activate_summary_report" hidden="1">
              <a:extLst>
                <a:ext uri="{63B3BB69-23CF-44E3-9099-C40C66FF867C}">
                  <a14:compatExt spid="_x0000_s511002"/>
                </a:ext>
                <a:ext uri="{FF2B5EF4-FFF2-40B4-BE49-F238E27FC236}">
                  <a16:creationId xmlns:a16="http://schemas.microsoft.com/office/drawing/2014/main" id="{00000000-0008-0000-0100-00001A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297180</xdr:colOff>
          <xdr:row>0</xdr:row>
          <xdr:rowOff>144780</xdr:rowOff>
        </xdr:from>
        <xdr:to>
          <xdr:col>12</xdr:col>
          <xdr:colOff>373380</xdr:colOff>
          <xdr:row>0</xdr:row>
          <xdr:rowOff>373380</xdr:rowOff>
        </xdr:to>
        <xdr:sp macro="" textlink="">
          <xdr:nvSpPr>
            <xdr:cNvPr id="511003" name="activate_outputs" hidden="1">
              <a:extLst>
                <a:ext uri="{63B3BB69-23CF-44E3-9099-C40C66FF867C}">
                  <a14:compatExt spid="_x0000_s511003"/>
                </a:ext>
                <a:ext uri="{FF2B5EF4-FFF2-40B4-BE49-F238E27FC236}">
                  <a16:creationId xmlns:a16="http://schemas.microsoft.com/office/drawing/2014/main" id="{00000000-0008-0000-0100-00001B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381000</xdr:colOff>
          <xdr:row>0</xdr:row>
          <xdr:rowOff>144780</xdr:rowOff>
        </xdr:from>
        <xdr:to>
          <xdr:col>14</xdr:col>
          <xdr:colOff>457200</xdr:colOff>
          <xdr:row>0</xdr:row>
          <xdr:rowOff>373380</xdr:rowOff>
        </xdr:to>
        <xdr:sp macro="" textlink="">
          <xdr:nvSpPr>
            <xdr:cNvPr id="511004" name="activate_emissions_factors" hidden="1">
              <a:extLst>
                <a:ext uri="{63B3BB69-23CF-44E3-9099-C40C66FF867C}">
                  <a14:compatExt spid="_x0000_s511004"/>
                </a:ext>
                <a:ext uri="{FF2B5EF4-FFF2-40B4-BE49-F238E27FC236}">
                  <a16:creationId xmlns:a16="http://schemas.microsoft.com/office/drawing/2014/main" id="{00000000-0008-0000-0100-00001C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487680</xdr:colOff>
          <xdr:row>0</xdr:row>
          <xdr:rowOff>144780</xdr:rowOff>
        </xdr:from>
        <xdr:to>
          <xdr:col>16</xdr:col>
          <xdr:colOff>563880</xdr:colOff>
          <xdr:row>0</xdr:row>
          <xdr:rowOff>373380</xdr:rowOff>
        </xdr:to>
        <xdr:sp macro="" textlink="">
          <xdr:nvSpPr>
            <xdr:cNvPr id="511005" name="activate_material_density" hidden="1">
              <a:extLst>
                <a:ext uri="{63B3BB69-23CF-44E3-9099-C40C66FF867C}">
                  <a14:compatExt spid="_x0000_s511005"/>
                </a:ext>
                <a:ext uri="{FF2B5EF4-FFF2-40B4-BE49-F238E27FC236}">
                  <a16:creationId xmlns:a16="http://schemas.microsoft.com/office/drawing/2014/main" id="{00000000-0008-0000-0100-00001D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601980</xdr:colOff>
          <xdr:row>0</xdr:row>
          <xdr:rowOff>144780</xdr:rowOff>
        </xdr:from>
        <xdr:to>
          <xdr:col>17</xdr:col>
          <xdr:colOff>1325880</xdr:colOff>
          <xdr:row>0</xdr:row>
          <xdr:rowOff>373380</xdr:rowOff>
        </xdr:to>
        <xdr:sp macro="" textlink="">
          <xdr:nvSpPr>
            <xdr:cNvPr id="511006" name="activate_notes" hidden="1">
              <a:extLst>
                <a:ext uri="{63B3BB69-23CF-44E3-9099-C40C66FF867C}">
                  <a14:compatExt spid="_x0000_s511006"/>
                </a:ext>
                <a:ext uri="{FF2B5EF4-FFF2-40B4-BE49-F238E27FC236}">
                  <a16:creationId xmlns:a16="http://schemas.microsoft.com/office/drawing/2014/main" id="{00000000-0008-0000-0100-00001E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editAs="oneCell">
    <xdr:from>
      <xdr:col>0</xdr:col>
      <xdr:colOff>161925</xdr:colOff>
      <xdr:row>57</xdr:row>
      <xdr:rowOff>609599</xdr:rowOff>
    </xdr:from>
    <xdr:to>
      <xdr:col>18</xdr:col>
      <xdr:colOff>47625</xdr:colOff>
      <xdr:row>70</xdr:row>
      <xdr:rowOff>41651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61925" y="19450049"/>
          <a:ext cx="11753850" cy="7223503"/>
        </a:xfrm>
        <a:prstGeom prst="rect">
          <a:avLst/>
        </a:prstGeom>
      </xdr:spPr>
    </xdr:pic>
    <xdr:clientData/>
  </xdr:twoCellAnchor>
  <xdr:twoCellAnchor>
    <xdr:from>
      <xdr:col>0</xdr:col>
      <xdr:colOff>95250</xdr:colOff>
      <xdr:row>0</xdr:row>
      <xdr:rowOff>95250</xdr:rowOff>
    </xdr:from>
    <xdr:to>
      <xdr:col>3</xdr:col>
      <xdr:colOff>613521</xdr:colOff>
      <xdr:row>1</xdr:row>
      <xdr:rowOff>827941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95250" y="95250"/>
          <a:ext cx="2025338" cy="1283024"/>
          <a:chOff x="47625" y="114300"/>
          <a:chExt cx="2004171" cy="1285141"/>
        </a:xfrm>
      </xdr:grpSpPr>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2"/>
          <a:srcRect t="47644"/>
          <a:stretch/>
        </xdr:blipFill>
        <xdr:spPr>
          <a:xfrm>
            <a:off x="47625" y="666750"/>
            <a:ext cx="2004171" cy="732691"/>
          </a:xfrm>
          <a:prstGeom prst="rect">
            <a:avLst/>
          </a:prstGeom>
        </xdr:spPr>
      </xdr:pic>
      <xdr:pic>
        <xdr:nvPicPr>
          <xdr:cNvPr id="16" name="Picture 3" descr="National Highways Logo">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16</xdr:col>
      <xdr:colOff>345281</xdr:colOff>
      <xdr:row>72</xdr:row>
      <xdr:rowOff>821532</xdr:rowOff>
    </xdr:from>
    <xdr:to>
      <xdr:col>18</xdr:col>
      <xdr:colOff>29596</xdr:colOff>
      <xdr:row>72</xdr:row>
      <xdr:rowOff>1403918</xdr:rowOff>
    </xdr:to>
    <xdr:pic>
      <xdr:nvPicPr>
        <xdr:cNvPr id="18" name="Picture 3" descr="National Highways Logo">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79844" y="28539282"/>
          <a:ext cx="1636940" cy="5823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18</xdr:col>
          <xdr:colOff>449580</xdr:colOff>
          <xdr:row>1</xdr:row>
          <xdr:rowOff>716280</xdr:rowOff>
        </xdr:from>
        <xdr:to>
          <xdr:col>19</xdr:col>
          <xdr:colOff>838200</xdr:colOff>
          <xdr:row>2</xdr:row>
          <xdr:rowOff>373380</xdr:rowOff>
        </xdr:to>
        <xdr:sp macro="" textlink="">
          <xdr:nvSpPr>
            <xdr:cNvPr id="224278" name="Button 22" hidden="1">
              <a:extLst>
                <a:ext uri="{63B3BB69-23CF-44E3-9099-C40C66FF867C}">
                  <a14:compatExt spid="_x0000_s224278"/>
                </a:ext>
                <a:ext uri="{FF2B5EF4-FFF2-40B4-BE49-F238E27FC236}">
                  <a16:creationId xmlns:a16="http://schemas.microsoft.com/office/drawing/2014/main" id="{00000000-0008-0000-0200-0000166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Print Report</a:t>
              </a:r>
            </a:p>
          </xdr:txBody>
        </xdr:sp>
        <xdr:clientData fPrintsWithSheet="0"/>
      </xdr:twoCellAnchor>
    </mc:Choice>
    <mc:Fallback/>
  </mc:AlternateContent>
  <xdr:twoCellAnchor>
    <xdr:from>
      <xdr:col>1</xdr:col>
      <xdr:colOff>220434</xdr:colOff>
      <xdr:row>13</xdr:row>
      <xdr:rowOff>219075</xdr:rowOff>
    </xdr:from>
    <xdr:to>
      <xdr:col>15</xdr:col>
      <xdr:colOff>21770</xdr:colOff>
      <xdr:row>27</xdr:row>
      <xdr:rowOff>38101</xdr:rowOff>
    </xdr:to>
    <xdr:graphicFrame macro="">
      <xdr:nvGraphicFramePr>
        <xdr:cNvPr id="22" name="Chart 21">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232340</xdr:colOff>
      <xdr:row>19</xdr:row>
      <xdr:rowOff>133351</xdr:rowOff>
    </xdr:from>
    <xdr:to>
      <xdr:col>16</xdr:col>
      <xdr:colOff>361949</xdr:colOff>
      <xdr:row>36</xdr:row>
      <xdr:rowOff>161927</xdr:rowOff>
    </xdr:to>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295275</xdr:colOff>
      <xdr:row>42</xdr:row>
      <xdr:rowOff>233363</xdr:rowOff>
    </xdr:from>
    <xdr:to>
      <xdr:col>6</xdr:col>
      <xdr:colOff>600075</xdr:colOff>
      <xdr:row>53</xdr:row>
      <xdr:rowOff>88106</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583406</xdr:colOff>
      <xdr:row>42</xdr:row>
      <xdr:rowOff>114300</xdr:rowOff>
    </xdr:from>
    <xdr:to>
      <xdr:col>15</xdr:col>
      <xdr:colOff>397669</xdr:colOff>
      <xdr:row>54</xdr:row>
      <xdr:rowOff>28575</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3</xdr:col>
          <xdr:colOff>68580</xdr:colOff>
          <xdr:row>0</xdr:row>
          <xdr:rowOff>144780</xdr:rowOff>
        </xdr:from>
        <xdr:to>
          <xdr:col>5</xdr:col>
          <xdr:colOff>563880</xdr:colOff>
          <xdr:row>0</xdr:row>
          <xdr:rowOff>373380</xdr:rowOff>
        </xdr:to>
        <xdr:sp macro="" textlink="">
          <xdr:nvSpPr>
            <xdr:cNvPr id="470136" name="activate_home_page" hidden="1">
              <a:extLst>
                <a:ext uri="{63B3BB69-23CF-44E3-9099-C40C66FF867C}">
                  <a14:compatExt spid="_x0000_s470136"/>
                </a:ext>
                <a:ext uri="{FF2B5EF4-FFF2-40B4-BE49-F238E27FC236}">
                  <a16:creationId xmlns:a16="http://schemas.microsoft.com/office/drawing/2014/main" id="{00000000-0008-0000-0200-000078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0</xdr:row>
          <xdr:rowOff>144780</xdr:rowOff>
        </xdr:from>
        <xdr:to>
          <xdr:col>8</xdr:col>
          <xdr:colOff>144780</xdr:colOff>
          <xdr:row>0</xdr:row>
          <xdr:rowOff>373380</xdr:rowOff>
        </xdr:to>
        <xdr:sp macro="" textlink="">
          <xdr:nvSpPr>
            <xdr:cNvPr id="470137" name="activate_guidance" hidden="1">
              <a:extLst>
                <a:ext uri="{63B3BB69-23CF-44E3-9099-C40C66FF867C}">
                  <a14:compatExt spid="_x0000_s470137"/>
                </a:ext>
                <a:ext uri="{FF2B5EF4-FFF2-40B4-BE49-F238E27FC236}">
                  <a16:creationId xmlns:a16="http://schemas.microsoft.com/office/drawing/2014/main" id="{00000000-0008-0000-0200-000079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xdr:twoCellAnchor editAs="absolute">
    <xdr:from>
      <xdr:col>8</xdr:col>
      <xdr:colOff>123825</xdr:colOff>
      <xdr:row>0</xdr:row>
      <xdr:rowOff>114300</xdr:rowOff>
    </xdr:from>
    <xdr:to>
      <xdr:col>10</xdr:col>
      <xdr:colOff>327025</xdr:colOff>
      <xdr:row>0</xdr:row>
      <xdr:rowOff>393700</xdr:rowOff>
    </xdr:to>
    <xdr:sp macro="" textlink="">
      <xdr:nvSpPr>
        <xdr:cNvPr id="2" name="blue_rectangle">
          <a:extLst>
            <a:ext uri="{FF2B5EF4-FFF2-40B4-BE49-F238E27FC236}">
              <a16:creationId xmlns:a16="http://schemas.microsoft.com/office/drawing/2014/main" id="{00000000-0008-0000-0200-000002000000}"/>
            </a:ext>
          </a:extLst>
        </xdr:cNvPr>
        <xdr:cNvSpPr/>
      </xdr:nvSpPr>
      <xdr:spPr>
        <a:xfrm>
          <a:off x="4876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8</xdr:col>
          <xdr:colOff>144780</xdr:colOff>
          <xdr:row>0</xdr:row>
          <xdr:rowOff>144780</xdr:rowOff>
        </xdr:from>
        <xdr:to>
          <xdr:col>10</xdr:col>
          <xdr:colOff>297180</xdr:colOff>
          <xdr:row>0</xdr:row>
          <xdr:rowOff>373380</xdr:rowOff>
        </xdr:to>
        <xdr:sp macro="" textlink="">
          <xdr:nvSpPr>
            <xdr:cNvPr id="470138" name="activate_summary_report" hidden="1">
              <a:extLst>
                <a:ext uri="{63B3BB69-23CF-44E3-9099-C40C66FF867C}">
                  <a14:compatExt spid="_x0000_s470138"/>
                </a:ext>
                <a:ext uri="{FF2B5EF4-FFF2-40B4-BE49-F238E27FC236}">
                  <a16:creationId xmlns:a16="http://schemas.microsoft.com/office/drawing/2014/main" id="{00000000-0008-0000-0200-00007A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335280</xdr:colOff>
          <xdr:row>0</xdr:row>
          <xdr:rowOff>144780</xdr:rowOff>
        </xdr:from>
        <xdr:to>
          <xdr:col>12</xdr:col>
          <xdr:colOff>487680</xdr:colOff>
          <xdr:row>0</xdr:row>
          <xdr:rowOff>373380</xdr:rowOff>
        </xdr:to>
        <xdr:sp macro="" textlink="">
          <xdr:nvSpPr>
            <xdr:cNvPr id="470139" name="activate_outputs" hidden="1">
              <a:extLst>
                <a:ext uri="{63B3BB69-23CF-44E3-9099-C40C66FF867C}">
                  <a14:compatExt spid="_x0000_s470139"/>
                </a:ext>
                <a:ext uri="{FF2B5EF4-FFF2-40B4-BE49-F238E27FC236}">
                  <a16:creationId xmlns:a16="http://schemas.microsoft.com/office/drawing/2014/main" id="{00000000-0008-0000-0200-00007B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525780</xdr:colOff>
          <xdr:row>0</xdr:row>
          <xdr:rowOff>144780</xdr:rowOff>
        </xdr:from>
        <xdr:to>
          <xdr:col>15</xdr:col>
          <xdr:colOff>68580</xdr:colOff>
          <xdr:row>0</xdr:row>
          <xdr:rowOff>373380</xdr:rowOff>
        </xdr:to>
        <xdr:sp macro="" textlink="">
          <xdr:nvSpPr>
            <xdr:cNvPr id="470140" name="activate_emissions_factors" hidden="1">
              <a:extLst>
                <a:ext uri="{63B3BB69-23CF-44E3-9099-C40C66FF867C}">
                  <a14:compatExt spid="_x0000_s470140"/>
                </a:ext>
                <a:ext uri="{FF2B5EF4-FFF2-40B4-BE49-F238E27FC236}">
                  <a16:creationId xmlns:a16="http://schemas.microsoft.com/office/drawing/2014/main" id="{00000000-0008-0000-0200-00007C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68580</xdr:colOff>
          <xdr:row>0</xdr:row>
          <xdr:rowOff>144780</xdr:rowOff>
        </xdr:from>
        <xdr:to>
          <xdr:col>18</xdr:col>
          <xdr:colOff>266700</xdr:colOff>
          <xdr:row>0</xdr:row>
          <xdr:rowOff>373380</xdr:rowOff>
        </xdr:to>
        <xdr:sp macro="" textlink="">
          <xdr:nvSpPr>
            <xdr:cNvPr id="470141" name="activate_material_density" hidden="1">
              <a:extLst>
                <a:ext uri="{63B3BB69-23CF-44E3-9099-C40C66FF867C}">
                  <a14:compatExt spid="_x0000_s470141"/>
                </a:ext>
                <a:ext uri="{FF2B5EF4-FFF2-40B4-BE49-F238E27FC236}">
                  <a16:creationId xmlns:a16="http://schemas.microsoft.com/office/drawing/2014/main" id="{00000000-0008-0000-0200-00007D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297180</xdr:colOff>
          <xdr:row>0</xdr:row>
          <xdr:rowOff>144780</xdr:rowOff>
        </xdr:from>
        <xdr:to>
          <xdr:col>19</xdr:col>
          <xdr:colOff>838200</xdr:colOff>
          <xdr:row>0</xdr:row>
          <xdr:rowOff>373380</xdr:rowOff>
        </xdr:to>
        <xdr:sp macro="" textlink="">
          <xdr:nvSpPr>
            <xdr:cNvPr id="470142" name="activate_notes" hidden="1">
              <a:extLst>
                <a:ext uri="{63B3BB69-23CF-44E3-9099-C40C66FF867C}">
                  <a14:compatExt spid="_x0000_s470142"/>
                </a:ext>
                <a:ext uri="{FF2B5EF4-FFF2-40B4-BE49-F238E27FC236}">
                  <a16:creationId xmlns:a16="http://schemas.microsoft.com/office/drawing/2014/main" id="{00000000-0008-0000-0200-00007E2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xdr:from>
      <xdr:col>0</xdr:col>
      <xdr:colOff>95250</xdr:colOff>
      <xdr:row>0</xdr:row>
      <xdr:rowOff>95250</xdr:rowOff>
    </xdr:from>
    <xdr:to>
      <xdr:col>3</xdr:col>
      <xdr:colOff>51546</xdr:colOff>
      <xdr:row>1</xdr:row>
      <xdr:rowOff>827941</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95250" y="95250"/>
          <a:ext cx="2078173" cy="1283676"/>
          <a:chOff x="47625" y="114300"/>
          <a:chExt cx="2004171" cy="1285141"/>
        </a:xfrm>
      </xdr:grpSpPr>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5"/>
          <a:srcRect t="47644"/>
          <a:stretch/>
        </xdr:blipFill>
        <xdr:spPr>
          <a:xfrm>
            <a:off x="47625" y="666750"/>
            <a:ext cx="2004171" cy="732691"/>
          </a:xfrm>
          <a:prstGeom prst="rect">
            <a:avLst/>
          </a:prstGeom>
        </xdr:spPr>
      </xdr:pic>
      <xdr:pic>
        <xdr:nvPicPr>
          <xdr:cNvPr id="19" name="Picture 3" descr="National Highways Logo">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13</xdr:col>
      <xdr:colOff>371475</xdr:colOff>
      <xdr:row>66</xdr:row>
      <xdr:rowOff>142875</xdr:rowOff>
    </xdr:from>
    <xdr:to>
      <xdr:col>16</xdr:col>
      <xdr:colOff>171450</xdr:colOff>
      <xdr:row>68</xdr:row>
      <xdr:rowOff>180975</xdr:rowOff>
    </xdr:to>
    <xdr:pic>
      <xdr:nvPicPr>
        <xdr:cNvPr id="26" name="Picture 3" descr="National Highways Logo">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72450" y="190500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563880</xdr:colOff>
          <xdr:row>0</xdr:row>
          <xdr:rowOff>144780</xdr:rowOff>
        </xdr:from>
        <xdr:to>
          <xdr:col>5</xdr:col>
          <xdr:colOff>601980</xdr:colOff>
          <xdr:row>0</xdr:row>
          <xdr:rowOff>373380</xdr:rowOff>
        </xdr:to>
        <xdr:sp macro="" textlink="">
          <xdr:nvSpPr>
            <xdr:cNvPr id="529429" name="activate_home_page" hidden="1">
              <a:extLst>
                <a:ext uri="{63B3BB69-23CF-44E3-9099-C40C66FF867C}">
                  <a14:compatExt spid="_x0000_s529429"/>
                </a:ext>
                <a:ext uri="{FF2B5EF4-FFF2-40B4-BE49-F238E27FC236}">
                  <a16:creationId xmlns:a16="http://schemas.microsoft.com/office/drawing/2014/main" id="{00000000-0008-0000-0400-000015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640080</xdr:colOff>
          <xdr:row>0</xdr:row>
          <xdr:rowOff>144780</xdr:rowOff>
        </xdr:from>
        <xdr:to>
          <xdr:col>8</xdr:col>
          <xdr:colOff>30480</xdr:colOff>
          <xdr:row>0</xdr:row>
          <xdr:rowOff>373380</xdr:rowOff>
        </xdr:to>
        <xdr:sp macro="" textlink="">
          <xdr:nvSpPr>
            <xdr:cNvPr id="529430" name="activate_guidance" hidden="1">
              <a:extLst>
                <a:ext uri="{63B3BB69-23CF-44E3-9099-C40C66FF867C}">
                  <a14:compatExt spid="_x0000_s529430"/>
                </a:ext>
                <a:ext uri="{FF2B5EF4-FFF2-40B4-BE49-F238E27FC236}">
                  <a16:creationId xmlns:a16="http://schemas.microsoft.com/office/drawing/2014/main" id="{00000000-0008-0000-0400-000016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144780</xdr:rowOff>
        </xdr:from>
        <xdr:to>
          <xdr:col>10</xdr:col>
          <xdr:colOff>106680</xdr:colOff>
          <xdr:row>0</xdr:row>
          <xdr:rowOff>373380</xdr:rowOff>
        </xdr:to>
        <xdr:sp macro="" textlink="">
          <xdr:nvSpPr>
            <xdr:cNvPr id="529431" name="activate_summary_report" hidden="1">
              <a:extLst>
                <a:ext uri="{63B3BB69-23CF-44E3-9099-C40C66FF867C}">
                  <a14:compatExt spid="_x0000_s529431"/>
                </a:ext>
                <a:ext uri="{FF2B5EF4-FFF2-40B4-BE49-F238E27FC236}">
                  <a16:creationId xmlns:a16="http://schemas.microsoft.com/office/drawing/2014/main" id="{00000000-0008-0000-0400-000017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xdr:twoCellAnchor editAs="absolute">
    <xdr:from>
      <xdr:col>10</xdr:col>
      <xdr:colOff>111125</xdr:colOff>
      <xdr:row>0</xdr:row>
      <xdr:rowOff>114300</xdr:rowOff>
    </xdr:from>
    <xdr:to>
      <xdr:col>12</xdr:col>
      <xdr:colOff>219075</xdr:colOff>
      <xdr:row>0</xdr:row>
      <xdr:rowOff>393700</xdr:rowOff>
    </xdr:to>
    <xdr:sp macro="" textlink="">
      <xdr:nvSpPr>
        <xdr:cNvPr id="2" name="blue_rectangle">
          <a:extLst>
            <a:ext uri="{FF2B5EF4-FFF2-40B4-BE49-F238E27FC236}">
              <a16:creationId xmlns:a16="http://schemas.microsoft.com/office/drawing/2014/main" id="{00000000-0008-0000-0400-000002000000}"/>
            </a:ext>
          </a:extLst>
        </xdr:cNvPr>
        <xdr:cNvSpPr/>
      </xdr:nvSpPr>
      <xdr:spPr>
        <a:xfrm>
          <a:off x="6273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10</xdr:col>
          <xdr:colOff>144780</xdr:colOff>
          <xdr:row>0</xdr:row>
          <xdr:rowOff>144780</xdr:rowOff>
        </xdr:from>
        <xdr:to>
          <xdr:col>12</xdr:col>
          <xdr:colOff>190500</xdr:colOff>
          <xdr:row>0</xdr:row>
          <xdr:rowOff>373380</xdr:rowOff>
        </xdr:to>
        <xdr:sp macro="" textlink="">
          <xdr:nvSpPr>
            <xdr:cNvPr id="529432" name="activate_outputs" hidden="1">
              <a:extLst>
                <a:ext uri="{63B3BB69-23CF-44E3-9099-C40C66FF867C}">
                  <a14:compatExt spid="_x0000_s529432"/>
                </a:ext>
                <a:ext uri="{FF2B5EF4-FFF2-40B4-BE49-F238E27FC236}">
                  <a16:creationId xmlns:a16="http://schemas.microsoft.com/office/drawing/2014/main" id="{00000000-0008-0000-0400-000018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220980</xdr:colOff>
          <xdr:row>0</xdr:row>
          <xdr:rowOff>144780</xdr:rowOff>
        </xdr:from>
        <xdr:to>
          <xdr:col>14</xdr:col>
          <xdr:colOff>297180</xdr:colOff>
          <xdr:row>0</xdr:row>
          <xdr:rowOff>373380</xdr:rowOff>
        </xdr:to>
        <xdr:sp macro="" textlink="">
          <xdr:nvSpPr>
            <xdr:cNvPr id="529433" name="activate_emissions_factors" hidden="1">
              <a:extLst>
                <a:ext uri="{63B3BB69-23CF-44E3-9099-C40C66FF867C}">
                  <a14:compatExt spid="_x0000_s529433"/>
                </a:ext>
                <a:ext uri="{FF2B5EF4-FFF2-40B4-BE49-F238E27FC236}">
                  <a16:creationId xmlns:a16="http://schemas.microsoft.com/office/drawing/2014/main" id="{00000000-0008-0000-0400-000019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297180</xdr:colOff>
          <xdr:row>0</xdr:row>
          <xdr:rowOff>144780</xdr:rowOff>
        </xdr:from>
        <xdr:to>
          <xdr:col>16</xdr:col>
          <xdr:colOff>373380</xdr:colOff>
          <xdr:row>0</xdr:row>
          <xdr:rowOff>373380</xdr:rowOff>
        </xdr:to>
        <xdr:sp macro="" textlink="">
          <xdr:nvSpPr>
            <xdr:cNvPr id="529434" name="activate_material_density" hidden="1">
              <a:extLst>
                <a:ext uri="{63B3BB69-23CF-44E3-9099-C40C66FF867C}">
                  <a14:compatExt spid="_x0000_s529434"/>
                </a:ext>
                <a:ext uri="{FF2B5EF4-FFF2-40B4-BE49-F238E27FC236}">
                  <a16:creationId xmlns:a16="http://schemas.microsoft.com/office/drawing/2014/main" id="{00000000-0008-0000-0400-00001A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381000</xdr:colOff>
          <xdr:row>0</xdr:row>
          <xdr:rowOff>144780</xdr:rowOff>
        </xdr:from>
        <xdr:to>
          <xdr:col>18</xdr:col>
          <xdr:colOff>449580</xdr:colOff>
          <xdr:row>0</xdr:row>
          <xdr:rowOff>373380</xdr:rowOff>
        </xdr:to>
        <xdr:sp macro="" textlink="">
          <xdr:nvSpPr>
            <xdr:cNvPr id="529435" name="activate_notes" hidden="1">
              <a:extLst>
                <a:ext uri="{63B3BB69-23CF-44E3-9099-C40C66FF867C}">
                  <a14:compatExt spid="_x0000_s529435"/>
                </a:ext>
                <a:ext uri="{FF2B5EF4-FFF2-40B4-BE49-F238E27FC236}">
                  <a16:creationId xmlns:a16="http://schemas.microsoft.com/office/drawing/2014/main" id="{00000000-0008-0000-0400-00001B1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xdr:from>
      <xdr:col>0</xdr:col>
      <xdr:colOff>95250</xdr:colOff>
      <xdr:row>0</xdr:row>
      <xdr:rowOff>95250</xdr:rowOff>
    </xdr:from>
    <xdr:to>
      <xdr:col>3</xdr:col>
      <xdr:colOff>537321</xdr:colOff>
      <xdr:row>1</xdr:row>
      <xdr:rowOff>827941</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95250" y="95250"/>
          <a:ext cx="2034651" cy="1281331"/>
          <a:chOff x="47625" y="114300"/>
          <a:chExt cx="2004171" cy="1285141"/>
        </a:xfrm>
      </xdr:grpSpPr>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13" name="Picture 3" descr="National Highways Logo">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1211580</xdr:colOff>
          <xdr:row>0</xdr:row>
          <xdr:rowOff>144780</xdr:rowOff>
        </xdr:from>
        <xdr:to>
          <xdr:col>3</xdr:col>
          <xdr:colOff>944880</xdr:colOff>
          <xdr:row>0</xdr:row>
          <xdr:rowOff>373380</xdr:rowOff>
        </xdr:to>
        <xdr:sp macro="" textlink="">
          <xdr:nvSpPr>
            <xdr:cNvPr id="530453" name="activate_home_page" hidden="1">
              <a:extLst>
                <a:ext uri="{63B3BB69-23CF-44E3-9099-C40C66FF867C}">
                  <a14:compatExt spid="_x0000_s530453"/>
                </a:ext>
                <a:ext uri="{FF2B5EF4-FFF2-40B4-BE49-F238E27FC236}">
                  <a16:creationId xmlns:a16="http://schemas.microsoft.com/office/drawing/2014/main" id="{00000000-0008-0000-0600-000015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982980</xdr:colOff>
          <xdr:row>0</xdr:row>
          <xdr:rowOff>144780</xdr:rowOff>
        </xdr:from>
        <xdr:to>
          <xdr:col>4</xdr:col>
          <xdr:colOff>114300</xdr:colOff>
          <xdr:row>0</xdr:row>
          <xdr:rowOff>373380</xdr:rowOff>
        </xdr:to>
        <xdr:sp macro="" textlink="">
          <xdr:nvSpPr>
            <xdr:cNvPr id="530454" name="activate_guidance" hidden="1">
              <a:extLst>
                <a:ext uri="{63B3BB69-23CF-44E3-9099-C40C66FF867C}">
                  <a14:compatExt spid="_x0000_s530454"/>
                </a:ext>
                <a:ext uri="{FF2B5EF4-FFF2-40B4-BE49-F238E27FC236}">
                  <a16:creationId xmlns:a16="http://schemas.microsoft.com/office/drawing/2014/main" id="{00000000-0008-0000-0600-000016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144780</xdr:colOff>
          <xdr:row>0</xdr:row>
          <xdr:rowOff>144780</xdr:rowOff>
        </xdr:from>
        <xdr:to>
          <xdr:col>5</xdr:col>
          <xdr:colOff>914400</xdr:colOff>
          <xdr:row>0</xdr:row>
          <xdr:rowOff>373380</xdr:rowOff>
        </xdr:to>
        <xdr:sp macro="" textlink="">
          <xdr:nvSpPr>
            <xdr:cNvPr id="530455" name="activate_summary_report" hidden="1">
              <a:extLst>
                <a:ext uri="{63B3BB69-23CF-44E3-9099-C40C66FF867C}">
                  <a14:compatExt spid="_x0000_s530455"/>
                </a:ext>
                <a:ext uri="{FF2B5EF4-FFF2-40B4-BE49-F238E27FC236}">
                  <a16:creationId xmlns:a16="http://schemas.microsoft.com/office/drawing/2014/main" id="{00000000-0008-0000-0600-000017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944880</xdr:colOff>
          <xdr:row>0</xdr:row>
          <xdr:rowOff>144780</xdr:rowOff>
        </xdr:from>
        <xdr:to>
          <xdr:col>7</xdr:col>
          <xdr:colOff>640080</xdr:colOff>
          <xdr:row>0</xdr:row>
          <xdr:rowOff>373380</xdr:rowOff>
        </xdr:to>
        <xdr:sp macro="" textlink="">
          <xdr:nvSpPr>
            <xdr:cNvPr id="530456" name="activate_outputs" hidden="1">
              <a:extLst>
                <a:ext uri="{63B3BB69-23CF-44E3-9099-C40C66FF867C}">
                  <a14:compatExt spid="_x0000_s530456"/>
                </a:ext>
                <a:ext uri="{FF2B5EF4-FFF2-40B4-BE49-F238E27FC236}">
                  <a16:creationId xmlns:a16="http://schemas.microsoft.com/office/drawing/2014/main" id="{00000000-0008-0000-0600-000018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xdr:twoCellAnchor editAs="absolute">
    <xdr:from>
      <xdr:col>7</xdr:col>
      <xdr:colOff>634124</xdr:colOff>
      <xdr:row>0</xdr:row>
      <xdr:rowOff>114300</xdr:rowOff>
    </xdr:from>
    <xdr:to>
      <xdr:col>9</xdr:col>
      <xdr:colOff>570624</xdr:colOff>
      <xdr:row>0</xdr:row>
      <xdr:rowOff>393700</xdr:rowOff>
    </xdr:to>
    <xdr:sp macro="" textlink="">
      <xdr:nvSpPr>
        <xdr:cNvPr id="2" name="blue_rectangle">
          <a:extLst>
            <a:ext uri="{FF2B5EF4-FFF2-40B4-BE49-F238E27FC236}">
              <a16:creationId xmlns:a16="http://schemas.microsoft.com/office/drawing/2014/main" id="{00000000-0008-0000-0600-000002000000}"/>
            </a:ext>
          </a:extLst>
        </xdr:cNvPr>
        <xdr:cNvSpPr/>
      </xdr:nvSpPr>
      <xdr:spPr>
        <a:xfrm>
          <a:off x="7670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7</xdr:col>
          <xdr:colOff>678180</xdr:colOff>
          <xdr:row>0</xdr:row>
          <xdr:rowOff>144780</xdr:rowOff>
        </xdr:from>
        <xdr:to>
          <xdr:col>9</xdr:col>
          <xdr:colOff>533400</xdr:colOff>
          <xdr:row>0</xdr:row>
          <xdr:rowOff>373380</xdr:rowOff>
        </xdr:to>
        <xdr:sp macro="" textlink="">
          <xdr:nvSpPr>
            <xdr:cNvPr id="530457" name="activate_emissions_factors" hidden="1">
              <a:extLst>
                <a:ext uri="{63B3BB69-23CF-44E3-9099-C40C66FF867C}">
                  <a14:compatExt spid="_x0000_s530457"/>
                </a:ext>
                <a:ext uri="{FF2B5EF4-FFF2-40B4-BE49-F238E27FC236}">
                  <a16:creationId xmlns:a16="http://schemas.microsoft.com/office/drawing/2014/main" id="{00000000-0008-0000-0600-000019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563880</xdr:colOff>
          <xdr:row>0</xdr:row>
          <xdr:rowOff>144780</xdr:rowOff>
        </xdr:from>
        <xdr:to>
          <xdr:col>9</xdr:col>
          <xdr:colOff>1943100</xdr:colOff>
          <xdr:row>0</xdr:row>
          <xdr:rowOff>373380</xdr:rowOff>
        </xdr:to>
        <xdr:sp macro="" textlink="">
          <xdr:nvSpPr>
            <xdr:cNvPr id="530458" name="activate_material_density" hidden="1">
              <a:extLst>
                <a:ext uri="{63B3BB69-23CF-44E3-9099-C40C66FF867C}">
                  <a14:compatExt spid="_x0000_s530458"/>
                </a:ext>
                <a:ext uri="{FF2B5EF4-FFF2-40B4-BE49-F238E27FC236}">
                  <a16:creationId xmlns:a16="http://schemas.microsoft.com/office/drawing/2014/main" id="{00000000-0008-0000-0600-00001A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1973580</xdr:colOff>
          <xdr:row>0</xdr:row>
          <xdr:rowOff>144780</xdr:rowOff>
        </xdr:from>
        <xdr:to>
          <xdr:col>9</xdr:col>
          <xdr:colOff>3345180</xdr:colOff>
          <xdr:row>0</xdr:row>
          <xdr:rowOff>373380</xdr:rowOff>
        </xdr:to>
        <xdr:sp macro="" textlink="">
          <xdr:nvSpPr>
            <xdr:cNvPr id="530459" name="activate_notes" hidden="1">
              <a:extLst>
                <a:ext uri="{63B3BB69-23CF-44E3-9099-C40C66FF867C}">
                  <a14:compatExt spid="_x0000_s530459"/>
                </a:ext>
                <a:ext uri="{FF2B5EF4-FFF2-40B4-BE49-F238E27FC236}">
                  <a16:creationId xmlns:a16="http://schemas.microsoft.com/office/drawing/2014/main" id="{00000000-0008-0000-0600-00001B1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xdr:from>
      <xdr:col>0</xdr:col>
      <xdr:colOff>101819</xdr:colOff>
      <xdr:row>0</xdr:row>
      <xdr:rowOff>82112</xdr:rowOff>
    </xdr:from>
    <xdr:to>
      <xdr:col>2</xdr:col>
      <xdr:colOff>1201115</xdr:colOff>
      <xdr:row>1</xdr:row>
      <xdr:rowOff>814803</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01819" y="82112"/>
          <a:ext cx="2030629" cy="1283024"/>
          <a:chOff x="47625" y="114300"/>
          <a:chExt cx="2004171" cy="1285141"/>
        </a:xfrm>
      </xdr:grpSpPr>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13" name="Picture 3" descr="National Highways Logo">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19</xdr:row>
          <xdr:rowOff>68580</xdr:rowOff>
        </xdr:from>
        <xdr:to>
          <xdr:col>2</xdr:col>
          <xdr:colOff>723900</xdr:colOff>
          <xdr:row>20</xdr:row>
          <xdr:rowOff>68580</xdr:rowOff>
        </xdr:to>
        <xdr:sp macro="" textlink="">
          <xdr:nvSpPr>
            <xdr:cNvPr id="67585" name="Option Button 1" hidden="1">
              <a:extLst>
                <a:ext uri="{63B3BB69-23CF-44E3-9099-C40C66FF867C}">
                  <a14:compatExt spid="_x0000_s67585"/>
                </a:ext>
                <a:ext uri="{FF2B5EF4-FFF2-40B4-BE49-F238E27FC236}">
                  <a16:creationId xmlns:a16="http://schemas.microsoft.com/office/drawing/2014/main" id="{00000000-0008-0000-08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Clear dowstream cells via code if an upstream choice changes.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68580</xdr:rowOff>
        </xdr:from>
        <xdr:to>
          <xdr:col>2</xdr:col>
          <xdr:colOff>411480</xdr:colOff>
          <xdr:row>21</xdr:row>
          <xdr:rowOff>68580</xdr:rowOff>
        </xdr:to>
        <xdr:sp macro="" textlink="">
          <xdr:nvSpPr>
            <xdr:cNvPr id="67586" name="Option Button 2" hidden="1">
              <a:extLst>
                <a:ext uri="{63B3BB69-23CF-44E3-9099-C40C66FF867C}">
                  <a14:compatExt spid="_x0000_s67586"/>
                </a:ext>
                <a:ext uri="{FF2B5EF4-FFF2-40B4-BE49-F238E27FC236}">
                  <a16:creationId xmlns:a16="http://schemas.microsoft.com/office/drawing/2014/main" id="{00000000-0008-0000-0800-000002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Don't use code</a:t>
              </a:r>
            </a:p>
          </xdr:txBody>
        </xdr:sp>
        <xdr:clientData/>
      </xdr:twoCellAnchor>
    </mc:Choice>
    <mc:Fallback/>
  </mc:AlternateContent>
  <xdr:twoCellAnchor>
    <xdr:from>
      <xdr:col>3</xdr:col>
      <xdr:colOff>533400</xdr:colOff>
      <xdr:row>25</xdr:row>
      <xdr:rowOff>133351</xdr:rowOff>
    </xdr:from>
    <xdr:to>
      <xdr:col>4</xdr:col>
      <xdr:colOff>419100</xdr:colOff>
      <xdr:row>27</xdr:row>
      <xdr:rowOff>171451</xdr:rowOff>
    </xdr:to>
    <xdr:sp macro="" textlink="">
      <xdr:nvSpPr>
        <xdr:cNvPr id="4" name="Rounded Rectangular Callout 3">
          <a:extLst>
            <a:ext uri="{FF2B5EF4-FFF2-40B4-BE49-F238E27FC236}">
              <a16:creationId xmlns:a16="http://schemas.microsoft.com/office/drawing/2014/main" id="{00000000-0008-0000-0800-000004000000}"/>
            </a:ext>
          </a:extLst>
        </xdr:cNvPr>
        <xdr:cNvSpPr/>
      </xdr:nvSpPr>
      <xdr:spPr>
        <a:xfrm>
          <a:off x="3209925" y="5848351"/>
          <a:ext cx="1076325" cy="419100"/>
        </a:xfrm>
        <a:prstGeom prst="wedgeRoundRectCallout">
          <a:avLst>
            <a:gd name="adj1" fmla="val -18508"/>
            <a:gd name="adj2" fmla="val -14010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Z" sz="2400"/>
            <a:t>Initial List</a:t>
          </a:r>
        </a:p>
      </xdr:txBody>
    </xdr:sp>
    <xdr:clientData/>
  </xdr:twoCellAnchor>
  <xdr:twoCellAnchor>
    <xdr:from>
      <xdr:col>5</xdr:col>
      <xdr:colOff>1019175</xdr:colOff>
      <xdr:row>0</xdr:row>
      <xdr:rowOff>142876</xdr:rowOff>
    </xdr:from>
    <xdr:to>
      <xdr:col>10</xdr:col>
      <xdr:colOff>47625</xdr:colOff>
      <xdr:row>2</xdr:row>
      <xdr:rowOff>180976</xdr:rowOff>
    </xdr:to>
    <xdr:sp macro="" textlink="">
      <xdr:nvSpPr>
        <xdr:cNvPr id="5" name="Rounded Rectangular Callout 4">
          <a:extLst>
            <a:ext uri="{FF2B5EF4-FFF2-40B4-BE49-F238E27FC236}">
              <a16:creationId xmlns:a16="http://schemas.microsoft.com/office/drawing/2014/main" id="{00000000-0008-0000-0800-000005000000}"/>
            </a:ext>
          </a:extLst>
        </xdr:cNvPr>
        <xdr:cNvSpPr/>
      </xdr:nvSpPr>
      <xdr:spPr>
        <a:xfrm>
          <a:off x="5600700" y="142876"/>
          <a:ext cx="3267075" cy="419100"/>
        </a:xfrm>
        <a:prstGeom prst="wedgeRoundRectCallout">
          <a:avLst>
            <a:gd name="adj1" fmla="val -12890"/>
            <a:gd name="adj2" fmla="val 105345"/>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Z" sz="2400"/>
            <a:t>Subsequent categories</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1905000</xdr:colOff>
          <xdr:row>0</xdr:row>
          <xdr:rowOff>144780</xdr:rowOff>
        </xdr:from>
        <xdr:to>
          <xdr:col>2</xdr:col>
          <xdr:colOff>487680</xdr:colOff>
          <xdr:row>0</xdr:row>
          <xdr:rowOff>373380</xdr:rowOff>
        </xdr:to>
        <xdr:sp macro="" textlink="">
          <xdr:nvSpPr>
            <xdr:cNvPr id="487495" name="activate_home_page" hidden="1">
              <a:extLst>
                <a:ext uri="{63B3BB69-23CF-44E3-9099-C40C66FF867C}">
                  <a14:compatExt spid="_x0000_s487495"/>
                </a:ext>
                <a:ext uri="{FF2B5EF4-FFF2-40B4-BE49-F238E27FC236}">
                  <a16:creationId xmlns:a16="http://schemas.microsoft.com/office/drawing/2014/main" id="{00000000-0008-0000-0900-000047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0</xdr:row>
          <xdr:rowOff>144780</xdr:rowOff>
        </xdr:from>
        <xdr:to>
          <xdr:col>4</xdr:col>
          <xdr:colOff>144780</xdr:colOff>
          <xdr:row>0</xdr:row>
          <xdr:rowOff>373380</xdr:rowOff>
        </xdr:to>
        <xdr:sp macro="" textlink="">
          <xdr:nvSpPr>
            <xdr:cNvPr id="487496" name="activate_guidance" hidden="1">
              <a:extLst>
                <a:ext uri="{63B3BB69-23CF-44E3-9099-C40C66FF867C}">
                  <a14:compatExt spid="_x0000_s487496"/>
                </a:ext>
                <a:ext uri="{FF2B5EF4-FFF2-40B4-BE49-F238E27FC236}">
                  <a16:creationId xmlns:a16="http://schemas.microsoft.com/office/drawing/2014/main" id="{00000000-0008-0000-0900-000048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144780</xdr:colOff>
          <xdr:row>0</xdr:row>
          <xdr:rowOff>144780</xdr:rowOff>
        </xdr:from>
        <xdr:to>
          <xdr:col>4</xdr:col>
          <xdr:colOff>1516380</xdr:colOff>
          <xdr:row>0</xdr:row>
          <xdr:rowOff>373380</xdr:rowOff>
        </xdr:to>
        <xdr:sp macro="" textlink="">
          <xdr:nvSpPr>
            <xdr:cNvPr id="487497" name="activate_summary_report" hidden="1">
              <a:extLst>
                <a:ext uri="{63B3BB69-23CF-44E3-9099-C40C66FF867C}">
                  <a14:compatExt spid="_x0000_s487497"/>
                </a:ext>
                <a:ext uri="{FF2B5EF4-FFF2-40B4-BE49-F238E27FC236}">
                  <a16:creationId xmlns:a16="http://schemas.microsoft.com/office/drawing/2014/main" id="{00000000-0008-0000-0900-000049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1554480</xdr:colOff>
          <xdr:row>0</xdr:row>
          <xdr:rowOff>144780</xdr:rowOff>
        </xdr:from>
        <xdr:to>
          <xdr:col>4</xdr:col>
          <xdr:colOff>2926080</xdr:colOff>
          <xdr:row>0</xdr:row>
          <xdr:rowOff>373380</xdr:rowOff>
        </xdr:to>
        <xdr:sp macro="" textlink="">
          <xdr:nvSpPr>
            <xdr:cNvPr id="487498" name="activate_outputs" hidden="1">
              <a:extLst>
                <a:ext uri="{63B3BB69-23CF-44E3-9099-C40C66FF867C}">
                  <a14:compatExt spid="_x0000_s487498"/>
                </a:ext>
                <a:ext uri="{FF2B5EF4-FFF2-40B4-BE49-F238E27FC236}">
                  <a16:creationId xmlns:a16="http://schemas.microsoft.com/office/drawing/2014/main" id="{00000000-0008-0000-0900-00004A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2964180</xdr:colOff>
          <xdr:row>0</xdr:row>
          <xdr:rowOff>144780</xdr:rowOff>
        </xdr:from>
        <xdr:to>
          <xdr:col>4</xdr:col>
          <xdr:colOff>4335780</xdr:colOff>
          <xdr:row>0</xdr:row>
          <xdr:rowOff>373380</xdr:rowOff>
        </xdr:to>
        <xdr:sp macro="" textlink="">
          <xdr:nvSpPr>
            <xdr:cNvPr id="487499" name="activate_emissions_factors" hidden="1">
              <a:extLst>
                <a:ext uri="{63B3BB69-23CF-44E3-9099-C40C66FF867C}">
                  <a14:compatExt spid="_x0000_s487499"/>
                </a:ext>
                <a:ext uri="{FF2B5EF4-FFF2-40B4-BE49-F238E27FC236}">
                  <a16:creationId xmlns:a16="http://schemas.microsoft.com/office/drawing/2014/main" id="{00000000-0008-0000-0900-00004B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xdr:twoCellAnchor editAs="absolute">
    <xdr:from>
      <xdr:col>4</xdr:col>
      <xdr:colOff>4314825</xdr:colOff>
      <xdr:row>0</xdr:row>
      <xdr:rowOff>114300</xdr:rowOff>
    </xdr:from>
    <xdr:to>
      <xdr:col>4</xdr:col>
      <xdr:colOff>5737225</xdr:colOff>
      <xdr:row>0</xdr:row>
      <xdr:rowOff>393700</xdr:rowOff>
    </xdr:to>
    <xdr:sp macro="" textlink="">
      <xdr:nvSpPr>
        <xdr:cNvPr id="2" name="blue_rectangle">
          <a:extLst>
            <a:ext uri="{FF2B5EF4-FFF2-40B4-BE49-F238E27FC236}">
              <a16:creationId xmlns:a16="http://schemas.microsoft.com/office/drawing/2014/main" id="{00000000-0008-0000-0900-000002000000}"/>
            </a:ext>
          </a:extLst>
        </xdr:cNvPr>
        <xdr:cNvSpPr/>
      </xdr:nvSpPr>
      <xdr:spPr>
        <a:xfrm>
          <a:off x="9067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4335780</xdr:colOff>
          <xdr:row>0</xdr:row>
          <xdr:rowOff>144780</xdr:rowOff>
        </xdr:from>
        <xdr:to>
          <xdr:col>4</xdr:col>
          <xdr:colOff>5707380</xdr:colOff>
          <xdr:row>0</xdr:row>
          <xdr:rowOff>373380</xdr:rowOff>
        </xdr:to>
        <xdr:sp macro="" textlink="">
          <xdr:nvSpPr>
            <xdr:cNvPr id="487500" name="activate_material_density" hidden="1">
              <a:extLst>
                <a:ext uri="{63B3BB69-23CF-44E3-9099-C40C66FF867C}">
                  <a14:compatExt spid="_x0000_s487500"/>
                </a:ext>
                <a:ext uri="{FF2B5EF4-FFF2-40B4-BE49-F238E27FC236}">
                  <a16:creationId xmlns:a16="http://schemas.microsoft.com/office/drawing/2014/main" id="{00000000-0008-0000-0900-00004C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5745480</xdr:colOff>
          <xdr:row>0</xdr:row>
          <xdr:rowOff>144780</xdr:rowOff>
        </xdr:from>
        <xdr:to>
          <xdr:col>9</xdr:col>
          <xdr:colOff>106680</xdr:colOff>
          <xdr:row>0</xdr:row>
          <xdr:rowOff>373380</xdr:rowOff>
        </xdr:to>
        <xdr:sp macro="" textlink="">
          <xdr:nvSpPr>
            <xdr:cNvPr id="487501" name="activate_notes" hidden="1">
              <a:extLst>
                <a:ext uri="{63B3BB69-23CF-44E3-9099-C40C66FF867C}">
                  <a14:compatExt spid="_x0000_s487501"/>
                </a:ext>
                <a:ext uri="{FF2B5EF4-FFF2-40B4-BE49-F238E27FC236}">
                  <a16:creationId xmlns:a16="http://schemas.microsoft.com/office/drawing/2014/main" id="{00000000-0008-0000-0900-00004D7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xdr:from>
      <xdr:col>0</xdr:col>
      <xdr:colOff>95250</xdr:colOff>
      <xdr:row>0</xdr:row>
      <xdr:rowOff>95250</xdr:rowOff>
    </xdr:from>
    <xdr:to>
      <xdr:col>1</xdr:col>
      <xdr:colOff>1899396</xdr:colOff>
      <xdr:row>1</xdr:row>
      <xdr:rowOff>827941</xdr:rowOff>
    </xdr:to>
    <xdr:grpSp>
      <xdr:nvGrpSpPr>
        <xdr:cNvPr id="14" name="Group 13">
          <a:extLst>
            <a:ext uri="{FF2B5EF4-FFF2-40B4-BE49-F238E27FC236}">
              <a16:creationId xmlns:a16="http://schemas.microsoft.com/office/drawing/2014/main" id="{00000000-0008-0000-0900-00000E000000}"/>
            </a:ext>
          </a:extLst>
        </xdr:cNvPr>
        <xdr:cNvGrpSpPr/>
      </xdr:nvGrpSpPr>
      <xdr:grpSpPr>
        <a:xfrm>
          <a:off x="95250" y="95250"/>
          <a:ext cx="2009886" cy="1281331"/>
          <a:chOff x="47625" y="114300"/>
          <a:chExt cx="2004171" cy="1285141"/>
        </a:xfrm>
      </xdr:grpSpPr>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16" name="Picture 3" descr="National Highways Logo">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xdr:colOff>
      <xdr:row>22</xdr:row>
      <xdr:rowOff>47625</xdr:rowOff>
    </xdr:from>
    <xdr:to>
      <xdr:col>1</xdr:col>
      <xdr:colOff>1</xdr:colOff>
      <xdr:row>1048576</xdr:row>
      <xdr:rowOff>155641</xdr:rowOff>
    </xdr:to>
    <xdr:pic>
      <xdr:nvPicPr>
        <xdr:cNvPr id="2" name="Picture 1" descr="Boundaries Diagram.pdf - Adobe Reader">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310" t="16248" r="4111" b="10974"/>
        <a:stretch/>
      </xdr:blipFill>
      <xdr:spPr>
        <a:xfrm>
          <a:off x="200026" y="10601325"/>
          <a:ext cx="0" cy="710571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68580</xdr:colOff>
          <xdr:row>3</xdr:row>
          <xdr:rowOff>68580</xdr:rowOff>
        </xdr:from>
        <xdr:to>
          <xdr:col>6</xdr:col>
          <xdr:colOff>495300</xdr:colOff>
          <xdr:row>3</xdr:row>
          <xdr:rowOff>289560</xdr:rowOff>
        </xdr:to>
        <xdr:sp macro="" textlink="">
          <xdr:nvSpPr>
            <xdr:cNvPr id="286536" name="ComboBox1" hidden="1">
              <a:extLst>
                <a:ext uri="{63B3BB69-23CF-44E3-9099-C40C66FF867C}">
                  <a14:compatExt spid="_x0000_s286536"/>
                </a:ext>
                <a:ext uri="{FF2B5EF4-FFF2-40B4-BE49-F238E27FC236}">
                  <a16:creationId xmlns:a16="http://schemas.microsoft.com/office/drawing/2014/main" id="{00000000-0008-0000-0A00-0000485F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449580</xdr:colOff>
          <xdr:row>3</xdr:row>
          <xdr:rowOff>106680</xdr:rowOff>
        </xdr:from>
        <xdr:to>
          <xdr:col>10</xdr:col>
          <xdr:colOff>342900</xdr:colOff>
          <xdr:row>3</xdr:row>
          <xdr:rowOff>373380</xdr:rowOff>
        </xdr:to>
        <xdr:sp macro="" textlink="">
          <xdr:nvSpPr>
            <xdr:cNvPr id="286538" name="Button 842" hidden="1">
              <a:extLst>
                <a:ext uri="{63B3BB69-23CF-44E3-9099-C40C66FF867C}">
                  <a14:compatExt spid="_x0000_s286538"/>
                </a:ext>
                <a:ext uri="{FF2B5EF4-FFF2-40B4-BE49-F238E27FC236}">
                  <a16:creationId xmlns:a16="http://schemas.microsoft.com/office/drawing/2014/main" id="{00000000-0008-0000-0A00-00004A5F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a:ea typeface="Calibri"/>
                  <a:cs typeface="Calibri"/>
                </a:rPr>
                <a:t>Current 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640080</xdr:colOff>
          <xdr:row>4</xdr:row>
          <xdr:rowOff>106680</xdr:rowOff>
        </xdr:from>
        <xdr:to>
          <xdr:col>5</xdr:col>
          <xdr:colOff>182880</xdr:colOff>
          <xdr:row>4</xdr:row>
          <xdr:rowOff>373380</xdr:rowOff>
        </xdr:to>
        <xdr:sp macro="" textlink="">
          <xdr:nvSpPr>
            <xdr:cNvPr id="286540" name="Button 844" hidden="1">
              <a:extLst>
                <a:ext uri="{63B3BB69-23CF-44E3-9099-C40C66FF867C}">
                  <a14:compatExt spid="_x0000_s286540"/>
                </a:ext>
                <a:ext uri="{FF2B5EF4-FFF2-40B4-BE49-F238E27FC236}">
                  <a16:creationId xmlns:a16="http://schemas.microsoft.com/office/drawing/2014/main" id="{00000000-0008-0000-0A00-00004C5F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4</xdr:row>
          <xdr:rowOff>106680</xdr:rowOff>
        </xdr:from>
        <xdr:to>
          <xdr:col>7</xdr:col>
          <xdr:colOff>640080</xdr:colOff>
          <xdr:row>4</xdr:row>
          <xdr:rowOff>373380</xdr:rowOff>
        </xdr:to>
        <xdr:sp macro="" textlink="">
          <xdr:nvSpPr>
            <xdr:cNvPr id="286541" name="Button 845" hidden="1">
              <a:extLst>
                <a:ext uri="{63B3BB69-23CF-44E3-9099-C40C66FF867C}">
                  <a14:compatExt spid="_x0000_s286541"/>
                </a:ext>
                <a:ext uri="{FF2B5EF4-FFF2-40B4-BE49-F238E27FC236}">
                  <a16:creationId xmlns:a16="http://schemas.microsoft.com/office/drawing/2014/main" id="{00000000-0008-0000-0A00-00004D5F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80808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563880</xdr:colOff>
          <xdr:row>0</xdr:row>
          <xdr:rowOff>144780</xdr:rowOff>
        </xdr:from>
        <xdr:to>
          <xdr:col>5</xdr:col>
          <xdr:colOff>640080</xdr:colOff>
          <xdr:row>0</xdr:row>
          <xdr:rowOff>373380</xdr:rowOff>
        </xdr:to>
        <xdr:sp macro="" textlink="">
          <xdr:nvSpPr>
            <xdr:cNvPr id="499772" name="activate_home_page" hidden="1">
              <a:extLst>
                <a:ext uri="{63B3BB69-23CF-44E3-9099-C40C66FF867C}">
                  <a14:compatExt spid="_x0000_s499772"/>
                </a:ext>
                <a:ext uri="{FF2B5EF4-FFF2-40B4-BE49-F238E27FC236}">
                  <a16:creationId xmlns:a16="http://schemas.microsoft.com/office/drawing/2014/main" id="{00000000-0008-0000-0A00-00003C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30480</xdr:colOff>
          <xdr:row>0</xdr:row>
          <xdr:rowOff>144780</xdr:rowOff>
        </xdr:from>
        <xdr:to>
          <xdr:col>8</xdr:col>
          <xdr:colOff>106680</xdr:colOff>
          <xdr:row>0</xdr:row>
          <xdr:rowOff>373380</xdr:rowOff>
        </xdr:to>
        <xdr:sp macro="" textlink="">
          <xdr:nvSpPr>
            <xdr:cNvPr id="499773" name="activate_guidance" hidden="1">
              <a:extLst>
                <a:ext uri="{63B3BB69-23CF-44E3-9099-C40C66FF867C}">
                  <a14:compatExt spid="_x0000_s499773"/>
                </a:ext>
                <a:ext uri="{FF2B5EF4-FFF2-40B4-BE49-F238E27FC236}">
                  <a16:creationId xmlns:a16="http://schemas.microsoft.com/office/drawing/2014/main" id="{00000000-0008-0000-0A00-00003D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106680</xdr:colOff>
          <xdr:row>0</xdr:row>
          <xdr:rowOff>144780</xdr:rowOff>
        </xdr:from>
        <xdr:to>
          <xdr:col>10</xdr:col>
          <xdr:colOff>182880</xdr:colOff>
          <xdr:row>0</xdr:row>
          <xdr:rowOff>373380</xdr:rowOff>
        </xdr:to>
        <xdr:sp macro="" textlink="">
          <xdr:nvSpPr>
            <xdr:cNvPr id="499774" name="activate_summary_report" hidden="1">
              <a:extLst>
                <a:ext uri="{63B3BB69-23CF-44E3-9099-C40C66FF867C}">
                  <a14:compatExt spid="_x0000_s499774"/>
                </a:ext>
                <a:ext uri="{FF2B5EF4-FFF2-40B4-BE49-F238E27FC236}">
                  <a16:creationId xmlns:a16="http://schemas.microsoft.com/office/drawing/2014/main" id="{00000000-0008-0000-0A00-00003E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220980</xdr:colOff>
          <xdr:row>0</xdr:row>
          <xdr:rowOff>144780</xdr:rowOff>
        </xdr:from>
        <xdr:to>
          <xdr:col>12</xdr:col>
          <xdr:colOff>297180</xdr:colOff>
          <xdr:row>0</xdr:row>
          <xdr:rowOff>373380</xdr:rowOff>
        </xdr:to>
        <xdr:sp macro="" textlink="">
          <xdr:nvSpPr>
            <xdr:cNvPr id="499775" name="activate_outputs" hidden="1">
              <a:extLst>
                <a:ext uri="{63B3BB69-23CF-44E3-9099-C40C66FF867C}">
                  <a14:compatExt spid="_x0000_s499775"/>
                </a:ext>
                <a:ext uri="{FF2B5EF4-FFF2-40B4-BE49-F238E27FC236}">
                  <a16:creationId xmlns:a16="http://schemas.microsoft.com/office/drawing/2014/main" id="{00000000-0008-0000-0A00-00003F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335280</xdr:colOff>
          <xdr:row>0</xdr:row>
          <xdr:rowOff>144780</xdr:rowOff>
        </xdr:from>
        <xdr:to>
          <xdr:col>14</xdr:col>
          <xdr:colOff>411480</xdr:colOff>
          <xdr:row>0</xdr:row>
          <xdr:rowOff>373380</xdr:rowOff>
        </xdr:to>
        <xdr:sp macro="" textlink="">
          <xdr:nvSpPr>
            <xdr:cNvPr id="499776" name="activate_emissions_factors" hidden="1">
              <a:extLst>
                <a:ext uri="{63B3BB69-23CF-44E3-9099-C40C66FF867C}">
                  <a14:compatExt spid="_x0000_s499776"/>
                </a:ext>
                <a:ext uri="{FF2B5EF4-FFF2-40B4-BE49-F238E27FC236}">
                  <a16:creationId xmlns:a16="http://schemas.microsoft.com/office/drawing/2014/main" id="{00000000-0008-0000-0A00-000040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411480</xdr:colOff>
          <xdr:row>0</xdr:row>
          <xdr:rowOff>144780</xdr:rowOff>
        </xdr:from>
        <xdr:to>
          <xdr:col>16</xdr:col>
          <xdr:colOff>487680</xdr:colOff>
          <xdr:row>0</xdr:row>
          <xdr:rowOff>373380</xdr:rowOff>
        </xdr:to>
        <xdr:sp macro="" textlink="">
          <xdr:nvSpPr>
            <xdr:cNvPr id="499777" name="activate_material_density" hidden="1">
              <a:extLst>
                <a:ext uri="{63B3BB69-23CF-44E3-9099-C40C66FF867C}">
                  <a14:compatExt spid="_x0000_s499777"/>
                </a:ext>
                <a:ext uri="{FF2B5EF4-FFF2-40B4-BE49-F238E27FC236}">
                  <a16:creationId xmlns:a16="http://schemas.microsoft.com/office/drawing/2014/main" id="{00000000-0008-0000-0A00-000041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xdr:twoCellAnchor editAs="absolute">
    <xdr:from>
      <xdr:col>16</xdr:col>
      <xdr:colOff>492125</xdr:colOff>
      <xdr:row>0</xdr:row>
      <xdr:rowOff>114300</xdr:rowOff>
    </xdr:from>
    <xdr:to>
      <xdr:col>19</xdr:col>
      <xdr:colOff>123825</xdr:colOff>
      <xdr:row>0</xdr:row>
      <xdr:rowOff>393700</xdr:rowOff>
    </xdr:to>
    <xdr:sp macro="" textlink="">
      <xdr:nvSpPr>
        <xdr:cNvPr id="3" name="blue_rectangle">
          <a:extLst>
            <a:ext uri="{FF2B5EF4-FFF2-40B4-BE49-F238E27FC236}">
              <a16:creationId xmlns:a16="http://schemas.microsoft.com/office/drawing/2014/main" id="{00000000-0008-0000-0A00-000003000000}"/>
            </a:ext>
          </a:extLst>
        </xdr:cNvPr>
        <xdr:cNvSpPr/>
      </xdr:nvSpPr>
      <xdr:spPr>
        <a:xfrm>
          <a:off x="10464800" y="114300"/>
          <a:ext cx="1422400" cy="2794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16</xdr:col>
          <xdr:colOff>525780</xdr:colOff>
          <xdr:row>0</xdr:row>
          <xdr:rowOff>144780</xdr:rowOff>
        </xdr:from>
        <xdr:to>
          <xdr:col>19</xdr:col>
          <xdr:colOff>106680</xdr:colOff>
          <xdr:row>0</xdr:row>
          <xdr:rowOff>373380</xdr:rowOff>
        </xdr:to>
        <xdr:sp macro="" textlink="">
          <xdr:nvSpPr>
            <xdr:cNvPr id="499778" name="activate_notes" hidden="1">
              <a:extLst>
                <a:ext uri="{63B3BB69-23CF-44E3-9099-C40C66FF867C}">
                  <a14:compatExt spid="_x0000_s499778"/>
                </a:ext>
                <a:ext uri="{FF2B5EF4-FFF2-40B4-BE49-F238E27FC236}">
                  <a16:creationId xmlns:a16="http://schemas.microsoft.com/office/drawing/2014/main" id="{00000000-0008-0000-0A00-00004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 </a:t>
              </a:r>
            </a:p>
          </xdr:txBody>
        </xdr:sp>
        <xdr:clientData fPrintsWithSheet="0"/>
      </xdr:twoCellAnchor>
    </mc:Choice>
    <mc:Fallback/>
  </mc:AlternateContent>
  <xdr:twoCellAnchor>
    <xdr:from>
      <xdr:col>0</xdr:col>
      <xdr:colOff>95250</xdr:colOff>
      <xdr:row>0</xdr:row>
      <xdr:rowOff>95250</xdr:rowOff>
    </xdr:from>
    <xdr:to>
      <xdr:col>3</xdr:col>
      <xdr:colOff>546846</xdr:colOff>
      <xdr:row>1</xdr:row>
      <xdr:rowOff>827941</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95250" y="95250"/>
          <a:ext cx="2045934" cy="1283676"/>
          <a:chOff x="47625" y="114300"/>
          <a:chExt cx="2004171" cy="1285141"/>
        </a:xfrm>
      </xdr:grpSpPr>
      <xdr:pic>
        <xdr:nvPicPr>
          <xdr:cNvPr id="17" name="Picture 16">
            <a:extLst>
              <a:ext uri="{FF2B5EF4-FFF2-40B4-BE49-F238E27FC236}">
                <a16:creationId xmlns:a16="http://schemas.microsoft.com/office/drawing/2014/main" id="{00000000-0008-0000-0A00-000011000000}"/>
              </a:ext>
            </a:extLst>
          </xdr:cNvPr>
          <xdr:cNvPicPr>
            <a:picLocks noChangeAspect="1"/>
          </xdr:cNvPicPr>
        </xdr:nvPicPr>
        <xdr:blipFill rotWithShape="1">
          <a:blip xmlns:r="http://schemas.openxmlformats.org/officeDocument/2006/relationships" r:embed="rId2"/>
          <a:srcRect t="47644"/>
          <a:stretch/>
        </xdr:blipFill>
        <xdr:spPr>
          <a:xfrm>
            <a:off x="47625" y="666750"/>
            <a:ext cx="2004171" cy="732691"/>
          </a:xfrm>
          <a:prstGeom prst="rect">
            <a:avLst/>
          </a:prstGeom>
        </xdr:spPr>
      </xdr:pic>
      <xdr:pic>
        <xdr:nvPicPr>
          <xdr:cNvPr id="18" name="Picture 3" descr="National Highways Logo">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60960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E00-000001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251460</xdr:colOff>
          <xdr:row>5</xdr:row>
          <xdr:rowOff>60960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E00-000002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5" name="Rectangle 4">
          <a:extLst>
            <a:ext uri="{FF2B5EF4-FFF2-40B4-BE49-F238E27FC236}">
              <a16:creationId xmlns:a16="http://schemas.microsoft.com/office/drawing/2014/main" id="{00000000-0008-0000-0E00-000005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261124" name="Mark_page_as_complete" hidden="1">
              <a:extLst>
                <a:ext uri="{63B3BB69-23CF-44E3-9099-C40C66FF867C}">
                  <a14:compatExt spid="_x0000_s261124"/>
                </a:ext>
                <a:ext uri="{FF2B5EF4-FFF2-40B4-BE49-F238E27FC236}">
                  <a16:creationId xmlns:a16="http://schemas.microsoft.com/office/drawing/2014/main" id="{00000000-0008-0000-0E00-000004F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E00-000029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251460</xdr:colOff>
          <xdr:row>4</xdr:row>
          <xdr:rowOff>220980</xdr:rowOff>
        </xdr:to>
        <xdr:sp macro="" textlink="">
          <xdr:nvSpPr>
            <xdr:cNvPr id="261676" name="Button 556" hidden="1">
              <a:extLst>
                <a:ext uri="{63B3BB69-23CF-44E3-9099-C40C66FF867C}">
                  <a14:compatExt spid="_x0000_s261676"/>
                </a:ext>
                <a:ext uri="{FF2B5EF4-FFF2-40B4-BE49-F238E27FC236}">
                  <a16:creationId xmlns:a16="http://schemas.microsoft.com/office/drawing/2014/main" id="{00000000-0008-0000-0E00-00002CFE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xdr:twoCellAnchor editAs="absolute">
    <xdr:from>
      <xdr:col>3</xdr:col>
      <xdr:colOff>1380331</xdr:colOff>
      <xdr:row>0</xdr:row>
      <xdr:rowOff>368300</xdr:rowOff>
    </xdr:from>
    <xdr:to>
      <xdr:col>4</xdr:col>
      <xdr:colOff>2381</xdr:colOff>
      <xdr:row>1</xdr:row>
      <xdr:rowOff>488950</xdr:rowOff>
    </xdr:to>
    <xdr:sp macro="" textlink="">
      <xdr:nvSpPr>
        <xdr:cNvPr id="2" name="blue_rectangle">
          <a:extLst>
            <a:ext uri="{FF2B5EF4-FFF2-40B4-BE49-F238E27FC236}">
              <a16:creationId xmlns:a16="http://schemas.microsoft.com/office/drawing/2014/main" id="{00000000-0008-0000-0E00-000002000000}"/>
            </a:ext>
          </a:extLst>
        </xdr:cNvPr>
        <xdr:cNvSpPr/>
      </xdr:nvSpPr>
      <xdr:spPr>
        <a:xfrm>
          <a:off x="20828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1432560</xdr:colOff>
          <xdr:row>0</xdr:row>
          <xdr:rowOff>411480</xdr:rowOff>
        </xdr:from>
        <xdr:to>
          <xdr:col>3</xdr:col>
          <xdr:colOff>2385060</xdr:colOff>
          <xdr:row>1</xdr:row>
          <xdr:rowOff>480060</xdr:rowOff>
        </xdr:to>
        <xdr:sp macro="" textlink="">
          <xdr:nvSpPr>
            <xdr:cNvPr id="261741" name="activate_bulk_materials" hidden="1">
              <a:extLst>
                <a:ext uri="{63B3BB69-23CF-44E3-9099-C40C66FF867C}">
                  <a14:compatExt spid="_x0000_s261741"/>
                </a:ext>
                <a:ext uri="{FF2B5EF4-FFF2-40B4-BE49-F238E27FC236}">
                  <a16:creationId xmlns:a16="http://schemas.microsoft.com/office/drawing/2014/main" id="{00000000-0008-0000-0E00-00006D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30480</xdr:colOff>
          <xdr:row>0</xdr:row>
          <xdr:rowOff>411480</xdr:rowOff>
        </xdr:from>
        <xdr:to>
          <xdr:col>4</xdr:col>
          <xdr:colOff>952500</xdr:colOff>
          <xdr:row>1</xdr:row>
          <xdr:rowOff>480060</xdr:rowOff>
        </xdr:to>
        <xdr:sp macro="" textlink="">
          <xdr:nvSpPr>
            <xdr:cNvPr id="261742" name="activate_earthworks" hidden="1">
              <a:extLst>
                <a:ext uri="{63B3BB69-23CF-44E3-9099-C40C66FF867C}">
                  <a14:compatExt spid="_x0000_s261742"/>
                </a:ext>
                <a:ext uri="{FF2B5EF4-FFF2-40B4-BE49-F238E27FC236}">
                  <a16:creationId xmlns:a16="http://schemas.microsoft.com/office/drawing/2014/main" id="{00000000-0008-0000-0E00-00006E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1013460</xdr:colOff>
          <xdr:row>0</xdr:row>
          <xdr:rowOff>411480</xdr:rowOff>
        </xdr:from>
        <xdr:to>
          <xdr:col>5</xdr:col>
          <xdr:colOff>106680</xdr:colOff>
          <xdr:row>1</xdr:row>
          <xdr:rowOff>480060</xdr:rowOff>
        </xdr:to>
        <xdr:sp macro="" textlink="">
          <xdr:nvSpPr>
            <xdr:cNvPr id="261743" name="activate_fencing" hidden="1">
              <a:extLst>
                <a:ext uri="{63B3BB69-23CF-44E3-9099-C40C66FF867C}">
                  <a14:compatExt spid="_x0000_s261743"/>
                </a:ext>
                <a:ext uri="{FF2B5EF4-FFF2-40B4-BE49-F238E27FC236}">
                  <a16:creationId xmlns:a16="http://schemas.microsoft.com/office/drawing/2014/main" id="{00000000-0008-0000-0E00-00006F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0</xdr:row>
          <xdr:rowOff>411480</xdr:rowOff>
        </xdr:from>
        <xdr:to>
          <xdr:col>9</xdr:col>
          <xdr:colOff>114300</xdr:colOff>
          <xdr:row>1</xdr:row>
          <xdr:rowOff>480060</xdr:rowOff>
        </xdr:to>
        <xdr:sp macro="" textlink="">
          <xdr:nvSpPr>
            <xdr:cNvPr id="261744" name="activate_drainage" hidden="1">
              <a:extLst>
                <a:ext uri="{63B3BB69-23CF-44E3-9099-C40C66FF867C}">
                  <a14:compatExt spid="_x0000_s261744"/>
                </a:ext>
                <a:ext uri="{FF2B5EF4-FFF2-40B4-BE49-F238E27FC236}">
                  <a16:creationId xmlns:a16="http://schemas.microsoft.com/office/drawing/2014/main" id="{00000000-0008-0000-0E00-000070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137160</xdr:colOff>
          <xdr:row>0</xdr:row>
          <xdr:rowOff>411480</xdr:rowOff>
        </xdr:from>
        <xdr:to>
          <xdr:col>10</xdr:col>
          <xdr:colOff>525780</xdr:colOff>
          <xdr:row>1</xdr:row>
          <xdr:rowOff>480060</xdr:rowOff>
        </xdr:to>
        <xdr:sp macro="" textlink="">
          <xdr:nvSpPr>
            <xdr:cNvPr id="261745" name="activate_road_pavements" hidden="1">
              <a:extLst>
                <a:ext uri="{63B3BB69-23CF-44E3-9099-C40C66FF867C}">
                  <a14:compatExt spid="_x0000_s261745"/>
                </a:ext>
                <a:ext uri="{FF2B5EF4-FFF2-40B4-BE49-F238E27FC236}">
                  <a16:creationId xmlns:a16="http://schemas.microsoft.com/office/drawing/2014/main" id="{00000000-0008-0000-0E00-000071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563880</xdr:colOff>
          <xdr:row>0</xdr:row>
          <xdr:rowOff>411480</xdr:rowOff>
        </xdr:from>
        <xdr:to>
          <xdr:col>12</xdr:col>
          <xdr:colOff>99060</xdr:colOff>
          <xdr:row>1</xdr:row>
          <xdr:rowOff>480060</xdr:rowOff>
        </xdr:to>
        <xdr:sp macro="" textlink="">
          <xdr:nvSpPr>
            <xdr:cNvPr id="261746" name="activate_street_furniture" hidden="1">
              <a:extLst>
                <a:ext uri="{63B3BB69-23CF-44E3-9099-C40C66FF867C}">
                  <a14:compatExt spid="_x0000_s261746"/>
                </a:ext>
                <a:ext uri="{FF2B5EF4-FFF2-40B4-BE49-F238E27FC236}">
                  <a16:creationId xmlns:a16="http://schemas.microsoft.com/office/drawing/2014/main" id="{00000000-0008-0000-0E00-000072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114300</xdr:colOff>
          <xdr:row>0</xdr:row>
          <xdr:rowOff>411480</xdr:rowOff>
        </xdr:from>
        <xdr:to>
          <xdr:col>15</xdr:col>
          <xdr:colOff>304800</xdr:colOff>
          <xdr:row>1</xdr:row>
          <xdr:rowOff>480060</xdr:rowOff>
        </xdr:to>
        <xdr:sp macro="" textlink="">
          <xdr:nvSpPr>
            <xdr:cNvPr id="261747" name="activate_civils_structures" hidden="1">
              <a:extLst>
                <a:ext uri="{63B3BB69-23CF-44E3-9099-C40C66FF867C}">
                  <a14:compatExt spid="_x0000_s261747"/>
                </a:ext>
                <a:ext uri="{FF2B5EF4-FFF2-40B4-BE49-F238E27FC236}">
                  <a16:creationId xmlns:a16="http://schemas.microsoft.com/office/drawing/2014/main" id="{00000000-0008-0000-0E00-000073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335280</xdr:colOff>
          <xdr:row>0</xdr:row>
          <xdr:rowOff>411480</xdr:rowOff>
        </xdr:from>
        <xdr:to>
          <xdr:col>17</xdr:col>
          <xdr:colOff>30480</xdr:colOff>
          <xdr:row>1</xdr:row>
          <xdr:rowOff>480060</xdr:rowOff>
        </xdr:to>
        <xdr:sp macro="" textlink="">
          <xdr:nvSpPr>
            <xdr:cNvPr id="261748" name="activate_fuel_and_energy" hidden="1">
              <a:extLst>
                <a:ext uri="{63B3BB69-23CF-44E3-9099-C40C66FF867C}">
                  <a14:compatExt spid="_x0000_s261748"/>
                </a:ext>
                <a:ext uri="{FF2B5EF4-FFF2-40B4-BE49-F238E27FC236}">
                  <a16:creationId xmlns:a16="http://schemas.microsoft.com/office/drawing/2014/main" id="{00000000-0008-0000-0E00-000074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60960</xdr:colOff>
          <xdr:row>0</xdr:row>
          <xdr:rowOff>411480</xdr:rowOff>
        </xdr:from>
        <xdr:to>
          <xdr:col>18</xdr:col>
          <xdr:colOff>373380</xdr:colOff>
          <xdr:row>1</xdr:row>
          <xdr:rowOff>480060</xdr:rowOff>
        </xdr:to>
        <xdr:sp macro="" textlink="">
          <xdr:nvSpPr>
            <xdr:cNvPr id="261749" name="activate_business_transport" hidden="1">
              <a:extLst>
                <a:ext uri="{63B3BB69-23CF-44E3-9099-C40C66FF867C}">
                  <a14:compatExt spid="_x0000_s261749"/>
                </a:ext>
                <a:ext uri="{FF2B5EF4-FFF2-40B4-BE49-F238E27FC236}">
                  <a16:creationId xmlns:a16="http://schemas.microsoft.com/office/drawing/2014/main" id="{00000000-0008-0000-0E00-000075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411480</xdr:colOff>
          <xdr:row>0</xdr:row>
          <xdr:rowOff>411480</xdr:rowOff>
        </xdr:from>
        <xdr:to>
          <xdr:col>20</xdr:col>
          <xdr:colOff>99060</xdr:colOff>
          <xdr:row>1</xdr:row>
          <xdr:rowOff>480060</xdr:rowOff>
        </xdr:to>
        <xdr:sp macro="" textlink="">
          <xdr:nvSpPr>
            <xdr:cNvPr id="261750" name="activate_waste" hidden="1">
              <a:extLst>
                <a:ext uri="{63B3BB69-23CF-44E3-9099-C40C66FF867C}">
                  <a14:compatExt spid="_x0000_s261750"/>
                </a:ext>
                <a:ext uri="{FF2B5EF4-FFF2-40B4-BE49-F238E27FC236}">
                  <a16:creationId xmlns:a16="http://schemas.microsoft.com/office/drawing/2014/main" id="{00000000-0008-0000-0E00-000076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1432560</xdr:colOff>
          <xdr:row>0</xdr:row>
          <xdr:rowOff>144780</xdr:rowOff>
        </xdr:from>
        <xdr:to>
          <xdr:col>4</xdr:col>
          <xdr:colOff>411480</xdr:colOff>
          <xdr:row>0</xdr:row>
          <xdr:rowOff>373380</xdr:rowOff>
        </xdr:to>
        <xdr:sp macro="" textlink="">
          <xdr:nvSpPr>
            <xdr:cNvPr id="261751" name="activate_home_page" hidden="1">
              <a:extLst>
                <a:ext uri="{63B3BB69-23CF-44E3-9099-C40C66FF867C}">
                  <a14:compatExt spid="_x0000_s261751"/>
                </a:ext>
                <a:ext uri="{FF2B5EF4-FFF2-40B4-BE49-F238E27FC236}">
                  <a16:creationId xmlns:a16="http://schemas.microsoft.com/office/drawing/2014/main" id="{00000000-0008-0000-0E00-000077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441960</xdr:colOff>
          <xdr:row>0</xdr:row>
          <xdr:rowOff>144780</xdr:rowOff>
        </xdr:from>
        <xdr:to>
          <xdr:col>4</xdr:col>
          <xdr:colOff>1813560</xdr:colOff>
          <xdr:row>0</xdr:row>
          <xdr:rowOff>373380</xdr:rowOff>
        </xdr:to>
        <xdr:sp macro="" textlink="">
          <xdr:nvSpPr>
            <xdr:cNvPr id="261752" name="activate_guidance" hidden="1">
              <a:extLst>
                <a:ext uri="{63B3BB69-23CF-44E3-9099-C40C66FF867C}">
                  <a14:compatExt spid="_x0000_s261752"/>
                </a:ext>
                <a:ext uri="{FF2B5EF4-FFF2-40B4-BE49-F238E27FC236}">
                  <a16:creationId xmlns:a16="http://schemas.microsoft.com/office/drawing/2014/main" id="{00000000-0008-0000-0E00-000078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1828800</xdr:colOff>
          <xdr:row>0</xdr:row>
          <xdr:rowOff>144780</xdr:rowOff>
        </xdr:from>
        <xdr:to>
          <xdr:col>9</xdr:col>
          <xdr:colOff>373380</xdr:colOff>
          <xdr:row>0</xdr:row>
          <xdr:rowOff>373380</xdr:rowOff>
        </xdr:to>
        <xdr:sp macro="" textlink="">
          <xdr:nvSpPr>
            <xdr:cNvPr id="261753" name="activate_summary_report" hidden="1">
              <a:extLst>
                <a:ext uri="{63B3BB69-23CF-44E3-9099-C40C66FF867C}">
                  <a14:compatExt spid="_x0000_s261753"/>
                </a:ext>
                <a:ext uri="{FF2B5EF4-FFF2-40B4-BE49-F238E27FC236}">
                  <a16:creationId xmlns:a16="http://schemas.microsoft.com/office/drawing/2014/main" id="{00000000-0008-0000-0E00-000079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0</xdr:row>
          <xdr:rowOff>144780</xdr:rowOff>
        </xdr:from>
        <xdr:to>
          <xdr:col>11</xdr:col>
          <xdr:colOff>342900</xdr:colOff>
          <xdr:row>0</xdr:row>
          <xdr:rowOff>373380</xdr:rowOff>
        </xdr:to>
        <xdr:sp macro="" textlink="">
          <xdr:nvSpPr>
            <xdr:cNvPr id="261754" name="activate_outputs" hidden="1">
              <a:extLst>
                <a:ext uri="{63B3BB69-23CF-44E3-9099-C40C66FF867C}">
                  <a14:compatExt spid="_x0000_s261754"/>
                </a:ext>
                <a:ext uri="{FF2B5EF4-FFF2-40B4-BE49-F238E27FC236}">
                  <a16:creationId xmlns:a16="http://schemas.microsoft.com/office/drawing/2014/main" id="{00000000-0008-0000-0E00-00007A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373380</xdr:colOff>
          <xdr:row>0</xdr:row>
          <xdr:rowOff>144780</xdr:rowOff>
        </xdr:from>
        <xdr:to>
          <xdr:col>15</xdr:col>
          <xdr:colOff>480060</xdr:colOff>
          <xdr:row>0</xdr:row>
          <xdr:rowOff>373380</xdr:rowOff>
        </xdr:to>
        <xdr:sp macro="" textlink="">
          <xdr:nvSpPr>
            <xdr:cNvPr id="261755" name="activate_emissions_factors" hidden="1">
              <a:extLst>
                <a:ext uri="{63B3BB69-23CF-44E3-9099-C40C66FF867C}">
                  <a14:compatExt spid="_x0000_s261755"/>
                </a:ext>
                <a:ext uri="{FF2B5EF4-FFF2-40B4-BE49-F238E27FC236}">
                  <a16:creationId xmlns:a16="http://schemas.microsoft.com/office/drawing/2014/main" id="{00000000-0008-0000-0E00-00007B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480060</xdr:colOff>
          <xdr:row>0</xdr:row>
          <xdr:rowOff>144780</xdr:rowOff>
        </xdr:from>
        <xdr:to>
          <xdr:col>17</xdr:col>
          <xdr:colOff>571500</xdr:colOff>
          <xdr:row>0</xdr:row>
          <xdr:rowOff>373380</xdr:rowOff>
        </xdr:to>
        <xdr:sp macro="" textlink="">
          <xdr:nvSpPr>
            <xdr:cNvPr id="261756" name="activate_material_density" hidden="1">
              <a:extLst>
                <a:ext uri="{63B3BB69-23CF-44E3-9099-C40C66FF867C}">
                  <a14:compatExt spid="_x0000_s261756"/>
                </a:ext>
                <a:ext uri="{FF2B5EF4-FFF2-40B4-BE49-F238E27FC236}">
                  <a16:creationId xmlns:a16="http://schemas.microsoft.com/office/drawing/2014/main" id="{00000000-0008-0000-0E00-00007C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0</xdr:row>
          <xdr:rowOff>144780</xdr:rowOff>
        </xdr:from>
        <xdr:to>
          <xdr:col>20</xdr:col>
          <xdr:colOff>99060</xdr:colOff>
          <xdr:row>0</xdr:row>
          <xdr:rowOff>373380</xdr:rowOff>
        </xdr:to>
        <xdr:sp macro="" textlink="">
          <xdr:nvSpPr>
            <xdr:cNvPr id="261757" name="activate_notes" hidden="1">
              <a:extLst>
                <a:ext uri="{63B3BB69-23CF-44E3-9099-C40C66FF867C}">
                  <a14:compatExt spid="_x0000_s261757"/>
                </a:ext>
                <a:ext uri="{FF2B5EF4-FFF2-40B4-BE49-F238E27FC236}">
                  <a16:creationId xmlns:a16="http://schemas.microsoft.com/office/drawing/2014/main" id="{00000000-0008-0000-0E00-00007DFE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0E00-00001C000000}"/>
            </a:ext>
          </a:extLst>
        </xdr:cNvPr>
        <xdr:cNvGrpSpPr/>
      </xdr:nvGrpSpPr>
      <xdr:grpSpPr>
        <a:xfrm>
          <a:off x="0" y="95250"/>
          <a:ext cx="1918446" cy="1285141"/>
          <a:chOff x="47625" y="114300"/>
          <a:chExt cx="2004171" cy="1285141"/>
        </a:xfrm>
      </xdr:grpSpPr>
      <xdr:pic>
        <xdr:nvPicPr>
          <xdr:cNvPr id="29" name="Picture 28">
            <a:extLst>
              <a:ext uri="{FF2B5EF4-FFF2-40B4-BE49-F238E27FC236}">
                <a16:creationId xmlns:a16="http://schemas.microsoft.com/office/drawing/2014/main" id="{00000000-0008-0000-0E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0F00-000001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2322" name="Button 2" hidden="1">
              <a:extLst>
                <a:ext uri="{63B3BB69-23CF-44E3-9099-C40C66FF867C}">
                  <a14:compatExt spid="_x0000_s312322"/>
                </a:ext>
                <a:ext uri="{FF2B5EF4-FFF2-40B4-BE49-F238E27FC236}">
                  <a16:creationId xmlns:a16="http://schemas.microsoft.com/office/drawing/2014/main" id="{00000000-0008-0000-0F00-000002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0F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2323" name="Mark_page_as_complete" hidden="1">
              <a:extLst>
                <a:ext uri="{63B3BB69-23CF-44E3-9099-C40C66FF867C}">
                  <a14:compatExt spid="_x0000_s312323"/>
                </a:ext>
                <a:ext uri="{FF2B5EF4-FFF2-40B4-BE49-F238E27FC236}">
                  <a16:creationId xmlns:a16="http://schemas.microsoft.com/office/drawing/2014/main" id="{00000000-0008-0000-0F00-000003C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2324" name="Button 4" hidden="1">
              <a:extLst>
                <a:ext uri="{63B3BB69-23CF-44E3-9099-C40C66FF867C}">
                  <a14:compatExt spid="_x0000_s312324"/>
                </a:ext>
                <a:ext uri="{FF2B5EF4-FFF2-40B4-BE49-F238E27FC236}">
                  <a16:creationId xmlns:a16="http://schemas.microsoft.com/office/drawing/2014/main" id="{00000000-0008-0000-0F00-000004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2325" name="Button 5" hidden="1">
              <a:extLst>
                <a:ext uri="{63B3BB69-23CF-44E3-9099-C40C66FF867C}">
                  <a14:compatExt spid="_x0000_s312325"/>
                </a:ext>
                <a:ext uri="{FF2B5EF4-FFF2-40B4-BE49-F238E27FC236}">
                  <a16:creationId xmlns:a16="http://schemas.microsoft.com/office/drawing/2014/main" id="{00000000-0008-0000-0F00-000005C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2403" name="activate_bulk_materials" hidden="1">
              <a:extLst>
                <a:ext uri="{63B3BB69-23CF-44E3-9099-C40C66FF867C}">
                  <a14:compatExt spid="_x0000_s312403"/>
                </a:ext>
                <a:ext uri="{FF2B5EF4-FFF2-40B4-BE49-F238E27FC236}">
                  <a16:creationId xmlns:a16="http://schemas.microsoft.com/office/drawing/2014/main" id="{00000000-0008-0000-0F00-000053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xdr:twoCellAnchor editAs="absolute">
    <xdr:from>
      <xdr:col>3</xdr:col>
      <xdr:colOff>2155825</xdr:colOff>
      <xdr:row>0</xdr:row>
      <xdr:rowOff>368300</xdr:rowOff>
    </xdr:from>
    <xdr:to>
      <xdr:col>4</xdr:col>
      <xdr:colOff>777875</xdr:colOff>
      <xdr:row>1</xdr:row>
      <xdr:rowOff>488950</xdr:rowOff>
    </xdr:to>
    <xdr:sp macro="" textlink="">
      <xdr:nvSpPr>
        <xdr:cNvPr id="3" name="blue_rectangle">
          <a:extLst>
            <a:ext uri="{FF2B5EF4-FFF2-40B4-BE49-F238E27FC236}">
              <a16:creationId xmlns:a16="http://schemas.microsoft.com/office/drawing/2014/main" id="{00000000-0008-0000-0F00-000003000000}"/>
            </a:ext>
          </a:extLst>
        </xdr:cNvPr>
        <xdr:cNvSpPr/>
      </xdr:nvSpPr>
      <xdr:spPr>
        <a:xfrm>
          <a:off x="30607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2404" name="activate_earthworks" hidden="1">
              <a:extLst>
                <a:ext uri="{63B3BB69-23CF-44E3-9099-C40C66FF867C}">
                  <a14:compatExt spid="_x0000_s312404"/>
                </a:ext>
                <a:ext uri="{FF2B5EF4-FFF2-40B4-BE49-F238E27FC236}">
                  <a16:creationId xmlns:a16="http://schemas.microsoft.com/office/drawing/2014/main" id="{00000000-0008-0000-0F00-000054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2405" name="activate_fencing" hidden="1">
              <a:extLst>
                <a:ext uri="{63B3BB69-23CF-44E3-9099-C40C66FF867C}">
                  <a14:compatExt spid="_x0000_s312405"/>
                </a:ext>
                <a:ext uri="{FF2B5EF4-FFF2-40B4-BE49-F238E27FC236}">
                  <a16:creationId xmlns:a16="http://schemas.microsoft.com/office/drawing/2014/main" id="{00000000-0008-0000-0F00-000055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2406" name="activate_drainage" hidden="1">
              <a:extLst>
                <a:ext uri="{63B3BB69-23CF-44E3-9099-C40C66FF867C}">
                  <a14:compatExt spid="_x0000_s312406"/>
                </a:ext>
                <a:ext uri="{FF2B5EF4-FFF2-40B4-BE49-F238E27FC236}">
                  <a16:creationId xmlns:a16="http://schemas.microsoft.com/office/drawing/2014/main" id="{00000000-0008-0000-0F00-000056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2407" name="activate_road_pavements" hidden="1">
              <a:extLst>
                <a:ext uri="{63B3BB69-23CF-44E3-9099-C40C66FF867C}">
                  <a14:compatExt spid="_x0000_s312407"/>
                </a:ext>
                <a:ext uri="{FF2B5EF4-FFF2-40B4-BE49-F238E27FC236}">
                  <a16:creationId xmlns:a16="http://schemas.microsoft.com/office/drawing/2014/main" id="{00000000-0008-0000-0F00-000057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2408" name="activate_street_furniture" hidden="1">
              <a:extLst>
                <a:ext uri="{63B3BB69-23CF-44E3-9099-C40C66FF867C}">
                  <a14:compatExt spid="_x0000_s312408"/>
                </a:ext>
                <a:ext uri="{FF2B5EF4-FFF2-40B4-BE49-F238E27FC236}">
                  <a16:creationId xmlns:a16="http://schemas.microsoft.com/office/drawing/2014/main" id="{00000000-0008-0000-0F00-000058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2409" name="activate_civils_structures" hidden="1">
              <a:extLst>
                <a:ext uri="{63B3BB69-23CF-44E3-9099-C40C66FF867C}">
                  <a14:compatExt spid="_x0000_s312409"/>
                </a:ext>
                <a:ext uri="{FF2B5EF4-FFF2-40B4-BE49-F238E27FC236}">
                  <a16:creationId xmlns:a16="http://schemas.microsoft.com/office/drawing/2014/main" id="{00000000-0008-0000-0F00-000059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2410" name="activate_fuel_and_energy" hidden="1">
              <a:extLst>
                <a:ext uri="{63B3BB69-23CF-44E3-9099-C40C66FF867C}">
                  <a14:compatExt spid="_x0000_s312410"/>
                </a:ext>
                <a:ext uri="{FF2B5EF4-FFF2-40B4-BE49-F238E27FC236}">
                  <a16:creationId xmlns:a16="http://schemas.microsoft.com/office/drawing/2014/main" id="{00000000-0008-0000-0F00-00005A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2411" name="activate_business_transport" hidden="1">
              <a:extLst>
                <a:ext uri="{63B3BB69-23CF-44E3-9099-C40C66FF867C}">
                  <a14:compatExt spid="_x0000_s312411"/>
                </a:ext>
                <a:ext uri="{FF2B5EF4-FFF2-40B4-BE49-F238E27FC236}">
                  <a16:creationId xmlns:a16="http://schemas.microsoft.com/office/drawing/2014/main" id="{00000000-0008-0000-0F00-00005B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2412" name="activate_waste" hidden="1">
              <a:extLst>
                <a:ext uri="{63B3BB69-23CF-44E3-9099-C40C66FF867C}">
                  <a14:compatExt spid="_x0000_s312412"/>
                </a:ext>
                <a:ext uri="{FF2B5EF4-FFF2-40B4-BE49-F238E27FC236}">
                  <a16:creationId xmlns:a16="http://schemas.microsoft.com/office/drawing/2014/main" id="{00000000-0008-0000-0F00-00005C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2413" name="activate_home_page" hidden="1">
              <a:extLst>
                <a:ext uri="{63B3BB69-23CF-44E3-9099-C40C66FF867C}">
                  <a14:compatExt spid="_x0000_s312413"/>
                </a:ext>
                <a:ext uri="{FF2B5EF4-FFF2-40B4-BE49-F238E27FC236}">
                  <a16:creationId xmlns:a16="http://schemas.microsoft.com/office/drawing/2014/main" id="{00000000-0008-0000-0F00-00005D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2414" name="activate_guidance" hidden="1">
              <a:extLst>
                <a:ext uri="{63B3BB69-23CF-44E3-9099-C40C66FF867C}">
                  <a14:compatExt spid="_x0000_s312414"/>
                </a:ext>
                <a:ext uri="{FF2B5EF4-FFF2-40B4-BE49-F238E27FC236}">
                  <a16:creationId xmlns:a16="http://schemas.microsoft.com/office/drawing/2014/main" id="{00000000-0008-0000-0F00-00005E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2415" name="activate_summary_report" hidden="1">
              <a:extLst>
                <a:ext uri="{63B3BB69-23CF-44E3-9099-C40C66FF867C}">
                  <a14:compatExt spid="_x0000_s312415"/>
                </a:ext>
                <a:ext uri="{FF2B5EF4-FFF2-40B4-BE49-F238E27FC236}">
                  <a16:creationId xmlns:a16="http://schemas.microsoft.com/office/drawing/2014/main" id="{00000000-0008-0000-0F00-00005F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2416" name="activate_outputs" hidden="1">
              <a:extLst>
                <a:ext uri="{63B3BB69-23CF-44E3-9099-C40C66FF867C}">
                  <a14:compatExt spid="_x0000_s312416"/>
                </a:ext>
                <a:ext uri="{FF2B5EF4-FFF2-40B4-BE49-F238E27FC236}">
                  <a16:creationId xmlns:a16="http://schemas.microsoft.com/office/drawing/2014/main" id="{00000000-0008-0000-0F00-000060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2417" name="activate_emissions_factors" hidden="1">
              <a:extLst>
                <a:ext uri="{63B3BB69-23CF-44E3-9099-C40C66FF867C}">
                  <a14:compatExt spid="_x0000_s312417"/>
                </a:ext>
                <a:ext uri="{FF2B5EF4-FFF2-40B4-BE49-F238E27FC236}">
                  <a16:creationId xmlns:a16="http://schemas.microsoft.com/office/drawing/2014/main" id="{00000000-0008-0000-0F00-000061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2418" name="activate_material_density" hidden="1">
              <a:extLst>
                <a:ext uri="{63B3BB69-23CF-44E3-9099-C40C66FF867C}">
                  <a14:compatExt spid="_x0000_s312418"/>
                </a:ext>
                <a:ext uri="{FF2B5EF4-FFF2-40B4-BE49-F238E27FC236}">
                  <a16:creationId xmlns:a16="http://schemas.microsoft.com/office/drawing/2014/main" id="{00000000-0008-0000-0F00-000062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2419" name="activate_notes" hidden="1">
              <a:extLst>
                <a:ext uri="{63B3BB69-23CF-44E3-9099-C40C66FF867C}">
                  <a14:compatExt spid="_x0000_s312419"/>
                </a:ext>
                <a:ext uri="{FF2B5EF4-FFF2-40B4-BE49-F238E27FC236}">
                  <a16:creationId xmlns:a16="http://schemas.microsoft.com/office/drawing/2014/main" id="{00000000-0008-0000-0F00-000063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0F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0F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000-000001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3346" name="Button 2" hidden="1">
              <a:extLst>
                <a:ext uri="{63B3BB69-23CF-44E3-9099-C40C66FF867C}">
                  <a14:compatExt spid="_x0000_s313346"/>
                </a:ext>
                <a:ext uri="{FF2B5EF4-FFF2-40B4-BE49-F238E27FC236}">
                  <a16:creationId xmlns:a16="http://schemas.microsoft.com/office/drawing/2014/main" id="{00000000-0008-0000-1000-000002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0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3347" name="Mark_page_as_complete" hidden="1">
              <a:extLst>
                <a:ext uri="{63B3BB69-23CF-44E3-9099-C40C66FF867C}">
                  <a14:compatExt spid="_x0000_s313347"/>
                </a:ext>
                <a:ext uri="{FF2B5EF4-FFF2-40B4-BE49-F238E27FC236}">
                  <a16:creationId xmlns:a16="http://schemas.microsoft.com/office/drawing/2014/main" id="{00000000-0008-0000-1000-000003C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3348" name="Button 4" hidden="1">
              <a:extLst>
                <a:ext uri="{63B3BB69-23CF-44E3-9099-C40C66FF867C}">
                  <a14:compatExt spid="_x0000_s313348"/>
                </a:ext>
                <a:ext uri="{FF2B5EF4-FFF2-40B4-BE49-F238E27FC236}">
                  <a16:creationId xmlns:a16="http://schemas.microsoft.com/office/drawing/2014/main" id="{00000000-0008-0000-1000-000004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3349" name="Button 5" hidden="1">
              <a:extLst>
                <a:ext uri="{63B3BB69-23CF-44E3-9099-C40C66FF867C}">
                  <a14:compatExt spid="_x0000_s313349"/>
                </a:ext>
                <a:ext uri="{FF2B5EF4-FFF2-40B4-BE49-F238E27FC236}">
                  <a16:creationId xmlns:a16="http://schemas.microsoft.com/office/drawing/2014/main" id="{00000000-0008-0000-1000-000005C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3418" name="activate_bulk_materials" hidden="1">
              <a:extLst>
                <a:ext uri="{63B3BB69-23CF-44E3-9099-C40C66FF867C}">
                  <a14:compatExt spid="_x0000_s313418"/>
                </a:ext>
                <a:ext uri="{FF2B5EF4-FFF2-40B4-BE49-F238E27FC236}">
                  <a16:creationId xmlns:a16="http://schemas.microsoft.com/office/drawing/2014/main" id="{00000000-0008-0000-1000-00004A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3419" name="activate_earthworks" hidden="1">
              <a:extLst>
                <a:ext uri="{63B3BB69-23CF-44E3-9099-C40C66FF867C}">
                  <a14:compatExt spid="_x0000_s313419"/>
                </a:ext>
                <a:ext uri="{FF2B5EF4-FFF2-40B4-BE49-F238E27FC236}">
                  <a16:creationId xmlns:a16="http://schemas.microsoft.com/office/drawing/2014/main" id="{00000000-0008-0000-1000-00004B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xdr:twoCellAnchor editAs="absolute">
    <xdr:from>
      <xdr:col>4</xdr:col>
      <xdr:colOff>752475</xdr:colOff>
      <xdr:row>0</xdr:row>
      <xdr:rowOff>368300</xdr:rowOff>
    </xdr:from>
    <xdr:to>
      <xdr:col>4</xdr:col>
      <xdr:colOff>1755775</xdr:colOff>
      <xdr:row>1</xdr:row>
      <xdr:rowOff>488950</xdr:rowOff>
    </xdr:to>
    <xdr:sp macro="" textlink="">
      <xdr:nvSpPr>
        <xdr:cNvPr id="3" name="blue_rectangle">
          <a:extLst>
            <a:ext uri="{FF2B5EF4-FFF2-40B4-BE49-F238E27FC236}">
              <a16:creationId xmlns:a16="http://schemas.microsoft.com/office/drawing/2014/main" id="{00000000-0008-0000-1000-000003000000}"/>
            </a:ext>
          </a:extLst>
        </xdr:cNvPr>
        <xdr:cNvSpPr/>
      </xdr:nvSpPr>
      <xdr:spPr>
        <a:xfrm>
          <a:off x="40386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3420" name="activate_fencing" hidden="1">
              <a:extLst>
                <a:ext uri="{63B3BB69-23CF-44E3-9099-C40C66FF867C}">
                  <a14:compatExt spid="_x0000_s313420"/>
                </a:ext>
                <a:ext uri="{FF2B5EF4-FFF2-40B4-BE49-F238E27FC236}">
                  <a16:creationId xmlns:a16="http://schemas.microsoft.com/office/drawing/2014/main" id="{00000000-0008-0000-1000-00004C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3421" name="activate_drainage" hidden="1">
              <a:extLst>
                <a:ext uri="{63B3BB69-23CF-44E3-9099-C40C66FF867C}">
                  <a14:compatExt spid="_x0000_s313421"/>
                </a:ext>
                <a:ext uri="{FF2B5EF4-FFF2-40B4-BE49-F238E27FC236}">
                  <a16:creationId xmlns:a16="http://schemas.microsoft.com/office/drawing/2014/main" id="{00000000-0008-0000-1000-00004D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3422" name="activate_road_pavements" hidden="1">
              <a:extLst>
                <a:ext uri="{63B3BB69-23CF-44E3-9099-C40C66FF867C}">
                  <a14:compatExt spid="_x0000_s313422"/>
                </a:ext>
                <a:ext uri="{FF2B5EF4-FFF2-40B4-BE49-F238E27FC236}">
                  <a16:creationId xmlns:a16="http://schemas.microsoft.com/office/drawing/2014/main" id="{00000000-0008-0000-1000-00004E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3423" name="activate_street_furniture" hidden="1">
              <a:extLst>
                <a:ext uri="{63B3BB69-23CF-44E3-9099-C40C66FF867C}">
                  <a14:compatExt spid="_x0000_s313423"/>
                </a:ext>
                <a:ext uri="{FF2B5EF4-FFF2-40B4-BE49-F238E27FC236}">
                  <a16:creationId xmlns:a16="http://schemas.microsoft.com/office/drawing/2014/main" id="{00000000-0008-0000-1000-00004F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3424" name="activate_civils_structures" hidden="1">
              <a:extLst>
                <a:ext uri="{63B3BB69-23CF-44E3-9099-C40C66FF867C}">
                  <a14:compatExt spid="_x0000_s313424"/>
                </a:ext>
                <a:ext uri="{FF2B5EF4-FFF2-40B4-BE49-F238E27FC236}">
                  <a16:creationId xmlns:a16="http://schemas.microsoft.com/office/drawing/2014/main" id="{00000000-0008-0000-1000-000050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3425" name="activate_fuel_and_energy" hidden="1">
              <a:extLst>
                <a:ext uri="{63B3BB69-23CF-44E3-9099-C40C66FF867C}">
                  <a14:compatExt spid="_x0000_s313425"/>
                </a:ext>
                <a:ext uri="{FF2B5EF4-FFF2-40B4-BE49-F238E27FC236}">
                  <a16:creationId xmlns:a16="http://schemas.microsoft.com/office/drawing/2014/main" id="{00000000-0008-0000-1000-000051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3426" name="activate_business_transport" hidden="1">
              <a:extLst>
                <a:ext uri="{63B3BB69-23CF-44E3-9099-C40C66FF867C}">
                  <a14:compatExt spid="_x0000_s313426"/>
                </a:ext>
                <a:ext uri="{FF2B5EF4-FFF2-40B4-BE49-F238E27FC236}">
                  <a16:creationId xmlns:a16="http://schemas.microsoft.com/office/drawing/2014/main" id="{00000000-0008-0000-1000-000052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3427" name="activate_waste" hidden="1">
              <a:extLst>
                <a:ext uri="{63B3BB69-23CF-44E3-9099-C40C66FF867C}">
                  <a14:compatExt spid="_x0000_s313427"/>
                </a:ext>
                <a:ext uri="{FF2B5EF4-FFF2-40B4-BE49-F238E27FC236}">
                  <a16:creationId xmlns:a16="http://schemas.microsoft.com/office/drawing/2014/main" id="{00000000-0008-0000-1000-000053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3428" name="activate_home_page" hidden="1">
              <a:extLst>
                <a:ext uri="{63B3BB69-23CF-44E3-9099-C40C66FF867C}">
                  <a14:compatExt spid="_x0000_s313428"/>
                </a:ext>
                <a:ext uri="{FF2B5EF4-FFF2-40B4-BE49-F238E27FC236}">
                  <a16:creationId xmlns:a16="http://schemas.microsoft.com/office/drawing/2014/main" id="{00000000-0008-0000-1000-000054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3429" name="activate_guidance" hidden="1">
              <a:extLst>
                <a:ext uri="{63B3BB69-23CF-44E3-9099-C40C66FF867C}">
                  <a14:compatExt spid="_x0000_s313429"/>
                </a:ext>
                <a:ext uri="{FF2B5EF4-FFF2-40B4-BE49-F238E27FC236}">
                  <a16:creationId xmlns:a16="http://schemas.microsoft.com/office/drawing/2014/main" id="{00000000-0008-0000-1000-000055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3430" name="activate_summary_report" hidden="1">
              <a:extLst>
                <a:ext uri="{63B3BB69-23CF-44E3-9099-C40C66FF867C}">
                  <a14:compatExt spid="_x0000_s313430"/>
                </a:ext>
                <a:ext uri="{FF2B5EF4-FFF2-40B4-BE49-F238E27FC236}">
                  <a16:creationId xmlns:a16="http://schemas.microsoft.com/office/drawing/2014/main" id="{00000000-0008-0000-1000-000056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3431" name="activate_outputs" hidden="1">
              <a:extLst>
                <a:ext uri="{63B3BB69-23CF-44E3-9099-C40C66FF867C}">
                  <a14:compatExt spid="_x0000_s313431"/>
                </a:ext>
                <a:ext uri="{FF2B5EF4-FFF2-40B4-BE49-F238E27FC236}">
                  <a16:creationId xmlns:a16="http://schemas.microsoft.com/office/drawing/2014/main" id="{00000000-0008-0000-1000-000057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3432" name="activate_emissions_factors" hidden="1">
              <a:extLst>
                <a:ext uri="{63B3BB69-23CF-44E3-9099-C40C66FF867C}">
                  <a14:compatExt spid="_x0000_s313432"/>
                </a:ext>
                <a:ext uri="{FF2B5EF4-FFF2-40B4-BE49-F238E27FC236}">
                  <a16:creationId xmlns:a16="http://schemas.microsoft.com/office/drawing/2014/main" id="{00000000-0008-0000-1000-000058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3433" name="activate_material_density" hidden="1">
              <a:extLst>
                <a:ext uri="{63B3BB69-23CF-44E3-9099-C40C66FF867C}">
                  <a14:compatExt spid="_x0000_s313433"/>
                </a:ext>
                <a:ext uri="{FF2B5EF4-FFF2-40B4-BE49-F238E27FC236}">
                  <a16:creationId xmlns:a16="http://schemas.microsoft.com/office/drawing/2014/main" id="{00000000-0008-0000-1000-000059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3434" name="activate_notes" hidden="1">
              <a:extLst>
                <a:ext uri="{63B3BB69-23CF-44E3-9099-C40C66FF867C}">
                  <a14:compatExt spid="_x0000_s313434"/>
                </a:ext>
                <a:ext uri="{FF2B5EF4-FFF2-40B4-BE49-F238E27FC236}">
                  <a16:creationId xmlns:a16="http://schemas.microsoft.com/office/drawing/2014/main" id="{00000000-0008-0000-1000-00005A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0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4369" name="Button 1" hidden="1">
              <a:extLst>
                <a:ext uri="{63B3BB69-23CF-44E3-9099-C40C66FF867C}">
                  <a14:compatExt spid="_x0000_s314369"/>
                </a:ext>
                <a:ext uri="{FF2B5EF4-FFF2-40B4-BE49-F238E27FC236}">
                  <a16:creationId xmlns:a16="http://schemas.microsoft.com/office/drawing/2014/main" id="{00000000-0008-0000-1100-000001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4370" name="Button 2" hidden="1">
              <a:extLst>
                <a:ext uri="{63B3BB69-23CF-44E3-9099-C40C66FF867C}">
                  <a14:compatExt spid="_x0000_s314370"/>
                </a:ext>
                <a:ext uri="{FF2B5EF4-FFF2-40B4-BE49-F238E27FC236}">
                  <a16:creationId xmlns:a16="http://schemas.microsoft.com/office/drawing/2014/main" id="{00000000-0008-0000-1100-000002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1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4371" name="Mark_page_as_complete" hidden="1">
              <a:extLst>
                <a:ext uri="{63B3BB69-23CF-44E3-9099-C40C66FF867C}">
                  <a14:compatExt spid="_x0000_s314371"/>
                </a:ext>
                <a:ext uri="{FF2B5EF4-FFF2-40B4-BE49-F238E27FC236}">
                  <a16:creationId xmlns:a16="http://schemas.microsoft.com/office/drawing/2014/main" id="{00000000-0008-0000-1100-000003C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4372" name="Button 4" hidden="1">
              <a:extLst>
                <a:ext uri="{63B3BB69-23CF-44E3-9099-C40C66FF867C}">
                  <a14:compatExt spid="_x0000_s314372"/>
                </a:ext>
                <a:ext uri="{FF2B5EF4-FFF2-40B4-BE49-F238E27FC236}">
                  <a16:creationId xmlns:a16="http://schemas.microsoft.com/office/drawing/2014/main" id="{00000000-0008-0000-1100-000004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4373" name="Button 5" hidden="1">
              <a:extLst>
                <a:ext uri="{63B3BB69-23CF-44E3-9099-C40C66FF867C}">
                  <a14:compatExt spid="_x0000_s314373"/>
                </a:ext>
                <a:ext uri="{FF2B5EF4-FFF2-40B4-BE49-F238E27FC236}">
                  <a16:creationId xmlns:a16="http://schemas.microsoft.com/office/drawing/2014/main" id="{00000000-0008-0000-1100-000005C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4442" name="activate_bulk_materials" hidden="1">
              <a:extLst>
                <a:ext uri="{63B3BB69-23CF-44E3-9099-C40C66FF867C}">
                  <a14:compatExt spid="_x0000_s314442"/>
                </a:ext>
                <a:ext uri="{FF2B5EF4-FFF2-40B4-BE49-F238E27FC236}">
                  <a16:creationId xmlns:a16="http://schemas.microsoft.com/office/drawing/2014/main" id="{00000000-0008-0000-1100-00004A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4443" name="activate_earthworks" hidden="1">
              <a:extLst>
                <a:ext uri="{63B3BB69-23CF-44E3-9099-C40C66FF867C}">
                  <a14:compatExt spid="_x0000_s314443"/>
                </a:ext>
                <a:ext uri="{FF2B5EF4-FFF2-40B4-BE49-F238E27FC236}">
                  <a16:creationId xmlns:a16="http://schemas.microsoft.com/office/drawing/2014/main" id="{00000000-0008-0000-1100-00004B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4444" name="activate_fencing" hidden="1">
              <a:extLst>
                <a:ext uri="{63B3BB69-23CF-44E3-9099-C40C66FF867C}">
                  <a14:compatExt spid="_x0000_s314444"/>
                </a:ext>
                <a:ext uri="{FF2B5EF4-FFF2-40B4-BE49-F238E27FC236}">
                  <a16:creationId xmlns:a16="http://schemas.microsoft.com/office/drawing/2014/main" id="{00000000-0008-0000-1100-00004C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xdr:twoCellAnchor editAs="absolute">
    <xdr:from>
      <xdr:col>4</xdr:col>
      <xdr:colOff>1730375</xdr:colOff>
      <xdr:row>0</xdr:row>
      <xdr:rowOff>368300</xdr:rowOff>
    </xdr:from>
    <xdr:to>
      <xdr:col>7</xdr:col>
      <xdr:colOff>476250</xdr:colOff>
      <xdr:row>1</xdr:row>
      <xdr:rowOff>488950</xdr:rowOff>
    </xdr:to>
    <xdr:sp macro="" textlink="">
      <xdr:nvSpPr>
        <xdr:cNvPr id="3" name="blue_rectangle">
          <a:extLst>
            <a:ext uri="{FF2B5EF4-FFF2-40B4-BE49-F238E27FC236}">
              <a16:creationId xmlns:a16="http://schemas.microsoft.com/office/drawing/2014/main" id="{00000000-0008-0000-1100-000003000000}"/>
            </a:ext>
          </a:extLst>
        </xdr:cNvPr>
        <xdr:cNvSpPr/>
      </xdr:nvSpPr>
      <xdr:spPr>
        <a:xfrm>
          <a:off x="50165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4445" name="activate_drainage" hidden="1">
              <a:extLst>
                <a:ext uri="{63B3BB69-23CF-44E3-9099-C40C66FF867C}">
                  <a14:compatExt spid="_x0000_s314445"/>
                </a:ext>
                <a:ext uri="{FF2B5EF4-FFF2-40B4-BE49-F238E27FC236}">
                  <a16:creationId xmlns:a16="http://schemas.microsoft.com/office/drawing/2014/main" id="{00000000-0008-0000-1100-00004D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4446" name="activate_road_pavements" hidden="1">
              <a:extLst>
                <a:ext uri="{63B3BB69-23CF-44E3-9099-C40C66FF867C}">
                  <a14:compatExt spid="_x0000_s314446"/>
                </a:ext>
                <a:ext uri="{FF2B5EF4-FFF2-40B4-BE49-F238E27FC236}">
                  <a16:creationId xmlns:a16="http://schemas.microsoft.com/office/drawing/2014/main" id="{00000000-0008-0000-1100-00004E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4447" name="activate_street_furniture" hidden="1">
              <a:extLst>
                <a:ext uri="{63B3BB69-23CF-44E3-9099-C40C66FF867C}">
                  <a14:compatExt spid="_x0000_s314447"/>
                </a:ext>
                <a:ext uri="{FF2B5EF4-FFF2-40B4-BE49-F238E27FC236}">
                  <a16:creationId xmlns:a16="http://schemas.microsoft.com/office/drawing/2014/main" id="{00000000-0008-0000-1100-00004F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4448" name="activate_civils_structures" hidden="1">
              <a:extLst>
                <a:ext uri="{63B3BB69-23CF-44E3-9099-C40C66FF867C}">
                  <a14:compatExt spid="_x0000_s314448"/>
                </a:ext>
                <a:ext uri="{FF2B5EF4-FFF2-40B4-BE49-F238E27FC236}">
                  <a16:creationId xmlns:a16="http://schemas.microsoft.com/office/drawing/2014/main" id="{00000000-0008-0000-1100-000050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4449" name="activate_fuel_and_energy" hidden="1">
              <a:extLst>
                <a:ext uri="{63B3BB69-23CF-44E3-9099-C40C66FF867C}">
                  <a14:compatExt spid="_x0000_s314449"/>
                </a:ext>
                <a:ext uri="{FF2B5EF4-FFF2-40B4-BE49-F238E27FC236}">
                  <a16:creationId xmlns:a16="http://schemas.microsoft.com/office/drawing/2014/main" id="{00000000-0008-0000-1100-000051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4450" name="activate_business_transport" hidden="1">
              <a:extLst>
                <a:ext uri="{63B3BB69-23CF-44E3-9099-C40C66FF867C}">
                  <a14:compatExt spid="_x0000_s314450"/>
                </a:ext>
                <a:ext uri="{FF2B5EF4-FFF2-40B4-BE49-F238E27FC236}">
                  <a16:creationId xmlns:a16="http://schemas.microsoft.com/office/drawing/2014/main" id="{00000000-0008-0000-1100-000052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563880</xdr:colOff>
          <xdr:row>1</xdr:row>
          <xdr:rowOff>457200</xdr:rowOff>
        </xdr:to>
        <xdr:sp macro="" textlink="">
          <xdr:nvSpPr>
            <xdr:cNvPr id="314451" name="activate_waste" hidden="1">
              <a:extLst>
                <a:ext uri="{63B3BB69-23CF-44E3-9099-C40C66FF867C}">
                  <a14:compatExt spid="_x0000_s314451"/>
                </a:ext>
                <a:ext uri="{FF2B5EF4-FFF2-40B4-BE49-F238E27FC236}">
                  <a16:creationId xmlns:a16="http://schemas.microsoft.com/office/drawing/2014/main" id="{00000000-0008-0000-1100-000053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4452" name="activate_home_page" hidden="1">
              <a:extLst>
                <a:ext uri="{63B3BB69-23CF-44E3-9099-C40C66FF867C}">
                  <a14:compatExt spid="_x0000_s314452"/>
                </a:ext>
                <a:ext uri="{FF2B5EF4-FFF2-40B4-BE49-F238E27FC236}">
                  <a16:creationId xmlns:a16="http://schemas.microsoft.com/office/drawing/2014/main" id="{00000000-0008-0000-1100-000054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4453" name="activate_guidance" hidden="1">
              <a:extLst>
                <a:ext uri="{63B3BB69-23CF-44E3-9099-C40C66FF867C}">
                  <a14:compatExt spid="_x0000_s314453"/>
                </a:ext>
                <a:ext uri="{FF2B5EF4-FFF2-40B4-BE49-F238E27FC236}">
                  <a16:creationId xmlns:a16="http://schemas.microsoft.com/office/drawing/2014/main" id="{00000000-0008-0000-1100-000055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4454" name="activate_summary_report" hidden="1">
              <a:extLst>
                <a:ext uri="{63B3BB69-23CF-44E3-9099-C40C66FF867C}">
                  <a14:compatExt spid="_x0000_s314454"/>
                </a:ext>
                <a:ext uri="{FF2B5EF4-FFF2-40B4-BE49-F238E27FC236}">
                  <a16:creationId xmlns:a16="http://schemas.microsoft.com/office/drawing/2014/main" id="{00000000-0008-0000-1100-000056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4455" name="activate_outputs" hidden="1">
              <a:extLst>
                <a:ext uri="{63B3BB69-23CF-44E3-9099-C40C66FF867C}">
                  <a14:compatExt spid="_x0000_s314455"/>
                </a:ext>
                <a:ext uri="{FF2B5EF4-FFF2-40B4-BE49-F238E27FC236}">
                  <a16:creationId xmlns:a16="http://schemas.microsoft.com/office/drawing/2014/main" id="{00000000-0008-0000-1100-000057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4456" name="activate_emissions_factors" hidden="1">
              <a:extLst>
                <a:ext uri="{63B3BB69-23CF-44E3-9099-C40C66FF867C}">
                  <a14:compatExt spid="_x0000_s314456"/>
                </a:ext>
                <a:ext uri="{FF2B5EF4-FFF2-40B4-BE49-F238E27FC236}">
                  <a16:creationId xmlns:a16="http://schemas.microsoft.com/office/drawing/2014/main" id="{00000000-0008-0000-1100-000058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4457" name="activate_material_density" hidden="1">
              <a:extLst>
                <a:ext uri="{63B3BB69-23CF-44E3-9099-C40C66FF867C}">
                  <a14:compatExt spid="_x0000_s314457"/>
                </a:ext>
                <a:ext uri="{FF2B5EF4-FFF2-40B4-BE49-F238E27FC236}">
                  <a16:creationId xmlns:a16="http://schemas.microsoft.com/office/drawing/2014/main" id="{00000000-0008-0000-1100-000059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563880</xdr:colOff>
          <xdr:row>0</xdr:row>
          <xdr:rowOff>373380</xdr:rowOff>
        </xdr:to>
        <xdr:sp macro="" textlink="">
          <xdr:nvSpPr>
            <xdr:cNvPr id="314458" name="activate_notes" hidden="1">
              <a:extLst>
                <a:ext uri="{63B3BB69-23CF-44E3-9099-C40C66FF867C}">
                  <a14:compatExt spid="_x0000_s314458"/>
                </a:ext>
                <a:ext uri="{FF2B5EF4-FFF2-40B4-BE49-F238E27FC236}">
                  <a16:creationId xmlns:a16="http://schemas.microsoft.com/office/drawing/2014/main" id="{00000000-0008-0000-1100-00005AC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1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1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5393" name="Button 1" hidden="1">
              <a:extLst>
                <a:ext uri="{63B3BB69-23CF-44E3-9099-C40C66FF867C}">
                  <a14:compatExt spid="_x0000_s315393"/>
                </a:ext>
                <a:ext uri="{FF2B5EF4-FFF2-40B4-BE49-F238E27FC236}">
                  <a16:creationId xmlns:a16="http://schemas.microsoft.com/office/drawing/2014/main" id="{00000000-0008-0000-1200-000001D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5394" name="Button 2" hidden="1">
              <a:extLst>
                <a:ext uri="{63B3BB69-23CF-44E3-9099-C40C66FF867C}">
                  <a14:compatExt spid="_x0000_s315394"/>
                </a:ext>
                <a:ext uri="{FF2B5EF4-FFF2-40B4-BE49-F238E27FC236}">
                  <a16:creationId xmlns:a16="http://schemas.microsoft.com/office/drawing/2014/main" id="{00000000-0008-0000-1200-000002D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2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5395" name="Mark_page_as_complete" hidden="1">
              <a:extLst>
                <a:ext uri="{63B3BB69-23CF-44E3-9099-C40C66FF867C}">
                  <a14:compatExt spid="_x0000_s315395"/>
                </a:ext>
                <a:ext uri="{FF2B5EF4-FFF2-40B4-BE49-F238E27FC236}">
                  <a16:creationId xmlns:a16="http://schemas.microsoft.com/office/drawing/2014/main" id="{00000000-0008-0000-1200-000003D0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5396" name="Button 4" hidden="1">
              <a:extLst>
                <a:ext uri="{63B3BB69-23CF-44E3-9099-C40C66FF867C}">
                  <a14:compatExt spid="_x0000_s315396"/>
                </a:ext>
                <a:ext uri="{FF2B5EF4-FFF2-40B4-BE49-F238E27FC236}">
                  <a16:creationId xmlns:a16="http://schemas.microsoft.com/office/drawing/2014/main" id="{00000000-0008-0000-1200-000004D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5397" name="Button 5" hidden="1">
              <a:extLst>
                <a:ext uri="{63B3BB69-23CF-44E3-9099-C40C66FF867C}">
                  <a14:compatExt spid="_x0000_s315397"/>
                </a:ext>
                <a:ext uri="{FF2B5EF4-FFF2-40B4-BE49-F238E27FC236}">
                  <a16:creationId xmlns:a16="http://schemas.microsoft.com/office/drawing/2014/main" id="{00000000-0008-0000-1200-000005D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5466" name="activate_bulk_materials" hidden="1">
              <a:extLst>
                <a:ext uri="{63B3BB69-23CF-44E3-9099-C40C66FF867C}">
                  <a14:compatExt spid="_x0000_s315466"/>
                </a:ext>
                <a:ext uri="{FF2B5EF4-FFF2-40B4-BE49-F238E27FC236}">
                  <a16:creationId xmlns:a16="http://schemas.microsoft.com/office/drawing/2014/main" id="{00000000-0008-0000-1200-00004A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5467" name="activate_earthworks" hidden="1">
              <a:extLst>
                <a:ext uri="{63B3BB69-23CF-44E3-9099-C40C66FF867C}">
                  <a14:compatExt spid="_x0000_s315467"/>
                </a:ext>
                <a:ext uri="{FF2B5EF4-FFF2-40B4-BE49-F238E27FC236}">
                  <a16:creationId xmlns:a16="http://schemas.microsoft.com/office/drawing/2014/main" id="{00000000-0008-0000-1200-00004B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5468" name="activate_fencing" hidden="1">
              <a:extLst>
                <a:ext uri="{63B3BB69-23CF-44E3-9099-C40C66FF867C}">
                  <a14:compatExt spid="_x0000_s315468"/>
                </a:ext>
                <a:ext uri="{FF2B5EF4-FFF2-40B4-BE49-F238E27FC236}">
                  <a16:creationId xmlns:a16="http://schemas.microsoft.com/office/drawing/2014/main" id="{00000000-0008-0000-1200-00004C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5469" name="activate_drainage" hidden="1">
              <a:extLst>
                <a:ext uri="{63B3BB69-23CF-44E3-9099-C40C66FF867C}">
                  <a14:compatExt spid="_x0000_s315469"/>
                </a:ext>
                <a:ext uri="{FF2B5EF4-FFF2-40B4-BE49-F238E27FC236}">
                  <a16:creationId xmlns:a16="http://schemas.microsoft.com/office/drawing/2014/main" id="{00000000-0008-0000-1200-00004D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xdr:twoCellAnchor editAs="absolute">
    <xdr:from>
      <xdr:col>7</xdr:col>
      <xdr:colOff>450850</xdr:colOff>
      <xdr:row>0</xdr:row>
      <xdr:rowOff>368300</xdr:rowOff>
    </xdr:from>
    <xdr:to>
      <xdr:col>10</xdr:col>
      <xdr:colOff>349250</xdr:colOff>
      <xdr:row>1</xdr:row>
      <xdr:rowOff>488950</xdr:rowOff>
    </xdr:to>
    <xdr:sp macro="" textlink="">
      <xdr:nvSpPr>
        <xdr:cNvPr id="3" name="blue_rectangle">
          <a:extLst>
            <a:ext uri="{FF2B5EF4-FFF2-40B4-BE49-F238E27FC236}">
              <a16:creationId xmlns:a16="http://schemas.microsoft.com/office/drawing/2014/main" id="{00000000-0008-0000-1200-000003000000}"/>
            </a:ext>
          </a:extLst>
        </xdr:cNvPr>
        <xdr:cNvSpPr/>
      </xdr:nvSpPr>
      <xdr:spPr>
        <a:xfrm>
          <a:off x="59944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5470" name="activate_road_pavements" hidden="1">
              <a:extLst>
                <a:ext uri="{63B3BB69-23CF-44E3-9099-C40C66FF867C}">
                  <a14:compatExt spid="_x0000_s315470"/>
                </a:ext>
                <a:ext uri="{FF2B5EF4-FFF2-40B4-BE49-F238E27FC236}">
                  <a16:creationId xmlns:a16="http://schemas.microsoft.com/office/drawing/2014/main" id="{00000000-0008-0000-1200-00004E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5471" name="activate_street_furniture" hidden="1">
              <a:extLst>
                <a:ext uri="{63B3BB69-23CF-44E3-9099-C40C66FF867C}">
                  <a14:compatExt spid="_x0000_s315471"/>
                </a:ext>
                <a:ext uri="{FF2B5EF4-FFF2-40B4-BE49-F238E27FC236}">
                  <a16:creationId xmlns:a16="http://schemas.microsoft.com/office/drawing/2014/main" id="{00000000-0008-0000-1200-00004F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5472" name="activate_civils_structures" hidden="1">
              <a:extLst>
                <a:ext uri="{63B3BB69-23CF-44E3-9099-C40C66FF867C}">
                  <a14:compatExt spid="_x0000_s315472"/>
                </a:ext>
                <a:ext uri="{FF2B5EF4-FFF2-40B4-BE49-F238E27FC236}">
                  <a16:creationId xmlns:a16="http://schemas.microsoft.com/office/drawing/2014/main" id="{00000000-0008-0000-1200-000050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5473" name="activate_fuel_and_energy" hidden="1">
              <a:extLst>
                <a:ext uri="{63B3BB69-23CF-44E3-9099-C40C66FF867C}">
                  <a14:compatExt spid="_x0000_s315473"/>
                </a:ext>
                <a:ext uri="{FF2B5EF4-FFF2-40B4-BE49-F238E27FC236}">
                  <a16:creationId xmlns:a16="http://schemas.microsoft.com/office/drawing/2014/main" id="{00000000-0008-0000-1200-000051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5474" name="activate_business_transport" hidden="1">
              <a:extLst>
                <a:ext uri="{63B3BB69-23CF-44E3-9099-C40C66FF867C}">
                  <a14:compatExt spid="_x0000_s315474"/>
                </a:ext>
                <a:ext uri="{FF2B5EF4-FFF2-40B4-BE49-F238E27FC236}">
                  <a16:creationId xmlns:a16="http://schemas.microsoft.com/office/drawing/2014/main" id="{00000000-0008-0000-1200-000052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5475" name="activate_waste" hidden="1">
              <a:extLst>
                <a:ext uri="{63B3BB69-23CF-44E3-9099-C40C66FF867C}">
                  <a14:compatExt spid="_x0000_s315475"/>
                </a:ext>
                <a:ext uri="{FF2B5EF4-FFF2-40B4-BE49-F238E27FC236}">
                  <a16:creationId xmlns:a16="http://schemas.microsoft.com/office/drawing/2014/main" id="{00000000-0008-0000-1200-000053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5476" name="activate_home_page" hidden="1">
              <a:extLst>
                <a:ext uri="{63B3BB69-23CF-44E3-9099-C40C66FF867C}">
                  <a14:compatExt spid="_x0000_s315476"/>
                </a:ext>
                <a:ext uri="{FF2B5EF4-FFF2-40B4-BE49-F238E27FC236}">
                  <a16:creationId xmlns:a16="http://schemas.microsoft.com/office/drawing/2014/main" id="{00000000-0008-0000-1200-000054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5477" name="activate_guidance" hidden="1">
              <a:extLst>
                <a:ext uri="{63B3BB69-23CF-44E3-9099-C40C66FF867C}">
                  <a14:compatExt spid="_x0000_s315477"/>
                </a:ext>
                <a:ext uri="{FF2B5EF4-FFF2-40B4-BE49-F238E27FC236}">
                  <a16:creationId xmlns:a16="http://schemas.microsoft.com/office/drawing/2014/main" id="{00000000-0008-0000-1200-000055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5478" name="activate_summary_report" hidden="1">
              <a:extLst>
                <a:ext uri="{63B3BB69-23CF-44E3-9099-C40C66FF867C}">
                  <a14:compatExt spid="_x0000_s315478"/>
                </a:ext>
                <a:ext uri="{FF2B5EF4-FFF2-40B4-BE49-F238E27FC236}">
                  <a16:creationId xmlns:a16="http://schemas.microsoft.com/office/drawing/2014/main" id="{00000000-0008-0000-1200-000056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5479" name="activate_outputs" hidden="1">
              <a:extLst>
                <a:ext uri="{63B3BB69-23CF-44E3-9099-C40C66FF867C}">
                  <a14:compatExt spid="_x0000_s315479"/>
                </a:ext>
                <a:ext uri="{FF2B5EF4-FFF2-40B4-BE49-F238E27FC236}">
                  <a16:creationId xmlns:a16="http://schemas.microsoft.com/office/drawing/2014/main" id="{00000000-0008-0000-1200-000057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5480" name="activate_emissions_factors" hidden="1">
              <a:extLst>
                <a:ext uri="{63B3BB69-23CF-44E3-9099-C40C66FF867C}">
                  <a14:compatExt spid="_x0000_s315480"/>
                </a:ext>
                <a:ext uri="{FF2B5EF4-FFF2-40B4-BE49-F238E27FC236}">
                  <a16:creationId xmlns:a16="http://schemas.microsoft.com/office/drawing/2014/main" id="{00000000-0008-0000-1200-000058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5481" name="activate_material_density" hidden="1">
              <a:extLst>
                <a:ext uri="{63B3BB69-23CF-44E3-9099-C40C66FF867C}">
                  <a14:compatExt spid="_x0000_s315481"/>
                </a:ext>
                <a:ext uri="{FF2B5EF4-FFF2-40B4-BE49-F238E27FC236}">
                  <a16:creationId xmlns:a16="http://schemas.microsoft.com/office/drawing/2014/main" id="{00000000-0008-0000-1200-000059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5482" name="activate_notes" hidden="1">
              <a:extLst>
                <a:ext uri="{63B3BB69-23CF-44E3-9099-C40C66FF867C}">
                  <a14:compatExt spid="_x0000_s315482"/>
                </a:ext>
                <a:ext uri="{FF2B5EF4-FFF2-40B4-BE49-F238E27FC236}">
                  <a16:creationId xmlns:a16="http://schemas.microsoft.com/office/drawing/2014/main" id="{00000000-0008-0000-1200-00005AD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2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2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1300-000001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6418" name="Button 2" hidden="1">
              <a:extLst>
                <a:ext uri="{63B3BB69-23CF-44E3-9099-C40C66FF867C}">
                  <a14:compatExt spid="_x0000_s316418"/>
                </a:ext>
                <a:ext uri="{FF2B5EF4-FFF2-40B4-BE49-F238E27FC236}">
                  <a16:creationId xmlns:a16="http://schemas.microsoft.com/office/drawing/2014/main" id="{00000000-0008-0000-1300-000002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3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6419" name="Mark_page_as_complete" hidden="1">
              <a:extLst>
                <a:ext uri="{63B3BB69-23CF-44E3-9099-C40C66FF867C}">
                  <a14:compatExt spid="_x0000_s316419"/>
                </a:ext>
                <a:ext uri="{FF2B5EF4-FFF2-40B4-BE49-F238E27FC236}">
                  <a16:creationId xmlns:a16="http://schemas.microsoft.com/office/drawing/2014/main" id="{00000000-0008-0000-1300-000003D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6420" name="Button 4" hidden="1">
              <a:extLst>
                <a:ext uri="{63B3BB69-23CF-44E3-9099-C40C66FF867C}">
                  <a14:compatExt spid="_x0000_s316420"/>
                </a:ext>
                <a:ext uri="{FF2B5EF4-FFF2-40B4-BE49-F238E27FC236}">
                  <a16:creationId xmlns:a16="http://schemas.microsoft.com/office/drawing/2014/main" id="{00000000-0008-0000-1300-000004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6421" name="Button 5" hidden="1">
              <a:extLst>
                <a:ext uri="{63B3BB69-23CF-44E3-9099-C40C66FF867C}">
                  <a14:compatExt spid="_x0000_s316421"/>
                </a:ext>
                <a:ext uri="{FF2B5EF4-FFF2-40B4-BE49-F238E27FC236}">
                  <a16:creationId xmlns:a16="http://schemas.microsoft.com/office/drawing/2014/main" id="{00000000-0008-0000-1300-000005D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6490" name="activate_bulk_materials" hidden="1">
              <a:extLst>
                <a:ext uri="{63B3BB69-23CF-44E3-9099-C40C66FF867C}">
                  <a14:compatExt spid="_x0000_s316490"/>
                </a:ext>
                <a:ext uri="{FF2B5EF4-FFF2-40B4-BE49-F238E27FC236}">
                  <a16:creationId xmlns:a16="http://schemas.microsoft.com/office/drawing/2014/main" id="{00000000-0008-0000-1300-00004A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6491" name="activate_earthworks" hidden="1">
              <a:extLst>
                <a:ext uri="{63B3BB69-23CF-44E3-9099-C40C66FF867C}">
                  <a14:compatExt spid="_x0000_s316491"/>
                </a:ext>
                <a:ext uri="{FF2B5EF4-FFF2-40B4-BE49-F238E27FC236}">
                  <a16:creationId xmlns:a16="http://schemas.microsoft.com/office/drawing/2014/main" id="{00000000-0008-0000-1300-00004B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6492" name="activate_fencing" hidden="1">
              <a:extLst>
                <a:ext uri="{63B3BB69-23CF-44E3-9099-C40C66FF867C}">
                  <a14:compatExt spid="_x0000_s316492"/>
                </a:ext>
                <a:ext uri="{FF2B5EF4-FFF2-40B4-BE49-F238E27FC236}">
                  <a16:creationId xmlns:a16="http://schemas.microsoft.com/office/drawing/2014/main" id="{00000000-0008-0000-1300-00004C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6493" name="activate_drainage" hidden="1">
              <a:extLst>
                <a:ext uri="{63B3BB69-23CF-44E3-9099-C40C66FF867C}">
                  <a14:compatExt spid="_x0000_s316493"/>
                </a:ext>
                <a:ext uri="{FF2B5EF4-FFF2-40B4-BE49-F238E27FC236}">
                  <a16:creationId xmlns:a16="http://schemas.microsoft.com/office/drawing/2014/main" id="{00000000-0008-0000-1300-00004D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6494" name="activate_road_pavements" hidden="1">
              <a:extLst>
                <a:ext uri="{63B3BB69-23CF-44E3-9099-C40C66FF867C}">
                  <a14:compatExt spid="_x0000_s316494"/>
                </a:ext>
                <a:ext uri="{FF2B5EF4-FFF2-40B4-BE49-F238E27FC236}">
                  <a16:creationId xmlns:a16="http://schemas.microsoft.com/office/drawing/2014/main" id="{00000000-0008-0000-1300-00004E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xdr:twoCellAnchor editAs="absolute">
    <xdr:from>
      <xdr:col>10</xdr:col>
      <xdr:colOff>323850</xdr:colOff>
      <xdr:row>0</xdr:row>
      <xdr:rowOff>368300</xdr:rowOff>
    </xdr:from>
    <xdr:to>
      <xdr:col>11</xdr:col>
      <xdr:colOff>450850</xdr:colOff>
      <xdr:row>1</xdr:row>
      <xdr:rowOff>488950</xdr:rowOff>
    </xdr:to>
    <xdr:sp macro="" textlink="">
      <xdr:nvSpPr>
        <xdr:cNvPr id="3" name="blue_rectangle">
          <a:extLst>
            <a:ext uri="{FF2B5EF4-FFF2-40B4-BE49-F238E27FC236}">
              <a16:creationId xmlns:a16="http://schemas.microsoft.com/office/drawing/2014/main" id="{00000000-0008-0000-1300-000003000000}"/>
            </a:ext>
          </a:extLst>
        </xdr:cNvPr>
        <xdr:cNvSpPr/>
      </xdr:nvSpPr>
      <xdr:spPr>
        <a:xfrm>
          <a:off x="69723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6495" name="activate_street_furniture" hidden="1">
              <a:extLst>
                <a:ext uri="{63B3BB69-23CF-44E3-9099-C40C66FF867C}">
                  <a14:compatExt spid="_x0000_s316495"/>
                </a:ext>
                <a:ext uri="{FF2B5EF4-FFF2-40B4-BE49-F238E27FC236}">
                  <a16:creationId xmlns:a16="http://schemas.microsoft.com/office/drawing/2014/main" id="{00000000-0008-0000-1300-00004F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6496" name="activate_civils_structures" hidden="1">
              <a:extLst>
                <a:ext uri="{63B3BB69-23CF-44E3-9099-C40C66FF867C}">
                  <a14:compatExt spid="_x0000_s316496"/>
                </a:ext>
                <a:ext uri="{FF2B5EF4-FFF2-40B4-BE49-F238E27FC236}">
                  <a16:creationId xmlns:a16="http://schemas.microsoft.com/office/drawing/2014/main" id="{00000000-0008-0000-1300-000050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6497" name="activate_fuel_and_energy" hidden="1">
              <a:extLst>
                <a:ext uri="{63B3BB69-23CF-44E3-9099-C40C66FF867C}">
                  <a14:compatExt spid="_x0000_s316497"/>
                </a:ext>
                <a:ext uri="{FF2B5EF4-FFF2-40B4-BE49-F238E27FC236}">
                  <a16:creationId xmlns:a16="http://schemas.microsoft.com/office/drawing/2014/main" id="{00000000-0008-0000-1300-000051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6498" name="activate_business_transport" hidden="1">
              <a:extLst>
                <a:ext uri="{63B3BB69-23CF-44E3-9099-C40C66FF867C}">
                  <a14:compatExt spid="_x0000_s316498"/>
                </a:ext>
                <a:ext uri="{FF2B5EF4-FFF2-40B4-BE49-F238E27FC236}">
                  <a16:creationId xmlns:a16="http://schemas.microsoft.com/office/drawing/2014/main" id="{00000000-0008-0000-1300-000052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6499" name="activate_waste" hidden="1">
              <a:extLst>
                <a:ext uri="{63B3BB69-23CF-44E3-9099-C40C66FF867C}">
                  <a14:compatExt spid="_x0000_s316499"/>
                </a:ext>
                <a:ext uri="{FF2B5EF4-FFF2-40B4-BE49-F238E27FC236}">
                  <a16:creationId xmlns:a16="http://schemas.microsoft.com/office/drawing/2014/main" id="{00000000-0008-0000-1300-000053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6500" name="activate_home_page" hidden="1">
              <a:extLst>
                <a:ext uri="{63B3BB69-23CF-44E3-9099-C40C66FF867C}">
                  <a14:compatExt spid="_x0000_s316500"/>
                </a:ext>
                <a:ext uri="{FF2B5EF4-FFF2-40B4-BE49-F238E27FC236}">
                  <a16:creationId xmlns:a16="http://schemas.microsoft.com/office/drawing/2014/main" id="{00000000-0008-0000-1300-000054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6501" name="activate_guidance" hidden="1">
              <a:extLst>
                <a:ext uri="{63B3BB69-23CF-44E3-9099-C40C66FF867C}">
                  <a14:compatExt spid="_x0000_s316501"/>
                </a:ext>
                <a:ext uri="{FF2B5EF4-FFF2-40B4-BE49-F238E27FC236}">
                  <a16:creationId xmlns:a16="http://schemas.microsoft.com/office/drawing/2014/main" id="{00000000-0008-0000-1300-000055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6502" name="activate_summary_report" hidden="1">
              <a:extLst>
                <a:ext uri="{63B3BB69-23CF-44E3-9099-C40C66FF867C}">
                  <a14:compatExt spid="_x0000_s316502"/>
                </a:ext>
                <a:ext uri="{FF2B5EF4-FFF2-40B4-BE49-F238E27FC236}">
                  <a16:creationId xmlns:a16="http://schemas.microsoft.com/office/drawing/2014/main" id="{00000000-0008-0000-1300-000056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6503" name="activate_outputs" hidden="1">
              <a:extLst>
                <a:ext uri="{63B3BB69-23CF-44E3-9099-C40C66FF867C}">
                  <a14:compatExt spid="_x0000_s316503"/>
                </a:ext>
                <a:ext uri="{FF2B5EF4-FFF2-40B4-BE49-F238E27FC236}">
                  <a16:creationId xmlns:a16="http://schemas.microsoft.com/office/drawing/2014/main" id="{00000000-0008-0000-1300-000057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6504" name="activate_emissions_factors" hidden="1">
              <a:extLst>
                <a:ext uri="{63B3BB69-23CF-44E3-9099-C40C66FF867C}">
                  <a14:compatExt spid="_x0000_s316504"/>
                </a:ext>
                <a:ext uri="{FF2B5EF4-FFF2-40B4-BE49-F238E27FC236}">
                  <a16:creationId xmlns:a16="http://schemas.microsoft.com/office/drawing/2014/main" id="{00000000-0008-0000-1300-000058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6505" name="activate_material_density" hidden="1">
              <a:extLst>
                <a:ext uri="{63B3BB69-23CF-44E3-9099-C40C66FF867C}">
                  <a14:compatExt spid="_x0000_s316505"/>
                </a:ext>
                <a:ext uri="{FF2B5EF4-FFF2-40B4-BE49-F238E27FC236}">
                  <a16:creationId xmlns:a16="http://schemas.microsoft.com/office/drawing/2014/main" id="{00000000-0008-0000-1300-000059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6506" name="activate_notes" hidden="1">
              <a:extLst>
                <a:ext uri="{63B3BB69-23CF-44E3-9099-C40C66FF867C}">
                  <a14:compatExt spid="_x0000_s316506"/>
                </a:ext>
                <a:ext uri="{FF2B5EF4-FFF2-40B4-BE49-F238E27FC236}">
                  <a16:creationId xmlns:a16="http://schemas.microsoft.com/office/drawing/2014/main" id="{00000000-0008-0000-1300-00005AD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3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3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7441" name="Button 1" hidden="1">
              <a:extLst>
                <a:ext uri="{63B3BB69-23CF-44E3-9099-C40C66FF867C}">
                  <a14:compatExt spid="_x0000_s317441"/>
                </a:ext>
                <a:ext uri="{FF2B5EF4-FFF2-40B4-BE49-F238E27FC236}">
                  <a16:creationId xmlns:a16="http://schemas.microsoft.com/office/drawing/2014/main" id="{00000000-0008-0000-1400-000001D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7442" name="Button 2" hidden="1">
              <a:extLst>
                <a:ext uri="{63B3BB69-23CF-44E3-9099-C40C66FF867C}">
                  <a14:compatExt spid="_x0000_s317442"/>
                </a:ext>
                <a:ext uri="{FF2B5EF4-FFF2-40B4-BE49-F238E27FC236}">
                  <a16:creationId xmlns:a16="http://schemas.microsoft.com/office/drawing/2014/main" id="{00000000-0008-0000-1400-000002D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4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7443" name="Mark_page_as_complete" hidden="1">
              <a:extLst>
                <a:ext uri="{63B3BB69-23CF-44E3-9099-C40C66FF867C}">
                  <a14:compatExt spid="_x0000_s317443"/>
                </a:ext>
                <a:ext uri="{FF2B5EF4-FFF2-40B4-BE49-F238E27FC236}">
                  <a16:creationId xmlns:a16="http://schemas.microsoft.com/office/drawing/2014/main" id="{00000000-0008-0000-1400-000003D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7444" name="Button 4" hidden="1">
              <a:extLst>
                <a:ext uri="{63B3BB69-23CF-44E3-9099-C40C66FF867C}">
                  <a14:compatExt spid="_x0000_s317444"/>
                </a:ext>
                <a:ext uri="{FF2B5EF4-FFF2-40B4-BE49-F238E27FC236}">
                  <a16:creationId xmlns:a16="http://schemas.microsoft.com/office/drawing/2014/main" id="{00000000-0008-0000-1400-000004D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7445" name="Button 5" hidden="1">
              <a:extLst>
                <a:ext uri="{63B3BB69-23CF-44E3-9099-C40C66FF867C}">
                  <a14:compatExt spid="_x0000_s317445"/>
                </a:ext>
                <a:ext uri="{FF2B5EF4-FFF2-40B4-BE49-F238E27FC236}">
                  <a16:creationId xmlns:a16="http://schemas.microsoft.com/office/drawing/2014/main" id="{00000000-0008-0000-1400-000005D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7514" name="activate_bulk_materials" hidden="1">
              <a:extLst>
                <a:ext uri="{63B3BB69-23CF-44E3-9099-C40C66FF867C}">
                  <a14:compatExt spid="_x0000_s317514"/>
                </a:ext>
                <a:ext uri="{FF2B5EF4-FFF2-40B4-BE49-F238E27FC236}">
                  <a16:creationId xmlns:a16="http://schemas.microsoft.com/office/drawing/2014/main" id="{00000000-0008-0000-1400-00004A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7515" name="activate_earthworks" hidden="1">
              <a:extLst>
                <a:ext uri="{63B3BB69-23CF-44E3-9099-C40C66FF867C}">
                  <a14:compatExt spid="_x0000_s317515"/>
                </a:ext>
                <a:ext uri="{FF2B5EF4-FFF2-40B4-BE49-F238E27FC236}">
                  <a16:creationId xmlns:a16="http://schemas.microsoft.com/office/drawing/2014/main" id="{00000000-0008-0000-1400-00004B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7516" name="activate_fencing" hidden="1">
              <a:extLst>
                <a:ext uri="{63B3BB69-23CF-44E3-9099-C40C66FF867C}">
                  <a14:compatExt spid="_x0000_s317516"/>
                </a:ext>
                <a:ext uri="{FF2B5EF4-FFF2-40B4-BE49-F238E27FC236}">
                  <a16:creationId xmlns:a16="http://schemas.microsoft.com/office/drawing/2014/main" id="{00000000-0008-0000-1400-00004C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7517" name="activate_drainage" hidden="1">
              <a:extLst>
                <a:ext uri="{63B3BB69-23CF-44E3-9099-C40C66FF867C}">
                  <a14:compatExt spid="_x0000_s317517"/>
                </a:ext>
                <a:ext uri="{FF2B5EF4-FFF2-40B4-BE49-F238E27FC236}">
                  <a16:creationId xmlns:a16="http://schemas.microsoft.com/office/drawing/2014/main" id="{00000000-0008-0000-1400-00004D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7518" name="activate_road_pavements" hidden="1">
              <a:extLst>
                <a:ext uri="{63B3BB69-23CF-44E3-9099-C40C66FF867C}">
                  <a14:compatExt spid="_x0000_s317518"/>
                </a:ext>
                <a:ext uri="{FF2B5EF4-FFF2-40B4-BE49-F238E27FC236}">
                  <a16:creationId xmlns:a16="http://schemas.microsoft.com/office/drawing/2014/main" id="{00000000-0008-0000-1400-00004E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7519" name="activate_street_furniture" hidden="1">
              <a:extLst>
                <a:ext uri="{63B3BB69-23CF-44E3-9099-C40C66FF867C}">
                  <a14:compatExt spid="_x0000_s317519"/>
                </a:ext>
                <a:ext uri="{FF2B5EF4-FFF2-40B4-BE49-F238E27FC236}">
                  <a16:creationId xmlns:a16="http://schemas.microsoft.com/office/drawing/2014/main" id="{00000000-0008-0000-1400-00004F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xdr:twoCellAnchor editAs="absolute">
    <xdr:from>
      <xdr:col>11</xdr:col>
      <xdr:colOff>425450</xdr:colOff>
      <xdr:row>0</xdr:row>
      <xdr:rowOff>368300</xdr:rowOff>
    </xdr:from>
    <xdr:to>
      <xdr:col>22</xdr:col>
      <xdr:colOff>123825</xdr:colOff>
      <xdr:row>1</xdr:row>
      <xdr:rowOff>488950</xdr:rowOff>
    </xdr:to>
    <xdr:sp macro="" textlink="">
      <xdr:nvSpPr>
        <xdr:cNvPr id="3" name="blue_rectangle">
          <a:extLst>
            <a:ext uri="{FF2B5EF4-FFF2-40B4-BE49-F238E27FC236}">
              <a16:creationId xmlns:a16="http://schemas.microsoft.com/office/drawing/2014/main" id="{00000000-0008-0000-1400-000003000000}"/>
            </a:ext>
          </a:extLst>
        </xdr:cNvPr>
        <xdr:cNvSpPr/>
      </xdr:nvSpPr>
      <xdr:spPr>
        <a:xfrm>
          <a:off x="79502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7520" name="activate_civils_structures" hidden="1">
              <a:extLst>
                <a:ext uri="{63B3BB69-23CF-44E3-9099-C40C66FF867C}">
                  <a14:compatExt spid="_x0000_s317520"/>
                </a:ext>
                <a:ext uri="{FF2B5EF4-FFF2-40B4-BE49-F238E27FC236}">
                  <a16:creationId xmlns:a16="http://schemas.microsoft.com/office/drawing/2014/main" id="{00000000-0008-0000-1400-000050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7521" name="activate_fuel_and_energy" hidden="1">
              <a:extLst>
                <a:ext uri="{63B3BB69-23CF-44E3-9099-C40C66FF867C}">
                  <a14:compatExt spid="_x0000_s317521"/>
                </a:ext>
                <a:ext uri="{FF2B5EF4-FFF2-40B4-BE49-F238E27FC236}">
                  <a16:creationId xmlns:a16="http://schemas.microsoft.com/office/drawing/2014/main" id="{00000000-0008-0000-1400-000051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7522" name="activate_business_transport" hidden="1">
              <a:extLst>
                <a:ext uri="{63B3BB69-23CF-44E3-9099-C40C66FF867C}">
                  <a14:compatExt spid="_x0000_s317522"/>
                </a:ext>
                <a:ext uri="{FF2B5EF4-FFF2-40B4-BE49-F238E27FC236}">
                  <a16:creationId xmlns:a16="http://schemas.microsoft.com/office/drawing/2014/main" id="{00000000-0008-0000-1400-000052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7523" name="activate_waste" hidden="1">
              <a:extLst>
                <a:ext uri="{63B3BB69-23CF-44E3-9099-C40C66FF867C}">
                  <a14:compatExt spid="_x0000_s317523"/>
                </a:ext>
                <a:ext uri="{FF2B5EF4-FFF2-40B4-BE49-F238E27FC236}">
                  <a16:creationId xmlns:a16="http://schemas.microsoft.com/office/drawing/2014/main" id="{00000000-0008-0000-1400-000053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7524" name="activate_home_page" hidden="1">
              <a:extLst>
                <a:ext uri="{63B3BB69-23CF-44E3-9099-C40C66FF867C}">
                  <a14:compatExt spid="_x0000_s317524"/>
                </a:ext>
                <a:ext uri="{FF2B5EF4-FFF2-40B4-BE49-F238E27FC236}">
                  <a16:creationId xmlns:a16="http://schemas.microsoft.com/office/drawing/2014/main" id="{00000000-0008-0000-1400-000054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7525" name="activate_guidance" hidden="1">
              <a:extLst>
                <a:ext uri="{63B3BB69-23CF-44E3-9099-C40C66FF867C}">
                  <a14:compatExt spid="_x0000_s317525"/>
                </a:ext>
                <a:ext uri="{FF2B5EF4-FFF2-40B4-BE49-F238E27FC236}">
                  <a16:creationId xmlns:a16="http://schemas.microsoft.com/office/drawing/2014/main" id="{00000000-0008-0000-1400-000055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7526" name="activate_summary_report" hidden="1">
              <a:extLst>
                <a:ext uri="{63B3BB69-23CF-44E3-9099-C40C66FF867C}">
                  <a14:compatExt spid="_x0000_s317526"/>
                </a:ext>
                <a:ext uri="{FF2B5EF4-FFF2-40B4-BE49-F238E27FC236}">
                  <a16:creationId xmlns:a16="http://schemas.microsoft.com/office/drawing/2014/main" id="{00000000-0008-0000-1400-000056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7527" name="activate_outputs" hidden="1">
              <a:extLst>
                <a:ext uri="{63B3BB69-23CF-44E3-9099-C40C66FF867C}">
                  <a14:compatExt spid="_x0000_s317527"/>
                </a:ext>
                <a:ext uri="{FF2B5EF4-FFF2-40B4-BE49-F238E27FC236}">
                  <a16:creationId xmlns:a16="http://schemas.microsoft.com/office/drawing/2014/main" id="{00000000-0008-0000-1400-000057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7528" name="activate_emissions_factors" hidden="1">
              <a:extLst>
                <a:ext uri="{63B3BB69-23CF-44E3-9099-C40C66FF867C}">
                  <a14:compatExt spid="_x0000_s317528"/>
                </a:ext>
                <a:ext uri="{FF2B5EF4-FFF2-40B4-BE49-F238E27FC236}">
                  <a16:creationId xmlns:a16="http://schemas.microsoft.com/office/drawing/2014/main" id="{00000000-0008-0000-1400-000058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7529" name="activate_material_density" hidden="1">
              <a:extLst>
                <a:ext uri="{63B3BB69-23CF-44E3-9099-C40C66FF867C}">
                  <a14:compatExt spid="_x0000_s317529"/>
                </a:ext>
                <a:ext uri="{FF2B5EF4-FFF2-40B4-BE49-F238E27FC236}">
                  <a16:creationId xmlns:a16="http://schemas.microsoft.com/office/drawing/2014/main" id="{00000000-0008-0000-1400-000059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7530" name="activate_notes" hidden="1">
              <a:extLst>
                <a:ext uri="{63B3BB69-23CF-44E3-9099-C40C66FF867C}">
                  <a14:compatExt spid="_x0000_s317530"/>
                </a:ext>
                <a:ext uri="{FF2B5EF4-FFF2-40B4-BE49-F238E27FC236}">
                  <a16:creationId xmlns:a16="http://schemas.microsoft.com/office/drawing/2014/main" id="{00000000-0008-0000-1400-00005A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4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4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8465" name="Button 1" hidden="1">
              <a:extLst>
                <a:ext uri="{63B3BB69-23CF-44E3-9099-C40C66FF867C}">
                  <a14:compatExt spid="_x0000_s318465"/>
                </a:ext>
                <a:ext uri="{FF2B5EF4-FFF2-40B4-BE49-F238E27FC236}">
                  <a16:creationId xmlns:a16="http://schemas.microsoft.com/office/drawing/2014/main" id="{00000000-0008-0000-1500-000001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8466" name="Button 2" hidden="1">
              <a:extLst>
                <a:ext uri="{63B3BB69-23CF-44E3-9099-C40C66FF867C}">
                  <a14:compatExt spid="_x0000_s318466"/>
                </a:ext>
                <a:ext uri="{FF2B5EF4-FFF2-40B4-BE49-F238E27FC236}">
                  <a16:creationId xmlns:a16="http://schemas.microsoft.com/office/drawing/2014/main" id="{00000000-0008-0000-1500-000002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5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8467" name="Mark_page_as_complete" hidden="1">
              <a:extLst>
                <a:ext uri="{63B3BB69-23CF-44E3-9099-C40C66FF867C}">
                  <a14:compatExt spid="_x0000_s318467"/>
                </a:ext>
                <a:ext uri="{FF2B5EF4-FFF2-40B4-BE49-F238E27FC236}">
                  <a16:creationId xmlns:a16="http://schemas.microsoft.com/office/drawing/2014/main" id="{00000000-0008-0000-1500-000003D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8468" name="Button 4" hidden="1">
              <a:extLst>
                <a:ext uri="{63B3BB69-23CF-44E3-9099-C40C66FF867C}">
                  <a14:compatExt spid="_x0000_s318468"/>
                </a:ext>
                <a:ext uri="{FF2B5EF4-FFF2-40B4-BE49-F238E27FC236}">
                  <a16:creationId xmlns:a16="http://schemas.microsoft.com/office/drawing/2014/main" id="{00000000-0008-0000-1500-000004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8469" name="Button 5" hidden="1">
              <a:extLst>
                <a:ext uri="{63B3BB69-23CF-44E3-9099-C40C66FF867C}">
                  <a14:compatExt spid="_x0000_s318469"/>
                </a:ext>
                <a:ext uri="{FF2B5EF4-FFF2-40B4-BE49-F238E27FC236}">
                  <a16:creationId xmlns:a16="http://schemas.microsoft.com/office/drawing/2014/main" id="{00000000-0008-0000-1500-000005D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8539" name="activate_bulk_materials" hidden="1">
              <a:extLst>
                <a:ext uri="{63B3BB69-23CF-44E3-9099-C40C66FF867C}">
                  <a14:compatExt spid="_x0000_s318539"/>
                </a:ext>
                <a:ext uri="{FF2B5EF4-FFF2-40B4-BE49-F238E27FC236}">
                  <a16:creationId xmlns:a16="http://schemas.microsoft.com/office/drawing/2014/main" id="{00000000-0008-0000-1500-00004B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8540" name="activate_earthworks" hidden="1">
              <a:extLst>
                <a:ext uri="{63B3BB69-23CF-44E3-9099-C40C66FF867C}">
                  <a14:compatExt spid="_x0000_s318540"/>
                </a:ext>
                <a:ext uri="{FF2B5EF4-FFF2-40B4-BE49-F238E27FC236}">
                  <a16:creationId xmlns:a16="http://schemas.microsoft.com/office/drawing/2014/main" id="{00000000-0008-0000-1500-00004C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8541" name="activate_fencing" hidden="1">
              <a:extLst>
                <a:ext uri="{63B3BB69-23CF-44E3-9099-C40C66FF867C}">
                  <a14:compatExt spid="_x0000_s318541"/>
                </a:ext>
                <a:ext uri="{FF2B5EF4-FFF2-40B4-BE49-F238E27FC236}">
                  <a16:creationId xmlns:a16="http://schemas.microsoft.com/office/drawing/2014/main" id="{00000000-0008-0000-1500-00004D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8542" name="activate_drainage" hidden="1">
              <a:extLst>
                <a:ext uri="{63B3BB69-23CF-44E3-9099-C40C66FF867C}">
                  <a14:compatExt spid="_x0000_s318542"/>
                </a:ext>
                <a:ext uri="{FF2B5EF4-FFF2-40B4-BE49-F238E27FC236}">
                  <a16:creationId xmlns:a16="http://schemas.microsoft.com/office/drawing/2014/main" id="{00000000-0008-0000-1500-00004E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8543" name="activate_road_pavements" hidden="1">
              <a:extLst>
                <a:ext uri="{63B3BB69-23CF-44E3-9099-C40C66FF867C}">
                  <a14:compatExt spid="_x0000_s318543"/>
                </a:ext>
                <a:ext uri="{FF2B5EF4-FFF2-40B4-BE49-F238E27FC236}">
                  <a16:creationId xmlns:a16="http://schemas.microsoft.com/office/drawing/2014/main" id="{00000000-0008-0000-1500-00004F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8544" name="activate_street_furniture" hidden="1">
              <a:extLst>
                <a:ext uri="{63B3BB69-23CF-44E3-9099-C40C66FF867C}">
                  <a14:compatExt spid="_x0000_s318544"/>
                </a:ext>
                <a:ext uri="{FF2B5EF4-FFF2-40B4-BE49-F238E27FC236}">
                  <a16:creationId xmlns:a16="http://schemas.microsoft.com/office/drawing/2014/main" id="{00000000-0008-0000-1500-000050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8545" name="activate_civils_structures" hidden="1">
              <a:extLst>
                <a:ext uri="{63B3BB69-23CF-44E3-9099-C40C66FF867C}">
                  <a14:compatExt spid="_x0000_s318545"/>
                </a:ext>
                <a:ext uri="{FF2B5EF4-FFF2-40B4-BE49-F238E27FC236}">
                  <a16:creationId xmlns:a16="http://schemas.microsoft.com/office/drawing/2014/main" id="{00000000-0008-0000-1500-000051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xdr:twoCellAnchor editAs="absolute">
    <xdr:from>
      <xdr:col>22</xdr:col>
      <xdr:colOff>98425</xdr:colOff>
      <xdr:row>0</xdr:row>
      <xdr:rowOff>368300</xdr:rowOff>
    </xdr:from>
    <xdr:to>
      <xdr:col>23</xdr:col>
      <xdr:colOff>549275</xdr:colOff>
      <xdr:row>1</xdr:row>
      <xdr:rowOff>488950</xdr:rowOff>
    </xdr:to>
    <xdr:sp macro="" textlink="">
      <xdr:nvSpPr>
        <xdr:cNvPr id="3" name="blue_rectangle">
          <a:extLst>
            <a:ext uri="{FF2B5EF4-FFF2-40B4-BE49-F238E27FC236}">
              <a16:creationId xmlns:a16="http://schemas.microsoft.com/office/drawing/2014/main" id="{00000000-0008-0000-1500-000003000000}"/>
            </a:ext>
          </a:extLst>
        </xdr:cNvPr>
        <xdr:cNvSpPr/>
      </xdr:nvSpPr>
      <xdr:spPr>
        <a:xfrm>
          <a:off x="89281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8546" name="activate_fuel_and_energy" hidden="1">
              <a:extLst>
                <a:ext uri="{63B3BB69-23CF-44E3-9099-C40C66FF867C}">
                  <a14:compatExt spid="_x0000_s318546"/>
                </a:ext>
                <a:ext uri="{FF2B5EF4-FFF2-40B4-BE49-F238E27FC236}">
                  <a16:creationId xmlns:a16="http://schemas.microsoft.com/office/drawing/2014/main" id="{00000000-0008-0000-1500-000052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8547" name="activate_business_transport" hidden="1">
              <a:extLst>
                <a:ext uri="{63B3BB69-23CF-44E3-9099-C40C66FF867C}">
                  <a14:compatExt spid="_x0000_s318547"/>
                </a:ext>
                <a:ext uri="{FF2B5EF4-FFF2-40B4-BE49-F238E27FC236}">
                  <a16:creationId xmlns:a16="http://schemas.microsoft.com/office/drawing/2014/main" id="{00000000-0008-0000-1500-000053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8548" name="activate_waste" hidden="1">
              <a:extLst>
                <a:ext uri="{63B3BB69-23CF-44E3-9099-C40C66FF867C}">
                  <a14:compatExt spid="_x0000_s318548"/>
                </a:ext>
                <a:ext uri="{FF2B5EF4-FFF2-40B4-BE49-F238E27FC236}">
                  <a16:creationId xmlns:a16="http://schemas.microsoft.com/office/drawing/2014/main" id="{00000000-0008-0000-1500-000054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8549" name="activate_home_page" hidden="1">
              <a:extLst>
                <a:ext uri="{63B3BB69-23CF-44E3-9099-C40C66FF867C}">
                  <a14:compatExt spid="_x0000_s318549"/>
                </a:ext>
                <a:ext uri="{FF2B5EF4-FFF2-40B4-BE49-F238E27FC236}">
                  <a16:creationId xmlns:a16="http://schemas.microsoft.com/office/drawing/2014/main" id="{00000000-0008-0000-1500-000055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8550" name="activate_guidance" hidden="1">
              <a:extLst>
                <a:ext uri="{63B3BB69-23CF-44E3-9099-C40C66FF867C}">
                  <a14:compatExt spid="_x0000_s318550"/>
                </a:ext>
                <a:ext uri="{FF2B5EF4-FFF2-40B4-BE49-F238E27FC236}">
                  <a16:creationId xmlns:a16="http://schemas.microsoft.com/office/drawing/2014/main" id="{00000000-0008-0000-1500-000056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8551" name="activate_summary_report" hidden="1">
              <a:extLst>
                <a:ext uri="{63B3BB69-23CF-44E3-9099-C40C66FF867C}">
                  <a14:compatExt spid="_x0000_s318551"/>
                </a:ext>
                <a:ext uri="{FF2B5EF4-FFF2-40B4-BE49-F238E27FC236}">
                  <a16:creationId xmlns:a16="http://schemas.microsoft.com/office/drawing/2014/main" id="{00000000-0008-0000-1500-000057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8552" name="activate_outputs" hidden="1">
              <a:extLst>
                <a:ext uri="{63B3BB69-23CF-44E3-9099-C40C66FF867C}">
                  <a14:compatExt spid="_x0000_s318552"/>
                </a:ext>
                <a:ext uri="{FF2B5EF4-FFF2-40B4-BE49-F238E27FC236}">
                  <a16:creationId xmlns:a16="http://schemas.microsoft.com/office/drawing/2014/main" id="{00000000-0008-0000-1500-000058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8553" name="activate_emissions_factors" hidden="1">
              <a:extLst>
                <a:ext uri="{63B3BB69-23CF-44E3-9099-C40C66FF867C}">
                  <a14:compatExt spid="_x0000_s318553"/>
                </a:ext>
                <a:ext uri="{FF2B5EF4-FFF2-40B4-BE49-F238E27FC236}">
                  <a16:creationId xmlns:a16="http://schemas.microsoft.com/office/drawing/2014/main" id="{00000000-0008-0000-1500-000059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8554" name="activate_material_density" hidden="1">
              <a:extLst>
                <a:ext uri="{63B3BB69-23CF-44E3-9099-C40C66FF867C}">
                  <a14:compatExt spid="_x0000_s318554"/>
                </a:ext>
                <a:ext uri="{FF2B5EF4-FFF2-40B4-BE49-F238E27FC236}">
                  <a16:creationId xmlns:a16="http://schemas.microsoft.com/office/drawing/2014/main" id="{00000000-0008-0000-1500-00005A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8555" name="activate_notes" hidden="1">
              <a:extLst>
                <a:ext uri="{63B3BB69-23CF-44E3-9099-C40C66FF867C}">
                  <a14:compatExt spid="_x0000_s318555"/>
                </a:ext>
                <a:ext uri="{FF2B5EF4-FFF2-40B4-BE49-F238E27FC236}">
                  <a16:creationId xmlns:a16="http://schemas.microsoft.com/office/drawing/2014/main" id="{00000000-0008-0000-1500-00005BD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5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1600-000001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19490" name="Button 2" hidden="1">
              <a:extLst>
                <a:ext uri="{63B3BB69-23CF-44E3-9099-C40C66FF867C}">
                  <a14:compatExt spid="_x0000_s319490"/>
                </a:ext>
                <a:ext uri="{FF2B5EF4-FFF2-40B4-BE49-F238E27FC236}">
                  <a16:creationId xmlns:a16="http://schemas.microsoft.com/office/drawing/2014/main" id="{00000000-0008-0000-1600-000002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6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19491" name="Mark_page_as_complete" hidden="1">
              <a:extLst>
                <a:ext uri="{63B3BB69-23CF-44E3-9099-C40C66FF867C}">
                  <a14:compatExt spid="_x0000_s319491"/>
                </a:ext>
                <a:ext uri="{FF2B5EF4-FFF2-40B4-BE49-F238E27FC236}">
                  <a16:creationId xmlns:a16="http://schemas.microsoft.com/office/drawing/2014/main" id="{00000000-0008-0000-1600-000003E0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19492" name="Button 4" hidden="1">
              <a:extLst>
                <a:ext uri="{63B3BB69-23CF-44E3-9099-C40C66FF867C}">
                  <a14:compatExt spid="_x0000_s319492"/>
                </a:ext>
                <a:ext uri="{FF2B5EF4-FFF2-40B4-BE49-F238E27FC236}">
                  <a16:creationId xmlns:a16="http://schemas.microsoft.com/office/drawing/2014/main" id="{00000000-0008-0000-1600-000004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19493" name="Button 5" hidden="1">
              <a:extLst>
                <a:ext uri="{63B3BB69-23CF-44E3-9099-C40C66FF867C}">
                  <a14:compatExt spid="_x0000_s319493"/>
                </a:ext>
                <a:ext uri="{FF2B5EF4-FFF2-40B4-BE49-F238E27FC236}">
                  <a16:creationId xmlns:a16="http://schemas.microsoft.com/office/drawing/2014/main" id="{00000000-0008-0000-1600-000005E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19562" name="activate_bulk_materials" hidden="1">
              <a:extLst>
                <a:ext uri="{63B3BB69-23CF-44E3-9099-C40C66FF867C}">
                  <a14:compatExt spid="_x0000_s319562"/>
                </a:ext>
                <a:ext uri="{FF2B5EF4-FFF2-40B4-BE49-F238E27FC236}">
                  <a16:creationId xmlns:a16="http://schemas.microsoft.com/office/drawing/2014/main" id="{00000000-0008-0000-1600-00004A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19563" name="activate_earthworks" hidden="1">
              <a:extLst>
                <a:ext uri="{63B3BB69-23CF-44E3-9099-C40C66FF867C}">
                  <a14:compatExt spid="_x0000_s319563"/>
                </a:ext>
                <a:ext uri="{FF2B5EF4-FFF2-40B4-BE49-F238E27FC236}">
                  <a16:creationId xmlns:a16="http://schemas.microsoft.com/office/drawing/2014/main" id="{00000000-0008-0000-1600-00004B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19564" name="activate_fencing" hidden="1">
              <a:extLst>
                <a:ext uri="{63B3BB69-23CF-44E3-9099-C40C66FF867C}">
                  <a14:compatExt spid="_x0000_s319564"/>
                </a:ext>
                <a:ext uri="{FF2B5EF4-FFF2-40B4-BE49-F238E27FC236}">
                  <a16:creationId xmlns:a16="http://schemas.microsoft.com/office/drawing/2014/main" id="{00000000-0008-0000-1600-00004C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19565" name="activate_drainage" hidden="1">
              <a:extLst>
                <a:ext uri="{63B3BB69-23CF-44E3-9099-C40C66FF867C}">
                  <a14:compatExt spid="_x0000_s319565"/>
                </a:ext>
                <a:ext uri="{FF2B5EF4-FFF2-40B4-BE49-F238E27FC236}">
                  <a16:creationId xmlns:a16="http://schemas.microsoft.com/office/drawing/2014/main" id="{00000000-0008-0000-1600-00004D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19566" name="activate_road_pavements" hidden="1">
              <a:extLst>
                <a:ext uri="{63B3BB69-23CF-44E3-9099-C40C66FF867C}">
                  <a14:compatExt spid="_x0000_s319566"/>
                </a:ext>
                <a:ext uri="{FF2B5EF4-FFF2-40B4-BE49-F238E27FC236}">
                  <a16:creationId xmlns:a16="http://schemas.microsoft.com/office/drawing/2014/main" id="{00000000-0008-0000-1600-00004E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19567" name="activate_street_furniture" hidden="1">
              <a:extLst>
                <a:ext uri="{63B3BB69-23CF-44E3-9099-C40C66FF867C}">
                  <a14:compatExt spid="_x0000_s319567"/>
                </a:ext>
                <a:ext uri="{FF2B5EF4-FFF2-40B4-BE49-F238E27FC236}">
                  <a16:creationId xmlns:a16="http://schemas.microsoft.com/office/drawing/2014/main" id="{00000000-0008-0000-1600-00004F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19568" name="activate_civils_structures" hidden="1">
              <a:extLst>
                <a:ext uri="{63B3BB69-23CF-44E3-9099-C40C66FF867C}">
                  <a14:compatExt spid="_x0000_s319568"/>
                </a:ext>
                <a:ext uri="{FF2B5EF4-FFF2-40B4-BE49-F238E27FC236}">
                  <a16:creationId xmlns:a16="http://schemas.microsoft.com/office/drawing/2014/main" id="{00000000-0008-0000-1600-000050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19569" name="activate_fuel_and_energy" hidden="1">
              <a:extLst>
                <a:ext uri="{63B3BB69-23CF-44E3-9099-C40C66FF867C}">
                  <a14:compatExt spid="_x0000_s319569"/>
                </a:ext>
                <a:ext uri="{FF2B5EF4-FFF2-40B4-BE49-F238E27FC236}">
                  <a16:creationId xmlns:a16="http://schemas.microsoft.com/office/drawing/2014/main" id="{00000000-0008-0000-1600-000051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xdr:twoCellAnchor editAs="absolute">
    <xdr:from>
      <xdr:col>23</xdr:col>
      <xdr:colOff>523875</xdr:colOff>
      <xdr:row>0</xdr:row>
      <xdr:rowOff>368300</xdr:rowOff>
    </xdr:from>
    <xdr:to>
      <xdr:col>25</xdr:col>
      <xdr:colOff>174625</xdr:colOff>
      <xdr:row>1</xdr:row>
      <xdr:rowOff>488950</xdr:rowOff>
    </xdr:to>
    <xdr:sp macro="" textlink="">
      <xdr:nvSpPr>
        <xdr:cNvPr id="3" name="blue_rectangle">
          <a:extLst>
            <a:ext uri="{FF2B5EF4-FFF2-40B4-BE49-F238E27FC236}">
              <a16:creationId xmlns:a16="http://schemas.microsoft.com/office/drawing/2014/main" id="{00000000-0008-0000-1600-000003000000}"/>
            </a:ext>
          </a:extLst>
        </xdr:cNvPr>
        <xdr:cNvSpPr/>
      </xdr:nvSpPr>
      <xdr:spPr>
        <a:xfrm>
          <a:off x="99060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19570" name="activate_business_transport" hidden="1">
              <a:extLst>
                <a:ext uri="{63B3BB69-23CF-44E3-9099-C40C66FF867C}">
                  <a14:compatExt spid="_x0000_s319570"/>
                </a:ext>
                <a:ext uri="{FF2B5EF4-FFF2-40B4-BE49-F238E27FC236}">
                  <a16:creationId xmlns:a16="http://schemas.microsoft.com/office/drawing/2014/main" id="{00000000-0008-0000-1600-000052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19571" name="activate_waste" hidden="1">
              <a:extLst>
                <a:ext uri="{63B3BB69-23CF-44E3-9099-C40C66FF867C}">
                  <a14:compatExt spid="_x0000_s319571"/>
                </a:ext>
                <a:ext uri="{FF2B5EF4-FFF2-40B4-BE49-F238E27FC236}">
                  <a16:creationId xmlns:a16="http://schemas.microsoft.com/office/drawing/2014/main" id="{00000000-0008-0000-1600-000053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19572" name="activate_home_page" hidden="1">
              <a:extLst>
                <a:ext uri="{63B3BB69-23CF-44E3-9099-C40C66FF867C}">
                  <a14:compatExt spid="_x0000_s319572"/>
                </a:ext>
                <a:ext uri="{FF2B5EF4-FFF2-40B4-BE49-F238E27FC236}">
                  <a16:creationId xmlns:a16="http://schemas.microsoft.com/office/drawing/2014/main" id="{00000000-0008-0000-1600-000054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19573" name="activate_guidance" hidden="1">
              <a:extLst>
                <a:ext uri="{63B3BB69-23CF-44E3-9099-C40C66FF867C}">
                  <a14:compatExt spid="_x0000_s319573"/>
                </a:ext>
                <a:ext uri="{FF2B5EF4-FFF2-40B4-BE49-F238E27FC236}">
                  <a16:creationId xmlns:a16="http://schemas.microsoft.com/office/drawing/2014/main" id="{00000000-0008-0000-1600-000055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19574" name="activate_summary_report" hidden="1">
              <a:extLst>
                <a:ext uri="{63B3BB69-23CF-44E3-9099-C40C66FF867C}">
                  <a14:compatExt spid="_x0000_s319574"/>
                </a:ext>
                <a:ext uri="{FF2B5EF4-FFF2-40B4-BE49-F238E27FC236}">
                  <a16:creationId xmlns:a16="http://schemas.microsoft.com/office/drawing/2014/main" id="{00000000-0008-0000-1600-000056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19575" name="activate_outputs" hidden="1">
              <a:extLst>
                <a:ext uri="{63B3BB69-23CF-44E3-9099-C40C66FF867C}">
                  <a14:compatExt spid="_x0000_s319575"/>
                </a:ext>
                <a:ext uri="{FF2B5EF4-FFF2-40B4-BE49-F238E27FC236}">
                  <a16:creationId xmlns:a16="http://schemas.microsoft.com/office/drawing/2014/main" id="{00000000-0008-0000-1600-000057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19576" name="activate_emissions_factors" hidden="1">
              <a:extLst>
                <a:ext uri="{63B3BB69-23CF-44E3-9099-C40C66FF867C}">
                  <a14:compatExt spid="_x0000_s319576"/>
                </a:ext>
                <a:ext uri="{FF2B5EF4-FFF2-40B4-BE49-F238E27FC236}">
                  <a16:creationId xmlns:a16="http://schemas.microsoft.com/office/drawing/2014/main" id="{00000000-0008-0000-1600-000058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19577" name="activate_material_density" hidden="1">
              <a:extLst>
                <a:ext uri="{63B3BB69-23CF-44E3-9099-C40C66FF867C}">
                  <a14:compatExt spid="_x0000_s319577"/>
                </a:ext>
                <a:ext uri="{FF2B5EF4-FFF2-40B4-BE49-F238E27FC236}">
                  <a16:creationId xmlns:a16="http://schemas.microsoft.com/office/drawing/2014/main" id="{00000000-0008-0000-1600-000059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19578" name="activate_notes" hidden="1">
              <a:extLst>
                <a:ext uri="{63B3BB69-23CF-44E3-9099-C40C66FF867C}">
                  <a14:compatExt spid="_x0000_s319578"/>
                </a:ext>
                <a:ext uri="{FF2B5EF4-FFF2-40B4-BE49-F238E27FC236}">
                  <a16:creationId xmlns:a16="http://schemas.microsoft.com/office/drawing/2014/main" id="{00000000-0008-0000-1600-00005AE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6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6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2171700</xdr:colOff>
          <xdr:row>4</xdr:row>
          <xdr:rowOff>259080</xdr:rowOff>
        </xdr:from>
        <xdr:to>
          <xdr:col>4</xdr:col>
          <xdr:colOff>1097280</xdr:colOff>
          <xdr:row>5</xdr:row>
          <xdr:rowOff>38100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1700-000001E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Standard carbon factor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4</xdr:row>
          <xdr:rowOff>259080</xdr:rowOff>
        </xdr:from>
        <xdr:to>
          <xdr:col>7</xdr:col>
          <xdr:colOff>228600</xdr:colOff>
          <xdr:row>5</xdr:row>
          <xdr:rowOff>38100</xdr:rowOff>
        </xdr:to>
        <xdr:sp macro="" textlink="">
          <xdr:nvSpPr>
            <xdr:cNvPr id="320514" name="Button 2" hidden="1">
              <a:extLst>
                <a:ext uri="{63B3BB69-23CF-44E3-9099-C40C66FF867C}">
                  <a14:compatExt spid="_x0000_s320514"/>
                </a:ext>
                <a:ext uri="{FF2B5EF4-FFF2-40B4-BE49-F238E27FC236}">
                  <a16:creationId xmlns:a16="http://schemas.microsoft.com/office/drawing/2014/main" id="{00000000-0008-0000-1700-000002E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Custom carbon factor</a:t>
              </a:r>
            </a:p>
          </xdr:txBody>
        </xdr:sp>
        <xdr:clientData fPrintsWithSheet="0"/>
      </xdr:twoCellAnchor>
    </mc:Choice>
    <mc:Fallback/>
  </mc:AlternateContent>
  <xdr:twoCellAnchor editAs="oneCell">
    <xdr:from>
      <xdr:col>3</xdr:col>
      <xdr:colOff>38100</xdr:colOff>
      <xdr:row>3</xdr:row>
      <xdr:rowOff>180038</xdr:rowOff>
    </xdr:from>
    <xdr:to>
      <xdr:col>3</xdr:col>
      <xdr:colOff>1047997</xdr:colOff>
      <xdr:row>5</xdr:row>
      <xdr:rowOff>38947</xdr:rowOff>
    </xdr:to>
    <xdr:sp macro="" textlink="">
      <xdr:nvSpPr>
        <xdr:cNvPr id="4" name="Rectangle 3">
          <a:extLst>
            <a:ext uri="{FF2B5EF4-FFF2-40B4-BE49-F238E27FC236}">
              <a16:creationId xmlns:a16="http://schemas.microsoft.com/office/drawing/2014/main" id="{00000000-0008-0000-1700-000004000000}"/>
            </a:ext>
          </a:extLst>
        </xdr:cNvPr>
        <xdr:cNvSpPr/>
      </xdr:nvSpPr>
      <xdr:spPr>
        <a:xfrm>
          <a:off x="942975" y="1865963"/>
          <a:ext cx="1009897" cy="516134"/>
        </a:xfrm>
        <a:prstGeom prst="rect">
          <a:avLst/>
        </a:prstGeom>
        <a:solidFill>
          <a:schemeClr val="accent1">
            <a:lumMod val="20000"/>
            <a:lumOff val="80000"/>
          </a:schemeClr>
        </a:solidFill>
        <a:ln w="381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3</xdr:row>
          <xdr:rowOff>144780</xdr:rowOff>
        </xdr:from>
        <xdr:to>
          <xdr:col>3</xdr:col>
          <xdr:colOff>1097280</xdr:colOff>
          <xdr:row>5</xdr:row>
          <xdr:rowOff>106680</xdr:rowOff>
        </xdr:to>
        <xdr:sp macro="" textlink="">
          <xdr:nvSpPr>
            <xdr:cNvPr id="320515" name="Mark_page_as_complete" hidden="1">
              <a:extLst>
                <a:ext uri="{63B3BB69-23CF-44E3-9099-C40C66FF867C}">
                  <a14:compatExt spid="_x0000_s320515"/>
                </a:ext>
                <a:ext uri="{FF2B5EF4-FFF2-40B4-BE49-F238E27FC236}">
                  <a16:creationId xmlns:a16="http://schemas.microsoft.com/office/drawing/2014/main" id="{00000000-0008-0000-1700-000003E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Mark page as complete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1440180</xdr:colOff>
          <xdr:row>3</xdr:row>
          <xdr:rowOff>144780</xdr:rowOff>
        </xdr:from>
        <xdr:to>
          <xdr:col>4</xdr:col>
          <xdr:colOff>373380</xdr:colOff>
          <xdr:row>4</xdr:row>
          <xdr:rowOff>220980</xdr:rowOff>
        </xdr:to>
        <xdr:sp macro="" textlink="">
          <xdr:nvSpPr>
            <xdr:cNvPr id="320516" name="Button 4" hidden="1">
              <a:extLst>
                <a:ext uri="{63B3BB69-23CF-44E3-9099-C40C66FF867C}">
                  <a14:compatExt spid="_x0000_s320516"/>
                </a:ext>
                <a:ext uri="{FF2B5EF4-FFF2-40B4-BE49-F238E27FC236}">
                  <a16:creationId xmlns:a16="http://schemas.microsoft.com/office/drawing/2014/main" id="{00000000-0008-0000-1700-000004E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Delete selected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3</xdr:row>
          <xdr:rowOff>144780</xdr:rowOff>
        </xdr:from>
        <xdr:to>
          <xdr:col>7</xdr:col>
          <xdr:colOff>228600</xdr:colOff>
          <xdr:row>4</xdr:row>
          <xdr:rowOff>220980</xdr:rowOff>
        </xdr:to>
        <xdr:sp macro="" textlink="">
          <xdr:nvSpPr>
            <xdr:cNvPr id="320517" name="Button 5" hidden="1">
              <a:extLst>
                <a:ext uri="{63B3BB69-23CF-44E3-9099-C40C66FF867C}">
                  <a14:compatExt spid="_x0000_s320517"/>
                </a:ext>
                <a:ext uri="{FF2B5EF4-FFF2-40B4-BE49-F238E27FC236}">
                  <a16:creationId xmlns:a16="http://schemas.microsoft.com/office/drawing/2014/main" id="{00000000-0008-0000-1700-000005E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Show / hide methodology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411480</xdr:rowOff>
        </xdr:from>
        <xdr:to>
          <xdr:col>3</xdr:col>
          <xdr:colOff>2164080</xdr:colOff>
          <xdr:row>1</xdr:row>
          <xdr:rowOff>457200</xdr:rowOff>
        </xdr:to>
        <xdr:sp macro="" textlink="">
          <xdr:nvSpPr>
            <xdr:cNvPr id="320586" name="activate_bulk_materials" hidden="1">
              <a:extLst>
                <a:ext uri="{63B3BB69-23CF-44E3-9099-C40C66FF867C}">
                  <a14:compatExt spid="_x0000_s320586"/>
                </a:ext>
                <a:ext uri="{FF2B5EF4-FFF2-40B4-BE49-F238E27FC236}">
                  <a16:creationId xmlns:a16="http://schemas.microsoft.com/office/drawing/2014/main" id="{00000000-0008-0000-1700-00004A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Bulk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2202180</xdr:colOff>
          <xdr:row>0</xdr:row>
          <xdr:rowOff>411480</xdr:rowOff>
        </xdr:from>
        <xdr:to>
          <xdr:col>4</xdr:col>
          <xdr:colOff>754380</xdr:colOff>
          <xdr:row>1</xdr:row>
          <xdr:rowOff>457200</xdr:rowOff>
        </xdr:to>
        <xdr:sp macro="" textlink="">
          <xdr:nvSpPr>
            <xdr:cNvPr id="320587" name="activate_earthworks" hidden="1">
              <a:extLst>
                <a:ext uri="{63B3BB69-23CF-44E3-9099-C40C66FF867C}">
                  <a14:compatExt spid="_x0000_s320587"/>
                </a:ext>
                <a:ext uri="{FF2B5EF4-FFF2-40B4-BE49-F238E27FC236}">
                  <a16:creationId xmlns:a16="http://schemas.microsoft.com/office/drawing/2014/main" id="{00000000-0008-0000-1700-00004B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Earthworks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792480</xdr:colOff>
          <xdr:row>0</xdr:row>
          <xdr:rowOff>411480</xdr:rowOff>
        </xdr:from>
        <xdr:to>
          <xdr:col>4</xdr:col>
          <xdr:colOff>1744980</xdr:colOff>
          <xdr:row>1</xdr:row>
          <xdr:rowOff>457200</xdr:rowOff>
        </xdr:to>
        <xdr:sp macro="" textlink="">
          <xdr:nvSpPr>
            <xdr:cNvPr id="320588" name="activate_fencing" hidden="1">
              <a:extLst>
                <a:ext uri="{63B3BB69-23CF-44E3-9099-C40C66FF867C}">
                  <a14:compatExt spid="_x0000_s320588"/>
                </a:ext>
                <a:ext uri="{FF2B5EF4-FFF2-40B4-BE49-F238E27FC236}">
                  <a16:creationId xmlns:a16="http://schemas.microsoft.com/office/drawing/2014/main" id="{00000000-0008-0000-1700-00004C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Fencing, Barriers &amp; Road Restraint Systems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1752600</xdr:colOff>
          <xdr:row>0</xdr:row>
          <xdr:rowOff>411480</xdr:rowOff>
        </xdr:from>
        <xdr:to>
          <xdr:col>7</xdr:col>
          <xdr:colOff>449580</xdr:colOff>
          <xdr:row>1</xdr:row>
          <xdr:rowOff>457200</xdr:rowOff>
        </xdr:to>
        <xdr:sp macro="" textlink="">
          <xdr:nvSpPr>
            <xdr:cNvPr id="320589" name="activate_drainage" hidden="1">
              <a:extLst>
                <a:ext uri="{63B3BB69-23CF-44E3-9099-C40C66FF867C}">
                  <a14:compatExt spid="_x0000_s320589"/>
                </a:ext>
                <a:ext uri="{FF2B5EF4-FFF2-40B4-BE49-F238E27FC236}">
                  <a16:creationId xmlns:a16="http://schemas.microsoft.com/office/drawing/2014/main" id="{00000000-0008-0000-1700-00004D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Drainage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487680</xdr:colOff>
          <xdr:row>0</xdr:row>
          <xdr:rowOff>411480</xdr:rowOff>
        </xdr:from>
        <xdr:to>
          <xdr:col>10</xdr:col>
          <xdr:colOff>335280</xdr:colOff>
          <xdr:row>1</xdr:row>
          <xdr:rowOff>457200</xdr:rowOff>
        </xdr:to>
        <xdr:sp macro="" textlink="">
          <xdr:nvSpPr>
            <xdr:cNvPr id="320590" name="activate_road_pavements" hidden="1">
              <a:extLst>
                <a:ext uri="{63B3BB69-23CF-44E3-9099-C40C66FF867C}">
                  <a14:compatExt spid="_x0000_s320590"/>
                </a:ext>
                <a:ext uri="{FF2B5EF4-FFF2-40B4-BE49-F238E27FC236}">
                  <a16:creationId xmlns:a16="http://schemas.microsoft.com/office/drawing/2014/main" id="{00000000-0008-0000-1700-00004E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Road Pavements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342900</xdr:colOff>
          <xdr:row>0</xdr:row>
          <xdr:rowOff>411480</xdr:rowOff>
        </xdr:from>
        <xdr:to>
          <xdr:col>11</xdr:col>
          <xdr:colOff>419100</xdr:colOff>
          <xdr:row>1</xdr:row>
          <xdr:rowOff>457200</xdr:rowOff>
        </xdr:to>
        <xdr:sp macro="" textlink="">
          <xdr:nvSpPr>
            <xdr:cNvPr id="320591" name="activate_street_furniture" hidden="1">
              <a:extLst>
                <a:ext uri="{63B3BB69-23CF-44E3-9099-C40C66FF867C}">
                  <a14:compatExt spid="_x0000_s320591"/>
                </a:ext>
                <a:ext uri="{FF2B5EF4-FFF2-40B4-BE49-F238E27FC236}">
                  <a16:creationId xmlns:a16="http://schemas.microsoft.com/office/drawing/2014/main" id="{00000000-0008-0000-1700-00004F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Street Furniture &amp; Electrical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0</xdr:row>
          <xdr:rowOff>411480</xdr:rowOff>
        </xdr:from>
        <xdr:to>
          <xdr:col>22</xdr:col>
          <xdr:colOff>106680</xdr:colOff>
          <xdr:row>1</xdr:row>
          <xdr:rowOff>457200</xdr:rowOff>
        </xdr:to>
        <xdr:sp macro="" textlink="">
          <xdr:nvSpPr>
            <xdr:cNvPr id="320592" name="activate_civils_structures" hidden="1">
              <a:extLst>
                <a:ext uri="{63B3BB69-23CF-44E3-9099-C40C66FF867C}">
                  <a14:compatExt spid="_x0000_s320592"/>
                </a:ext>
                <a:ext uri="{FF2B5EF4-FFF2-40B4-BE49-F238E27FC236}">
                  <a16:creationId xmlns:a16="http://schemas.microsoft.com/office/drawing/2014/main" id="{00000000-0008-0000-1700-000050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Civils Structures &amp; Retaining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144780</xdr:colOff>
          <xdr:row>0</xdr:row>
          <xdr:rowOff>411480</xdr:rowOff>
        </xdr:from>
        <xdr:to>
          <xdr:col>23</xdr:col>
          <xdr:colOff>525780</xdr:colOff>
          <xdr:row>1</xdr:row>
          <xdr:rowOff>457200</xdr:rowOff>
        </xdr:to>
        <xdr:sp macro="" textlink="">
          <xdr:nvSpPr>
            <xdr:cNvPr id="320593" name="activate_fuel_and_energy" hidden="1">
              <a:extLst>
                <a:ext uri="{63B3BB69-23CF-44E3-9099-C40C66FF867C}">
                  <a14:compatExt spid="_x0000_s320593"/>
                </a:ext>
                <a:ext uri="{FF2B5EF4-FFF2-40B4-BE49-F238E27FC236}">
                  <a16:creationId xmlns:a16="http://schemas.microsoft.com/office/drawing/2014/main" id="{00000000-0008-0000-1700-000051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Fuel, Energy &amp;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411480</xdr:rowOff>
        </xdr:from>
        <xdr:to>
          <xdr:col>25</xdr:col>
          <xdr:colOff>144780</xdr:colOff>
          <xdr:row>1</xdr:row>
          <xdr:rowOff>457200</xdr:rowOff>
        </xdr:to>
        <xdr:sp macro="" textlink="">
          <xdr:nvSpPr>
            <xdr:cNvPr id="320594" name="activate_business_transport" hidden="1">
              <a:extLst>
                <a:ext uri="{63B3BB69-23CF-44E3-9099-C40C66FF867C}">
                  <a14:compatExt spid="_x0000_s320594"/>
                </a:ext>
                <a:ext uri="{FF2B5EF4-FFF2-40B4-BE49-F238E27FC236}">
                  <a16:creationId xmlns:a16="http://schemas.microsoft.com/office/drawing/2014/main" id="{00000000-0008-0000-1700-000052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Business and Employee Transport</a:t>
              </a:r>
            </a:p>
          </xdr:txBody>
        </xdr:sp>
        <xdr:clientData fPrintsWithSheet="0"/>
      </xdr:twoCellAnchor>
    </mc:Choice>
    <mc:Fallback/>
  </mc:AlternateContent>
  <xdr:twoCellAnchor editAs="absolute">
    <xdr:from>
      <xdr:col>25</xdr:col>
      <xdr:colOff>149225</xdr:colOff>
      <xdr:row>0</xdr:row>
      <xdr:rowOff>368300</xdr:rowOff>
    </xdr:from>
    <xdr:to>
      <xdr:col>26</xdr:col>
      <xdr:colOff>600075</xdr:colOff>
      <xdr:row>1</xdr:row>
      <xdr:rowOff>488950</xdr:rowOff>
    </xdr:to>
    <xdr:sp macro="" textlink="">
      <xdr:nvSpPr>
        <xdr:cNvPr id="3" name="blue_rectangle">
          <a:extLst>
            <a:ext uri="{FF2B5EF4-FFF2-40B4-BE49-F238E27FC236}">
              <a16:creationId xmlns:a16="http://schemas.microsoft.com/office/drawing/2014/main" id="{00000000-0008-0000-1700-000003000000}"/>
            </a:ext>
          </a:extLst>
        </xdr:cNvPr>
        <xdr:cNvSpPr/>
      </xdr:nvSpPr>
      <xdr:spPr>
        <a:xfrm>
          <a:off x="10883900" y="368300"/>
          <a:ext cx="1003300" cy="673100"/>
        </a:xfrm>
        <a:prstGeom prst="rect">
          <a:avLst/>
        </a:prstGeom>
        <a:solidFill>
          <a:srgbClr val="008BC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25</xdr:col>
          <xdr:colOff>182880</xdr:colOff>
          <xdr:row>0</xdr:row>
          <xdr:rowOff>411480</xdr:rowOff>
        </xdr:from>
        <xdr:to>
          <xdr:col>26</xdr:col>
          <xdr:colOff>571500</xdr:colOff>
          <xdr:row>1</xdr:row>
          <xdr:rowOff>457200</xdr:rowOff>
        </xdr:to>
        <xdr:sp macro="" textlink="">
          <xdr:nvSpPr>
            <xdr:cNvPr id="320595" name="activate_waste" hidden="1">
              <a:extLst>
                <a:ext uri="{63B3BB69-23CF-44E3-9099-C40C66FF867C}">
                  <a14:compatExt spid="_x0000_s320595"/>
                </a:ext>
                <a:ext uri="{FF2B5EF4-FFF2-40B4-BE49-F238E27FC236}">
                  <a16:creationId xmlns:a16="http://schemas.microsoft.com/office/drawing/2014/main" id="{00000000-0008-0000-1700-000053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Waste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1211580</xdr:colOff>
          <xdr:row>0</xdr:row>
          <xdr:rowOff>144780</xdr:rowOff>
        </xdr:from>
        <xdr:to>
          <xdr:col>4</xdr:col>
          <xdr:colOff>190500</xdr:colOff>
          <xdr:row>0</xdr:row>
          <xdr:rowOff>373380</xdr:rowOff>
        </xdr:to>
        <xdr:sp macro="" textlink="">
          <xdr:nvSpPr>
            <xdr:cNvPr id="320596" name="activate_home_page" hidden="1">
              <a:extLst>
                <a:ext uri="{63B3BB69-23CF-44E3-9099-C40C66FF867C}">
                  <a14:compatExt spid="_x0000_s320596"/>
                </a:ext>
                <a:ext uri="{FF2B5EF4-FFF2-40B4-BE49-F238E27FC236}">
                  <a16:creationId xmlns:a16="http://schemas.microsoft.com/office/drawing/2014/main" id="{00000000-0008-0000-1700-000054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Home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144780</xdr:rowOff>
        </xdr:from>
        <xdr:to>
          <xdr:col>4</xdr:col>
          <xdr:colOff>1592580</xdr:colOff>
          <xdr:row>0</xdr:row>
          <xdr:rowOff>373380</xdr:rowOff>
        </xdr:to>
        <xdr:sp macro="" textlink="">
          <xdr:nvSpPr>
            <xdr:cNvPr id="320597" name="activate_guidance" hidden="1">
              <a:extLst>
                <a:ext uri="{63B3BB69-23CF-44E3-9099-C40C66FF867C}">
                  <a14:compatExt spid="_x0000_s320597"/>
                </a:ext>
                <a:ext uri="{FF2B5EF4-FFF2-40B4-BE49-F238E27FC236}">
                  <a16:creationId xmlns:a16="http://schemas.microsoft.com/office/drawing/2014/main" id="{00000000-0008-0000-1700-000055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Guidance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1630680</xdr:colOff>
          <xdr:row>0</xdr:row>
          <xdr:rowOff>144780</xdr:rowOff>
        </xdr:from>
        <xdr:to>
          <xdr:col>9</xdr:col>
          <xdr:colOff>182880</xdr:colOff>
          <xdr:row>0</xdr:row>
          <xdr:rowOff>373380</xdr:rowOff>
        </xdr:to>
        <xdr:sp macro="" textlink="">
          <xdr:nvSpPr>
            <xdr:cNvPr id="320598" name="activate_summary_report" hidden="1">
              <a:extLst>
                <a:ext uri="{63B3BB69-23CF-44E3-9099-C40C66FF867C}">
                  <a14:compatExt spid="_x0000_s320598"/>
                </a:ext>
                <a:ext uri="{FF2B5EF4-FFF2-40B4-BE49-F238E27FC236}">
                  <a16:creationId xmlns:a16="http://schemas.microsoft.com/office/drawing/2014/main" id="{00000000-0008-0000-1700-000056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220980</xdr:colOff>
          <xdr:row>0</xdr:row>
          <xdr:rowOff>144780</xdr:rowOff>
        </xdr:from>
        <xdr:to>
          <xdr:col>11</xdr:col>
          <xdr:colOff>144780</xdr:colOff>
          <xdr:row>0</xdr:row>
          <xdr:rowOff>373380</xdr:rowOff>
        </xdr:to>
        <xdr:sp macro="" textlink="">
          <xdr:nvSpPr>
            <xdr:cNvPr id="320599" name="activate_outputs" hidden="1">
              <a:extLst>
                <a:ext uri="{63B3BB69-23CF-44E3-9099-C40C66FF867C}">
                  <a14:compatExt spid="_x0000_s320599"/>
                </a:ext>
                <a:ext uri="{FF2B5EF4-FFF2-40B4-BE49-F238E27FC236}">
                  <a16:creationId xmlns:a16="http://schemas.microsoft.com/office/drawing/2014/main" id="{00000000-0008-0000-1700-000057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Outputs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182880</xdr:colOff>
          <xdr:row>0</xdr:row>
          <xdr:rowOff>144780</xdr:rowOff>
        </xdr:from>
        <xdr:to>
          <xdr:col>22</xdr:col>
          <xdr:colOff>259080</xdr:colOff>
          <xdr:row>0</xdr:row>
          <xdr:rowOff>373380</xdr:rowOff>
        </xdr:to>
        <xdr:sp macro="" textlink="">
          <xdr:nvSpPr>
            <xdr:cNvPr id="320600" name="activate_emissions_factors" hidden="1">
              <a:extLst>
                <a:ext uri="{63B3BB69-23CF-44E3-9099-C40C66FF867C}">
                  <a14:compatExt spid="_x0000_s320600"/>
                </a:ext>
                <a:ext uri="{FF2B5EF4-FFF2-40B4-BE49-F238E27FC236}">
                  <a16:creationId xmlns:a16="http://schemas.microsoft.com/office/drawing/2014/main" id="{00000000-0008-0000-1700-000058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Emissions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259080</xdr:colOff>
          <xdr:row>0</xdr:row>
          <xdr:rowOff>144780</xdr:rowOff>
        </xdr:from>
        <xdr:to>
          <xdr:col>24</xdr:col>
          <xdr:colOff>525780</xdr:colOff>
          <xdr:row>0</xdr:row>
          <xdr:rowOff>373380</xdr:rowOff>
        </xdr:to>
        <xdr:sp macro="" textlink="">
          <xdr:nvSpPr>
            <xdr:cNvPr id="320601" name="activate_material_density" hidden="1">
              <a:extLst>
                <a:ext uri="{63B3BB69-23CF-44E3-9099-C40C66FF867C}">
                  <a14:compatExt spid="_x0000_s320601"/>
                </a:ext>
                <a:ext uri="{FF2B5EF4-FFF2-40B4-BE49-F238E27FC236}">
                  <a16:creationId xmlns:a16="http://schemas.microsoft.com/office/drawing/2014/main" id="{00000000-0008-0000-1700-000059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Material Density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563880</xdr:colOff>
          <xdr:row>0</xdr:row>
          <xdr:rowOff>144780</xdr:rowOff>
        </xdr:from>
        <xdr:to>
          <xdr:col>26</xdr:col>
          <xdr:colOff>571500</xdr:colOff>
          <xdr:row>0</xdr:row>
          <xdr:rowOff>373380</xdr:rowOff>
        </xdr:to>
        <xdr:sp macro="" textlink="">
          <xdr:nvSpPr>
            <xdr:cNvPr id="320602" name="activate_notes" hidden="1">
              <a:extLst>
                <a:ext uri="{63B3BB69-23CF-44E3-9099-C40C66FF867C}">
                  <a14:compatExt spid="_x0000_s320602"/>
                </a:ext>
                <a:ext uri="{FF2B5EF4-FFF2-40B4-BE49-F238E27FC236}">
                  <a16:creationId xmlns:a16="http://schemas.microsoft.com/office/drawing/2014/main" id="{00000000-0008-0000-1700-00005AE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1" i="0" u="none" strike="noStrike" baseline="0">
                  <a:solidFill>
                    <a:srgbClr val="003366"/>
                  </a:solidFill>
                  <a:latin typeface="Calibri"/>
                  <a:ea typeface="Calibri"/>
                  <a:cs typeface="Calibri"/>
                </a:rPr>
                <a:t>Commentary</a:t>
              </a:r>
            </a:p>
          </xdr:txBody>
        </xdr:sp>
        <xdr:clientData fPrintsWithSheet="0"/>
      </xdr:twoCellAnchor>
    </mc:Choice>
    <mc:Fallback/>
  </mc:AlternateContent>
  <xdr:twoCellAnchor>
    <xdr:from>
      <xdr:col>0</xdr:col>
      <xdr:colOff>95250</xdr:colOff>
      <xdr:row>0</xdr:row>
      <xdr:rowOff>95250</xdr:rowOff>
    </xdr:from>
    <xdr:to>
      <xdr:col>3</xdr:col>
      <xdr:colOff>1194546</xdr:colOff>
      <xdr:row>2</xdr:row>
      <xdr:rowOff>199291</xdr:rowOff>
    </xdr:to>
    <xdr:grpSp>
      <xdr:nvGrpSpPr>
        <xdr:cNvPr id="28" name="Group 27">
          <a:extLst>
            <a:ext uri="{FF2B5EF4-FFF2-40B4-BE49-F238E27FC236}">
              <a16:creationId xmlns:a16="http://schemas.microsoft.com/office/drawing/2014/main" id="{00000000-0008-0000-1700-00001C000000}"/>
            </a:ext>
          </a:extLst>
        </xdr:cNvPr>
        <xdr:cNvGrpSpPr/>
      </xdr:nvGrpSpPr>
      <xdr:grpSpPr>
        <a:xfrm>
          <a:off x="95250" y="95250"/>
          <a:ext cx="2028936" cy="1285141"/>
          <a:chOff x="47625" y="114300"/>
          <a:chExt cx="2004171" cy="1285141"/>
        </a:xfrm>
      </xdr:grpSpPr>
      <xdr:pic>
        <xdr:nvPicPr>
          <xdr:cNvPr id="29" name="Picture 28">
            <a:extLst>
              <a:ext uri="{FF2B5EF4-FFF2-40B4-BE49-F238E27FC236}">
                <a16:creationId xmlns:a16="http://schemas.microsoft.com/office/drawing/2014/main" id="{00000000-0008-0000-1700-00001D000000}"/>
              </a:ext>
            </a:extLst>
          </xdr:cNvPr>
          <xdr:cNvPicPr>
            <a:picLocks noChangeAspect="1"/>
          </xdr:cNvPicPr>
        </xdr:nvPicPr>
        <xdr:blipFill rotWithShape="1">
          <a:blip xmlns:r="http://schemas.openxmlformats.org/officeDocument/2006/relationships" r:embed="rId1"/>
          <a:srcRect t="47644"/>
          <a:stretch/>
        </xdr:blipFill>
        <xdr:spPr>
          <a:xfrm>
            <a:off x="47625" y="666750"/>
            <a:ext cx="2004171" cy="732691"/>
          </a:xfrm>
          <a:prstGeom prst="rect">
            <a:avLst/>
          </a:prstGeom>
        </xdr:spPr>
      </xdr:pic>
      <xdr:pic>
        <xdr:nvPicPr>
          <xdr:cNvPr id="30" name="Picture 3" descr="National Highways Logo">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114300"/>
            <a:ext cx="16287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WLOVE\Documents\NH%20Tool%202.7\Final\national-highways_carbon-tool_version2.6.1.xlsm" TargetMode="External"/><Relationship Id="rId1" Type="http://schemas.openxmlformats.org/officeDocument/2006/relationships/externalLinkPath" Target="file:///\\Ramsoufile01\Projects\Users\WLOVE\Documents\NH%20Tool%202.7\Final\national-highways_carbon-tool_version2.6.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me Page"/>
      <sheetName val="Guidance"/>
      <sheetName val="Summary Report"/>
      <sheetName val="Chart data"/>
      <sheetName val="Outputs"/>
      <sheetName val="Entity datastore"/>
      <sheetName val="Emissions Factors"/>
      <sheetName val="Emissions Factors Lookup"/>
      <sheetName val="Dynamic dropdown"/>
      <sheetName val="Material Density"/>
      <sheetName val="Commentary"/>
      <sheetName val="Note records"/>
      <sheetName val="VB Metadata"/>
      <sheetName val="Sandpit"/>
      <sheetName val="Bulk Materials"/>
      <sheetName val="Earthworks"/>
      <sheetName val="Fencing"/>
      <sheetName val="Drainage"/>
      <sheetName val="Road Pavements"/>
      <sheetName val="Street Furniture"/>
      <sheetName val="Civils Structures"/>
      <sheetName val="Fuel and Energy"/>
      <sheetName val="Business Transport"/>
      <sheetName val="Waste"/>
    </sheetNames>
    <sheetDataSet>
      <sheetData sheetId="0"/>
      <sheetData sheetId="1"/>
      <sheetData sheetId="2"/>
      <sheetData sheetId="3"/>
      <sheetData sheetId="4"/>
      <sheetData sheetId="5"/>
      <sheetData sheetId="6">
        <row r="14">
          <cell r="I14">
            <v>2.4</v>
          </cell>
        </row>
        <row r="15">
          <cell r="I15">
            <v>2.4</v>
          </cell>
        </row>
        <row r="16">
          <cell r="I16">
            <v>2.4</v>
          </cell>
        </row>
        <row r="17">
          <cell r="I17">
            <v>2.4</v>
          </cell>
        </row>
        <row r="18">
          <cell r="I18">
            <v>2.4</v>
          </cell>
        </row>
        <row r="19">
          <cell r="I19">
            <v>2.4</v>
          </cell>
        </row>
        <row r="20">
          <cell r="I20">
            <v>2.4</v>
          </cell>
        </row>
        <row r="21">
          <cell r="I21">
            <v>2.4</v>
          </cell>
        </row>
        <row r="22">
          <cell r="I22">
            <v>2.4</v>
          </cell>
        </row>
        <row r="23">
          <cell r="I23">
            <v>2.4</v>
          </cell>
        </row>
        <row r="24">
          <cell r="I24">
            <v>2.4</v>
          </cell>
        </row>
        <row r="25">
          <cell r="I25">
            <v>2.4</v>
          </cell>
        </row>
        <row r="26">
          <cell r="I26">
            <v>2.4</v>
          </cell>
        </row>
        <row r="27">
          <cell r="I27">
            <v>2.4</v>
          </cell>
        </row>
        <row r="28">
          <cell r="I28">
            <v>2.4</v>
          </cell>
        </row>
        <row r="29">
          <cell r="I29">
            <v>2.4</v>
          </cell>
        </row>
        <row r="30">
          <cell r="I30">
            <v>2.4</v>
          </cell>
        </row>
        <row r="31">
          <cell r="I31">
            <v>2.4</v>
          </cell>
        </row>
        <row r="32">
          <cell r="I32">
            <v>2.4</v>
          </cell>
        </row>
        <row r="33">
          <cell r="I33">
            <v>2.4</v>
          </cell>
        </row>
        <row r="34">
          <cell r="I34">
            <v>2.4</v>
          </cell>
        </row>
        <row r="35">
          <cell r="I35">
            <v>2.4</v>
          </cell>
        </row>
        <row r="36">
          <cell r="I36">
            <v>2.4</v>
          </cell>
        </row>
        <row r="37">
          <cell r="I37">
            <v>2.4</v>
          </cell>
        </row>
        <row r="38">
          <cell r="I38">
            <v>2.4</v>
          </cell>
        </row>
        <row r="39">
          <cell r="I39">
            <v>2.4</v>
          </cell>
        </row>
        <row r="40">
          <cell r="I40">
            <v>2.4</v>
          </cell>
        </row>
        <row r="41">
          <cell r="I41">
            <v>2.4</v>
          </cell>
        </row>
        <row r="42">
          <cell r="I42">
            <v>2.4</v>
          </cell>
        </row>
        <row r="43">
          <cell r="I43">
            <v>2.4</v>
          </cell>
        </row>
        <row r="44">
          <cell r="I44">
            <v>2.4</v>
          </cell>
        </row>
        <row r="45">
          <cell r="I45">
            <v>2.4</v>
          </cell>
        </row>
        <row r="46">
          <cell r="I46">
            <v>2.4</v>
          </cell>
        </row>
        <row r="47">
          <cell r="I47">
            <v>2.4</v>
          </cell>
        </row>
        <row r="48">
          <cell r="I48">
            <v>2.4</v>
          </cell>
        </row>
        <row r="49">
          <cell r="I49">
            <v>2.4</v>
          </cell>
        </row>
        <row r="50">
          <cell r="I50">
            <v>2.4</v>
          </cell>
        </row>
        <row r="51">
          <cell r="I51">
            <v>2.4</v>
          </cell>
        </row>
        <row r="52">
          <cell r="I52">
            <v>2.4</v>
          </cell>
        </row>
        <row r="53">
          <cell r="I53">
            <v>2.4</v>
          </cell>
        </row>
        <row r="54">
          <cell r="I54">
            <v>2.4</v>
          </cell>
        </row>
        <row r="55">
          <cell r="I55">
            <v>2.4</v>
          </cell>
        </row>
        <row r="56">
          <cell r="I56">
            <v>2.4</v>
          </cell>
        </row>
        <row r="57">
          <cell r="I57">
            <v>2.4</v>
          </cell>
        </row>
        <row r="58">
          <cell r="I58">
            <v>2.4</v>
          </cell>
        </row>
        <row r="59">
          <cell r="I59">
            <v>2.4</v>
          </cell>
        </row>
        <row r="60">
          <cell r="I60">
            <v>2.4</v>
          </cell>
        </row>
        <row r="61">
          <cell r="I61">
            <v>2.4</v>
          </cell>
        </row>
        <row r="62">
          <cell r="I62">
            <v>2.4</v>
          </cell>
        </row>
        <row r="63">
          <cell r="I63">
            <v>2.4</v>
          </cell>
        </row>
        <row r="64">
          <cell r="I64">
            <v>2.4</v>
          </cell>
        </row>
        <row r="65">
          <cell r="I65">
            <v>2.4</v>
          </cell>
        </row>
        <row r="66">
          <cell r="I66">
            <v>2.4</v>
          </cell>
        </row>
        <row r="67">
          <cell r="I67">
            <v>2.4</v>
          </cell>
        </row>
        <row r="68">
          <cell r="I68">
            <v>2.4</v>
          </cell>
        </row>
        <row r="69">
          <cell r="I69">
            <v>2.4</v>
          </cell>
        </row>
        <row r="70">
          <cell r="I70">
            <v>2.4</v>
          </cell>
        </row>
        <row r="71">
          <cell r="I71">
            <v>2.4</v>
          </cell>
        </row>
        <row r="72">
          <cell r="I72">
            <v>2.4</v>
          </cell>
        </row>
        <row r="73">
          <cell r="I73">
            <v>2.4</v>
          </cell>
        </row>
        <row r="74">
          <cell r="I74">
            <v>2.4</v>
          </cell>
        </row>
        <row r="75">
          <cell r="I75">
            <v>1</v>
          </cell>
        </row>
        <row r="76">
          <cell r="I76">
            <v>1</v>
          </cell>
        </row>
        <row r="77">
          <cell r="I77">
            <v>1</v>
          </cell>
        </row>
        <row r="78">
          <cell r="I78">
            <v>1</v>
          </cell>
        </row>
        <row r="79">
          <cell r="I79">
            <v>1</v>
          </cell>
        </row>
        <row r="80">
          <cell r="I80">
            <v>1</v>
          </cell>
        </row>
        <row r="81">
          <cell r="I81">
            <v>1</v>
          </cell>
        </row>
        <row r="82">
          <cell r="I82">
            <v>1</v>
          </cell>
        </row>
        <row r="83">
          <cell r="I83">
            <v>1</v>
          </cell>
        </row>
        <row r="84">
          <cell r="I84">
            <v>1</v>
          </cell>
        </row>
        <row r="85">
          <cell r="I85">
            <v>1</v>
          </cell>
        </row>
        <row r="86">
          <cell r="I86">
            <v>1</v>
          </cell>
        </row>
        <row r="87">
          <cell r="I87">
            <v>1</v>
          </cell>
        </row>
        <row r="88">
          <cell r="I88">
            <v>1</v>
          </cell>
        </row>
        <row r="89">
          <cell r="I89">
            <v>1</v>
          </cell>
        </row>
        <row r="90">
          <cell r="I90">
            <v>1</v>
          </cell>
        </row>
        <row r="91">
          <cell r="I91">
            <v>1</v>
          </cell>
        </row>
        <row r="92">
          <cell r="I92">
            <v>1</v>
          </cell>
        </row>
        <row r="93">
          <cell r="I93">
            <v>1</v>
          </cell>
        </row>
        <row r="94">
          <cell r="I94">
            <v>1</v>
          </cell>
        </row>
        <row r="95">
          <cell r="I95">
            <v>1</v>
          </cell>
        </row>
        <row r="96">
          <cell r="I96">
            <v>1</v>
          </cell>
        </row>
        <row r="97">
          <cell r="I97">
            <v>1</v>
          </cell>
        </row>
        <row r="98">
          <cell r="I98">
            <v>1</v>
          </cell>
        </row>
        <row r="99">
          <cell r="I99">
            <v>1</v>
          </cell>
        </row>
        <row r="100">
          <cell r="I100">
            <v>1</v>
          </cell>
        </row>
        <row r="101">
          <cell r="I101">
            <v>1</v>
          </cell>
        </row>
        <row r="102">
          <cell r="I102">
            <v>1</v>
          </cell>
        </row>
        <row r="103">
          <cell r="I103">
            <v>1</v>
          </cell>
        </row>
        <row r="104">
          <cell r="I104">
            <v>1</v>
          </cell>
        </row>
        <row r="105">
          <cell r="I105">
            <v>1</v>
          </cell>
        </row>
        <row r="106">
          <cell r="I106">
            <v>1</v>
          </cell>
        </row>
        <row r="107">
          <cell r="I107">
            <v>1</v>
          </cell>
        </row>
        <row r="108">
          <cell r="I108">
            <v>1</v>
          </cell>
        </row>
        <row r="109">
          <cell r="I109">
            <v>1</v>
          </cell>
        </row>
        <row r="110">
          <cell r="I110">
            <v>1</v>
          </cell>
        </row>
        <row r="111">
          <cell r="I111">
            <v>1</v>
          </cell>
        </row>
        <row r="112">
          <cell r="I112">
            <v>1</v>
          </cell>
        </row>
        <row r="113">
          <cell r="I113">
            <v>1</v>
          </cell>
        </row>
        <row r="114">
          <cell r="I114">
            <v>1</v>
          </cell>
        </row>
        <row r="115">
          <cell r="I115"/>
        </row>
        <row r="116">
          <cell r="I116">
            <v>1</v>
          </cell>
        </row>
        <row r="117">
          <cell r="I117">
            <v>1</v>
          </cell>
        </row>
        <row r="118">
          <cell r="I118">
            <v>1</v>
          </cell>
        </row>
        <row r="119">
          <cell r="I119">
            <v>9.4600000000000001E-4</v>
          </cell>
        </row>
        <row r="120">
          <cell r="I120">
            <v>0.5</v>
          </cell>
        </row>
        <row r="121">
          <cell r="I121">
            <v>1.4283850000000001E-2</v>
          </cell>
        </row>
        <row r="122">
          <cell r="I122">
            <v>3.5749999999999997E-2</v>
          </cell>
        </row>
        <row r="123">
          <cell r="I123">
            <v>3.82E-3</v>
          </cell>
        </row>
        <row r="124">
          <cell r="I124">
            <v>0.09</v>
          </cell>
        </row>
        <row r="125">
          <cell r="I125">
            <v>0.13100000000000001</v>
          </cell>
        </row>
        <row r="126">
          <cell r="I126">
            <v>0.17200000000000001</v>
          </cell>
        </row>
        <row r="127">
          <cell r="I127">
            <v>7.400000000000001E-2</v>
          </cell>
        </row>
        <row r="128">
          <cell r="I128">
            <v>0.10700000000000001</v>
          </cell>
        </row>
        <row r="129">
          <cell r="I129">
            <v>0.14000000000000001</v>
          </cell>
        </row>
        <row r="130">
          <cell r="I130">
            <v>6.2E-2</v>
          </cell>
        </row>
        <row r="131">
          <cell r="I131">
            <v>8.8999999999999996E-2</v>
          </cell>
        </row>
        <row r="132">
          <cell r="I132">
            <v>0.11599999999999999</v>
          </cell>
        </row>
        <row r="133">
          <cell r="I133">
            <v>7.400000000000001E-2</v>
          </cell>
        </row>
        <row r="134">
          <cell r="I134">
            <v>0.10700000000000001</v>
          </cell>
        </row>
        <row r="135">
          <cell r="I135">
            <v>0.14000000000000001</v>
          </cell>
        </row>
        <row r="136">
          <cell r="I136">
            <v>2.2290000000000001E-2</v>
          </cell>
        </row>
        <row r="137">
          <cell r="I137">
            <v>3.5540000000000002E-2</v>
          </cell>
        </row>
        <row r="138">
          <cell r="I138">
            <v>1.2</v>
          </cell>
        </row>
        <row r="139">
          <cell r="I139"/>
        </row>
        <row r="140">
          <cell r="I140">
            <v>1.1999999999999999E-3</v>
          </cell>
        </row>
        <row r="141">
          <cell r="I141">
            <v>1.1999999999999999E-3</v>
          </cell>
        </row>
        <row r="142">
          <cell r="I142">
            <v>2.3616922773361266E-3</v>
          </cell>
        </row>
        <row r="143">
          <cell r="I143">
            <v>4.2236199953391926E-3</v>
          </cell>
        </row>
        <row r="144">
          <cell r="I144">
            <v>7.5086577694918914E-3</v>
          </cell>
        </row>
        <row r="145">
          <cell r="I145">
            <v>1.1165471618270428E-2</v>
          </cell>
        </row>
        <row r="146">
          <cell r="I146">
            <v>2.0481204898033695E-2</v>
          </cell>
        </row>
        <row r="147">
          <cell r="I147">
            <v>4.4661886473081711E-2</v>
          </cell>
        </row>
        <row r="148">
          <cell r="I148">
            <v>7.4355214925163171E-2</v>
          </cell>
        </row>
        <row r="149">
          <cell r="I149">
            <v>0.11618002332056755</v>
          </cell>
        </row>
        <row r="150">
          <cell r="I150">
            <v>0.16729923358161752</v>
          </cell>
        </row>
        <row r="151">
          <cell r="I151">
            <v>3.1651545984917161E-3</v>
          </cell>
        </row>
        <row r="152">
          <cell r="I152">
            <v>5.6605216432380938E-3</v>
          </cell>
        </row>
        <row r="153">
          <cell r="I153">
            <v>1.0063149587978824E-2</v>
          </cell>
        </row>
        <row r="154">
          <cell r="I154">
            <v>1.4964034127578924E-2</v>
          </cell>
        </row>
        <row r="155">
          <cell r="I155">
            <v>2.7449037492210105E-2</v>
          </cell>
        </row>
        <row r="156">
          <cell r="I156">
            <v>5.9856136510315697E-2</v>
          </cell>
        </row>
        <row r="157">
          <cell r="I157">
            <v>9.9651318971868172E-2</v>
          </cell>
        </row>
        <row r="158">
          <cell r="I158">
            <v>0.15570518589354415</v>
          </cell>
        </row>
        <row r="159">
          <cell r="I159">
            <v>0.22421546768670392</v>
          </cell>
        </row>
        <row r="160">
          <cell r="I160">
            <v>2.3032586539793562E-3</v>
          </cell>
        </row>
        <row r="161">
          <cell r="I161">
            <v>4.1191180573101815E-3</v>
          </cell>
        </row>
        <row r="162">
          <cell r="I162">
            <v>7.3228765463292057E-3</v>
          </cell>
        </row>
        <row r="163">
          <cell r="I163">
            <v>1.0889212526684355E-2</v>
          </cell>
        </row>
        <row r="164">
          <cell r="I164">
            <v>1.9974453436639044E-2</v>
          </cell>
        </row>
        <row r="165">
          <cell r="I165">
            <v>4.3556850106737419E-2</v>
          </cell>
        </row>
        <row r="166">
          <cell r="I166">
            <v>7.2515498267220979E-2</v>
          </cell>
        </row>
        <row r="167">
          <cell r="I167">
            <v>0.11330546604253289</v>
          </cell>
        </row>
        <row r="168">
          <cell r="I168">
            <v>0.16315987110124761</v>
          </cell>
        </row>
        <row r="169">
          <cell r="I169">
            <v>1.7500000000000002E-2</v>
          </cell>
        </row>
        <row r="170">
          <cell r="I170">
            <v>3.4000000000000002E-2</v>
          </cell>
        </row>
        <row r="171">
          <cell r="I171">
            <v>7.2999999999999995E-2</v>
          </cell>
        </row>
        <row r="172">
          <cell r="I172">
            <v>8.7999999999999995E-2</v>
          </cell>
        </row>
        <row r="173">
          <cell r="I173">
            <v>0.128</v>
          </cell>
        </row>
        <row r="174">
          <cell r="I174">
            <v>0.28799999999999998</v>
          </cell>
        </row>
        <row r="175">
          <cell r="I175">
            <v>0.48799999999999999</v>
          </cell>
        </row>
        <row r="176">
          <cell r="I176">
            <v>0.88800000000000001</v>
          </cell>
        </row>
        <row r="177">
          <cell r="I177">
            <v>1.4039999999999999</v>
          </cell>
        </row>
        <row r="178">
          <cell r="I178">
            <v>1.796</v>
          </cell>
        </row>
        <row r="179">
          <cell r="I179">
            <v>2.86</v>
          </cell>
        </row>
        <row r="180">
          <cell r="I180">
            <v>3.448</v>
          </cell>
        </row>
        <row r="181">
          <cell r="I181">
            <v>3.8730000000000002</v>
          </cell>
        </row>
        <row r="182">
          <cell r="I182"/>
        </row>
        <row r="183">
          <cell r="I183">
            <v>1.4E-2</v>
          </cell>
        </row>
        <row r="184">
          <cell r="I184">
            <v>2.1000000000000001E-2</v>
          </cell>
        </row>
        <row r="185">
          <cell r="I185">
            <v>3.2000000000000001E-2</v>
          </cell>
        </row>
        <row r="186">
          <cell r="I186">
            <v>6.6000000000000003E-2</v>
          </cell>
        </row>
        <row r="187">
          <cell r="I187">
            <v>8.8999999999999996E-2</v>
          </cell>
        </row>
        <row r="188">
          <cell r="I188">
            <v>0.113</v>
          </cell>
        </row>
        <row r="189">
          <cell r="I189">
            <v>0.13500000000000001</v>
          </cell>
        </row>
        <row r="190">
          <cell r="I190">
            <v>0.17899999999999999</v>
          </cell>
        </row>
        <row r="191">
          <cell r="I191">
            <v>0.28799999999999998</v>
          </cell>
        </row>
        <row r="192">
          <cell r="I192">
            <v>0.371</v>
          </cell>
        </row>
        <row r="193">
          <cell r="I193">
            <v>4.0000000000000001E-3</v>
          </cell>
        </row>
        <row r="194">
          <cell r="I194">
            <v>6.0000000000000001E-3</v>
          </cell>
        </row>
        <row r="195">
          <cell r="I195">
            <v>8.0000000000000002E-3</v>
          </cell>
        </row>
        <row r="196">
          <cell r="I196">
            <v>1.4E-2</v>
          </cell>
        </row>
        <row r="197">
          <cell r="I197">
            <v>2.3E-2</v>
          </cell>
        </row>
        <row r="198">
          <cell r="I198">
            <v>0.05</v>
          </cell>
        </row>
        <row r="199">
          <cell r="I199">
            <v>8.5999999999999993E-2</v>
          </cell>
        </row>
        <row r="200">
          <cell r="I200">
            <v>0.13200000000000001</v>
          </cell>
        </row>
        <row r="201">
          <cell r="I201">
            <v>0.188</v>
          </cell>
        </row>
        <row r="202">
          <cell r="I202">
            <v>0.32900000000000001</v>
          </cell>
        </row>
        <row r="203">
          <cell r="I203">
            <v>1.406E-2</v>
          </cell>
        </row>
        <row r="204">
          <cell r="I204">
            <v>4.3229999999999998E-2</v>
          </cell>
        </row>
        <row r="205">
          <cell r="I205">
            <v>0.06</v>
          </cell>
        </row>
        <row r="206">
          <cell r="I206">
            <v>2.5834349999999998E-3</v>
          </cell>
        </row>
        <row r="207">
          <cell r="I207"/>
        </row>
        <row r="208">
          <cell r="I208">
            <v>1.9450000000000001</v>
          </cell>
        </row>
        <row r="209">
          <cell r="I209">
            <v>3.5350000000000001</v>
          </cell>
        </row>
        <row r="210">
          <cell r="I210">
            <v>2.5</v>
          </cell>
        </row>
        <row r="211">
          <cell r="I211">
            <v>4.63</v>
          </cell>
        </row>
        <row r="212">
          <cell r="I212">
            <v>3.22</v>
          </cell>
        </row>
        <row r="213">
          <cell r="I213">
            <v>5.95</v>
          </cell>
        </row>
        <row r="214">
          <cell r="I214">
            <v>4.91</v>
          </cell>
        </row>
        <row r="215">
          <cell r="I215">
            <v>8.9</v>
          </cell>
        </row>
        <row r="216">
          <cell r="I216">
            <v>6.62</v>
          </cell>
        </row>
        <row r="217">
          <cell r="I217">
            <v>11.9</v>
          </cell>
        </row>
        <row r="218">
          <cell r="I218">
            <v>10.73</v>
          </cell>
        </row>
        <row r="219">
          <cell r="I219">
            <v>18.95</v>
          </cell>
        </row>
        <row r="220">
          <cell r="I220">
            <v>17.16</v>
          </cell>
        </row>
        <row r="221">
          <cell r="I221">
            <v>29.58</v>
          </cell>
        </row>
        <row r="222">
          <cell r="I222">
            <v>29.22</v>
          </cell>
        </row>
        <row r="223">
          <cell r="I223">
            <v>48.3</v>
          </cell>
        </row>
        <row r="224">
          <cell r="I224">
            <v>0.36399999999999999</v>
          </cell>
        </row>
        <row r="225">
          <cell r="I225">
            <v>0.55600000000000005</v>
          </cell>
        </row>
        <row r="226">
          <cell r="I226">
            <v>1.7530000000000001</v>
          </cell>
        </row>
        <row r="227">
          <cell r="I227">
            <v>3.456E-2</v>
          </cell>
        </row>
        <row r="228">
          <cell r="I228">
            <v>0.189</v>
          </cell>
        </row>
        <row r="229">
          <cell r="I229">
            <v>0.32569999999999999</v>
          </cell>
        </row>
        <row r="230">
          <cell r="I230">
            <v>2.12E-2</v>
          </cell>
        </row>
        <row r="231">
          <cell r="I231">
            <v>2.0899999999999998E-2</v>
          </cell>
        </row>
        <row r="232">
          <cell r="I232">
            <v>2.0899999999999998E-2</v>
          </cell>
        </row>
        <row r="233">
          <cell r="I233">
            <v>0.46500000000000002</v>
          </cell>
        </row>
        <row r="234">
          <cell r="I234">
            <v>2.1999999999999999E-2</v>
          </cell>
        </row>
        <row r="235">
          <cell r="I235">
            <v>0.15</v>
          </cell>
        </row>
        <row r="236">
          <cell r="I236">
            <v>2.5834349999999998E-3</v>
          </cell>
        </row>
        <row r="237">
          <cell r="I237"/>
        </row>
        <row r="238">
          <cell r="I238">
            <v>0.5</v>
          </cell>
        </row>
        <row r="239">
          <cell r="I239">
            <v>0.5</v>
          </cell>
        </row>
        <row r="240">
          <cell r="I240">
            <v>9.5E-4</v>
          </cell>
        </row>
        <row r="241">
          <cell r="I241">
            <v>1</v>
          </cell>
        </row>
        <row r="242">
          <cell r="I242">
            <v>1</v>
          </cell>
        </row>
        <row r="243">
          <cell r="I243">
            <v>1</v>
          </cell>
        </row>
        <row r="244">
          <cell r="I244">
            <v>1</v>
          </cell>
        </row>
        <row r="245">
          <cell r="I245">
            <v>4.3099999999999999E-2</v>
          </cell>
        </row>
        <row r="246">
          <cell r="I246">
            <v>7.3300000000000004E-2</v>
          </cell>
        </row>
        <row r="247">
          <cell r="I247">
            <v>8.77E-2</v>
          </cell>
        </row>
        <row r="248">
          <cell r="I248">
            <v>1</v>
          </cell>
        </row>
        <row r="249">
          <cell r="I249">
            <v>0.05</v>
          </cell>
        </row>
        <row r="250">
          <cell r="I250">
            <v>0.05</v>
          </cell>
        </row>
        <row r="251">
          <cell r="I251">
            <v>0.72499999999999998</v>
          </cell>
        </row>
        <row r="252">
          <cell r="I252">
            <v>9.9999999999999992E-2</v>
          </cell>
        </row>
        <row r="253">
          <cell r="I253">
            <v>1.2E-2</v>
          </cell>
        </row>
        <row r="254">
          <cell r="I254">
            <v>0.13200000000000001</v>
          </cell>
        </row>
        <row r="255">
          <cell r="I255">
            <v>0.189</v>
          </cell>
        </row>
        <row r="256">
          <cell r="I256">
            <v>0.28799999999999998</v>
          </cell>
        </row>
        <row r="257">
          <cell r="I257">
            <v>0.1</v>
          </cell>
        </row>
        <row r="258">
          <cell r="I258">
            <v>0.14199999999999999</v>
          </cell>
        </row>
        <row r="259">
          <cell r="I259">
            <v>0.20499999999999999</v>
          </cell>
        </row>
        <row r="260">
          <cell r="I260">
            <v>7.3999999999999999E-4</v>
          </cell>
        </row>
        <row r="261">
          <cell r="I261">
            <v>4.2499999999999998E-4</v>
          </cell>
        </row>
        <row r="262">
          <cell r="I262">
            <v>3.9996401471015068E-4</v>
          </cell>
        </row>
        <row r="263">
          <cell r="I263">
            <v>2.3616922773361266E-3</v>
          </cell>
        </row>
        <row r="264">
          <cell r="I264">
            <v>0.2</v>
          </cell>
        </row>
        <row r="265">
          <cell r="I265">
            <v>1.0960000000000001</v>
          </cell>
        </row>
        <row r="266">
          <cell r="I266">
            <v>2.5000000000000001E-2</v>
          </cell>
        </row>
        <row r="267">
          <cell r="I267">
            <v>0.01</v>
          </cell>
        </row>
        <row r="268">
          <cell r="I268">
            <v>1.63E-4</v>
          </cell>
        </row>
        <row r="269">
          <cell r="I269">
            <v>5.0000000000000002E-5</v>
          </cell>
        </row>
        <row r="270">
          <cell r="I270">
            <v>1</v>
          </cell>
        </row>
        <row r="271">
          <cell r="I271">
            <v>0.54</v>
          </cell>
        </row>
        <row r="272">
          <cell r="I272">
            <v>0.5</v>
          </cell>
        </row>
        <row r="273">
          <cell r="I273">
            <v>0.75</v>
          </cell>
        </row>
        <row r="274">
          <cell r="I274">
            <v>1</v>
          </cell>
        </row>
        <row r="275">
          <cell r="I275">
            <v>1</v>
          </cell>
        </row>
        <row r="276">
          <cell r="I276">
            <v>1</v>
          </cell>
        </row>
        <row r="277">
          <cell r="I277"/>
        </row>
        <row r="278">
          <cell r="I278">
            <v>1</v>
          </cell>
        </row>
        <row r="279">
          <cell r="I279">
            <v>1</v>
          </cell>
        </row>
        <row r="280">
          <cell r="I280">
            <v>1.0029999999999999</v>
          </cell>
        </row>
        <row r="281">
          <cell r="I281">
            <v>5</v>
          </cell>
        </row>
        <row r="282">
          <cell r="I282">
            <v>8</v>
          </cell>
        </row>
        <row r="283">
          <cell r="I283">
            <v>11.5</v>
          </cell>
        </row>
        <row r="284">
          <cell r="I284">
            <v>21.5</v>
          </cell>
        </row>
        <row r="285">
          <cell r="I285">
            <v>22</v>
          </cell>
        </row>
        <row r="286">
          <cell r="I286">
            <v>25</v>
          </cell>
        </row>
        <row r="287">
          <cell r="I287">
            <v>40</v>
          </cell>
        </row>
        <row r="288">
          <cell r="I288">
            <v>85</v>
          </cell>
        </row>
        <row r="289">
          <cell r="I289">
            <v>1.1999999999999999E-3</v>
          </cell>
        </row>
        <row r="290">
          <cell r="I290">
            <v>1</v>
          </cell>
        </row>
        <row r="291">
          <cell r="I291">
            <v>1</v>
          </cell>
        </row>
        <row r="292">
          <cell r="I292">
            <v>1</v>
          </cell>
        </row>
        <row r="293">
          <cell r="I293">
            <v>1</v>
          </cell>
        </row>
        <row r="294">
          <cell r="I294">
            <v>1.6797400000000001E-2</v>
          </cell>
        </row>
        <row r="295">
          <cell r="I295">
            <v>2.5834349999999998E-3</v>
          </cell>
        </row>
        <row r="296">
          <cell r="I296">
            <v>1</v>
          </cell>
        </row>
        <row r="297">
          <cell r="I297">
            <v>1E-3</v>
          </cell>
        </row>
        <row r="298">
          <cell r="I298">
            <v>1E-3</v>
          </cell>
        </row>
        <row r="299">
          <cell r="I299">
            <v>1E-3</v>
          </cell>
        </row>
        <row r="300">
          <cell r="I300">
            <v>1E-3</v>
          </cell>
        </row>
        <row r="301">
          <cell r="I301">
            <v>1E-3</v>
          </cell>
        </row>
        <row r="302">
          <cell r="I302">
            <v>1E-3</v>
          </cell>
        </row>
        <row r="303">
          <cell r="I303">
            <v>1E-3</v>
          </cell>
        </row>
        <row r="304">
          <cell r="I304">
            <v>1E-3</v>
          </cell>
        </row>
        <row r="305">
          <cell r="I305">
            <v>1E-3</v>
          </cell>
        </row>
        <row r="306">
          <cell r="I306">
            <v>1E-3</v>
          </cell>
        </row>
        <row r="307">
          <cell r="I307">
            <v>1E-3</v>
          </cell>
        </row>
        <row r="308">
          <cell r="I308">
            <v>1E-3</v>
          </cell>
        </row>
        <row r="309">
          <cell r="I309">
            <v>1E-3</v>
          </cell>
        </row>
        <row r="310">
          <cell r="I310">
            <v>1E-3</v>
          </cell>
        </row>
        <row r="311">
          <cell r="I311">
            <v>1E-3</v>
          </cell>
        </row>
        <row r="312">
          <cell r="I312">
            <v>1E-3</v>
          </cell>
        </row>
        <row r="313">
          <cell r="I313">
            <v>1</v>
          </cell>
        </row>
        <row r="314">
          <cell r="I314">
            <v>1E-3</v>
          </cell>
        </row>
        <row r="315">
          <cell r="I315">
            <v>1E-3</v>
          </cell>
        </row>
        <row r="316">
          <cell r="I316">
            <v>1E-3</v>
          </cell>
        </row>
        <row r="317">
          <cell r="I317">
            <v>1E-3</v>
          </cell>
        </row>
        <row r="318">
          <cell r="I318">
            <v>1E-3</v>
          </cell>
        </row>
        <row r="319">
          <cell r="I319">
            <v>1E-3</v>
          </cell>
        </row>
        <row r="320">
          <cell r="I320">
            <v>1E-3</v>
          </cell>
        </row>
        <row r="321">
          <cell r="I321">
            <v>1E-3</v>
          </cell>
        </row>
        <row r="322">
          <cell r="I322">
            <v>1E-3</v>
          </cell>
        </row>
        <row r="323">
          <cell r="I323">
            <v>1E-3</v>
          </cell>
        </row>
        <row r="324">
          <cell r="I324">
            <v>1E-3</v>
          </cell>
        </row>
        <row r="325">
          <cell r="I325">
            <v>1E-3</v>
          </cell>
        </row>
        <row r="326">
          <cell r="I326">
            <v>1E-3</v>
          </cell>
        </row>
        <row r="327">
          <cell r="I327">
            <v>1E-3</v>
          </cell>
        </row>
        <row r="328">
          <cell r="I328">
            <v>1E-3</v>
          </cell>
        </row>
        <row r="329">
          <cell r="I329">
            <v>1</v>
          </cell>
        </row>
        <row r="330">
          <cell r="I330">
            <v>1</v>
          </cell>
        </row>
        <row r="331">
          <cell r="I331">
            <v>1</v>
          </cell>
        </row>
        <row r="332">
          <cell r="I332">
            <v>1</v>
          </cell>
        </row>
        <row r="333">
          <cell r="I333">
            <v>1</v>
          </cell>
        </row>
        <row r="334">
          <cell r="I334">
            <v>1</v>
          </cell>
        </row>
        <row r="335">
          <cell r="I335">
            <v>1</v>
          </cell>
        </row>
        <row r="336">
          <cell r="I336">
            <v>1</v>
          </cell>
        </row>
        <row r="337">
          <cell r="I337">
            <v>1</v>
          </cell>
        </row>
        <row r="338">
          <cell r="I338">
            <v>1</v>
          </cell>
        </row>
        <row r="339">
          <cell r="I339">
            <v>1</v>
          </cell>
        </row>
        <row r="340">
          <cell r="I340">
            <v>1</v>
          </cell>
        </row>
        <row r="341">
          <cell r="I341">
            <v>1</v>
          </cell>
        </row>
        <row r="342">
          <cell r="I342">
            <v>1</v>
          </cell>
        </row>
        <row r="343">
          <cell r="I343">
            <v>1</v>
          </cell>
        </row>
        <row r="344">
          <cell r="I344">
            <v>1</v>
          </cell>
        </row>
        <row r="345">
          <cell r="I345">
            <v>1</v>
          </cell>
        </row>
        <row r="346">
          <cell r="I346">
            <v>1</v>
          </cell>
        </row>
        <row r="347">
          <cell r="I347">
            <v>1</v>
          </cell>
        </row>
        <row r="348">
          <cell r="I348">
            <v>1</v>
          </cell>
        </row>
        <row r="349">
          <cell r="I349">
            <v>1</v>
          </cell>
        </row>
        <row r="350">
          <cell r="I350">
            <v>1</v>
          </cell>
        </row>
        <row r="351">
          <cell r="I351">
            <v>1</v>
          </cell>
        </row>
        <row r="352">
          <cell r="I352">
            <v>1</v>
          </cell>
        </row>
        <row r="353">
          <cell r="I353">
            <v>1</v>
          </cell>
        </row>
        <row r="354">
          <cell r="I354">
            <v>1</v>
          </cell>
        </row>
        <row r="355">
          <cell r="I355">
            <v>1</v>
          </cell>
        </row>
        <row r="356">
          <cell r="I356">
            <v>1</v>
          </cell>
        </row>
        <row r="357">
          <cell r="I357">
            <v>1</v>
          </cell>
        </row>
        <row r="358">
          <cell r="I358">
            <v>1</v>
          </cell>
        </row>
        <row r="359">
          <cell r="I359">
            <v>1</v>
          </cell>
        </row>
        <row r="360">
          <cell r="I360">
            <v>1</v>
          </cell>
        </row>
        <row r="361">
          <cell r="I361">
            <v>1</v>
          </cell>
        </row>
        <row r="362">
          <cell r="I362">
            <v>1</v>
          </cell>
        </row>
        <row r="363">
          <cell r="I363">
            <v>1</v>
          </cell>
        </row>
        <row r="364">
          <cell r="I364">
            <v>1</v>
          </cell>
        </row>
        <row r="365">
          <cell r="I365">
            <v>1</v>
          </cell>
        </row>
        <row r="366">
          <cell r="I366">
            <v>1</v>
          </cell>
        </row>
        <row r="367">
          <cell r="I367">
            <v>1</v>
          </cell>
        </row>
        <row r="368">
          <cell r="I368">
            <v>1</v>
          </cell>
        </row>
        <row r="369">
          <cell r="I369">
            <v>1</v>
          </cell>
        </row>
        <row r="370">
          <cell r="I370">
            <v>1</v>
          </cell>
        </row>
        <row r="371">
          <cell r="I371">
            <v>1E-3</v>
          </cell>
        </row>
        <row r="372">
          <cell r="I372">
            <v>1</v>
          </cell>
        </row>
        <row r="373">
          <cell r="I373">
            <v>1</v>
          </cell>
        </row>
        <row r="374">
          <cell r="I374">
            <v>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7:CN106" totalsRowShown="0" headerRowDxfId="78">
  <sortState xmlns:xlrd2="http://schemas.microsoft.com/office/spreadsheetml/2017/richdata2" ref="F8:Z24">
    <sortCondition ref="H2"/>
  </sortState>
  <tableColumns count="87">
    <tableColumn id="26" xr3:uid="{00000000-0010-0000-0000-00001A000000}" name="Choose… "/>
    <tableColumn id="1" xr3:uid="{00000000-0010-0000-0000-000001000000}" name="Bulk Materials"/>
    <tableColumn id="2" xr3:uid="{00000000-0010-0000-0000-000002000000}" name="Earthworks"/>
    <tableColumn id="3" xr3:uid="{00000000-0010-0000-0000-000003000000}" name="Fencing, Barriers &amp; Road Restraint Systems"/>
    <tableColumn id="4" xr3:uid="{00000000-0010-0000-0000-000004000000}" name="Drainage"/>
    <tableColumn id="6" xr3:uid="{00000000-0010-0000-0000-000006000000}" name="Road Pavements"/>
    <tableColumn id="7" xr3:uid="{00000000-0010-0000-0000-000007000000}" name="Street Furniture &amp; Electrical Equipment"/>
    <tableColumn id="8" xr3:uid="{00000000-0010-0000-0000-000008000000}" name="Civils Structures &amp; Retaining Walls"/>
    <tableColumn id="9" xr3:uid="{00000000-0010-0000-0000-000009000000}" name="Fuel, Energy &amp; Water"/>
    <tableColumn id="10" xr3:uid="{00000000-0010-0000-0000-00000A000000}" name="Business and Employee Transport"/>
    <tableColumn id="11" xr3:uid="{00000000-0010-0000-0000-00000B000000}" name="Waste"/>
    <tableColumn id="12" xr3:uid="{00000000-0010-0000-0000-00000C000000}" name="Ready mix concrete " dataDxfId="77"/>
    <tableColumn id="13" xr3:uid="{00000000-0010-0000-0000-00000D000000}" name="Cement and binders"/>
    <tableColumn id="14" xr3:uid="{00000000-0010-0000-0000-00000E000000}" name="Reinforcement steel"/>
    <tableColumn id="15" xr3:uid="{00000000-0010-0000-0000-00000F000000}" name="Asphalt "/>
    <tableColumn id="16" xr3:uid="{00000000-0010-0000-0000-000010000000}" name="Fill, aggregate and sand"/>
    <tableColumn id="17" xr3:uid="{00000000-0010-0000-0000-000011000000}" name="Road salt/grit"/>
    <tableColumn id="18" xr3:uid="{00000000-0010-0000-0000-000012000000}" name="Imported Soil "/>
    <tableColumn id="20" xr3:uid="{00000000-0010-0000-0000-000014000000}" name="Site won soil/ muck shift"/>
    <tableColumn id="21" xr3:uid="{00000000-0010-0000-0000-000015000000}" name="Ground stabilisation"/>
    <tableColumn id="23" xr3:uid="{00000000-0010-0000-0000-000017000000}" name="Geotextiles"/>
    <tableColumn id="5" xr3:uid="{00000000-0010-0000-0000-000005000000}" name="Fence"/>
    <tableColumn id="19" xr3:uid="{00000000-0010-0000-0000-000013000000}" name="Noise Barriers"/>
    <tableColumn id="22" xr3:uid="{00000000-0010-0000-0000-000016000000}" name="Road Restraint System/ Safety Barrier"/>
    <tableColumn id="24" xr3:uid="{00000000-0010-0000-0000-000018000000}" name="Paint or timber treatment"/>
    <tableColumn id="25" xr3:uid="{00000000-0010-0000-0000-000019000000}" name="Plastic pipework (HDPE)"/>
    <tableColumn id="27" xr3:uid="{00000000-0010-0000-0000-00001B000000}" name="Plastic pipework (PVC)"/>
    <tableColumn id="28" xr3:uid="{00000000-0010-0000-0000-00001C000000}" name="Plastic pipework (Polypropylene)"/>
    <tableColumn id="29" xr3:uid="{00000000-0010-0000-0000-00001D000000}" name="Vitrified clay pipework"/>
    <tableColumn id="30" xr3:uid="{00000000-0010-0000-0000-00001E000000}" name="Precast concrete circular pipework"/>
    <tableColumn id="31" xr3:uid="{00000000-0010-0000-0000-00001F000000}" name="Precast concrete box culvert"/>
    <tableColumn id="32" xr3:uid="{00000000-0010-0000-0000-000020000000}" name="Steel pipework"/>
    <tableColumn id="33" xr3:uid="{00000000-0010-0000-0000-000021000000}" name="Glass reinforced plastic GRP (Fibreglass) pipework"/>
    <tableColumn id="34" xr3:uid="{00000000-0010-0000-0000-000022000000}" name="Iron pipework"/>
    <tableColumn id="35" xr3:uid="{00000000-0010-0000-0000-000023000000}" name="Brick manholes and inspection chambers"/>
    <tableColumn id="36" xr3:uid="{00000000-0010-0000-0000-000024000000}" name="In-situ concrete manholes and inspection chambers"/>
    <tableColumn id="37" xr3:uid="{00000000-0010-0000-0000-000025000000}" name="Precast concrete manholes"/>
    <tableColumn id="38" xr3:uid="{00000000-0010-0000-0000-000026000000}" name="Precast concrete inspection chambers"/>
    <tableColumn id="39" xr3:uid="{00000000-0010-0000-0000-000027000000}" name="Plastic inspection chambers"/>
    <tableColumn id="40" xr3:uid="{00000000-0010-0000-0000-000028000000}" name="Gullies"/>
    <tableColumn id="41" xr3:uid="{00000000-0010-0000-0000-000029000000}" name="Channel &amp; slot drains"/>
    <tableColumn id="42" xr3:uid="{00000000-0010-0000-0000-00002A000000}" name="Headwalls"/>
    <tableColumn id="43" xr3:uid="{00000000-0010-0000-0000-00002B000000}" name="Petrol interceptor"/>
    <tableColumn id="44" xr3:uid="{00000000-0010-0000-0000-00002C000000}" name="Damp proof course and impermeable membrane"/>
    <tableColumn id="45" xr3:uid="{00000000-0010-0000-0000-00002D000000}" name="Bitumen / surface treatment"/>
    <tableColumn id="46" xr3:uid="{00000000-0010-0000-0000-00002E000000}" name="Kerb"/>
    <tableColumn id="47" xr3:uid="{00000000-0010-0000-0000-00002F000000}" name="Road markings"/>
    <tableColumn id="48" xr3:uid="{00000000-0010-0000-0000-000030000000}" name="Traffic signs"/>
    <tableColumn id="49" xr3:uid="{00000000-0010-0000-0000-000031000000}" name="Variable Message Signs (VMS) "/>
    <tableColumn id="50" xr3:uid="{00000000-0010-0000-0000-000032000000}" name="Road lighting and columns"/>
    <tableColumn id="51" xr3:uid="{00000000-0010-0000-0000-000033000000}" name="Cable"/>
    <tableColumn id="52" xr3:uid="{00000000-0010-0000-0000-000034000000}" name="Plastic cable ducting"/>
    <tableColumn id="53" xr3:uid="{00000000-0010-0000-0000-000035000000}" name="Cabinets"/>
    <tableColumn id="54" xr3:uid="{00000000-0010-0000-0000-000036000000}" name="Cameras"/>
    <tableColumn id="55" xr3:uid="{00000000-0010-0000-0000-000037000000}" name="Marker posts/signs"/>
    <tableColumn id="56" xr3:uid="{00000000-0010-0000-0000-000038000000}" name="Road Studs"/>
    <tableColumn id="57" xr3:uid="{00000000-0010-0000-0000-000039000000}" name="Handrail"/>
    <tableColumn id="58" xr3:uid="{00000000-0010-0000-0000-00003A000000}" name="Formwork / Shuttering"/>
    <tableColumn id="59" xr3:uid="{00000000-0010-0000-0000-00003B000000}" name="Piling"/>
    <tableColumn id="60" xr3:uid="{00000000-0010-0000-0000-00003C000000}" name="Retaining walls"/>
    <tableColumn id="61" xr3:uid="{00000000-0010-0000-0000-00003D000000}" name="Gantries"/>
    <tableColumn id="62" xr3:uid="{00000000-0010-0000-0000-00003E000000}" name="Paint"/>
    <tableColumn id="63" xr3:uid="{00000000-0010-0000-0000-00003F000000}" name="Steelwork"/>
    <tableColumn id="64" xr3:uid="{00000000-0010-0000-0000-000040000000}" name="Pre-cast Concrete"/>
    <tableColumn id="65" xr3:uid="{00000000-0010-0000-0000-000041000000}" name="Bricks and blockwork"/>
    <tableColumn id="66" xr3:uid="{00000000-0010-0000-0000-000042000000}" name="Decorative stone"/>
    <tableColumn id="67" xr3:uid="{00000000-0010-0000-0000-000043000000}" name="Site offices, site vehicles and plant energy "/>
    <tableColumn id="78" xr3:uid="{00000000-0010-0000-0000-00004E000000}" name="Water"/>
    <tableColumn id="79" xr3:uid="{00000000-0010-0000-0000-00004F000000}" name="Business travel  "/>
    <tableColumn id="68" xr3:uid="{00000000-0010-0000-0000-000044000000}" name="Employee commuting"/>
    <tableColumn id="85" xr3:uid="{E62054D2-42E5-4D80-B942-2FFB178638B4}" name="Other transport"/>
    <tableColumn id="69" xr3:uid="{00000000-0010-0000-0000-000045000000}" name="Mixed construction &amp; demolition waste"/>
    <tableColumn id="70" xr3:uid="{00000000-0010-0000-0000-000046000000}" name="General Office Waste"/>
    <tableColumn id="71" xr3:uid="{00000000-0010-0000-0000-000047000000}" name="Organic waste"/>
    <tableColumn id="72" xr3:uid="{00000000-0010-0000-0000-000048000000}" name="Plastic "/>
    <tableColumn id="73" xr3:uid="{00000000-0010-0000-0000-000049000000}" name="Glass"/>
    <tableColumn id="74" xr3:uid="{00000000-0010-0000-0000-00004A000000}" name="Concrete, brick, tiles and ceramics"/>
    <tableColumn id="75" xr3:uid="{00000000-0010-0000-0000-00004B000000}" name="Wood/Timber"/>
    <tableColumn id="76" xr3:uid="{00000000-0010-0000-0000-00004C000000}" name="Bituminous mixtures"/>
    <tableColumn id="77" xr3:uid="{00000000-0010-0000-0000-00004D000000}" name="Mixed metals"/>
    <tableColumn id="80" xr3:uid="{00000000-0010-0000-0000-000050000000}" name="WEEE"/>
    <tableColumn id="81" xr3:uid="{00000000-0010-0000-0000-000051000000}" name="Paper and cardboard"/>
    <tableColumn id="82" xr3:uid="{00000000-0010-0000-0000-000052000000}" name="Aggregate and soil exported off-site"/>
    <tableColumn id="83" xr3:uid="{00000000-0010-0000-0000-000053000000}" name="Oil and Liquid fuel Waste"/>
    <tableColumn id="86" xr3:uid="{00000000-0010-0000-0000-000056000000}" name="Gully Waste and road sweepings"/>
    <tableColumn id="87" xr3:uid="{76603C3E-C02A-4270-AE59-BED93E8D08BD}" name="Waste water"/>
    <tableColumn id="84" xr3:uid="{00000000-0010-0000-0000-000054000000}" name="Hazardous waste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ataEntryTable" displayName="DataEntryTable" ref="B7:D14" totalsRowShown="0" headerRowDxfId="76">
  <tableColumns count="3">
    <tableColumn id="1" xr3:uid="{00000000-0010-0000-0100-000001000000}" name="Main Category"/>
    <tableColumn id="2" xr3:uid="{00000000-0010-0000-0100-000002000000}" name="Sub Category 1"/>
    <tableColumn id="3" xr3:uid="{00000000-0010-0000-0100-000003000000}" name="Sub Category 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trlProp" Target="../ctrlProps/ctrlProp28.xml"/><Relationship Id="rId3" Type="http://schemas.openxmlformats.org/officeDocument/2006/relationships/hyperlink" Target="https://nationalhighways.co.uk/suppliers/design-standards-and-specifications/carbon-emissions-calculation-tool/" TargetMode="External"/><Relationship Id="rId7" Type="http://schemas.openxmlformats.org/officeDocument/2006/relationships/drawing" Target="../drawings/drawing2.xml"/><Relationship Id="rId12" Type="http://schemas.openxmlformats.org/officeDocument/2006/relationships/ctrlProp" Target="../ctrlProps/ctrlProp27.xml"/><Relationship Id="rId2" Type="http://schemas.openxmlformats.org/officeDocument/2006/relationships/hyperlink" Target="https://nationalhighways.co.uk/suppliers/design-standards-and-specifications/carbon-emissions-calculation-tool/" TargetMode="External"/><Relationship Id="rId1" Type="http://schemas.openxmlformats.org/officeDocument/2006/relationships/hyperlink" Target="https://nationalhighways.co.uk/netzerohighways/" TargetMode="External"/><Relationship Id="rId6" Type="http://schemas.openxmlformats.org/officeDocument/2006/relationships/printerSettings" Target="../printerSettings/printerSettings2.bin"/><Relationship Id="rId11" Type="http://schemas.openxmlformats.org/officeDocument/2006/relationships/ctrlProp" Target="../ctrlProps/ctrlProp26.xml"/><Relationship Id="rId5" Type="http://schemas.openxmlformats.org/officeDocument/2006/relationships/hyperlink" Target="https://nationalhighways.co.uk/suppliers/design-standards-and-specifications/carbon-emissions-calculation-tool/" TargetMode="External"/><Relationship Id="rId15" Type="http://schemas.openxmlformats.org/officeDocument/2006/relationships/ctrlProp" Target="../ctrlProps/ctrlProp30.xml"/><Relationship Id="rId10" Type="http://schemas.openxmlformats.org/officeDocument/2006/relationships/ctrlProp" Target="../ctrlProps/ctrlProp25.xml"/><Relationship Id="rId4" Type="http://schemas.openxmlformats.org/officeDocument/2006/relationships/hyperlink" Target="mailto:carbon.reporting@nationalhighways.co.uk" TargetMode="Externa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3.vml"/><Relationship Id="rId7" Type="http://schemas.openxmlformats.org/officeDocument/2006/relationships/ctrlProp" Target="../ctrlProps/ctrlProp3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ctrlProp" Target="../ctrlProps/ctrlProp39.xml"/><Relationship Id="rId7" Type="http://schemas.openxmlformats.org/officeDocument/2006/relationships/ctrlProp" Target="../ctrlProps/ctrlProp43.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5.vml"/><Relationship Id="rId7" Type="http://schemas.openxmlformats.org/officeDocument/2006/relationships/ctrlProp" Target="../ctrlProps/ctrlProp4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8.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1.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ctrlProp" Target="../ctrlProps/ctrlProp55.xml"/><Relationship Id="rId7" Type="http://schemas.openxmlformats.org/officeDocument/2006/relationships/ctrlProp" Target="../ctrlProps/ctrlProp59.xml"/><Relationship Id="rId2" Type="http://schemas.openxmlformats.org/officeDocument/2006/relationships/vmlDrawing" Target="../drawings/vmlDrawing8.vml"/><Relationship Id="rId1" Type="http://schemas.openxmlformats.org/officeDocument/2006/relationships/drawing" Target="../drawings/drawing7.xm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ctrlProp" Target="../ctrlProps/ctrlProp69.xml"/><Relationship Id="rId3" Type="http://schemas.openxmlformats.org/officeDocument/2006/relationships/vmlDrawing" Target="../drawings/vmlDrawing9.v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image" Target="../media/image4.emf"/><Relationship Id="rId15" Type="http://schemas.openxmlformats.org/officeDocument/2006/relationships/ctrlProp" Target="../ctrlProps/ctrlProp71.xml"/><Relationship Id="rId10" Type="http://schemas.openxmlformats.org/officeDocument/2006/relationships/ctrlProp" Target="../ctrlProps/ctrlProp66.xml"/><Relationship Id="rId4" Type="http://schemas.openxmlformats.org/officeDocument/2006/relationships/control" Target="../activeX/activeX1.xml"/><Relationship Id="rId9" Type="http://schemas.openxmlformats.org/officeDocument/2006/relationships/ctrlProp" Target="../ctrlProps/ctrlProp65.xml"/><Relationship Id="rId14" Type="http://schemas.openxmlformats.org/officeDocument/2006/relationships/ctrlProp" Target="../ctrlProps/ctrlProp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18" Type="http://schemas.openxmlformats.org/officeDocument/2006/relationships/ctrlProp" Target="../ctrlProps/ctrlProp86.xml"/><Relationship Id="rId3" Type="http://schemas.openxmlformats.org/officeDocument/2006/relationships/vmlDrawing" Target="../drawings/vmlDrawing10.vml"/><Relationship Id="rId21" Type="http://schemas.openxmlformats.org/officeDocument/2006/relationships/ctrlProp" Target="../ctrlProps/ctrlProp89.xml"/><Relationship Id="rId7" Type="http://schemas.openxmlformats.org/officeDocument/2006/relationships/ctrlProp" Target="../ctrlProps/ctrlProp75.xml"/><Relationship Id="rId12" Type="http://schemas.openxmlformats.org/officeDocument/2006/relationships/ctrlProp" Target="../ctrlProps/ctrlProp80.xml"/><Relationship Id="rId17" Type="http://schemas.openxmlformats.org/officeDocument/2006/relationships/ctrlProp" Target="../ctrlProps/ctrlProp85.xml"/><Relationship Id="rId25" Type="http://schemas.openxmlformats.org/officeDocument/2006/relationships/ctrlProp" Target="../ctrlProps/ctrlProp93.xml"/><Relationship Id="rId2" Type="http://schemas.openxmlformats.org/officeDocument/2006/relationships/drawing" Target="../drawings/drawing9.xml"/><Relationship Id="rId16" Type="http://schemas.openxmlformats.org/officeDocument/2006/relationships/ctrlProp" Target="../ctrlProps/ctrlProp84.xml"/><Relationship Id="rId20" Type="http://schemas.openxmlformats.org/officeDocument/2006/relationships/ctrlProp" Target="../ctrlProps/ctrlProp88.xml"/><Relationship Id="rId1" Type="http://schemas.openxmlformats.org/officeDocument/2006/relationships/printerSettings" Target="../printerSettings/printerSettings8.bin"/><Relationship Id="rId6" Type="http://schemas.openxmlformats.org/officeDocument/2006/relationships/ctrlProp" Target="../ctrlProps/ctrlProp74.xml"/><Relationship Id="rId11" Type="http://schemas.openxmlformats.org/officeDocument/2006/relationships/ctrlProp" Target="../ctrlProps/ctrlProp79.xml"/><Relationship Id="rId24" Type="http://schemas.openxmlformats.org/officeDocument/2006/relationships/ctrlProp" Target="../ctrlProps/ctrlProp92.xml"/><Relationship Id="rId5" Type="http://schemas.openxmlformats.org/officeDocument/2006/relationships/ctrlProp" Target="../ctrlProps/ctrlProp73.xml"/><Relationship Id="rId15" Type="http://schemas.openxmlformats.org/officeDocument/2006/relationships/ctrlProp" Target="../ctrlProps/ctrlProp83.xml"/><Relationship Id="rId23" Type="http://schemas.openxmlformats.org/officeDocument/2006/relationships/ctrlProp" Target="../ctrlProps/ctrlProp91.xml"/><Relationship Id="rId10" Type="http://schemas.openxmlformats.org/officeDocument/2006/relationships/ctrlProp" Target="../ctrlProps/ctrlProp78.xml"/><Relationship Id="rId19" Type="http://schemas.openxmlformats.org/officeDocument/2006/relationships/ctrlProp" Target="../ctrlProps/ctrlProp87.xml"/><Relationship Id="rId4" Type="http://schemas.openxmlformats.org/officeDocument/2006/relationships/ctrlProp" Target="../ctrlProps/ctrlProp72.xml"/><Relationship Id="rId9" Type="http://schemas.openxmlformats.org/officeDocument/2006/relationships/ctrlProp" Target="../ctrlProps/ctrlProp77.xml"/><Relationship Id="rId14" Type="http://schemas.openxmlformats.org/officeDocument/2006/relationships/ctrlProp" Target="../ctrlProps/ctrlProp82.xml"/><Relationship Id="rId22" Type="http://schemas.openxmlformats.org/officeDocument/2006/relationships/ctrlProp" Target="../ctrlProps/ctrlProp9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8.xml"/><Relationship Id="rId13" Type="http://schemas.openxmlformats.org/officeDocument/2006/relationships/ctrlProp" Target="../ctrlProps/ctrlProp103.xml"/><Relationship Id="rId18" Type="http://schemas.openxmlformats.org/officeDocument/2006/relationships/ctrlProp" Target="../ctrlProps/ctrlProp108.xml"/><Relationship Id="rId3" Type="http://schemas.openxmlformats.org/officeDocument/2006/relationships/vmlDrawing" Target="../drawings/vmlDrawing11.vml"/><Relationship Id="rId21" Type="http://schemas.openxmlformats.org/officeDocument/2006/relationships/ctrlProp" Target="../ctrlProps/ctrlProp111.xml"/><Relationship Id="rId7" Type="http://schemas.openxmlformats.org/officeDocument/2006/relationships/ctrlProp" Target="../ctrlProps/ctrlProp97.xml"/><Relationship Id="rId12" Type="http://schemas.openxmlformats.org/officeDocument/2006/relationships/ctrlProp" Target="../ctrlProps/ctrlProp102.xml"/><Relationship Id="rId17" Type="http://schemas.openxmlformats.org/officeDocument/2006/relationships/ctrlProp" Target="../ctrlProps/ctrlProp107.xml"/><Relationship Id="rId25" Type="http://schemas.openxmlformats.org/officeDocument/2006/relationships/ctrlProp" Target="../ctrlProps/ctrlProp115.xml"/><Relationship Id="rId2" Type="http://schemas.openxmlformats.org/officeDocument/2006/relationships/drawing" Target="../drawings/drawing10.xml"/><Relationship Id="rId16" Type="http://schemas.openxmlformats.org/officeDocument/2006/relationships/ctrlProp" Target="../ctrlProps/ctrlProp106.xml"/><Relationship Id="rId20" Type="http://schemas.openxmlformats.org/officeDocument/2006/relationships/ctrlProp" Target="../ctrlProps/ctrlProp110.xml"/><Relationship Id="rId1" Type="http://schemas.openxmlformats.org/officeDocument/2006/relationships/printerSettings" Target="../printerSettings/printerSettings9.bin"/><Relationship Id="rId6" Type="http://schemas.openxmlformats.org/officeDocument/2006/relationships/ctrlProp" Target="../ctrlProps/ctrlProp96.xml"/><Relationship Id="rId11" Type="http://schemas.openxmlformats.org/officeDocument/2006/relationships/ctrlProp" Target="../ctrlProps/ctrlProp101.xml"/><Relationship Id="rId24" Type="http://schemas.openxmlformats.org/officeDocument/2006/relationships/ctrlProp" Target="../ctrlProps/ctrlProp114.xml"/><Relationship Id="rId5" Type="http://schemas.openxmlformats.org/officeDocument/2006/relationships/ctrlProp" Target="../ctrlProps/ctrlProp95.xml"/><Relationship Id="rId15" Type="http://schemas.openxmlformats.org/officeDocument/2006/relationships/ctrlProp" Target="../ctrlProps/ctrlProp105.xml"/><Relationship Id="rId23" Type="http://schemas.openxmlformats.org/officeDocument/2006/relationships/ctrlProp" Target="../ctrlProps/ctrlProp113.xml"/><Relationship Id="rId10" Type="http://schemas.openxmlformats.org/officeDocument/2006/relationships/ctrlProp" Target="../ctrlProps/ctrlProp100.xml"/><Relationship Id="rId19" Type="http://schemas.openxmlformats.org/officeDocument/2006/relationships/ctrlProp" Target="../ctrlProps/ctrlProp109.xml"/><Relationship Id="rId4" Type="http://schemas.openxmlformats.org/officeDocument/2006/relationships/ctrlProp" Target="../ctrlProps/ctrlProp94.xml"/><Relationship Id="rId9" Type="http://schemas.openxmlformats.org/officeDocument/2006/relationships/ctrlProp" Target="../ctrlProps/ctrlProp99.xml"/><Relationship Id="rId14" Type="http://schemas.openxmlformats.org/officeDocument/2006/relationships/ctrlProp" Target="../ctrlProps/ctrlProp104.xml"/><Relationship Id="rId22" Type="http://schemas.openxmlformats.org/officeDocument/2006/relationships/ctrlProp" Target="../ctrlProps/ctrlProp11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20.xml"/><Relationship Id="rId13" Type="http://schemas.openxmlformats.org/officeDocument/2006/relationships/ctrlProp" Target="../ctrlProps/ctrlProp125.xml"/><Relationship Id="rId18" Type="http://schemas.openxmlformats.org/officeDocument/2006/relationships/ctrlProp" Target="../ctrlProps/ctrlProp130.xml"/><Relationship Id="rId3" Type="http://schemas.openxmlformats.org/officeDocument/2006/relationships/vmlDrawing" Target="../drawings/vmlDrawing12.vml"/><Relationship Id="rId21" Type="http://schemas.openxmlformats.org/officeDocument/2006/relationships/ctrlProp" Target="../ctrlProps/ctrlProp133.xml"/><Relationship Id="rId7" Type="http://schemas.openxmlformats.org/officeDocument/2006/relationships/ctrlProp" Target="../ctrlProps/ctrlProp119.xml"/><Relationship Id="rId12" Type="http://schemas.openxmlformats.org/officeDocument/2006/relationships/ctrlProp" Target="../ctrlProps/ctrlProp124.xml"/><Relationship Id="rId17" Type="http://schemas.openxmlformats.org/officeDocument/2006/relationships/ctrlProp" Target="../ctrlProps/ctrlProp129.xml"/><Relationship Id="rId25" Type="http://schemas.openxmlformats.org/officeDocument/2006/relationships/ctrlProp" Target="../ctrlProps/ctrlProp137.xml"/><Relationship Id="rId2" Type="http://schemas.openxmlformats.org/officeDocument/2006/relationships/drawing" Target="../drawings/drawing11.xml"/><Relationship Id="rId16" Type="http://schemas.openxmlformats.org/officeDocument/2006/relationships/ctrlProp" Target="../ctrlProps/ctrlProp128.xml"/><Relationship Id="rId20" Type="http://schemas.openxmlformats.org/officeDocument/2006/relationships/ctrlProp" Target="../ctrlProps/ctrlProp132.xml"/><Relationship Id="rId1" Type="http://schemas.openxmlformats.org/officeDocument/2006/relationships/printerSettings" Target="../printerSettings/printerSettings10.bin"/><Relationship Id="rId6" Type="http://schemas.openxmlformats.org/officeDocument/2006/relationships/ctrlProp" Target="../ctrlProps/ctrlProp118.xml"/><Relationship Id="rId11" Type="http://schemas.openxmlformats.org/officeDocument/2006/relationships/ctrlProp" Target="../ctrlProps/ctrlProp123.xml"/><Relationship Id="rId24" Type="http://schemas.openxmlformats.org/officeDocument/2006/relationships/ctrlProp" Target="../ctrlProps/ctrlProp136.xml"/><Relationship Id="rId5" Type="http://schemas.openxmlformats.org/officeDocument/2006/relationships/ctrlProp" Target="../ctrlProps/ctrlProp117.xml"/><Relationship Id="rId15" Type="http://schemas.openxmlformats.org/officeDocument/2006/relationships/ctrlProp" Target="../ctrlProps/ctrlProp127.xml"/><Relationship Id="rId23" Type="http://schemas.openxmlformats.org/officeDocument/2006/relationships/ctrlProp" Target="../ctrlProps/ctrlProp135.xml"/><Relationship Id="rId10" Type="http://schemas.openxmlformats.org/officeDocument/2006/relationships/ctrlProp" Target="../ctrlProps/ctrlProp122.xml"/><Relationship Id="rId19" Type="http://schemas.openxmlformats.org/officeDocument/2006/relationships/ctrlProp" Target="../ctrlProps/ctrlProp131.xml"/><Relationship Id="rId4" Type="http://schemas.openxmlformats.org/officeDocument/2006/relationships/ctrlProp" Target="../ctrlProps/ctrlProp116.xml"/><Relationship Id="rId9" Type="http://schemas.openxmlformats.org/officeDocument/2006/relationships/ctrlProp" Target="../ctrlProps/ctrlProp121.xml"/><Relationship Id="rId14" Type="http://schemas.openxmlformats.org/officeDocument/2006/relationships/ctrlProp" Target="../ctrlProps/ctrlProp126.xml"/><Relationship Id="rId22" Type="http://schemas.openxmlformats.org/officeDocument/2006/relationships/ctrlProp" Target="../ctrlProps/ctrlProp13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42.xml"/><Relationship Id="rId13" Type="http://schemas.openxmlformats.org/officeDocument/2006/relationships/ctrlProp" Target="../ctrlProps/ctrlProp147.xml"/><Relationship Id="rId18" Type="http://schemas.openxmlformats.org/officeDocument/2006/relationships/ctrlProp" Target="../ctrlProps/ctrlProp152.xml"/><Relationship Id="rId3" Type="http://schemas.openxmlformats.org/officeDocument/2006/relationships/vmlDrawing" Target="../drawings/vmlDrawing13.vml"/><Relationship Id="rId21" Type="http://schemas.openxmlformats.org/officeDocument/2006/relationships/ctrlProp" Target="../ctrlProps/ctrlProp155.xml"/><Relationship Id="rId7" Type="http://schemas.openxmlformats.org/officeDocument/2006/relationships/ctrlProp" Target="../ctrlProps/ctrlProp141.x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2" Type="http://schemas.openxmlformats.org/officeDocument/2006/relationships/drawing" Target="../drawings/drawing12.xml"/><Relationship Id="rId16" Type="http://schemas.openxmlformats.org/officeDocument/2006/relationships/ctrlProp" Target="../ctrlProps/ctrlProp150.xml"/><Relationship Id="rId20" Type="http://schemas.openxmlformats.org/officeDocument/2006/relationships/ctrlProp" Target="../ctrlProps/ctrlProp154.xml"/><Relationship Id="rId1" Type="http://schemas.openxmlformats.org/officeDocument/2006/relationships/printerSettings" Target="../printerSettings/printerSettings11.bin"/><Relationship Id="rId6" Type="http://schemas.openxmlformats.org/officeDocument/2006/relationships/ctrlProp" Target="../ctrlProps/ctrlProp140.xml"/><Relationship Id="rId11" Type="http://schemas.openxmlformats.org/officeDocument/2006/relationships/ctrlProp" Target="../ctrlProps/ctrlProp145.xml"/><Relationship Id="rId24" Type="http://schemas.openxmlformats.org/officeDocument/2006/relationships/ctrlProp" Target="../ctrlProps/ctrlProp158.xml"/><Relationship Id="rId5" Type="http://schemas.openxmlformats.org/officeDocument/2006/relationships/ctrlProp" Target="../ctrlProps/ctrlProp139.xml"/><Relationship Id="rId15" Type="http://schemas.openxmlformats.org/officeDocument/2006/relationships/ctrlProp" Target="../ctrlProps/ctrlProp149.xml"/><Relationship Id="rId23" Type="http://schemas.openxmlformats.org/officeDocument/2006/relationships/ctrlProp" Target="../ctrlProps/ctrlProp157.xml"/><Relationship Id="rId10" Type="http://schemas.openxmlformats.org/officeDocument/2006/relationships/ctrlProp" Target="../ctrlProps/ctrlProp144.xml"/><Relationship Id="rId19" Type="http://schemas.openxmlformats.org/officeDocument/2006/relationships/ctrlProp" Target="../ctrlProps/ctrlProp153.xml"/><Relationship Id="rId4" Type="http://schemas.openxmlformats.org/officeDocument/2006/relationships/ctrlProp" Target="../ctrlProps/ctrlProp138.xml"/><Relationship Id="rId9" Type="http://schemas.openxmlformats.org/officeDocument/2006/relationships/ctrlProp" Target="../ctrlProps/ctrlProp143.xml"/><Relationship Id="rId14" Type="http://schemas.openxmlformats.org/officeDocument/2006/relationships/ctrlProp" Target="../ctrlProps/ctrlProp148.xml"/><Relationship Id="rId22" Type="http://schemas.openxmlformats.org/officeDocument/2006/relationships/ctrlProp" Target="../ctrlProps/ctrlProp15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64.xml"/><Relationship Id="rId13" Type="http://schemas.openxmlformats.org/officeDocument/2006/relationships/ctrlProp" Target="../ctrlProps/ctrlProp169.xml"/><Relationship Id="rId18" Type="http://schemas.openxmlformats.org/officeDocument/2006/relationships/ctrlProp" Target="../ctrlProps/ctrlProp174.xml"/><Relationship Id="rId3" Type="http://schemas.openxmlformats.org/officeDocument/2006/relationships/vmlDrawing" Target="../drawings/vmlDrawing14.vml"/><Relationship Id="rId21" Type="http://schemas.openxmlformats.org/officeDocument/2006/relationships/ctrlProp" Target="../ctrlProps/ctrlProp177.xml"/><Relationship Id="rId7" Type="http://schemas.openxmlformats.org/officeDocument/2006/relationships/ctrlProp" Target="../ctrlProps/ctrlProp163.xml"/><Relationship Id="rId12" Type="http://schemas.openxmlformats.org/officeDocument/2006/relationships/ctrlProp" Target="../ctrlProps/ctrlProp168.xml"/><Relationship Id="rId17" Type="http://schemas.openxmlformats.org/officeDocument/2006/relationships/ctrlProp" Target="../ctrlProps/ctrlProp173.xml"/><Relationship Id="rId25" Type="http://schemas.openxmlformats.org/officeDocument/2006/relationships/ctrlProp" Target="../ctrlProps/ctrlProp181.xml"/><Relationship Id="rId2" Type="http://schemas.openxmlformats.org/officeDocument/2006/relationships/drawing" Target="../drawings/drawing13.xml"/><Relationship Id="rId16" Type="http://schemas.openxmlformats.org/officeDocument/2006/relationships/ctrlProp" Target="../ctrlProps/ctrlProp172.xml"/><Relationship Id="rId20" Type="http://schemas.openxmlformats.org/officeDocument/2006/relationships/ctrlProp" Target="../ctrlProps/ctrlProp176.xml"/><Relationship Id="rId1" Type="http://schemas.openxmlformats.org/officeDocument/2006/relationships/printerSettings" Target="../printerSettings/printerSettings12.bin"/><Relationship Id="rId6" Type="http://schemas.openxmlformats.org/officeDocument/2006/relationships/ctrlProp" Target="../ctrlProps/ctrlProp162.xml"/><Relationship Id="rId11" Type="http://schemas.openxmlformats.org/officeDocument/2006/relationships/ctrlProp" Target="../ctrlProps/ctrlProp167.xml"/><Relationship Id="rId24" Type="http://schemas.openxmlformats.org/officeDocument/2006/relationships/ctrlProp" Target="../ctrlProps/ctrlProp180.xml"/><Relationship Id="rId5" Type="http://schemas.openxmlformats.org/officeDocument/2006/relationships/ctrlProp" Target="../ctrlProps/ctrlProp161.xml"/><Relationship Id="rId15" Type="http://schemas.openxmlformats.org/officeDocument/2006/relationships/ctrlProp" Target="../ctrlProps/ctrlProp171.xml"/><Relationship Id="rId23" Type="http://schemas.openxmlformats.org/officeDocument/2006/relationships/ctrlProp" Target="../ctrlProps/ctrlProp179.xml"/><Relationship Id="rId10" Type="http://schemas.openxmlformats.org/officeDocument/2006/relationships/ctrlProp" Target="../ctrlProps/ctrlProp166.xml"/><Relationship Id="rId19" Type="http://schemas.openxmlformats.org/officeDocument/2006/relationships/ctrlProp" Target="../ctrlProps/ctrlProp175.xml"/><Relationship Id="rId4" Type="http://schemas.openxmlformats.org/officeDocument/2006/relationships/ctrlProp" Target="../ctrlProps/ctrlProp160.xml"/><Relationship Id="rId9" Type="http://schemas.openxmlformats.org/officeDocument/2006/relationships/ctrlProp" Target="../ctrlProps/ctrlProp165.xml"/><Relationship Id="rId14" Type="http://schemas.openxmlformats.org/officeDocument/2006/relationships/ctrlProp" Target="../ctrlProps/ctrlProp170.xml"/><Relationship Id="rId22" Type="http://schemas.openxmlformats.org/officeDocument/2006/relationships/ctrlProp" Target="../ctrlProps/ctrlProp17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6.xml"/><Relationship Id="rId13" Type="http://schemas.openxmlformats.org/officeDocument/2006/relationships/ctrlProp" Target="../ctrlProps/ctrlProp191.xml"/><Relationship Id="rId18" Type="http://schemas.openxmlformats.org/officeDocument/2006/relationships/ctrlProp" Target="../ctrlProps/ctrlProp196.xml"/><Relationship Id="rId3" Type="http://schemas.openxmlformats.org/officeDocument/2006/relationships/vmlDrawing" Target="../drawings/vmlDrawing15.vml"/><Relationship Id="rId21" Type="http://schemas.openxmlformats.org/officeDocument/2006/relationships/ctrlProp" Target="../ctrlProps/ctrlProp199.xml"/><Relationship Id="rId7" Type="http://schemas.openxmlformats.org/officeDocument/2006/relationships/ctrlProp" Target="../ctrlProps/ctrlProp185.xml"/><Relationship Id="rId12" Type="http://schemas.openxmlformats.org/officeDocument/2006/relationships/ctrlProp" Target="../ctrlProps/ctrlProp190.xml"/><Relationship Id="rId17" Type="http://schemas.openxmlformats.org/officeDocument/2006/relationships/ctrlProp" Target="../ctrlProps/ctrlProp195.xml"/><Relationship Id="rId25" Type="http://schemas.openxmlformats.org/officeDocument/2006/relationships/ctrlProp" Target="../ctrlProps/ctrlProp203.xml"/><Relationship Id="rId2" Type="http://schemas.openxmlformats.org/officeDocument/2006/relationships/drawing" Target="../drawings/drawing14.xml"/><Relationship Id="rId16" Type="http://schemas.openxmlformats.org/officeDocument/2006/relationships/ctrlProp" Target="../ctrlProps/ctrlProp194.xml"/><Relationship Id="rId20" Type="http://schemas.openxmlformats.org/officeDocument/2006/relationships/ctrlProp" Target="../ctrlProps/ctrlProp198.xml"/><Relationship Id="rId1" Type="http://schemas.openxmlformats.org/officeDocument/2006/relationships/printerSettings" Target="../printerSettings/printerSettings13.bin"/><Relationship Id="rId6" Type="http://schemas.openxmlformats.org/officeDocument/2006/relationships/ctrlProp" Target="../ctrlProps/ctrlProp184.xml"/><Relationship Id="rId11" Type="http://schemas.openxmlformats.org/officeDocument/2006/relationships/ctrlProp" Target="../ctrlProps/ctrlProp189.xml"/><Relationship Id="rId24" Type="http://schemas.openxmlformats.org/officeDocument/2006/relationships/ctrlProp" Target="../ctrlProps/ctrlProp202.xml"/><Relationship Id="rId5" Type="http://schemas.openxmlformats.org/officeDocument/2006/relationships/ctrlProp" Target="../ctrlProps/ctrlProp183.xml"/><Relationship Id="rId15" Type="http://schemas.openxmlformats.org/officeDocument/2006/relationships/ctrlProp" Target="../ctrlProps/ctrlProp193.xml"/><Relationship Id="rId23" Type="http://schemas.openxmlformats.org/officeDocument/2006/relationships/ctrlProp" Target="../ctrlProps/ctrlProp201.xml"/><Relationship Id="rId10" Type="http://schemas.openxmlformats.org/officeDocument/2006/relationships/ctrlProp" Target="../ctrlProps/ctrlProp188.xml"/><Relationship Id="rId19" Type="http://schemas.openxmlformats.org/officeDocument/2006/relationships/ctrlProp" Target="../ctrlProps/ctrlProp197.xml"/><Relationship Id="rId4" Type="http://schemas.openxmlformats.org/officeDocument/2006/relationships/ctrlProp" Target="../ctrlProps/ctrlProp182.xml"/><Relationship Id="rId9" Type="http://schemas.openxmlformats.org/officeDocument/2006/relationships/ctrlProp" Target="../ctrlProps/ctrlProp187.xml"/><Relationship Id="rId14" Type="http://schemas.openxmlformats.org/officeDocument/2006/relationships/ctrlProp" Target="../ctrlProps/ctrlProp192.xml"/><Relationship Id="rId22" Type="http://schemas.openxmlformats.org/officeDocument/2006/relationships/ctrlProp" Target="../ctrlProps/ctrlProp200.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8.xml"/><Relationship Id="rId13" Type="http://schemas.openxmlformats.org/officeDocument/2006/relationships/ctrlProp" Target="../ctrlProps/ctrlProp213.xml"/><Relationship Id="rId18" Type="http://schemas.openxmlformats.org/officeDocument/2006/relationships/ctrlProp" Target="../ctrlProps/ctrlProp218.xml"/><Relationship Id="rId3" Type="http://schemas.openxmlformats.org/officeDocument/2006/relationships/vmlDrawing" Target="../drawings/vmlDrawing16.vml"/><Relationship Id="rId21" Type="http://schemas.openxmlformats.org/officeDocument/2006/relationships/ctrlProp" Target="../ctrlProps/ctrlProp221.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2" Type="http://schemas.openxmlformats.org/officeDocument/2006/relationships/drawing" Target="../drawings/drawing15.xml"/><Relationship Id="rId16" Type="http://schemas.openxmlformats.org/officeDocument/2006/relationships/ctrlProp" Target="../ctrlProps/ctrlProp216.xml"/><Relationship Id="rId20" Type="http://schemas.openxmlformats.org/officeDocument/2006/relationships/ctrlProp" Target="../ctrlProps/ctrlProp220.xml"/><Relationship Id="rId1" Type="http://schemas.openxmlformats.org/officeDocument/2006/relationships/printerSettings" Target="../printerSettings/printerSettings14.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10" Type="http://schemas.openxmlformats.org/officeDocument/2006/relationships/ctrlProp" Target="../ctrlProps/ctrlProp210.xml"/><Relationship Id="rId19" Type="http://schemas.openxmlformats.org/officeDocument/2006/relationships/ctrlProp" Target="../ctrlProps/ctrlProp219.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30.xml"/><Relationship Id="rId13" Type="http://schemas.openxmlformats.org/officeDocument/2006/relationships/ctrlProp" Target="../ctrlProps/ctrlProp235.xml"/><Relationship Id="rId18" Type="http://schemas.openxmlformats.org/officeDocument/2006/relationships/ctrlProp" Target="../ctrlProps/ctrlProp240.xml"/><Relationship Id="rId3" Type="http://schemas.openxmlformats.org/officeDocument/2006/relationships/vmlDrawing" Target="../drawings/vmlDrawing17.vml"/><Relationship Id="rId21" Type="http://schemas.openxmlformats.org/officeDocument/2006/relationships/ctrlProp" Target="../ctrlProps/ctrlProp243.xml"/><Relationship Id="rId7" Type="http://schemas.openxmlformats.org/officeDocument/2006/relationships/ctrlProp" Target="../ctrlProps/ctrlProp229.xml"/><Relationship Id="rId12" Type="http://schemas.openxmlformats.org/officeDocument/2006/relationships/ctrlProp" Target="../ctrlProps/ctrlProp234.xml"/><Relationship Id="rId17" Type="http://schemas.openxmlformats.org/officeDocument/2006/relationships/ctrlProp" Target="../ctrlProps/ctrlProp239.xml"/><Relationship Id="rId25" Type="http://schemas.openxmlformats.org/officeDocument/2006/relationships/ctrlProp" Target="../ctrlProps/ctrlProp247.xml"/><Relationship Id="rId2" Type="http://schemas.openxmlformats.org/officeDocument/2006/relationships/drawing" Target="../drawings/drawing16.xml"/><Relationship Id="rId16" Type="http://schemas.openxmlformats.org/officeDocument/2006/relationships/ctrlProp" Target="../ctrlProps/ctrlProp238.xml"/><Relationship Id="rId20" Type="http://schemas.openxmlformats.org/officeDocument/2006/relationships/ctrlProp" Target="../ctrlProps/ctrlProp242.xml"/><Relationship Id="rId1" Type="http://schemas.openxmlformats.org/officeDocument/2006/relationships/printerSettings" Target="../printerSettings/printerSettings15.bin"/><Relationship Id="rId6" Type="http://schemas.openxmlformats.org/officeDocument/2006/relationships/ctrlProp" Target="../ctrlProps/ctrlProp228.xml"/><Relationship Id="rId11" Type="http://schemas.openxmlformats.org/officeDocument/2006/relationships/ctrlProp" Target="../ctrlProps/ctrlProp233.xml"/><Relationship Id="rId24" Type="http://schemas.openxmlformats.org/officeDocument/2006/relationships/ctrlProp" Target="../ctrlProps/ctrlProp246.xml"/><Relationship Id="rId5" Type="http://schemas.openxmlformats.org/officeDocument/2006/relationships/ctrlProp" Target="../ctrlProps/ctrlProp227.xml"/><Relationship Id="rId15" Type="http://schemas.openxmlformats.org/officeDocument/2006/relationships/ctrlProp" Target="../ctrlProps/ctrlProp237.xml"/><Relationship Id="rId23" Type="http://schemas.openxmlformats.org/officeDocument/2006/relationships/ctrlProp" Target="../ctrlProps/ctrlProp245.xml"/><Relationship Id="rId10" Type="http://schemas.openxmlformats.org/officeDocument/2006/relationships/ctrlProp" Target="../ctrlProps/ctrlProp232.xml"/><Relationship Id="rId19" Type="http://schemas.openxmlformats.org/officeDocument/2006/relationships/ctrlProp" Target="../ctrlProps/ctrlProp241.xml"/><Relationship Id="rId4" Type="http://schemas.openxmlformats.org/officeDocument/2006/relationships/ctrlProp" Target="../ctrlProps/ctrlProp226.xml"/><Relationship Id="rId9" Type="http://schemas.openxmlformats.org/officeDocument/2006/relationships/ctrlProp" Target="../ctrlProps/ctrlProp231.xml"/><Relationship Id="rId14" Type="http://schemas.openxmlformats.org/officeDocument/2006/relationships/ctrlProp" Target="../ctrlProps/ctrlProp236.xml"/><Relationship Id="rId22" Type="http://schemas.openxmlformats.org/officeDocument/2006/relationships/ctrlProp" Target="../ctrlProps/ctrlProp244.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18" Type="http://schemas.openxmlformats.org/officeDocument/2006/relationships/ctrlProp" Target="../ctrlProps/ctrlProp262.xml"/><Relationship Id="rId3" Type="http://schemas.openxmlformats.org/officeDocument/2006/relationships/vmlDrawing" Target="../drawings/vmlDrawing18.vml"/><Relationship Id="rId21" Type="http://schemas.openxmlformats.org/officeDocument/2006/relationships/ctrlProp" Target="../ctrlProps/ctrlProp265.xml"/><Relationship Id="rId7" Type="http://schemas.openxmlformats.org/officeDocument/2006/relationships/ctrlProp" Target="../ctrlProps/ctrlProp251.xml"/><Relationship Id="rId12" Type="http://schemas.openxmlformats.org/officeDocument/2006/relationships/ctrlProp" Target="../ctrlProps/ctrlProp256.xml"/><Relationship Id="rId17" Type="http://schemas.openxmlformats.org/officeDocument/2006/relationships/ctrlProp" Target="../ctrlProps/ctrlProp261.xml"/><Relationship Id="rId25" Type="http://schemas.openxmlformats.org/officeDocument/2006/relationships/ctrlProp" Target="../ctrlProps/ctrlProp269.xml"/><Relationship Id="rId2" Type="http://schemas.openxmlformats.org/officeDocument/2006/relationships/drawing" Target="../drawings/drawing17.xml"/><Relationship Id="rId16" Type="http://schemas.openxmlformats.org/officeDocument/2006/relationships/ctrlProp" Target="../ctrlProps/ctrlProp260.xml"/><Relationship Id="rId20" Type="http://schemas.openxmlformats.org/officeDocument/2006/relationships/ctrlProp" Target="../ctrlProps/ctrlProp264.xml"/><Relationship Id="rId1" Type="http://schemas.openxmlformats.org/officeDocument/2006/relationships/printerSettings" Target="../printerSettings/printerSettings16.bin"/><Relationship Id="rId6" Type="http://schemas.openxmlformats.org/officeDocument/2006/relationships/ctrlProp" Target="../ctrlProps/ctrlProp250.xml"/><Relationship Id="rId11" Type="http://schemas.openxmlformats.org/officeDocument/2006/relationships/ctrlProp" Target="../ctrlProps/ctrlProp255.xml"/><Relationship Id="rId24" Type="http://schemas.openxmlformats.org/officeDocument/2006/relationships/ctrlProp" Target="../ctrlProps/ctrlProp268.xml"/><Relationship Id="rId5" Type="http://schemas.openxmlformats.org/officeDocument/2006/relationships/ctrlProp" Target="../ctrlProps/ctrlProp249.xml"/><Relationship Id="rId15" Type="http://schemas.openxmlformats.org/officeDocument/2006/relationships/ctrlProp" Target="../ctrlProps/ctrlProp259.xml"/><Relationship Id="rId23" Type="http://schemas.openxmlformats.org/officeDocument/2006/relationships/ctrlProp" Target="../ctrlProps/ctrlProp267.xml"/><Relationship Id="rId10" Type="http://schemas.openxmlformats.org/officeDocument/2006/relationships/ctrlProp" Target="../ctrlProps/ctrlProp254.xml"/><Relationship Id="rId19" Type="http://schemas.openxmlformats.org/officeDocument/2006/relationships/ctrlProp" Target="../ctrlProps/ctrlProp263.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 Id="rId22" Type="http://schemas.openxmlformats.org/officeDocument/2006/relationships/ctrlProp" Target="../ctrlProps/ctrlProp26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4.xml"/><Relationship Id="rId13" Type="http://schemas.openxmlformats.org/officeDocument/2006/relationships/ctrlProp" Target="../ctrlProps/ctrlProp279.xml"/><Relationship Id="rId18" Type="http://schemas.openxmlformats.org/officeDocument/2006/relationships/ctrlProp" Target="../ctrlProps/ctrlProp284.xml"/><Relationship Id="rId3" Type="http://schemas.openxmlformats.org/officeDocument/2006/relationships/vmlDrawing" Target="../drawings/vmlDrawing19.vml"/><Relationship Id="rId21" Type="http://schemas.openxmlformats.org/officeDocument/2006/relationships/ctrlProp" Target="../ctrlProps/ctrlProp287.xml"/><Relationship Id="rId7" Type="http://schemas.openxmlformats.org/officeDocument/2006/relationships/ctrlProp" Target="../ctrlProps/ctrlProp273.xml"/><Relationship Id="rId12" Type="http://schemas.openxmlformats.org/officeDocument/2006/relationships/ctrlProp" Target="../ctrlProps/ctrlProp278.xml"/><Relationship Id="rId17" Type="http://schemas.openxmlformats.org/officeDocument/2006/relationships/ctrlProp" Target="../ctrlProps/ctrlProp283.xml"/><Relationship Id="rId25" Type="http://schemas.openxmlformats.org/officeDocument/2006/relationships/ctrlProp" Target="../ctrlProps/ctrlProp291.xml"/><Relationship Id="rId2" Type="http://schemas.openxmlformats.org/officeDocument/2006/relationships/drawing" Target="../drawings/drawing18.xml"/><Relationship Id="rId16" Type="http://schemas.openxmlformats.org/officeDocument/2006/relationships/ctrlProp" Target="../ctrlProps/ctrlProp282.xml"/><Relationship Id="rId20" Type="http://schemas.openxmlformats.org/officeDocument/2006/relationships/ctrlProp" Target="../ctrlProps/ctrlProp286.xml"/><Relationship Id="rId1" Type="http://schemas.openxmlformats.org/officeDocument/2006/relationships/printerSettings" Target="../printerSettings/printerSettings17.bin"/><Relationship Id="rId6" Type="http://schemas.openxmlformats.org/officeDocument/2006/relationships/ctrlProp" Target="../ctrlProps/ctrlProp272.xml"/><Relationship Id="rId11" Type="http://schemas.openxmlformats.org/officeDocument/2006/relationships/ctrlProp" Target="../ctrlProps/ctrlProp277.xml"/><Relationship Id="rId24" Type="http://schemas.openxmlformats.org/officeDocument/2006/relationships/ctrlProp" Target="../ctrlProps/ctrlProp290.xml"/><Relationship Id="rId5" Type="http://schemas.openxmlformats.org/officeDocument/2006/relationships/ctrlProp" Target="../ctrlProps/ctrlProp271.xml"/><Relationship Id="rId15" Type="http://schemas.openxmlformats.org/officeDocument/2006/relationships/ctrlProp" Target="../ctrlProps/ctrlProp281.xml"/><Relationship Id="rId23" Type="http://schemas.openxmlformats.org/officeDocument/2006/relationships/ctrlProp" Target="../ctrlProps/ctrlProp289.xml"/><Relationship Id="rId10" Type="http://schemas.openxmlformats.org/officeDocument/2006/relationships/ctrlProp" Target="../ctrlProps/ctrlProp276.xml"/><Relationship Id="rId19" Type="http://schemas.openxmlformats.org/officeDocument/2006/relationships/ctrlProp" Target="../ctrlProps/ctrlProp285.xml"/><Relationship Id="rId4" Type="http://schemas.openxmlformats.org/officeDocument/2006/relationships/ctrlProp" Target="../ctrlProps/ctrlProp270.xml"/><Relationship Id="rId9" Type="http://schemas.openxmlformats.org/officeDocument/2006/relationships/ctrlProp" Target="../ctrlProps/ctrlProp275.xml"/><Relationship Id="rId14" Type="http://schemas.openxmlformats.org/officeDocument/2006/relationships/ctrlProp" Target="../ctrlProps/ctrlProp280.xml"/><Relationship Id="rId22" Type="http://schemas.openxmlformats.org/officeDocument/2006/relationships/ctrlProp" Target="../ctrlProps/ctrlProp28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87"/>
  <sheetViews>
    <sheetView showGridLines="0" showRowColHeaders="0" zoomScale="70" zoomScaleNormal="70" workbookViewId="0"/>
  </sheetViews>
  <sheetFormatPr defaultColWidth="0" defaultRowHeight="14.4" x14ac:dyDescent="0.3"/>
  <cols>
    <col min="1" max="1" width="3" style="13" customWidth="1"/>
    <col min="2" max="2" width="13.6640625" style="13" customWidth="1"/>
    <col min="3" max="3" width="25.33203125" style="13" customWidth="1"/>
    <col min="4" max="16" width="9.6640625" style="13" customWidth="1"/>
    <col min="17" max="17" width="12.33203125" style="13" customWidth="1"/>
    <col min="18" max="38" width="12.33203125" style="13" hidden="1" customWidth="1"/>
    <col min="39" max="39" width="12.33203125" style="214" hidden="1" customWidth="1"/>
    <col min="40" max="48" width="12.33203125" style="13" hidden="1" customWidth="1"/>
    <col min="49" max="49" width="3" style="13" customWidth="1"/>
    <col min="50" max="16384" width="9.33203125" style="13" hidden="1"/>
  </cols>
  <sheetData>
    <row r="1" spans="1:44" ht="43.5" customHeight="1" x14ac:dyDescent="0.3">
      <c r="A1" s="146"/>
      <c r="Q1" s="74" t="s">
        <v>198</v>
      </c>
      <c r="S1" s="13" t="s">
        <v>197</v>
      </c>
      <c r="Z1" s="13">
        <v>0</v>
      </c>
      <c r="AA1" s="13" t="s">
        <v>442</v>
      </c>
      <c r="AB1" s="13" t="s">
        <v>442</v>
      </c>
      <c r="AC1" s="347" t="s">
        <v>240</v>
      </c>
      <c r="AD1" s="347"/>
      <c r="AE1" s="347"/>
      <c r="AG1" s="13" t="s">
        <v>239</v>
      </c>
      <c r="AN1" s="347" t="s">
        <v>303</v>
      </c>
      <c r="AO1" s="347"/>
      <c r="AP1" s="347"/>
      <c r="AQ1" s="13">
        <v>0</v>
      </c>
      <c r="AR1" s="13" t="s">
        <v>304</v>
      </c>
    </row>
    <row r="2" spans="1:44" ht="72" customHeight="1" x14ac:dyDescent="0.3">
      <c r="B2" s="215"/>
      <c r="Q2" s="74" t="s">
        <v>18</v>
      </c>
      <c r="R2" s="13">
        <v>10</v>
      </c>
      <c r="S2" s="13" t="s">
        <v>20</v>
      </c>
      <c r="W2" s="13">
        <v>1</v>
      </c>
      <c r="X2" s="13" t="s">
        <v>39</v>
      </c>
      <c r="Z2" s="13">
        <v>1</v>
      </c>
      <c r="AA2" s="13" t="s">
        <v>430</v>
      </c>
      <c r="AB2" s="13" t="s">
        <v>430</v>
      </c>
    </row>
    <row r="3" spans="1:44" ht="30.75" customHeight="1" thickBot="1" x14ac:dyDescent="0.35">
      <c r="A3" s="22"/>
      <c r="B3" s="266" t="s">
        <v>1084</v>
      </c>
      <c r="D3" s="362" t="s">
        <v>443</v>
      </c>
      <c r="E3" s="363"/>
      <c r="F3" s="363"/>
      <c r="G3" s="363"/>
      <c r="H3" s="364"/>
      <c r="Q3" s="74" t="s">
        <v>17</v>
      </c>
      <c r="R3" s="13" t="s">
        <v>768</v>
      </c>
      <c r="S3" s="13" t="s">
        <v>21</v>
      </c>
      <c r="Z3" s="13">
        <v>2</v>
      </c>
      <c r="AA3" s="13" t="s">
        <v>25</v>
      </c>
      <c r="AB3" s="13" t="s">
        <v>25</v>
      </c>
    </row>
    <row r="4" spans="1:44" ht="21" customHeight="1" thickBot="1" x14ac:dyDescent="0.35">
      <c r="A4" s="23"/>
      <c r="B4" s="338"/>
      <c r="C4" s="261" t="s">
        <v>309</v>
      </c>
      <c r="D4" s="342" t="s">
        <v>1112</v>
      </c>
      <c r="E4" s="343"/>
      <c r="F4" s="343"/>
      <c r="G4" s="343"/>
      <c r="H4" s="344"/>
      <c r="J4" s="365" t="s">
        <v>43</v>
      </c>
      <c r="K4" s="365"/>
      <c r="L4" s="365"/>
      <c r="M4" s="365"/>
      <c r="N4" s="351" t="str">
        <f>work_out_display_name(T4)</f>
        <v xml:space="preserve">0 </v>
      </c>
      <c r="O4" s="352" t="s">
        <v>462</v>
      </c>
      <c r="P4" s="353" t="s">
        <v>462</v>
      </c>
      <c r="Q4" s="74" t="s">
        <v>33</v>
      </c>
      <c r="R4" s="13" t="s">
        <v>196</v>
      </c>
      <c r="S4" s="13" t="s">
        <v>34</v>
      </c>
      <c r="T4" s="216">
        <v>0</v>
      </c>
      <c r="U4" s="217" t="s">
        <v>445</v>
      </c>
      <c r="V4" s="218"/>
      <c r="W4" s="13" t="s">
        <v>1113</v>
      </c>
      <c r="X4" s="13" t="s">
        <v>37</v>
      </c>
      <c r="Z4" s="13">
        <v>3</v>
      </c>
      <c r="AA4" s="13" t="s">
        <v>46</v>
      </c>
      <c r="AB4" s="13" t="s">
        <v>30</v>
      </c>
    </row>
    <row r="5" spans="1:44" ht="21" customHeight="1" x14ac:dyDescent="0.3">
      <c r="A5" s="22"/>
      <c r="B5" s="338"/>
      <c r="C5" s="261" t="s">
        <v>310</v>
      </c>
      <c r="D5" s="339" t="s">
        <v>1128</v>
      </c>
      <c r="E5" s="340"/>
      <c r="F5" s="340"/>
      <c r="G5" s="340"/>
      <c r="H5" s="341"/>
      <c r="J5" s="365" t="s">
        <v>315</v>
      </c>
      <c r="K5" s="365"/>
      <c r="L5" s="365"/>
      <c r="M5" s="365"/>
      <c r="N5" s="346">
        <f>'Bulk Materials'!K5+Earthworks!K5+Fencing!K5+Drainage!K5+'Road Pavements'!K5+'Street Furniture'!K5+'Civils Structures'!K5+'Fuel and Energy'!K5+'Business Transport'!K5+Waste!K5</f>
        <v>0</v>
      </c>
      <c r="O5" s="346"/>
      <c r="P5" s="346"/>
      <c r="Q5" s="74" t="s">
        <v>36</v>
      </c>
      <c r="R5" s="13">
        <v>30</v>
      </c>
      <c r="S5" s="13" t="s">
        <v>35</v>
      </c>
      <c r="W5" s="13">
        <v>20261</v>
      </c>
      <c r="X5" s="13" t="s">
        <v>38</v>
      </c>
      <c r="Z5" s="13">
        <v>4</v>
      </c>
      <c r="AA5" s="13" t="s">
        <v>24</v>
      </c>
      <c r="AB5" s="13" t="s">
        <v>24</v>
      </c>
    </row>
    <row r="6" spans="1:44" ht="21" customHeight="1" x14ac:dyDescent="0.3">
      <c r="A6" s="22"/>
      <c r="C6" s="261" t="s">
        <v>746</v>
      </c>
      <c r="D6" s="339" t="s">
        <v>835</v>
      </c>
      <c r="E6" s="340"/>
      <c r="F6" s="340"/>
      <c r="G6" s="340"/>
      <c r="H6" s="341"/>
      <c r="J6" s="365" t="s">
        <v>316</v>
      </c>
      <c r="K6" s="365"/>
      <c r="L6" s="365"/>
      <c r="M6" s="365"/>
      <c r="N6" s="346">
        <f>SUMIFS('Entity datastore'!M:M,'Entity datastore'!AJ:AJ,99991231,'Entity datastore'!AF:AF,"&lt;&gt;2")+SUMIFS('Entity datastore'!Z:Z,'Entity datastore'!AJ:AJ,99991231,'Entity datastore'!AF:AF,"&lt;&gt;2")</f>
        <v>78.086150529999998</v>
      </c>
      <c r="O6" s="346"/>
      <c r="P6" s="346"/>
      <c r="Q6" s="74" t="s">
        <v>200</v>
      </c>
      <c r="R6" s="13">
        <v>1</v>
      </c>
      <c r="S6" s="13" t="s">
        <v>199</v>
      </c>
      <c r="Z6" s="13">
        <v>5</v>
      </c>
      <c r="AA6" s="13" t="s">
        <v>26</v>
      </c>
      <c r="AB6" s="13" t="s">
        <v>26</v>
      </c>
    </row>
    <row r="7" spans="1:44" ht="21" customHeight="1" x14ac:dyDescent="0.3">
      <c r="A7" s="22"/>
      <c r="C7" s="261" t="s">
        <v>780</v>
      </c>
      <c r="D7" s="339" t="s">
        <v>1131</v>
      </c>
      <c r="E7" s="340"/>
      <c r="F7" s="340"/>
      <c r="G7" s="340"/>
      <c r="H7" s="341"/>
      <c r="J7" s="366" t="s">
        <v>244</v>
      </c>
      <c r="K7" s="366"/>
      <c r="L7" s="366"/>
      <c r="M7" s="366"/>
      <c r="N7" s="348" t="str">
        <f>TEXT(DATE(MID(MAX('Entity datastore'!AK:AK),1,4),MID(MAX('Entity datastore'!AK:AK),5,2),MID(MAX('Entity datastore'!AK:AK),7,2)),"dd mmm yyyy")&amp;" at "&amp;MID(MAX('Entity datastore'!AK:AK),9,2)&amp;":"&amp;MID(MAX('Entity datastore'!AK:AK),11,2)</f>
        <v>16 Jan 2026 at 11:00</v>
      </c>
      <c r="O7" s="349"/>
      <c r="P7" s="350"/>
      <c r="Q7" s="74" t="s">
        <v>243</v>
      </c>
      <c r="R7" s="13" t="s">
        <v>241</v>
      </c>
      <c r="S7" s="13" t="s">
        <v>242</v>
      </c>
      <c r="Z7" s="13">
        <v>6</v>
      </c>
      <c r="AA7" s="13" t="s">
        <v>27</v>
      </c>
      <c r="AB7" s="13" t="s">
        <v>31</v>
      </c>
    </row>
    <row r="8" spans="1:44" ht="21" customHeight="1" x14ac:dyDescent="0.3">
      <c r="A8" s="24"/>
      <c r="C8" s="261" t="s">
        <v>781</v>
      </c>
      <c r="D8" s="339" t="s">
        <v>1132</v>
      </c>
      <c r="E8" s="340"/>
      <c r="F8" s="340"/>
      <c r="G8" s="340"/>
      <c r="H8" s="341"/>
      <c r="Q8" s="74" t="s">
        <v>630</v>
      </c>
      <c r="R8" s="13">
        <v>0</v>
      </c>
      <c r="S8" s="13" t="s">
        <v>629</v>
      </c>
      <c r="Z8" s="13">
        <v>7</v>
      </c>
      <c r="AA8" s="13" t="s">
        <v>28</v>
      </c>
      <c r="AB8" s="13" t="s">
        <v>32</v>
      </c>
    </row>
    <row r="9" spans="1:44" ht="21" customHeight="1" x14ac:dyDescent="0.3">
      <c r="C9" s="261" t="s">
        <v>326</v>
      </c>
      <c r="D9" s="339" t="s">
        <v>328</v>
      </c>
      <c r="E9" s="340"/>
      <c r="F9" s="340"/>
      <c r="G9" s="340"/>
      <c r="H9" s="341"/>
      <c r="N9" s="354" t="s">
        <v>596</v>
      </c>
      <c r="O9" s="355"/>
      <c r="P9" s="356"/>
      <c r="T9" s="13">
        <v>1</v>
      </c>
      <c r="U9" s="13" t="s">
        <v>444</v>
      </c>
      <c r="Z9" s="13">
        <v>8</v>
      </c>
      <c r="AA9" s="13" t="s">
        <v>551</v>
      </c>
      <c r="AB9" s="13" t="s">
        <v>595</v>
      </c>
      <c r="AF9" s="13">
        <v>0</v>
      </c>
    </row>
    <row r="10" spans="1:44" ht="21" customHeight="1" thickBot="1" x14ac:dyDescent="0.35">
      <c r="C10" s="261" t="s">
        <v>433</v>
      </c>
      <c r="D10" s="339" t="s">
        <v>627</v>
      </c>
      <c r="E10" s="340"/>
      <c r="F10" s="340"/>
      <c r="G10" s="340"/>
      <c r="H10" s="341"/>
      <c r="N10" s="357"/>
      <c r="O10" s="358"/>
      <c r="P10" s="359"/>
      <c r="Z10" s="13">
        <v>9</v>
      </c>
      <c r="AA10" s="13" t="s">
        <v>246</v>
      </c>
      <c r="AB10" s="13" t="s">
        <v>47</v>
      </c>
    </row>
    <row r="11" spans="1:44" ht="21" customHeight="1" thickBot="1" x14ac:dyDescent="0.35">
      <c r="C11" s="261" t="s">
        <v>435</v>
      </c>
      <c r="D11" s="339" t="s">
        <v>471</v>
      </c>
      <c r="E11" s="340"/>
      <c r="F11" s="340"/>
      <c r="G11" s="340"/>
      <c r="H11" s="341"/>
      <c r="N11" s="360"/>
      <c r="O11" s="360"/>
      <c r="P11" s="360"/>
      <c r="T11" s="219"/>
      <c r="U11" s="213" t="s">
        <v>614</v>
      </c>
      <c r="V11" s="220" t="b">
        <f>ISNUMBER(D13)</f>
        <v>1</v>
      </c>
      <c r="Z11" s="13">
        <v>10</v>
      </c>
      <c r="AA11" s="13" t="s">
        <v>29</v>
      </c>
      <c r="AB11" s="13" t="s">
        <v>29</v>
      </c>
    </row>
    <row r="12" spans="1:44" ht="21" customHeight="1" thickBot="1" x14ac:dyDescent="0.35">
      <c r="C12" s="261" t="s">
        <v>434</v>
      </c>
      <c r="D12" s="339" t="s">
        <v>152</v>
      </c>
      <c r="E12" s="340"/>
      <c r="F12" s="340"/>
      <c r="G12" s="340"/>
      <c r="H12" s="341"/>
      <c r="T12" s="219"/>
      <c r="U12" s="213" t="s">
        <v>618</v>
      </c>
      <c r="V12" s="220">
        <f>date_check(D14)</f>
        <v>0</v>
      </c>
    </row>
    <row r="13" spans="1:44" ht="21" customHeight="1" thickBot="1" x14ac:dyDescent="0.35">
      <c r="C13" s="261" t="str">
        <f>"Lane km "&amp;IF(D11="Construction works","Constructed:","Maintained:")</f>
        <v>Lane km Maintained:</v>
      </c>
      <c r="D13" s="376">
        <v>2297</v>
      </c>
      <c r="E13" s="377"/>
      <c r="F13" s="377"/>
      <c r="G13" s="377"/>
      <c r="H13" s="378"/>
      <c r="M13" s="249" t="s">
        <v>617</v>
      </c>
      <c r="T13" s="219"/>
      <c r="U13" s="213" t="s">
        <v>619</v>
      </c>
      <c r="V13" s="220">
        <f>date_check(D15)</f>
        <v>0</v>
      </c>
      <c r="W13" s="13">
        <f>V12+V13</f>
        <v>0</v>
      </c>
    </row>
    <row r="14" spans="1:44" ht="21" customHeight="1" thickBot="1" x14ac:dyDescent="0.35">
      <c r="C14" s="261" t="s">
        <v>311</v>
      </c>
      <c r="D14" s="370">
        <v>45985</v>
      </c>
      <c r="E14" s="371"/>
      <c r="F14" s="371"/>
      <c r="G14" s="371"/>
      <c r="H14" s="372"/>
      <c r="M14" s="278" t="s">
        <v>728</v>
      </c>
      <c r="T14" s="219"/>
      <c r="U14" s="213" t="s">
        <v>616</v>
      </c>
      <c r="V14" s="220" t="b">
        <f>ISNUMBER(D16)</f>
        <v>1</v>
      </c>
    </row>
    <row r="15" spans="1:44" ht="21" customHeight="1" x14ac:dyDescent="0.3">
      <c r="C15" s="261" t="s">
        <v>312</v>
      </c>
      <c r="D15" s="370">
        <v>45994</v>
      </c>
      <c r="E15" s="371"/>
      <c r="F15" s="371"/>
      <c r="G15" s="371"/>
      <c r="H15" s="372"/>
      <c r="M15" s="278"/>
    </row>
    <row r="16" spans="1:44" ht="21" customHeight="1" x14ac:dyDescent="0.3">
      <c r="C16" s="261" t="s">
        <v>625</v>
      </c>
      <c r="D16" s="373">
        <v>285117</v>
      </c>
      <c r="E16" s="374"/>
      <c r="F16" s="374"/>
      <c r="G16" s="374"/>
      <c r="H16" s="375"/>
      <c r="M16" s="278"/>
    </row>
    <row r="17" spans="1:40" ht="76.5" customHeight="1" x14ac:dyDescent="0.3">
      <c r="C17" s="261" t="s">
        <v>779</v>
      </c>
      <c r="D17" s="367" t="s">
        <v>1126</v>
      </c>
      <c r="E17" s="368"/>
      <c r="F17" s="368"/>
      <c r="G17" s="368"/>
      <c r="H17" s="369"/>
      <c r="M17" s="278"/>
    </row>
    <row r="18" spans="1:40" ht="21" customHeight="1" x14ac:dyDescent="0.3">
      <c r="J18" s="282"/>
      <c r="N18" s="146" t="s">
        <v>778</v>
      </c>
    </row>
    <row r="19" spans="1:40" ht="15" hidden="1" thickBot="1" x14ac:dyDescent="0.35"/>
    <row r="20" spans="1:40" ht="15" hidden="1" thickBot="1" x14ac:dyDescent="0.35">
      <c r="AA20" s="221" t="s">
        <v>447</v>
      </c>
      <c r="AB20" s="222">
        <v>1</v>
      </c>
      <c r="AC20" s="222">
        <v>1</v>
      </c>
      <c r="AD20" s="222">
        <v>1</v>
      </c>
      <c r="AE20" s="222">
        <v>1</v>
      </c>
      <c r="AF20" s="222">
        <v>1</v>
      </c>
      <c r="AG20" s="222">
        <v>1</v>
      </c>
      <c r="AH20" s="222">
        <v>1</v>
      </c>
      <c r="AI20" s="222">
        <v>1</v>
      </c>
      <c r="AJ20" s="222">
        <v>1</v>
      </c>
      <c r="AK20" s="223">
        <v>1</v>
      </c>
    </row>
    <row r="21" spans="1:40" hidden="1" x14ac:dyDescent="0.3"/>
    <row r="22" spans="1:40" hidden="1" x14ac:dyDescent="0.3">
      <c r="N22" s="224"/>
      <c r="AA22" s="225" t="s">
        <v>792</v>
      </c>
      <c r="AB22" s="225" t="s">
        <v>782</v>
      </c>
      <c r="AC22" s="225" t="s">
        <v>783</v>
      </c>
      <c r="AD22" s="225" t="s">
        <v>784</v>
      </c>
      <c r="AE22" s="225" t="s">
        <v>785</v>
      </c>
      <c r="AF22" s="225" t="s">
        <v>786</v>
      </c>
      <c r="AG22" s="225" t="s">
        <v>787</v>
      </c>
      <c r="AH22" s="225" t="s">
        <v>788</v>
      </c>
      <c r="AI22" s="225" t="s">
        <v>789</v>
      </c>
      <c r="AJ22" s="225" t="s">
        <v>790</v>
      </c>
      <c r="AK22" s="225" t="s">
        <v>791</v>
      </c>
    </row>
    <row r="23" spans="1:40" x14ac:dyDescent="0.3">
      <c r="B23" s="15"/>
      <c r="C23" s="15"/>
      <c r="D23" s="361" t="s">
        <v>446</v>
      </c>
      <c r="E23" s="361"/>
      <c r="F23" s="361"/>
      <c r="G23" s="361"/>
      <c r="H23" s="361"/>
      <c r="I23" s="361"/>
      <c r="J23" s="361"/>
      <c r="K23" s="361"/>
      <c r="L23" s="361"/>
      <c r="M23" s="361"/>
      <c r="N23" s="16"/>
      <c r="O23" s="15"/>
      <c r="P23" s="15"/>
      <c r="Q23" s="15"/>
      <c r="AA23" s="226" t="s">
        <v>792</v>
      </c>
      <c r="AB23" s="226" t="s">
        <v>782</v>
      </c>
      <c r="AC23" s="226" t="s">
        <v>783</v>
      </c>
      <c r="AD23" s="226" t="s">
        <v>784</v>
      </c>
      <c r="AE23" s="226" t="s">
        <v>785</v>
      </c>
      <c r="AF23" s="226" t="s">
        <v>786</v>
      </c>
      <c r="AG23" s="226" t="s">
        <v>787</v>
      </c>
      <c r="AH23" s="226" t="s">
        <v>788</v>
      </c>
      <c r="AI23" s="226" t="s">
        <v>789</v>
      </c>
      <c r="AJ23" s="226" t="s">
        <v>790</v>
      </c>
      <c r="AK23" s="226" t="s">
        <v>791</v>
      </c>
      <c r="AL23" s="227"/>
      <c r="AM23" s="228"/>
      <c r="AN23" s="227"/>
    </row>
    <row r="24" spans="1:40" ht="66" customHeight="1" x14ac:dyDescent="0.3">
      <c r="A24" s="229"/>
      <c r="B24" s="326" t="s">
        <v>463</v>
      </c>
      <c r="C24" s="327" t="s">
        <v>461</v>
      </c>
      <c r="D24" s="328" t="str">
        <f>IF(VLOOKUP($AA24,$AA:$AK,1,FALSE)=$AA24,IF(VLOOKUP($AA24,$AA:$AK,2,FALSE)=1,"Complete","-"),"-")</f>
        <v>-</v>
      </c>
      <c r="E24" s="328" t="str">
        <f>IF(VLOOKUP($AA24,$AA:$AK,1,FALSE)=$AA24,IF(VLOOKUP($AA24,$AA:$AK,3,FALSE)=1,"Complete","-"),"-")</f>
        <v>-</v>
      </c>
      <c r="F24" s="328" t="str">
        <f>IF(VLOOKUP($AA24,$AA:$AK,1,FALSE)=$AA24,IF(VLOOKUP($AA24,$AA:$AK,4,FALSE)=1,"Complete","-"),"-")</f>
        <v>-</v>
      </c>
      <c r="G24" s="328" t="str">
        <f>IF(VLOOKUP($AA24,$AA:$AK,1,FALSE)=$AA24,IF(VLOOKUP($AA24,$AA:$AK,5,FALSE)=1,"Complete","-"),"-")</f>
        <v>-</v>
      </c>
      <c r="H24" s="328" t="str">
        <f>IF(VLOOKUP($AA24,$AA:$AK,1,FALSE)=$AA24,IF(VLOOKUP($AA24,$AA:$AK,6,FALSE)=1,"Complete","-"),"-")</f>
        <v>-</v>
      </c>
      <c r="I24" s="328" t="str">
        <f>IF(VLOOKUP($AA24,$AA:$AK,1,FALSE)=$AA24,IF(VLOOKUP($AA24,$AA:$AK,7,FALSE)=1,"Complete","-"),"-")</f>
        <v>-</v>
      </c>
      <c r="J24" s="328" t="str">
        <f>IF(VLOOKUP($AA24,$AA:$AK,1,FALSE)=$AA24,IF(VLOOKUP($AA24,$AA:$AK,8,FALSE)=1,"Complete","-"),"-")</f>
        <v>-</v>
      </c>
      <c r="K24" s="328" t="str">
        <f>IF(VLOOKUP($AA24,$AA:$AK,1,FALSE)=$AA24,IF(VLOOKUP($AA24,$AA:$AK,9,FALSE)=1,"Complete","-"),"-")</f>
        <v>-</v>
      </c>
      <c r="L24" s="328" t="str">
        <f>IF(VLOOKUP($AA24,$AA:$AK,1,FALSE)=$AA24,IF(VLOOKUP($AA24,$AA:$AK,10,FALSE)=1,"Complete","-"),"-")</f>
        <v>-</v>
      </c>
      <c r="M24" s="328" t="str">
        <f>IF(VLOOKUP($AA24,$AA:$AK,1,FALSE)=$AA24,IF(VLOOKUP($AA24,$AA:$AK,11,FALSE)=1,"Complete","-"),"-")</f>
        <v>-</v>
      </c>
      <c r="N24" s="345" t="s">
        <v>14</v>
      </c>
      <c r="O24" s="345"/>
      <c r="P24" s="345"/>
      <c r="Q24" s="262" t="s">
        <v>626</v>
      </c>
      <c r="AA24" s="13" t="s">
        <v>7</v>
      </c>
      <c r="AB24" s="13" t="s">
        <v>9</v>
      </c>
      <c r="AC24" s="13" t="s">
        <v>10</v>
      </c>
      <c r="AD24" s="13" t="s">
        <v>11</v>
      </c>
      <c r="AE24" s="13" t="s">
        <v>12</v>
      </c>
      <c r="AF24" s="13" t="s">
        <v>13</v>
      </c>
      <c r="AG24" s="13" t="s">
        <v>15</v>
      </c>
      <c r="AH24" s="13" t="s">
        <v>16</v>
      </c>
      <c r="AI24" s="13" t="s">
        <v>19</v>
      </c>
      <c r="AJ24" s="13" t="s">
        <v>45</v>
      </c>
      <c r="AK24" s="13" t="s">
        <v>238</v>
      </c>
      <c r="AL24" s="13" t="s">
        <v>22</v>
      </c>
      <c r="AM24" s="214" t="s">
        <v>23</v>
      </c>
      <c r="AN24" s="13" t="s">
        <v>451</v>
      </c>
    </row>
    <row r="25" spans="1:40" ht="21" customHeight="1" x14ac:dyDescent="0.3">
      <c r="B25" s="337" t="s">
        <v>1115</v>
      </c>
      <c r="C25" s="321" t="str">
        <f>IF(SUM(AB25:AK25)&gt;=SUM($AB$20:$AK$20),"Complete", IF(SUM(AB25:AK25)&gt;0,"Partially Complete","Not Started"))</f>
        <v>Complete</v>
      </c>
      <c r="D25" s="323" t="str">
        <f>IF(VLOOKUP($AA25,$AA:$AK,1,FALSE)=$AA25,IF(VLOOKUP($AA25,$AA:$AK,2,FALSE)=1,"Complete","-"),"-")</f>
        <v>Complete</v>
      </c>
      <c r="E25" s="323" t="str">
        <f>IF(VLOOKUP($AA25,$AA:$AK,1,FALSE)=$AA25,IF(VLOOKUP($AA25,$AA:$AK,3,FALSE)=1,"Complete","-"),"-")</f>
        <v>Complete</v>
      </c>
      <c r="F25" s="323" t="str">
        <f>IF(VLOOKUP($AA25,$AA:$AK,1,FALSE)=$AA25,IF(VLOOKUP($AA25,$AA:$AK,4,FALSE)=1,"Complete","-"),"-")</f>
        <v>Complete</v>
      </c>
      <c r="G25" s="323" t="str">
        <f>IF(VLOOKUP($AA25,$AA:$AK,1,FALSE)=$AA25,IF(VLOOKUP($AA25,$AA:$AK,5,FALSE)=1,"Complete","-"),"-")</f>
        <v>Complete</v>
      </c>
      <c r="H25" s="323" t="str">
        <f>IF(VLOOKUP($AA25,$AA:$AK,1,FALSE)=$AA25,IF(VLOOKUP($AA25,$AA:$AK,6,FALSE)=1,"Complete","-"),"-")</f>
        <v>Complete</v>
      </c>
      <c r="I25" s="323" t="str">
        <f>IF(VLOOKUP($AA25,$AA:$AK,1,FALSE)=$AA25,IF(VLOOKUP($AA25,$AA:$AK,7,FALSE)=1,"Complete","-"),"-")</f>
        <v>Complete</v>
      </c>
      <c r="J25" s="323" t="str">
        <f>IF(VLOOKUP($AA25,$AA:$AK,1,FALSE)=$AA25,IF(VLOOKUP($AA25,$AA:$AK,8,FALSE)=1,"Complete","-"),"-")</f>
        <v>Complete</v>
      </c>
      <c r="K25" s="323" t="str">
        <f>IF(VLOOKUP($AA25,$AA:$AK,1,FALSE)=$AA25,IF(VLOOKUP($AA25,$AA:$AK,9,FALSE)=1,"Complete","-"),"-")</f>
        <v>Complete</v>
      </c>
      <c r="L25" s="323" t="str">
        <f>IF(VLOOKUP($AA25,$AA:$AK,1,FALSE)=$AA25,IF(VLOOKUP($AA25,$AA:$AK,10,FALSE)=1,"Complete","-"),"-")</f>
        <v>Complete</v>
      </c>
      <c r="M25" s="323" t="str">
        <f>IF(VLOOKUP($AA25,$AA:$AK,1,FALSE)=$AA25,IF(VLOOKUP($AA25,$AA:$AK,11,FALSE)=1,"Complete","-"),"-")</f>
        <v>Complete</v>
      </c>
      <c r="N25" s="322"/>
      <c r="O25" s="322"/>
      <c r="P25" s="322"/>
      <c r="Q25" s="324">
        <v>179418</v>
      </c>
      <c r="S25" s="13" t="s">
        <v>149</v>
      </c>
      <c r="AA25" s="13" t="s">
        <v>1113</v>
      </c>
      <c r="AB25" s="13">
        <v>1</v>
      </c>
      <c r="AC25" s="13">
        <v>1</v>
      </c>
      <c r="AD25" s="13">
        <v>1</v>
      </c>
      <c r="AE25" s="13">
        <v>1</v>
      </c>
      <c r="AF25" s="13">
        <v>1</v>
      </c>
      <c r="AG25" s="13">
        <v>1</v>
      </c>
      <c r="AH25" s="13">
        <v>1</v>
      </c>
      <c r="AI25" s="13">
        <v>1</v>
      </c>
      <c r="AJ25" s="13">
        <v>1</v>
      </c>
      <c r="AK25" s="13">
        <v>1</v>
      </c>
      <c r="AL25" s="13" t="s">
        <v>1114</v>
      </c>
      <c r="AM25" s="214">
        <v>20260116091446</v>
      </c>
      <c r="AN25" s="325">
        <v>179418</v>
      </c>
    </row>
    <row r="26" spans="1:40" x14ac:dyDescent="0.3">
      <c r="S26" s="13" t="s">
        <v>150</v>
      </c>
    </row>
    <row r="27" spans="1:40" x14ac:dyDescent="0.3">
      <c r="S27" s="13" t="s">
        <v>151</v>
      </c>
    </row>
    <row r="28" spans="1:40" x14ac:dyDescent="0.3">
      <c r="R28" s="13" t="s">
        <v>306</v>
      </c>
      <c r="S28" s="13" t="s">
        <v>152</v>
      </c>
    </row>
    <row r="29" spans="1:40" x14ac:dyDescent="0.3">
      <c r="S29" s="13" t="s">
        <v>153</v>
      </c>
    </row>
    <row r="30" spans="1:40" x14ac:dyDescent="0.3">
      <c r="S30" s="13" t="s">
        <v>154</v>
      </c>
    </row>
    <row r="31" spans="1:40" x14ac:dyDescent="0.3">
      <c r="S31" s="13" t="s">
        <v>155</v>
      </c>
    </row>
    <row r="32" spans="1:40" x14ac:dyDescent="0.3">
      <c r="S32" s="13" t="s">
        <v>156</v>
      </c>
    </row>
    <row r="33" spans="18:27" x14ac:dyDescent="0.3">
      <c r="R33" s="13" t="s">
        <v>157</v>
      </c>
      <c r="S33" s="13" t="s">
        <v>158</v>
      </c>
    </row>
    <row r="34" spans="18:27" x14ac:dyDescent="0.3">
      <c r="S34" s="13" t="s">
        <v>159</v>
      </c>
    </row>
    <row r="35" spans="18:27" x14ac:dyDescent="0.3">
      <c r="R35" s="13" t="s">
        <v>307</v>
      </c>
      <c r="S35" s="13" t="s">
        <v>160</v>
      </c>
    </row>
    <row r="36" spans="18:27" x14ac:dyDescent="0.3">
      <c r="S36" s="13" t="s">
        <v>161</v>
      </c>
    </row>
    <row r="37" spans="18:27" x14ac:dyDescent="0.3">
      <c r="S37" s="13" t="s">
        <v>162</v>
      </c>
    </row>
    <row r="38" spans="18:27" x14ac:dyDescent="0.3">
      <c r="S38" s="13" t="s">
        <v>163</v>
      </c>
    </row>
    <row r="39" spans="18:27" x14ac:dyDescent="0.3">
      <c r="S39" s="13" t="s">
        <v>164</v>
      </c>
    </row>
    <row r="40" spans="18:27" x14ac:dyDescent="0.3">
      <c r="S40" s="13" t="s">
        <v>165</v>
      </c>
    </row>
    <row r="41" spans="18:27" x14ac:dyDescent="0.3">
      <c r="S41" s="13" t="s">
        <v>166</v>
      </c>
    </row>
    <row r="42" spans="18:27" x14ac:dyDescent="0.3">
      <c r="S42" s="13" t="s">
        <v>167</v>
      </c>
    </row>
    <row r="43" spans="18:27" x14ac:dyDescent="0.3">
      <c r="S43" s="13" t="s">
        <v>168</v>
      </c>
    </row>
    <row r="44" spans="18:27" x14ac:dyDescent="0.3">
      <c r="S44" s="13" t="s">
        <v>169</v>
      </c>
    </row>
    <row r="45" spans="18:27" x14ac:dyDescent="0.3">
      <c r="S45" s="13" t="s">
        <v>170</v>
      </c>
      <c r="AA45" s="146"/>
    </row>
    <row r="46" spans="18:27" x14ac:dyDescent="0.3">
      <c r="S46" s="13" t="s">
        <v>171</v>
      </c>
    </row>
    <row r="47" spans="18:27" x14ac:dyDescent="0.3">
      <c r="R47" s="13" t="s">
        <v>308</v>
      </c>
      <c r="S47" s="13" t="s">
        <v>172</v>
      </c>
    </row>
    <row r="48" spans="18:27" x14ac:dyDescent="0.3">
      <c r="S48" s="13" t="s">
        <v>173</v>
      </c>
    </row>
    <row r="49" spans="18:27" x14ac:dyDescent="0.3">
      <c r="S49" s="13" t="s">
        <v>174</v>
      </c>
    </row>
    <row r="50" spans="18:27" x14ac:dyDescent="0.3">
      <c r="S50" s="13" t="s">
        <v>175</v>
      </c>
    </row>
    <row r="51" spans="18:27" x14ac:dyDescent="0.3">
      <c r="AA51" s="224"/>
    </row>
    <row r="52" spans="18:27" x14ac:dyDescent="0.3">
      <c r="R52" s="13" t="s">
        <v>176</v>
      </c>
      <c r="AA52" s="224"/>
    </row>
    <row r="53" spans="18:27" x14ac:dyDescent="0.3">
      <c r="R53" s="13" t="s">
        <v>137</v>
      </c>
      <c r="S53" s="13" t="s">
        <v>177</v>
      </c>
      <c r="AA53" s="230"/>
    </row>
    <row r="54" spans="18:27" x14ac:dyDescent="0.3">
      <c r="R54" s="13" t="s">
        <v>178</v>
      </c>
      <c r="S54" s="13" t="s">
        <v>179</v>
      </c>
    </row>
    <row r="55" spans="18:27" x14ac:dyDescent="0.3">
      <c r="S55" s="13" t="s">
        <v>180</v>
      </c>
    </row>
    <row r="56" spans="18:27" x14ac:dyDescent="0.3">
      <c r="R56" s="13" t="s">
        <v>181</v>
      </c>
      <c r="S56" s="13" t="s">
        <v>179</v>
      </c>
    </row>
    <row r="57" spans="18:27" x14ac:dyDescent="0.3">
      <c r="S57" s="13" t="s">
        <v>180</v>
      </c>
    </row>
    <row r="58" spans="18:27" x14ac:dyDescent="0.3">
      <c r="R58" s="13" t="s">
        <v>182</v>
      </c>
      <c r="S58" s="13" t="s">
        <v>179</v>
      </c>
    </row>
    <row r="59" spans="18:27" x14ac:dyDescent="0.3">
      <c r="S59" s="13" t="s">
        <v>180</v>
      </c>
    </row>
    <row r="60" spans="18:27" x14ac:dyDescent="0.3">
      <c r="R60" s="13" t="s">
        <v>183</v>
      </c>
      <c r="S60" s="13" t="s">
        <v>179</v>
      </c>
    </row>
    <row r="61" spans="18:27" x14ac:dyDescent="0.3">
      <c r="S61" s="13" t="s">
        <v>180</v>
      </c>
    </row>
    <row r="62" spans="18:27" x14ac:dyDescent="0.3">
      <c r="R62" s="13" t="s">
        <v>184</v>
      </c>
      <c r="S62" s="13" t="s">
        <v>179</v>
      </c>
    </row>
    <row r="63" spans="18:27" x14ac:dyDescent="0.3">
      <c r="S63" s="13" t="s">
        <v>180</v>
      </c>
    </row>
    <row r="64" spans="18:27" x14ac:dyDescent="0.3">
      <c r="R64" s="13" t="s">
        <v>185</v>
      </c>
      <c r="S64" s="13" t="s">
        <v>179</v>
      </c>
    </row>
    <row r="65" spans="19:27" x14ac:dyDescent="0.3">
      <c r="S65" s="13" t="s">
        <v>180</v>
      </c>
      <c r="AA65" s="231"/>
    </row>
    <row r="85" spans="27:27" x14ac:dyDescent="0.3">
      <c r="AA85" s="232"/>
    </row>
    <row r="86" spans="27:27" x14ac:dyDescent="0.3">
      <c r="AA86" s="232"/>
    </row>
    <row r="87" spans="27:27" x14ac:dyDescent="0.3">
      <c r="AA87" s="232"/>
    </row>
  </sheetData>
  <sheetProtection algorithmName="SHA-512" hashValue="7oaYs1ALNVyU/YVIflcVPc6RU4XcQ+my+CkKIvv10s18E4ncN0bX+dvUtsQ5Mvuzj++5q9PiNMOT6HQPeD0INw==" saltValue="dUn5X2jyCVuNqrMnFLJ4ug==" spinCount="100000" sheet="1" objects="1" scenarios="1"/>
  <sortState xmlns:xlrd2="http://schemas.microsoft.com/office/spreadsheetml/2017/richdata2" ref="AA25:AN26">
    <sortCondition ref="AL25"/>
  </sortState>
  <dataConsolidate/>
  <mergeCells count="30">
    <mergeCell ref="D23:M23"/>
    <mergeCell ref="D3:H3"/>
    <mergeCell ref="J4:M4"/>
    <mergeCell ref="J5:M5"/>
    <mergeCell ref="J6:M6"/>
    <mergeCell ref="J7:M7"/>
    <mergeCell ref="D6:H6"/>
    <mergeCell ref="D17:H17"/>
    <mergeCell ref="D15:H15"/>
    <mergeCell ref="D16:H16"/>
    <mergeCell ref="D11:H11"/>
    <mergeCell ref="D12:H12"/>
    <mergeCell ref="D13:H13"/>
    <mergeCell ref="D14:H14"/>
    <mergeCell ref="D8:H8"/>
    <mergeCell ref="N24:P24"/>
    <mergeCell ref="N5:P5"/>
    <mergeCell ref="N6:P6"/>
    <mergeCell ref="AN1:AP1"/>
    <mergeCell ref="AC1:AE1"/>
    <mergeCell ref="N7:P7"/>
    <mergeCell ref="N4:P4"/>
    <mergeCell ref="N9:P10"/>
    <mergeCell ref="N11:P11"/>
    <mergeCell ref="B4:B5"/>
    <mergeCell ref="D9:H9"/>
    <mergeCell ref="D4:H4"/>
    <mergeCell ref="D5:H5"/>
    <mergeCell ref="D10:H10"/>
    <mergeCell ref="D7:H7"/>
  </mergeCells>
  <conditionalFormatting sqref="C12:D12">
    <cfRule type="expression" dxfId="89" priority="635">
      <formula>$D$11="Maintenance Works"</formula>
    </cfRule>
  </conditionalFormatting>
  <conditionalFormatting sqref="N7:P7">
    <cfRule type="expression" dxfId="88" priority="439">
      <formula>ISERROR(N7)</formula>
    </cfRule>
  </conditionalFormatting>
  <conditionalFormatting sqref="T4:V4">
    <cfRule type="cellIs" dxfId="87" priority="438" operator="equal">
      <formula>0</formula>
    </cfRule>
  </conditionalFormatting>
  <conditionalFormatting sqref="M14:M17">
    <cfRule type="expression" dxfId="86" priority="259">
      <formula>$V$14=FALSE</formula>
    </cfRule>
  </conditionalFormatting>
  <conditionalFormatting sqref="D17:H17 D16">
    <cfRule type="expression" dxfId="85" priority="258">
      <formula>$V$14=FALSE</formula>
    </cfRule>
  </conditionalFormatting>
  <conditionalFormatting sqref="D14:D15">
    <cfRule type="expression" dxfId="84" priority="253">
      <formula>$W$13&gt;0</formula>
    </cfRule>
  </conditionalFormatting>
  <conditionalFormatting sqref="M13">
    <cfRule type="expression" dxfId="83" priority="252">
      <formula>$W$13&gt;0</formula>
    </cfRule>
  </conditionalFormatting>
  <conditionalFormatting sqref="C11:D13">
    <cfRule type="expression" dxfId="82" priority="15">
      <formula>$D$6="Asset Delivery"</formula>
    </cfRule>
  </conditionalFormatting>
  <conditionalFormatting sqref="D7">
    <cfRule type="expression" dxfId="81" priority="12">
      <formula>ISBLANK($D$7)</formula>
    </cfRule>
  </conditionalFormatting>
  <conditionalFormatting sqref="D8">
    <cfRule type="expression" dxfId="80" priority="11">
      <formula>ISBLANK($D$8)</formula>
    </cfRule>
  </conditionalFormatting>
  <conditionalFormatting sqref="B25:P25">
    <cfRule type="cellIs" dxfId="31" priority="636" stopIfTrue="1" operator="equal">
      <formula>"Complete"</formula>
    </cfRule>
  </conditionalFormatting>
  <dataValidations count="2">
    <dataValidation type="list" allowBlank="1" showInputMessage="1" showErrorMessage="1" sqref="D7:H7" xr:uid="{C3FDEB7F-6E67-4BA0-8406-B7BAF080D004}">
      <formula1>"N/A ,1, 2, 3, 4, 5, 6, 7"</formula1>
    </dataValidation>
    <dataValidation type="list" allowBlank="1" showInputMessage="1" showErrorMessage="1" sqref="D8:H8" xr:uid="{A6D21E2B-B1A8-4D83-8FF1-4F6A795AF281}">
      <formula1>"N/A, 0, 1, 2, 3, 4, 5, 6"</formula1>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_new_return">
                <anchor>
                  <from>
                    <xdr:col>9</xdr:col>
                    <xdr:colOff>0</xdr:colOff>
                    <xdr:row>7</xdr:row>
                    <xdr:rowOff>220980</xdr:rowOff>
                  </from>
                  <to>
                    <xdr:col>11</xdr:col>
                    <xdr:colOff>601980</xdr:colOff>
                    <xdr:row>9</xdr:row>
                    <xdr:rowOff>106680</xdr:rowOff>
                  </to>
                </anchor>
              </controlPr>
            </control>
          </mc:Choice>
        </mc:AlternateContent>
        <mc:AlternateContent xmlns:mc="http://schemas.openxmlformats.org/markup-compatibility/2006">
          <mc:Choice Requires="x14">
            <control shapeId="14338" r:id="rId5" name="Button 2">
              <controlPr defaultSize="0" print="0" autoFill="0" autoPict="0" macro="[0]!create_export_file">
                <anchor>
                  <from>
                    <xdr:col>9</xdr:col>
                    <xdr:colOff>0</xdr:colOff>
                    <xdr:row>10</xdr:row>
                    <xdr:rowOff>30480</xdr:rowOff>
                  </from>
                  <to>
                    <xdr:col>11</xdr:col>
                    <xdr:colOff>601980</xdr:colOff>
                    <xdr:row>11</xdr:row>
                    <xdr:rowOff>182880</xdr:rowOff>
                  </to>
                </anchor>
              </controlPr>
            </control>
          </mc:Choice>
        </mc:AlternateContent>
        <mc:AlternateContent xmlns:mc="http://schemas.openxmlformats.org/markup-compatibility/2006">
          <mc:Choice Requires="x14">
            <control shapeId="14344" r:id="rId6" name="Button 8">
              <controlPr defaultSize="0" print="0" autoFill="0" autoPict="0" macro="[0]!ThisWorkbook.Workbook_Open">
                <anchor moveWithCells="1" sizeWithCells="1">
                  <from>
                    <xdr:col>17</xdr:col>
                    <xdr:colOff>449580</xdr:colOff>
                    <xdr:row>23</xdr:row>
                    <xdr:rowOff>259080</xdr:rowOff>
                  </from>
                  <to>
                    <xdr:col>20</xdr:col>
                    <xdr:colOff>106680</xdr:colOff>
                    <xdr:row>23</xdr:row>
                    <xdr:rowOff>487680</xdr:rowOff>
                  </to>
                </anchor>
              </controlPr>
            </control>
          </mc:Choice>
        </mc:AlternateContent>
        <mc:AlternateContent xmlns:mc="http://schemas.openxmlformats.org/markup-compatibility/2006">
          <mc:Choice Requires="x14">
            <control shapeId="385445" r:id="rId7" name="category_1">
              <controlPr defaultSize="0" print="0" autoFill="0" autoPict="0" macro="[0]!grey_out_caller">
                <anchor>
                  <from>
                    <xdr:col>3</xdr:col>
                    <xdr:colOff>30480</xdr:colOff>
                    <xdr:row>23</xdr:row>
                    <xdr:rowOff>30480</xdr:rowOff>
                  </from>
                  <to>
                    <xdr:col>4</xdr:col>
                    <xdr:colOff>0</xdr:colOff>
                    <xdr:row>23</xdr:row>
                    <xdr:rowOff>830580</xdr:rowOff>
                  </to>
                </anchor>
              </controlPr>
            </control>
          </mc:Choice>
        </mc:AlternateContent>
        <mc:AlternateContent xmlns:mc="http://schemas.openxmlformats.org/markup-compatibility/2006">
          <mc:Choice Requires="x14">
            <control shapeId="385446" r:id="rId8" name="category_2">
              <controlPr defaultSize="0" print="0" autoFill="0" autoPict="0" macro="[0]!grey_out_caller">
                <anchor>
                  <from>
                    <xdr:col>4</xdr:col>
                    <xdr:colOff>30480</xdr:colOff>
                    <xdr:row>23</xdr:row>
                    <xdr:rowOff>30480</xdr:rowOff>
                  </from>
                  <to>
                    <xdr:col>5</xdr:col>
                    <xdr:colOff>0</xdr:colOff>
                    <xdr:row>23</xdr:row>
                    <xdr:rowOff>830580</xdr:rowOff>
                  </to>
                </anchor>
              </controlPr>
            </control>
          </mc:Choice>
        </mc:AlternateContent>
        <mc:AlternateContent xmlns:mc="http://schemas.openxmlformats.org/markup-compatibility/2006">
          <mc:Choice Requires="x14">
            <control shapeId="385447" r:id="rId9" name="category_3">
              <controlPr defaultSize="0" print="0" autoFill="0" autoPict="0" macro="[0]!grey_out_caller">
                <anchor>
                  <from>
                    <xdr:col>5</xdr:col>
                    <xdr:colOff>30480</xdr:colOff>
                    <xdr:row>23</xdr:row>
                    <xdr:rowOff>30480</xdr:rowOff>
                  </from>
                  <to>
                    <xdr:col>6</xdr:col>
                    <xdr:colOff>0</xdr:colOff>
                    <xdr:row>23</xdr:row>
                    <xdr:rowOff>830580</xdr:rowOff>
                  </to>
                </anchor>
              </controlPr>
            </control>
          </mc:Choice>
        </mc:AlternateContent>
        <mc:AlternateContent xmlns:mc="http://schemas.openxmlformats.org/markup-compatibility/2006">
          <mc:Choice Requires="x14">
            <control shapeId="385448" r:id="rId10" name="category_4">
              <controlPr defaultSize="0" print="0" autoFill="0" autoPict="0" macro="[0]!grey_out_caller">
                <anchor>
                  <from>
                    <xdr:col>6</xdr:col>
                    <xdr:colOff>30480</xdr:colOff>
                    <xdr:row>23</xdr:row>
                    <xdr:rowOff>30480</xdr:rowOff>
                  </from>
                  <to>
                    <xdr:col>7</xdr:col>
                    <xdr:colOff>0</xdr:colOff>
                    <xdr:row>23</xdr:row>
                    <xdr:rowOff>830580</xdr:rowOff>
                  </to>
                </anchor>
              </controlPr>
            </control>
          </mc:Choice>
        </mc:AlternateContent>
        <mc:AlternateContent xmlns:mc="http://schemas.openxmlformats.org/markup-compatibility/2006">
          <mc:Choice Requires="x14">
            <control shapeId="385449" r:id="rId11" name="category_5">
              <controlPr defaultSize="0" print="0" autoFill="0" autoPict="0" macro="[0]!grey_out_caller">
                <anchor>
                  <from>
                    <xdr:col>7</xdr:col>
                    <xdr:colOff>30480</xdr:colOff>
                    <xdr:row>23</xdr:row>
                    <xdr:rowOff>30480</xdr:rowOff>
                  </from>
                  <to>
                    <xdr:col>8</xdr:col>
                    <xdr:colOff>0</xdr:colOff>
                    <xdr:row>23</xdr:row>
                    <xdr:rowOff>830580</xdr:rowOff>
                  </to>
                </anchor>
              </controlPr>
            </control>
          </mc:Choice>
        </mc:AlternateContent>
        <mc:AlternateContent xmlns:mc="http://schemas.openxmlformats.org/markup-compatibility/2006">
          <mc:Choice Requires="x14">
            <control shapeId="385450" r:id="rId12" name="category_6">
              <controlPr defaultSize="0" print="0" autoFill="0" autoPict="0" macro="[0]!grey_out_caller">
                <anchor>
                  <from>
                    <xdr:col>8</xdr:col>
                    <xdr:colOff>30480</xdr:colOff>
                    <xdr:row>23</xdr:row>
                    <xdr:rowOff>30480</xdr:rowOff>
                  </from>
                  <to>
                    <xdr:col>9</xdr:col>
                    <xdr:colOff>0</xdr:colOff>
                    <xdr:row>23</xdr:row>
                    <xdr:rowOff>830580</xdr:rowOff>
                  </to>
                </anchor>
              </controlPr>
            </control>
          </mc:Choice>
        </mc:AlternateContent>
        <mc:AlternateContent xmlns:mc="http://schemas.openxmlformats.org/markup-compatibility/2006">
          <mc:Choice Requires="x14">
            <control shapeId="385451" r:id="rId13" name="category_7">
              <controlPr defaultSize="0" print="0" autoFill="0" autoPict="0" macro="[0]!grey_out_caller">
                <anchor>
                  <from>
                    <xdr:col>9</xdr:col>
                    <xdr:colOff>30480</xdr:colOff>
                    <xdr:row>23</xdr:row>
                    <xdr:rowOff>30480</xdr:rowOff>
                  </from>
                  <to>
                    <xdr:col>10</xdr:col>
                    <xdr:colOff>0</xdr:colOff>
                    <xdr:row>23</xdr:row>
                    <xdr:rowOff>830580</xdr:rowOff>
                  </to>
                </anchor>
              </controlPr>
            </control>
          </mc:Choice>
        </mc:AlternateContent>
        <mc:AlternateContent xmlns:mc="http://schemas.openxmlformats.org/markup-compatibility/2006">
          <mc:Choice Requires="x14">
            <control shapeId="385452" r:id="rId14" name="category_8">
              <controlPr defaultSize="0" print="0" autoFill="0" autoPict="0" macro="[0]!grey_out_caller">
                <anchor>
                  <from>
                    <xdr:col>10</xdr:col>
                    <xdr:colOff>30480</xdr:colOff>
                    <xdr:row>23</xdr:row>
                    <xdr:rowOff>30480</xdr:rowOff>
                  </from>
                  <to>
                    <xdr:col>11</xdr:col>
                    <xdr:colOff>0</xdr:colOff>
                    <xdr:row>23</xdr:row>
                    <xdr:rowOff>830580</xdr:rowOff>
                  </to>
                </anchor>
              </controlPr>
            </control>
          </mc:Choice>
        </mc:AlternateContent>
        <mc:AlternateContent xmlns:mc="http://schemas.openxmlformats.org/markup-compatibility/2006">
          <mc:Choice Requires="x14">
            <control shapeId="385453" r:id="rId15" name="category_9">
              <controlPr defaultSize="0" print="0" autoFill="0" autoPict="0" macro="[0]!grey_out_caller">
                <anchor>
                  <from>
                    <xdr:col>11</xdr:col>
                    <xdr:colOff>30480</xdr:colOff>
                    <xdr:row>23</xdr:row>
                    <xdr:rowOff>30480</xdr:rowOff>
                  </from>
                  <to>
                    <xdr:col>12</xdr:col>
                    <xdr:colOff>0</xdr:colOff>
                    <xdr:row>23</xdr:row>
                    <xdr:rowOff>830580</xdr:rowOff>
                  </to>
                </anchor>
              </controlPr>
            </control>
          </mc:Choice>
        </mc:AlternateContent>
        <mc:AlternateContent xmlns:mc="http://schemas.openxmlformats.org/markup-compatibility/2006">
          <mc:Choice Requires="x14">
            <control shapeId="385454" r:id="rId16" name="category_10">
              <controlPr defaultSize="0" print="0" autoFill="0" autoPict="0" macro="[0]!grey_out_caller">
                <anchor>
                  <from>
                    <xdr:col>12</xdr:col>
                    <xdr:colOff>30480</xdr:colOff>
                    <xdr:row>23</xdr:row>
                    <xdr:rowOff>30480</xdr:rowOff>
                  </from>
                  <to>
                    <xdr:col>13</xdr:col>
                    <xdr:colOff>0</xdr:colOff>
                    <xdr:row>23</xdr:row>
                    <xdr:rowOff>830580</xdr:rowOff>
                  </to>
                </anchor>
              </controlPr>
            </control>
          </mc:Choice>
        </mc:AlternateContent>
        <mc:AlternateContent xmlns:mc="http://schemas.openxmlformats.org/markup-compatibility/2006">
          <mc:Choice Requires="x14">
            <control shapeId="450872" r:id="rId17" name="activate_home_page">
              <controlPr defaultSize="0" print="0" autoFill="0" autoPict="0" macro="[0]!thisworkbook.activate_home_page">
                <anchor>
                  <from>
                    <xdr:col>2</xdr:col>
                    <xdr:colOff>982980</xdr:colOff>
                    <xdr:row>0</xdr:row>
                    <xdr:rowOff>144780</xdr:rowOff>
                  </from>
                  <to>
                    <xdr:col>4</xdr:col>
                    <xdr:colOff>30480</xdr:colOff>
                    <xdr:row>0</xdr:row>
                    <xdr:rowOff>373380</xdr:rowOff>
                  </to>
                </anchor>
              </controlPr>
            </control>
          </mc:Choice>
        </mc:AlternateContent>
        <mc:AlternateContent xmlns:mc="http://schemas.openxmlformats.org/markup-compatibility/2006">
          <mc:Choice Requires="x14">
            <control shapeId="450873" r:id="rId18" name="activate_guidance">
              <controlPr defaultSize="0" print="0" autoFill="0" autoPict="0" macro="[0]!thisworkbook.activate_guidance">
                <anchor>
                  <from>
                    <xdr:col>4</xdr:col>
                    <xdr:colOff>38100</xdr:colOff>
                    <xdr:row>0</xdr:row>
                    <xdr:rowOff>144780</xdr:rowOff>
                  </from>
                  <to>
                    <xdr:col>6</xdr:col>
                    <xdr:colOff>106680</xdr:colOff>
                    <xdr:row>0</xdr:row>
                    <xdr:rowOff>373380</xdr:rowOff>
                  </to>
                </anchor>
              </controlPr>
            </control>
          </mc:Choice>
        </mc:AlternateContent>
        <mc:AlternateContent xmlns:mc="http://schemas.openxmlformats.org/markup-compatibility/2006">
          <mc:Choice Requires="x14">
            <control shapeId="450874" r:id="rId19" name="activate_summary_report">
              <controlPr defaultSize="0" print="0" autoFill="0" autoPict="0" macro="[0]!thisworkbook.activate_summary_report">
                <anchor>
                  <from>
                    <xdr:col>6</xdr:col>
                    <xdr:colOff>114300</xdr:colOff>
                    <xdr:row>0</xdr:row>
                    <xdr:rowOff>144780</xdr:rowOff>
                  </from>
                  <to>
                    <xdr:col>8</xdr:col>
                    <xdr:colOff>182880</xdr:colOff>
                    <xdr:row>0</xdr:row>
                    <xdr:rowOff>373380</xdr:rowOff>
                  </to>
                </anchor>
              </controlPr>
            </control>
          </mc:Choice>
        </mc:AlternateContent>
        <mc:AlternateContent xmlns:mc="http://schemas.openxmlformats.org/markup-compatibility/2006">
          <mc:Choice Requires="x14">
            <control shapeId="450875" r:id="rId20" name="activate_outputs">
              <controlPr defaultSize="0" print="0" autoFill="0" autoPict="0" macro="[0]!thisworkbook.activate_outputs">
                <anchor>
                  <from>
                    <xdr:col>8</xdr:col>
                    <xdr:colOff>220980</xdr:colOff>
                    <xdr:row>0</xdr:row>
                    <xdr:rowOff>144780</xdr:rowOff>
                  </from>
                  <to>
                    <xdr:col>10</xdr:col>
                    <xdr:colOff>259080</xdr:colOff>
                    <xdr:row>0</xdr:row>
                    <xdr:rowOff>373380</xdr:rowOff>
                  </to>
                </anchor>
              </controlPr>
            </control>
          </mc:Choice>
        </mc:AlternateContent>
        <mc:AlternateContent xmlns:mc="http://schemas.openxmlformats.org/markup-compatibility/2006">
          <mc:Choice Requires="x14">
            <control shapeId="450876" r:id="rId21" name="activate_emissions_factors">
              <controlPr defaultSize="0" print="0" autoFill="0" autoPict="0" macro="[0]!thisworkbook.activate_emissions_factors">
                <anchor>
                  <from>
                    <xdr:col>10</xdr:col>
                    <xdr:colOff>297180</xdr:colOff>
                    <xdr:row>0</xdr:row>
                    <xdr:rowOff>144780</xdr:rowOff>
                  </from>
                  <to>
                    <xdr:col>12</xdr:col>
                    <xdr:colOff>342900</xdr:colOff>
                    <xdr:row>0</xdr:row>
                    <xdr:rowOff>373380</xdr:rowOff>
                  </to>
                </anchor>
              </controlPr>
            </control>
          </mc:Choice>
        </mc:AlternateContent>
        <mc:AlternateContent xmlns:mc="http://schemas.openxmlformats.org/markup-compatibility/2006">
          <mc:Choice Requires="x14">
            <control shapeId="450877" r:id="rId22" name="activate_material_density">
              <controlPr defaultSize="0" print="0" autoFill="0" autoPict="0" macro="[0]!thisworkbook.activate_material_density">
                <anchor>
                  <from>
                    <xdr:col>12</xdr:col>
                    <xdr:colOff>373380</xdr:colOff>
                    <xdr:row>0</xdr:row>
                    <xdr:rowOff>144780</xdr:rowOff>
                  </from>
                  <to>
                    <xdr:col>14</xdr:col>
                    <xdr:colOff>419100</xdr:colOff>
                    <xdr:row>0</xdr:row>
                    <xdr:rowOff>373380</xdr:rowOff>
                  </to>
                </anchor>
              </controlPr>
            </control>
          </mc:Choice>
        </mc:AlternateContent>
        <mc:AlternateContent xmlns:mc="http://schemas.openxmlformats.org/markup-compatibility/2006">
          <mc:Choice Requires="x14">
            <control shapeId="450878" r:id="rId23" name="activate_notes">
              <controlPr defaultSize="0" print="0" autoFill="0" autoPict="0" macro="[0]!thisworkbook.activate_notes">
                <anchor>
                  <from>
                    <xdr:col>14</xdr:col>
                    <xdr:colOff>449580</xdr:colOff>
                    <xdr:row>0</xdr:row>
                    <xdr:rowOff>144780</xdr:rowOff>
                  </from>
                  <to>
                    <xdr:col>16</xdr:col>
                    <xdr:colOff>525780</xdr:colOff>
                    <xdr:row>0</xdr:row>
                    <xdr:rowOff>373380</xdr:rowOff>
                  </to>
                </anchor>
              </controlPr>
            </control>
          </mc:Choice>
        </mc:AlternateContent>
        <mc:AlternateContent xmlns:mc="http://schemas.openxmlformats.org/markup-compatibility/2006">
          <mc:Choice Requires="x14">
            <control shapeId="450943" r:id="rId24" name="Resume_2025Q3">
              <controlPr defaultSize="0" print="0" autoFill="0" autoPict="0" macro="[0]!do_next_action_precalc">
                <anchor moveWithCells="1" sizeWithCells="1">
                  <from>
                    <xdr:col>13</xdr:col>
                    <xdr:colOff>22860</xdr:colOff>
                    <xdr:row>24</xdr:row>
                    <xdr:rowOff>15240</xdr:rowOff>
                  </from>
                  <to>
                    <xdr:col>13</xdr:col>
                    <xdr:colOff>632460</xdr:colOff>
                    <xdr:row>24</xdr:row>
                    <xdr:rowOff>236220</xdr:rowOff>
                  </to>
                </anchor>
              </controlPr>
            </control>
          </mc:Choice>
        </mc:AlternateContent>
        <mc:AlternateContent xmlns:mc="http://schemas.openxmlformats.org/markup-compatibility/2006">
          <mc:Choice Requires="x14">
            <control shapeId="450944" r:id="rId25" name="Restart2025Q3">
              <controlPr defaultSize="0" print="0" autoFill="0" autoPict="0" macro="[0]!do_next_action_precalc">
                <anchor moveWithCells="1" sizeWithCells="1">
                  <from>
                    <xdr:col>14</xdr:col>
                    <xdr:colOff>22860</xdr:colOff>
                    <xdr:row>24</xdr:row>
                    <xdr:rowOff>15240</xdr:rowOff>
                  </from>
                  <to>
                    <xdr:col>14</xdr:col>
                    <xdr:colOff>632460</xdr:colOff>
                    <xdr:row>24</xdr:row>
                    <xdr:rowOff>236220</xdr:rowOff>
                  </to>
                </anchor>
              </controlPr>
            </control>
          </mc:Choice>
        </mc:AlternateContent>
        <mc:AlternateContent xmlns:mc="http://schemas.openxmlformats.org/markup-compatibility/2006">
          <mc:Choice Requires="x14">
            <control shapeId="450945" r:id="rId26" name="Delete_2025Q3">
              <controlPr defaultSize="0" print="0" autoFill="0" autoPict="0" macro="[0]!do_next_action_precalc">
                <anchor moveWithCells="1" sizeWithCells="1">
                  <from>
                    <xdr:col>15</xdr:col>
                    <xdr:colOff>22860</xdr:colOff>
                    <xdr:row>24</xdr:row>
                    <xdr:rowOff>15240</xdr:rowOff>
                  </from>
                  <to>
                    <xdr:col>15</xdr:col>
                    <xdr:colOff>632460</xdr:colOff>
                    <xdr:row>24</xdr:row>
                    <xdr:rowOff>236220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753D0982-6FC8-42D5-8670-13ED7621885A}">
          <x14:formula1>
            <xm:f>'VB Metadata'!$T$2:$T$3</xm:f>
          </x14:formula1>
          <xm:sqref>D9</xm:sqref>
        </x14:dataValidation>
        <x14:dataValidation type="list" allowBlank="1" showInputMessage="1" showErrorMessage="1" xr:uid="{B96938AA-DD56-46E3-80DB-8B856D50950C}">
          <x14:formula1>
            <xm:f>'VB Metadata'!$P$2:$P$3</xm:f>
          </x14:formula1>
          <xm:sqref>D11</xm:sqref>
        </x14:dataValidation>
        <x14:dataValidation type="list" allowBlank="1" showInputMessage="1" showErrorMessage="1" xr:uid="{7B0F59BC-E392-4234-95AF-774F251C0330}">
          <x14:formula1>
            <xm:f>'VB Metadata'!$R$2:$R$6</xm:f>
          </x14:formula1>
          <xm:sqref>D12</xm:sqref>
        </x14:dataValidation>
        <x14:dataValidation type="list" allowBlank="1" showInputMessage="1" showErrorMessage="1" xr:uid="{F1BD47C5-A58F-4CB3-A1F5-7CDA65F054C2}">
          <x14:formula1>
            <xm:f>'VB Metadata'!$N$2:$N$24</xm:f>
          </x14:formula1>
          <xm:sqref>D10</xm:sqref>
        </x14:dataValidation>
        <x14:dataValidation type="list" allowBlank="1" showInputMessage="1" showErrorMessage="1" xr:uid="{E74C04D7-83D5-4A13-9CC7-F3748AAED03B}">
          <x14:formula1>
            <xm:f>'VB Metadata'!$L$2:$L$18</xm:f>
          </x14:formula1>
          <xm:sqref>D6:H6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W104"/>
  <sheetViews>
    <sheetView showGridLines="0" showRowColHeaders="0" zoomScale="90" zoomScaleNormal="90" workbookViewId="0">
      <pane ySplit="2" topLeftCell="A25" activePane="bottomLeft" state="frozen"/>
      <selection activeCell="A9" sqref="A9"/>
      <selection pane="bottomLeft" activeCell="F2" sqref="F2"/>
    </sheetView>
  </sheetViews>
  <sheetFormatPr defaultColWidth="0" defaultRowHeight="14.4" zeroHeight="1" x14ac:dyDescent="0.3"/>
  <cols>
    <col min="1" max="1" width="2.6640625" style="234" customWidth="1"/>
    <col min="2" max="17" width="9.6640625" style="233" customWidth="1"/>
    <col min="18" max="18" width="19.6640625" style="233" customWidth="1"/>
    <col min="19" max="19" width="3" style="233" customWidth="1"/>
    <col min="20" max="20" width="3" style="233" hidden="1" customWidth="1"/>
    <col min="21" max="23" width="9.33203125" style="233" hidden="1" customWidth="1"/>
  </cols>
  <sheetData>
    <row r="1" spans="1:23" ht="43.5" customHeight="1" x14ac:dyDescent="0.3">
      <c r="A1" s="390"/>
      <c r="B1" s="390"/>
      <c r="C1" s="390"/>
      <c r="D1" s="390"/>
      <c r="E1" s="390"/>
      <c r="F1" s="390"/>
      <c r="G1" s="390"/>
      <c r="H1" s="390"/>
      <c r="I1" s="390"/>
      <c r="J1" s="390"/>
      <c r="K1" s="390"/>
      <c r="L1" s="390"/>
      <c r="M1" s="390"/>
      <c r="N1" s="390"/>
      <c r="O1" s="390"/>
      <c r="P1" s="390"/>
      <c r="Q1" s="390"/>
      <c r="R1" s="390"/>
      <c r="S1" s="390"/>
      <c r="T1" s="234"/>
    </row>
    <row r="2" spans="1:23" ht="72" customHeight="1" x14ac:dyDescent="0.3">
      <c r="A2" s="246"/>
      <c r="B2" s="246"/>
      <c r="C2" s="246"/>
      <c r="D2" s="246"/>
      <c r="E2" s="246"/>
      <c r="F2" s="246"/>
      <c r="G2" s="246"/>
      <c r="H2" s="246"/>
      <c r="I2" s="246"/>
      <c r="J2" s="246"/>
      <c r="K2" s="246"/>
      <c r="L2" s="246"/>
      <c r="M2" s="246"/>
      <c r="N2" s="246"/>
      <c r="O2" s="246"/>
      <c r="P2" s="246"/>
      <c r="Q2" s="246"/>
      <c r="R2" s="246"/>
      <c r="S2" s="246"/>
      <c r="T2" s="234"/>
      <c r="W2" s="233">
        <v>0</v>
      </c>
    </row>
    <row r="3" spans="1:23" ht="56.25" customHeight="1" x14ac:dyDescent="0.3">
      <c r="A3" s="245"/>
      <c r="B3" s="391" t="s">
        <v>730</v>
      </c>
      <c r="C3" s="391"/>
      <c r="D3" s="391"/>
      <c r="E3" s="391"/>
      <c r="F3" s="391"/>
      <c r="G3" s="391"/>
      <c r="H3" s="391"/>
      <c r="I3" s="391"/>
      <c r="J3" s="391"/>
      <c r="K3" s="391"/>
      <c r="L3" s="391"/>
      <c r="M3" s="391"/>
      <c r="N3" s="391"/>
      <c r="O3" s="391"/>
      <c r="P3" s="391"/>
      <c r="Q3" s="391"/>
      <c r="R3" s="391"/>
      <c r="S3" s="244"/>
      <c r="T3" s="244"/>
      <c r="U3" s="244"/>
      <c r="V3" s="244"/>
      <c r="W3" s="244"/>
    </row>
    <row r="4" spans="1:23" ht="43.35" customHeight="1" x14ac:dyDescent="0.3">
      <c r="A4" s="243"/>
      <c r="B4" s="379" t="s">
        <v>437</v>
      </c>
      <c r="C4" s="379"/>
      <c r="D4" s="379"/>
      <c r="E4" s="242"/>
      <c r="F4" s="242"/>
      <c r="G4" s="242"/>
      <c r="H4" s="242"/>
      <c r="I4" s="242"/>
      <c r="J4" s="242"/>
      <c r="K4" s="242"/>
      <c r="L4" s="242"/>
      <c r="M4" s="242"/>
      <c r="N4" s="242"/>
      <c r="O4" s="242"/>
      <c r="P4" s="242"/>
      <c r="Q4" s="242"/>
      <c r="R4" s="242"/>
      <c r="S4" s="241"/>
      <c r="T4" s="241"/>
      <c r="U4" s="241"/>
      <c r="V4" s="241"/>
      <c r="W4" s="241"/>
    </row>
    <row r="5" spans="1:23" ht="105.75" customHeight="1" x14ac:dyDescent="0.3">
      <c r="B5" s="388" t="s">
        <v>795</v>
      </c>
      <c r="C5" s="389"/>
      <c r="D5" s="389"/>
      <c r="E5" s="389"/>
      <c r="F5" s="389"/>
      <c r="G5" s="389"/>
      <c r="H5" s="389"/>
      <c r="I5" s="389"/>
      <c r="J5" s="389"/>
      <c r="K5" s="389"/>
      <c r="L5" s="389"/>
      <c r="M5" s="389"/>
      <c r="N5" s="389"/>
      <c r="O5" s="389"/>
      <c r="P5" s="389"/>
      <c r="Q5" s="389"/>
      <c r="R5" s="389"/>
      <c r="S5" s="234"/>
      <c r="T5" s="234"/>
      <c r="U5" s="234"/>
      <c r="V5" s="234"/>
      <c r="W5" s="234"/>
    </row>
    <row r="6" spans="1:23" ht="67.5" customHeight="1" x14ac:dyDescent="0.3">
      <c r="A6" s="176"/>
      <c r="B6" s="393" t="s">
        <v>796</v>
      </c>
      <c r="C6" s="394"/>
      <c r="D6" s="394"/>
      <c r="E6" s="394"/>
      <c r="F6" s="394"/>
      <c r="G6" s="394"/>
      <c r="H6" s="394"/>
      <c r="I6" s="394"/>
      <c r="J6" s="394"/>
      <c r="K6" s="394"/>
      <c r="L6" s="394"/>
      <c r="M6" s="394"/>
      <c r="N6" s="394"/>
      <c r="O6" s="394"/>
      <c r="P6" s="394"/>
      <c r="Q6" s="394"/>
      <c r="R6" s="394"/>
      <c r="S6" s="394"/>
      <c r="T6" s="234"/>
      <c r="U6" s="234"/>
      <c r="V6" s="234"/>
      <c r="W6" s="234"/>
    </row>
    <row r="7" spans="1:23" ht="25.35" customHeight="1" x14ac:dyDescent="0.3">
      <c r="A7" s="236"/>
      <c r="B7" s="379" t="s">
        <v>438</v>
      </c>
      <c r="C7" s="379"/>
      <c r="D7" s="379"/>
      <c r="E7" s="237"/>
      <c r="F7" s="237"/>
      <c r="G7" s="237"/>
      <c r="H7" s="237"/>
      <c r="I7" s="237"/>
      <c r="J7" s="237"/>
      <c r="K7" s="237"/>
      <c r="L7" s="237"/>
      <c r="M7" s="237"/>
      <c r="N7" s="237"/>
      <c r="O7" s="237"/>
      <c r="P7" s="237"/>
      <c r="Q7" s="237"/>
      <c r="R7" s="237"/>
      <c r="S7" s="236"/>
      <c r="T7" s="241"/>
      <c r="U7" s="241"/>
      <c r="V7" s="241"/>
      <c r="W7" s="241"/>
    </row>
    <row r="8" spans="1:23" ht="75.75" customHeight="1" x14ac:dyDescent="0.3">
      <c r="B8" s="392" t="s">
        <v>644</v>
      </c>
      <c r="C8" s="392"/>
      <c r="D8" s="392"/>
      <c r="E8" s="392"/>
      <c r="F8" s="392"/>
      <c r="G8" s="392"/>
      <c r="H8" s="392"/>
      <c r="I8" s="392"/>
      <c r="J8" s="392"/>
      <c r="K8" s="392"/>
      <c r="L8" s="392"/>
      <c r="M8" s="392"/>
      <c r="N8" s="392"/>
      <c r="O8" s="392"/>
      <c r="P8" s="392"/>
      <c r="Q8" s="392"/>
      <c r="R8" s="392"/>
      <c r="S8" s="234"/>
      <c r="T8" s="234"/>
    </row>
    <row r="9" spans="1:23" ht="21.75" customHeight="1" x14ac:dyDescent="0.3">
      <c r="B9"/>
      <c r="C9"/>
      <c r="D9"/>
      <c r="E9"/>
      <c r="F9" s="382" t="s">
        <v>615</v>
      </c>
      <c r="G9" s="383"/>
      <c r="H9" s="383"/>
      <c r="I9" s="383"/>
      <c r="J9" s="383"/>
      <c r="K9" s="383"/>
      <c r="L9" s="383"/>
      <c r="M9" s="383"/>
      <c r="N9" s="383"/>
      <c r="O9" s="384"/>
      <c r="P9"/>
      <c r="Q9"/>
      <c r="R9"/>
      <c r="S9" s="234"/>
      <c r="T9" s="234"/>
    </row>
    <row r="10" spans="1:23" ht="18" customHeight="1" x14ac:dyDescent="0.3">
      <c r="B10" s="177"/>
      <c r="C10" s="177"/>
      <c r="D10" s="177"/>
      <c r="E10" s="177"/>
      <c r="F10" s="385" t="s">
        <v>648</v>
      </c>
      <c r="G10" s="386"/>
      <c r="H10" s="386"/>
      <c r="I10" s="386"/>
      <c r="J10" s="386"/>
      <c r="K10" s="386"/>
      <c r="L10" s="386"/>
      <c r="M10" s="386"/>
      <c r="N10" s="386"/>
      <c r="O10" s="387"/>
      <c r="P10" s="177"/>
      <c r="Q10" s="177"/>
      <c r="R10" s="177"/>
      <c r="S10" s="234"/>
      <c r="T10" s="234"/>
    </row>
    <row r="11" spans="1:23" ht="25.35" customHeight="1" x14ac:dyDescent="0.3">
      <c r="A11" s="236"/>
      <c r="B11" s="379" t="s">
        <v>439</v>
      </c>
      <c r="C11" s="379"/>
      <c r="D11" s="379"/>
      <c r="E11" s="379"/>
      <c r="F11" s="237"/>
      <c r="G11" s="237"/>
      <c r="H11" s="237"/>
      <c r="I11" s="237"/>
      <c r="J11" s="237"/>
      <c r="K11" s="237"/>
      <c r="L11" s="237"/>
      <c r="M11" s="237"/>
      <c r="N11" s="237"/>
      <c r="O11" s="237"/>
      <c r="P11" s="237"/>
      <c r="Q11" s="237"/>
      <c r="R11" s="237"/>
      <c r="S11" s="236"/>
      <c r="T11" s="241"/>
      <c r="U11" s="241"/>
      <c r="V11" s="241"/>
      <c r="W11" s="241"/>
    </row>
    <row r="12" spans="1:23" ht="16.5" customHeight="1" x14ac:dyDescent="0.3">
      <c r="B12" s="240"/>
      <c r="C12" s="240"/>
      <c r="D12" s="240"/>
      <c r="E12" s="240"/>
      <c r="F12" s="240"/>
      <c r="G12" s="240"/>
      <c r="H12" s="240"/>
      <c r="I12" s="240"/>
      <c r="J12" s="240"/>
      <c r="K12" s="240"/>
      <c r="L12" s="240"/>
      <c r="M12" s="240"/>
      <c r="N12" s="240"/>
      <c r="O12" s="240"/>
      <c r="P12" s="240"/>
      <c r="Q12" s="240"/>
      <c r="R12" s="177"/>
      <c r="S12" s="234"/>
      <c r="T12" s="234"/>
    </row>
    <row r="13" spans="1:23" ht="30" customHeight="1" x14ac:dyDescent="0.3">
      <c r="B13" s="388" t="s">
        <v>832</v>
      </c>
      <c r="C13" s="389"/>
      <c r="D13" s="389"/>
      <c r="E13" s="389"/>
      <c r="F13" s="389"/>
      <c r="G13" s="389"/>
      <c r="H13" s="389"/>
      <c r="I13" s="389"/>
      <c r="J13" s="389"/>
      <c r="K13" s="389"/>
      <c r="L13" s="389"/>
      <c r="M13" s="389"/>
      <c r="N13" s="389"/>
      <c r="O13" s="389"/>
      <c r="P13" s="389"/>
      <c r="Q13" s="389"/>
      <c r="R13" s="389"/>
      <c r="S13" s="234"/>
      <c r="T13" s="234"/>
    </row>
    <row r="14" spans="1:23" ht="16.5" customHeight="1" x14ac:dyDescent="0.3">
      <c r="B14" s="240"/>
      <c r="C14" s="240"/>
      <c r="D14" s="240"/>
      <c r="E14" s="240"/>
      <c r="F14" s="240"/>
      <c r="G14" s="240"/>
      <c r="H14" s="240"/>
      <c r="I14" s="240"/>
      <c r="J14" s="240"/>
      <c r="K14" s="240"/>
      <c r="L14" s="240"/>
      <c r="M14" s="240"/>
      <c r="N14" s="240"/>
      <c r="O14" s="240"/>
      <c r="P14" s="240"/>
      <c r="Q14" s="240"/>
      <c r="R14" s="177"/>
      <c r="S14" s="234"/>
      <c r="T14" s="234"/>
    </row>
    <row r="15" spans="1:23" ht="33" customHeight="1" x14ac:dyDescent="0.3">
      <c r="B15" s="380" t="s">
        <v>830</v>
      </c>
      <c r="C15" s="380"/>
      <c r="D15" s="380"/>
      <c r="E15" s="380"/>
      <c r="F15" s="380"/>
      <c r="G15" s="380"/>
      <c r="H15" s="380"/>
      <c r="I15" s="380"/>
      <c r="J15" s="380"/>
      <c r="K15" s="380"/>
      <c r="L15" s="380"/>
      <c r="M15" s="380"/>
      <c r="N15" s="380"/>
      <c r="O15" s="380"/>
      <c r="P15" s="380"/>
      <c r="Q15" s="380"/>
      <c r="R15" s="380"/>
      <c r="S15" s="234"/>
    </row>
    <row r="16" spans="1:23" ht="16.5" customHeight="1" x14ac:dyDescent="0.3">
      <c r="B16" s="283"/>
      <c r="C16" s="283"/>
      <c r="D16" s="283"/>
      <c r="E16" s="283"/>
      <c r="F16" s="283"/>
      <c r="G16" s="283"/>
      <c r="H16" s="283"/>
      <c r="I16" s="283"/>
      <c r="J16" s="283"/>
      <c r="K16" s="283"/>
      <c r="L16" s="283"/>
      <c r="M16" s="283"/>
      <c r="N16" s="283"/>
      <c r="O16" s="283"/>
      <c r="P16" s="283"/>
      <c r="Q16" s="283"/>
      <c r="R16" s="177"/>
      <c r="S16" s="234"/>
    </row>
    <row r="17" spans="2:19" ht="22.5" customHeight="1" x14ac:dyDescent="0.3">
      <c r="B17" s="381" t="s">
        <v>793</v>
      </c>
      <c r="C17" s="381"/>
      <c r="D17" s="381"/>
      <c r="E17" s="381"/>
      <c r="F17" s="381"/>
      <c r="G17" s="381"/>
      <c r="H17" s="381"/>
      <c r="I17" s="381"/>
      <c r="J17" s="381"/>
      <c r="K17" s="381"/>
      <c r="L17" s="381"/>
      <c r="M17" s="381"/>
      <c r="N17" s="381"/>
      <c r="O17" s="381"/>
      <c r="P17" s="381"/>
      <c r="Q17" s="381"/>
      <c r="R17" s="381"/>
      <c r="S17" s="234"/>
    </row>
    <row r="18" spans="2:19" ht="24.75" customHeight="1" x14ac:dyDescent="0.3">
      <c r="B18" s="381"/>
      <c r="C18" s="381"/>
      <c r="D18" s="381"/>
      <c r="E18" s="381"/>
      <c r="F18" s="381"/>
      <c r="G18" s="381"/>
      <c r="H18" s="381"/>
      <c r="I18" s="381"/>
      <c r="J18" s="381"/>
      <c r="K18" s="381"/>
      <c r="L18" s="381"/>
      <c r="M18" s="381"/>
      <c r="N18" s="381"/>
      <c r="O18" s="381"/>
      <c r="P18" s="381"/>
      <c r="Q18" s="381"/>
      <c r="R18" s="381"/>
      <c r="S18" s="234"/>
    </row>
    <row r="19" spans="2:19" ht="18.75" customHeight="1" x14ac:dyDescent="0.3">
      <c r="B19" s="381"/>
      <c r="C19" s="381"/>
      <c r="D19" s="381"/>
      <c r="E19" s="381"/>
      <c r="F19" s="381"/>
      <c r="G19" s="381"/>
      <c r="H19" s="381"/>
      <c r="I19" s="381"/>
      <c r="J19" s="381"/>
      <c r="K19" s="381"/>
      <c r="L19" s="381"/>
      <c r="M19" s="381"/>
      <c r="N19" s="381"/>
      <c r="O19" s="381"/>
      <c r="P19" s="381"/>
      <c r="Q19" s="381"/>
      <c r="R19" s="381"/>
      <c r="S19" s="234"/>
    </row>
    <row r="20" spans="2:19" ht="9.75" customHeight="1" x14ac:dyDescent="0.3">
      <c r="B20" s="283"/>
      <c r="C20" s="283"/>
      <c r="D20" s="283"/>
      <c r="E20" s="283"/>
      <c r="F20" s="283"/>
      <c r="G20" s="283"/>
      <c r="H20" s="283"/>
      <c r="I20" s="283"/>
      <c r="J20" s="283"/>
      <c r="K20" s="283"/>
      <c r="L20" s="283"/>
      <c r="M20" s="283"/>
      <c r="N20" s="283"/>
      <c r="O20" s="283"/>
      <c r="P20" s="283"/>
      <c r="Q20" s="283"/>
      <c r="R20" s="177"/>
      <c r="S20" s="234"/>
    </row>
    <row r="21" spans="2:19" ht="27.75" customHeight="1" x14ac:dyDescent="0.3">
      <c r="B21" s="381" t="s">
        <v>828</v>
      </c>
      <c r="C21" s="381"/>
      <c r="D21" s="381"/>
      <c r="E21" s="381"/>
      <c r="F21" s="381"/>
      <c r="G21" s="381"/>
      <c r="H21" s="381"/>
      <c r="I21" s="381"/>
      <c r="J21" s="381"/>
      <c r="K21" s="381"/>
      <c r="L21" s="381"/>
      <c r="M21" s="381"/>
      <c r="N21" s="381"/>
      <c r="O21" s="381"/>
      <c r="P21" s="381"/>
      <c r="Q21" s="381"/>
      <c r="R21" s="381"/>
      <c r="S21" s="234"/>
    </row>
    <row r="22" spans="2:19" ht="27.75" customHeight="1" x14ac:dyDescent="0.3">
      <c r="B22" s="381"/>
      <c r="C22" s="381"/>
      <c r="D22" s="381"/>
      <c r="E22" s="381"/>
      <c r="F22" s="381"/>
      <c r="G22" s="381"/>
      <c r="H22" s="381"/>
      <c r="I22" s="381"/>
      <c r="J22" s="381"/>
      <c r="K22" s="381"/>
      <c r="L22" s="381"/>
      <c r="M22" s="381"/>
      <c r="N22" s="381"/>
      <c r="O22" s="381"/>
      <c r="P22" s="381"/>
      <c r="Q22" s="381"/>
      <c r="R22" s="381"/>
      <c r="S22" s="234"/>
    </row>
    <row r="23" spans="2:19" ht="25.5" customHeight="1" x14ac:dyDescent="0.3">
      <c r="B23" s="381"/>
      <c r="C23" s="381"/>
      <c r="D23" s="381"/>
      <c r="E23" s="381"/>
      <c r="F23" s="381"/>
      <c r="G23" s="381"/>
      <c r="H23" s="381"/>
      <c r="I23" s="381"/>
      <c r="J23" s="381"/>
      <c r="K23" s="381"/>
      <c r="L23" s="381"/>
      <c r="M23" s="381"/>
      <c r="N23" s="381"/>
      <c r="O23" s="381"/>
      <c r="P23" s="381"/>
      <c r="Q23" s="381"/>
      <c r="R23" s="381"/>
      <c r="S23" s="234"/>
    </row>
    <row r="24" spans="2:19" ht="6" customHeight="1" x14ac:dyDescent="0.3">
      <c r="B24" s="283"/>
      <c r="C24" s="283"/>
      <c r="D24" s="283"/>
      <c r="E24" s="283"/>
      <c r="F24" s="283"/>
      <c r="G24" s="283"/>
      <c r="H24" s="283"/>
      <c r="I24" s="283"/>
      <c r="J24" s="283"/>
      <c r="K24" s="283"/>
      <c r="L24" s="283"/>
      <c r="M24" s="283"/>
      <c r="N24" s="283"/>
      <c r="O24" s="283"/>
      <c r="P24" s="283"/>
      <c r="Q24" s="283"/>
      <c r="R24" s="177"/>
      <c r="S24" s="234"/>
    </row>
    <row r="25" spans="2:19" ht="11.25" customHeight="1" x14ac:dyDescent="0.3">
      <c r="B25" s="381" t="s">
        <v>645</v>
      </c>
      <c r="C25" s="381"/>
      <c r="D25" s="381"/>
      <c r="E25" s="381"/>
      <c r="F25" s="381"/>
      <c r="G25" s="381"/>
      <c r="H25" s="381"/>
      <c r="I25" s="381"/>
      <c r="J25" s="381"/>
      <c r="K25" s="381"/>
      <c r="L25" s="381"/>
      <c r="M25" s="381"/>
      <c r="N25" s="381"/>
      <c r="O25" s="381"/>
      <c r="P25" s="381"/>
      <c r="Q25" s="381"/>
      <c r="R25" s="381"/>
      <c r="S25" s="234"/>
    </row>
    <row r="26" spans="2:19" ht="21" customHeight="1" x14ac:dyDescent="0.3">
      <c r="B26" s="381"/>
      <c r="C26" s="381"/>
      <c r="D26" s="381"/>
      <c r="E26" s="381"/>
      <c r="F26" s="381"/>
      <c r="G26" s="381"/>
      <c r="H26" s="381"/>
      <c r="I26" s="381"/>
      <c r="J26" s="381"/>
      <c r="K26" s="381"/>
      <c r="L26" s="381"/>
      <c r="M26" s="381"/>
      <c r="N26" s="381"/>
      <c r="O26" s="381"/>
      <c r="P26" s="381"/>
      <c r="Q26" s="381"/>
      <c r="R26" s="381"/>
      <c r="S26" s="234"/>
    </row>
    <row r="27" spans="2:19" ht="9" customHeight="1" x14ac:dyDescent="0.3">
      <c r="B27" s="381"/>
      <c r="C27" s="381"/>
      <c r="D27" s="381"/>
      <c r="E27" s="381"/>
      <c r="F27" s="381"/>
      <c r="G27" s="381"/>
      <c r="H27" s="381"/>
      <c r="I27" s="381"/>
      <c r="J27" s="381"/>
      <c r="K27" s="381"/>
      <c r="L27" s="381"/>
      <c r="M27" s="381"/>
      <c r="N27" s="381"/>
      <c r="O27" s="381"/>
      <c r="P27" s="381"/>
      <c r="Q27" s="381"/>
      <c r="R27" s="381"/>
      <c r="S27" s="234"/>
    </row>
    <row r="28" spans="2:19" ht="3.75" customHeight="1" x14ac:dyDescent="0.3">
      <c r="B28" s="283"/>
      <c r="C28" s="283"/>
      <c r="D28" s="283"/>
      <c r="E28" s="283"/>
      <c r="F28" s="283"/>
      <c r="G28" s="283"/>
      <c r="H28" s="283"/>
      <c r="I28" s="283"/>
      <c r="J28" s="283"/>
      <c r="K28" s="283"/>
      <c r="L28" s="283"/>
      <c r="M28" s="283"/>
      <c r="N28" s="283"/>
      <c r="O28" s="283"/>
      <c r="P28" s="283"/>
      <c r="Q28" s="283"/>
      <c r="R28" s="177"/>
      <c r="S28" s="234"/>
    </row>
    <row r="29" spans="2:19" ht="22.5" customHeight="1" x14ac:dyDescent="0.3">
      <c r="B29" s="381" t="s">
        <v>829</v>
      </c>
      <c r="C29" s="381"/>
      <c r="D29" s="381"/>
      <c r="E29" s="381"/>
      <c r="F29" s="381"/>
      <c r="G29" s="381"/>
      <c r="H29" s="381"/>
      <c r="I29" s="381"/>
      <c r="J29" s="381"/>
      <c r="K29" s="381"/>
      <c r="L29" s="381"/>
      <c r="M29" s="381"/>
      <c r="N29" s="381"/>
      <c r="O29" s="381"/>
      <c r="P29" s="381"/>
      <c r="Q29" s="381"/>
      <c r="R29" s="381"/>
      <c r="S29" s="234"/>
    </row>
    <row r="30" spans="2:19" ht="24.75" customHeight="1" x14ac:dyDescent="0.3">
      <c r="B30" s="381"/>
      <c r="C30" s="381"/>
      <c r="D30" s="381"/>
      <c r="E30" s="381"/>
      <c r="F30" s="381"/>
      <c r="G30" s="381"/>
      <c r="H30" s="381"/>
      <c r="I30" s="381"/>
      <c r="J30" s="381"/>
      <c r="K30" s="381"/>
      <c r="L30" s="381"/>
      <c r="M30" s="381"/>
      <c r="N30" s="381"/>
      <c r="O30" s="381"/>
      <c r="P30" s="381"/>
      <c r="Q30" s="381"/>
      <c r="R30" s="381"/>
      <c r="S30" s="234"/>
    </row>
    <row r="31" spans="2:19" ht="21" customHeight="1" x14ac:dyDescent="0.3">
      <c r="B31" s="381"/>
      <c r="C31" s="381"/>
      <c r="D31" s="381"/>
      <c r="E31" s="381"/>
      <c r="F31" s="381"/>
      <c r="G31" s="381"/>
      <c r="H31" s="381"/>
      <c r="I31" s="381"/>
      <c r="J31" s="381"/>
      <c r="K31" s="381"/>
      <c r="L31" s="381"/>
      <c r="M31" s="381"/>
      <c r="N31" s="381"/>
      <c r="O31" s="381"/>
      <c r="P31" s="381"/>
      <c r="Q31" s="381"/>
      <c r="R31" s="381"/>
      <c r="S31" s="234"/>
    </row>
    <row r="32" spans="2:19" ht="20.25" customHeight="1" x14ac:dyDescent="0.3">
      <c r="B32" s="381"/>
      <c r="C32" s="381"/>
      <c r="D32" s="381"/>
      <c r="E32" s="381"/>
      <c r="F32" s="381"/>
      <c r="G32" s="381"/>
      <c r="H32" s="381"/>
      <c r="I32" s="381"/>
      <c r="J32" s="381"/>
      <c r="K32" s="381"/>
      <c r="L32" s="381"/>
      <c r="M32" s="381"/>
      <c r="N32" s="381"/>
      <c r="O32" s="381"/>
      <c r="P32" s="381"/>
      <c r="Q32" s="381"/>
      <c r="R32" s="381"/>
      <c r="S32" s="234"/>
    </row>
    <row r="33" spans="2:19" ht="6.75" customHeight="1" x14ac:dyDescent="0.3">
      <c r="B33" s="283"/>
      <c r="C33" s="283"/>
      <c r="D33" s="283"/>
      <c r="E33" s="283"/>
      <c r="F33" s="283"/>
      <c r="G33" s="283"/>
      <c r="H33" s="283"/>
      <c r="I33" s="283"/>
      <c r="J33" s="283"/>
      <c r="K33" s="283"/>
      <c r="L33" s="283"/>
      <c r="M33" s="283"/>
      <c r="N33" s="283"/>
      <c r="O33" s="283"/>
      <c r="P33" s="283"/>
      <c r="Q33" s="283"/>
      <c r="R33" s="177"/>
      <c r="S33" s="234"/>
    </row>
    <row r="34" spans="2:19" ht="30.75" customHeight="1" x14ac:dyDescent="0.3">
      <c r="B34" s="381" t="s">
        <v>753</v>
      </c>
      <c r="C34" s="381"/>
      <c r="D34" s="381"/>
      <c r="E34" s="381"/>
      <c r="F34" s="381"/>
      <c r="G34" s="381"/>
      <c r="H34" s="381"/>
      <c r="I34" s="381"/>
      <c r="J34" s="381"/>
      <c r="K34" s="381"/>
      <c r="L34" s="381"/>
      <c r="M34" s="381"/>
      <c r="N34" s="381"/>
      <c r="O34" s="381"/>
      <c r="P34" s="381"/>
      <c r="Q34" s="381"/>
      <c r="R34" s="381"/>
      <c r="S34" s="234"/>
    </row>
    <row r="35" spans="2:19" ht="12.75" customHeight="1" x14ac:dyDescent="0.3">
      <c r="B35" s="283"/>
      <c r="C35" s="283"/>
      <c r="D35" s="283"/>
      <c r="E35" s="283"/>
      <c r="F35" s="283"/>
      <c r="G35" s="283"/>
      <c r="H35" s="283"/>
      <c r="I35" s="283"/>
      <c r="J35" s="283"/>
      <c r="K35" s="283"/>
      <c r="L35" s="283"/>
      <c r="M35" s="283"/>
      <c r="N35" s="283"/>
      <c r="O35" s="283"/>
      <c r="P35" s="283"/>
      <c r="Q35" s="283"/>
      <c r="R35" s="177"/>
      <c r="S35" s="234"/>
    </row>
    <row r="36" spans="2:19" ht="21" customHeight="1" x14ac:dyDescent="0.3">
      <c r="B36" s="395" t="s">
        <v>646</v>
      </c>
      <c r="C36" s="395"/>
      <c r="D36" s="395"/>
      <c r="E36" s="395"/>
      <c r="F36" s="395"/>
      <c r="G36" s="395"/>
      <c r="H36" s="395"/>
      <c r="I36" s="395"/>
      <c r="J36" s="395"/>
      <c r="K36" s="395"/>
      <c r="L36" s="395"/>
      <c r="M36" s="395"/>
      <c r="N36" s="395"/>
      <c r="O36" s="395"/>
      <c r="P36" s="395"/>
      <c r="Q36" s="395"/>
      <c r="R36" s="395"/>
      <c r="S36" s="234"/>
    </row>
    <row r="37" spans="2:19" ht="18" customHeight="1" x14ac:dyDescent="0.3">
      <c r="B37" s="395"/>
      <c r="C37" s="395"/>
      <c r="D37" s="395"/>
      <c r="E37" s="395"/>
      <c r="F37" s="395"/>
      <c r="G37" s="395"/>
      <c r="H37" s="395"/>
      <c r="I37" s="395"/>
      <c r="J37" s="395"/>
      <c r="K37" s="395"/>
      <c r="L37" s="395"/>
      <c r="M37" s="395"/>
      <c r="N37" s="395"/>
      <c r="O37" s="395"/>
      <c r="P37" s="395"/>
      <c r="Q37" s="395"/>
      <c r="R37" s="395"/>
      <c r="S37" s="234"/>
    </row>
    <row r="38" spans="2:19" ht="31.5" customHeight="1" x14ac:dyDescent="0.3">
      <c r="B38" s="395"/>
      <c r="C38" s="395"/>
      <c r="D38" s="395"/>
      <c r="E38" s="395"/>
      <c r="F38" s="395"/>
      <c r="G38" s="395"/>
      <c r="H38" s="395"/>
      <c r="I38" s="395"/>
      <c r="J38" s="395"/>
      <c r="K38" s="395"/>
      <c r="L38" s="395"/>
      <c r="M38" s="395"/>
      <c r="N38" s="395"/>
      <c r="O38" s="395"/>
      <c r="P38" s="395"/>
      <c r="Q38" s="395"/>
      <c r="R38" s="395"/>
      <c r="S38" s="234"/>
    </row>
    <row r="39" spans="2:19" ht="31.5" customHeight="1" x14ac:dyDescent="0.3">
      <c r="B39" s="395"/>
      <c r="C39" s="395"/>
      <c r="D39" s="395"/>
      <c r="E39" s="395"/>
      <c r="F39" s="395"/>
      <c r="G39" s="395"/>
      <c r="H39" s="395"/>
      <c r="I39" s="395"/>
      <c r="J39" s="395"/>
      <c r="K39" s="395"/>
      <c r="L39" s="395"/>
      <c r="M39" s="395"/>
      <c r="N39" s="395"/>
      <c r="O39" s="395"/>
      <c r="P39" s="395"/>
      <c r="Q39" s="395"/>
      <c r="R39" s="395"/>
      <c r="S39" s="234"/>
    </row>
    <row r="40" spans="2:19" ht="9.75" customHeight="1" x14ac:dyDescent="0.3">
      <c r="B40" s="395"/>
      <c r="C40" s="395"/>
      <c r="D40" s="395"/>
      <c r="E40" s="395"/>
      <c r="F40" s="395"/>
      <c r="G40" s="395"/>
      <c r="H40" s="395"/>
      <c r="I40" s="395"/>
      <c r="J40" s="395"/>
      <c r="K40" s="395"/>
      <c r="L40" s="395"/>
      <c r="M40" s="395"/>
      <c r="N40" s="395"/>
      <c r="O40" s="395"/>
      <c r="P40" s="395"/>
      <c r="Q40" s="395"/>
      <c r="R40" s="395"/>
      <c r="S40" s="234"/>
    </row>
    <row r="41" spans="2:19" ht="0.75" hidden="1" customHeight="1" x14ac:dyDescent="0.3">
      <c r="B41" s="283"/>
      <c r="C41" s="283"/>
      <c r="D41" s="283"/>
      <c r="E41" s="283"/>
      <c r="F41" s="283"/>
      <c r="G41" s="283"/>
      <c r="H41" s="283"/>
      <c r="I41" s="283"/>
      <c r="J41" s="283"/>
      <c r="K41" s="283"/>
      <c r="L41" s="283"/>
      <c r="M41" s="283"/>
      <c r="N41" s="283"/>
      <c r="O41" s="283"/>
      <c r="P41" s="283"/>
      <c r="Q41" s="283"/>
      <c r="R41" s="177"/>
      <c r="S41" s="234"/>
    </row>
    <row r="42" spans="2:19" ht="34.5" customHeight="1" x14ac:dyDescent="0.3">
      <c r="B42" s="395" t="s">
        <v>647</v>
      </c>
      <c r="C42" s="395"/>
      <c r="D42" s="395"/>
      <c r="E42" s="395"/>
      <c r="F42" s="395"/>
      <c r="G42" s="395"/>
      <c r="H42" s="395"/>
      <c r="I42" s="395"/>
      <c r="J42" s="395"/>
      <c r="K42" s="395"/>
      <c r="L42" s="395"/>
      <c r="M42" s="395"/>
      <c r="N42" s="395"/>
      <c r="O42" s="395"/>
      <c r="P42" s="395"/>
      <c r="Q42" s="395"/>
      <c r="R42" s="395"/>
      <c r="S42" s="234"/>
    </row>
    <row r="43" spans="2:19" ht="22.5" customHeight="1" x14ac:dyDescent="0.3">
      <c r="B43" s="395"/>
      <c r="C43" s="395"/>
      <c r="D43" s="395"/>
      <c r="E43" s="395"/>
      <c r="F43" s="395"/>
      <c r="G43" s="395"/>
      <c r="H43" s="395"/>
      <c r="I43" s="395"/>
      <c r="J43" s="395"/>
      <c r="K43" s="395"/>
      <c r="L43" s="395"/>
      <c r="M43" s="395"/>
      <c r="N43" s="395"/>
      <c r="O43" s="395"/>
      <c r="P43" s="395"/>
      <c r="Q43" s="395"/>
      <c r="R43" s="395"/>
      <c r="S43" s="234"/>
    </row>
    <row r="44" spans="2:19" ht="2.25" customHeight="1" x14ac:dyDescent="0.3">
      <c r="B44" s="283"/>
      <c r="C44" s="283"/>
      <c r="D44" s="283"/>
      <c r="E44" s="283"/>
      <c r="F44" s="283"/>
      <c r="G44" s="283"/>
      <c r="H44" s="283"/>
      <c r="I44" s="283"/>
      <c r="J44" s="283"/>
      <c r="K44" s="283"/>
      <c r="L44" s="283"/>
      <c r="M44" s="283"/>
      <c r="N44" s="283"/>
      <c r="O44" s="283"/>
      <c r="P44" s="283"/>
      <c r="Q44" s="283"/>
      <c r="R44" s="283"/>
      <c r="S44" s="234"/>
    </row>
    <row r="45" spans="2:19" ht="27" customHeight="1" x14ac:dyDescent="0.3">
      <c r="B45" s="381" t="s">
        <v>1111</v>
      </c>
      <c r="C45" s="381"/>
      <c r="D45" s="381"/>
      <c r="E45" s="381"/>
      <c r="F45" s="381"/>
      <c r="G45" s="381"/>
      <c r="H45" s="381"/>
      <c r="I45" s="381"/>
      <c r="J45" s="381"/>
      <c r="K45" s="381"/>
      <c r="L45" s="381"/>
      <c r="M45" s="381"/>
      <c r="N45" s="381"/>
      <c r="O45" s="381"/>
      <c r="P45" s="381"/>
      <c r="Q45" s="381"/>
      <c r="R45" s="381"/>
      <c r="S45" s="234"/>
    </row>
    <row r="46" spans="2:19" ht="27.75" customHeight="1" x14ac:dyDescent="0.3">
      <c r="B46" s="381"/>
      <c r="C46" s="381"/>
      <c r="D46" s="381"/>
      <c r="E46" s="381"/>
      <c r="F46" s="381"/>
      <c r="G46" s="381"/>
      <c r="H46" s="381"/>
      <c r="I46" s="381"/>
      <c r="J46" s="381"/>
      <c r="K46" s="381"/>
      <c r="L46" s="381"/>
      <c r="M46" s="381"/>
      <c r="N46" s="381"/>
      <c r="O46" s="381"/>
      <c r="P46" s="381"/>
      <c r="Q46" s="381"/>
      <c r="R46" s="381"/>
      <c r="S46" s="234"/>
    </row>
    <row r="47" spans="2:19" ht="27.75" customHeight="1" x14ac:dyDescent="0.3">
      <c r="B47" s="381"/>
      <c r="C47" s="381"/>
      <c r="D47" s="381"/>
      <c r="E47" s="381"/>
      <c r="F47" s="381"/>
      <c r="G47" s="381"/>
      <c r="H47" s="381"/>
      <c r="I47" s="381"/>
      <c r="J47" s="381"/>
      <c r="K47" s="381"/>
      <c r="L47" s="381"/>
      <c r="M47" s="381"/>
      <c r="N47" s="381"/>
      <c r="O47" s="381"/>
      <c r="P47" s="381"/>
      <c r="Q47" s="381"/>
      <c r="R47" s="381"/>
      <c r="S47" s="234"/>
    </row>
    <row r="48" spans="2:19" ht="127.5" customHeight="1" x14ac:dyDescent="0.3">
      <c r="B48" s="381"/>
      <c r="C48" s="381"/>
      <c r="D48" s="381"/>
      <c r="E48" s="381"/>
      <c r="F48" s="381"/>
      <c r="G48" s="381"/>
      <c r="H48" s="381"/>
      <c r="I48" s="381"/>
      <c r="J48" s="381"/>
      <c r="K48" s="381"/>
      <c r="L48" s="381"/>
      <c r="M48" s="381"/>
      <c r="N48" s="381"/>
      <c r="O48" s="381"/>
      <c r="P48" s="381"/>
      <c r="Q48" s="381"/>
      <c r="R48" s="381"/>
      <c r="S48" s="234"/>
    </row>
    <row r="49" spans="1:23" ht="6" customHeight="1" x14ac:dyDescent="0.3">
      <c r="B49" s="283"/>
      <c r="C49" s="283"/>
      <c r="D49" s="283"/>
      <c r="E49" s="283"/>
      <c r="F49" s="283"/>
      <c r="G49" s="283"/>
      <c r="H49" s="283"/>
      <c r="I49" s="283"/>
      <c r="J49" s="283"/>
      <c r="K49" s="283"/>
      <c r="L49" s="283"/>
      <c r="M49" s="283"/>
      <c r="N49" s="283"/>
      <c r="O49" s="283"/>
      <c r="P49" s="283"/>
      <c r="Q49" s="283"/>
      <c r="R49" s="283"/>
      <c r="S49" s="234"/>
    </row>
    <row r="50" spans="1:23" ht="42" customHeight="1" x14ac:dyDescent="0.3">
      <c r="B50" s="397" t="s">
        <v>840</v>
      </c>
      <c r="C50" s="389"/>
      <c r="D50" s="389"/>
      <c r="E50" s="389"/>
      <c r="F50" s="389"/>
      <c r="G50" s="389"/>
      <c r="H50" s="389"/>
      <c r="I50" s="389"/>
      <c r="J50" s="389"/>
      <c r="K50" s="389"/>
      <c r="L50" s="389"/>
      <c r="M50" s="389"/>
      <c r="N50" s="389"/>
      <c r="O50" s="389"/>
      <c r="P50" s="389"/>
      <c r="Q50" s="389"/>
      <c r="R50" s="389"/>
      <c r="S50" s="234"/>
    </row>
    <row r="51" spans="1:23" ht="9.75" hidden="1" customHeight="1" x14ac:dyDescent="0.3">
      <c r="B51" s="284"/>
      <c r="C51" s="284"/>
      <c r="D51" s="284"/>
      <c r="E51" s="284"/>
      <c r="F51" s="284"/>
      <c r="G51" s="284"/>
      <c r="H51" s="284"/>
      <c r="I51" s="284"/>
      <c r="J51" s="284"/>
      <c r="K51" s="284"/>
      <c r="L51" s="284"/>
      <c r="M51" s="284"/>
      <c r="N51" s="284"/>
      <c r="O51" s="284"/>
      <c r="P51" s="284"/>
      <c r="Q51" s="284"/>
      <c r="R51" s="284"/>
      <c r="S51" s="234"/>
    </row>
    <row r="52" spans="1:23" ht="129.75" customHeight="1" x14ac:dyDescent="0.3">
      <c r="B52" s="381" t="s">
        <v>842</v>
      </c>
      <c r="C52" s="381"/>
      <c r="D52" s="381"/>
      <c r="E52" s="381"/>
      <c r="F52" s="381"/>
      <c r="G52" s="381"/>
      <c r="H52" s="381"/>
      <c r="I52" s="381"/>
      <c r="J52" s="381"/>
      <c r="K52" s="381"/>
      <c r="L52" s="381"/>
      <c r="M52" s="381"/>
      <c r="N52" s="381"/>
      <c r="O52" s="381"/>
      <c r="P52" s="381"/>
      <c r="Q52" s="381"/>
      <c r="R52" s="381"/>
      <c r="S52" s="234"/>
    </row>
    <row r="53" spans="1:23" ht="6" customHeight="1" x14ac:dyDescent="0.3">
      <c r="B53" s="381"/>
      <c r="C53" s="381"/>
      <c r="D53" s="381"/>
      <c r="E53" s="381"/>
      <c r="F53" s="381"/>
      <c r="G53" s="381"/>
      <c r="H53" s="381"/>
      <c r="I53" s="381"/>
      <c r="J53" s="381"/>
      <c r="K53" s="381"/>
      <c r="L53" s="381"/>
      <c r="M53" s="381"/>
      <c r="N53" s="381"/>
      <c r="O53" s="381"/>
      <c r="P53" s="381"/>
      <c r="Q53" s="381"/>
      <c r="R53" s="381"/>
      <c r="S53" s="234"/>
    </row>
    <row r="54" spans="1:23" ht="75" customHeight="1" x14ac:dyDescent="0.3">
      <c r="B54" s="395" t="s">
        <v>831</v>
      </c>
      <c r="C54" s="395"/>
      <c r="D54" s="395"/>
      <c r="E54" s="395"/>
      <c r="F54" s="395"/>
      <c r="G54" s="395"/>
      <c r="H54" s="395"/>
      <c r="I54" s="395"/>
      <c r="J54" s="395"/>
      <c r="K54" s="395"/>
      <c r="L54" s="395"/>
      <c r="M54" s="395"/>
      <c r="N54" s="395"/>
      <c r="O54" s="395"/>
      <c r="P54" s="395"/>
      <c r="Q54" s="395"/>
      <c r="R54" s="395"/>
      <c r="S54" s="234"/>
    </row>
    <row r="55" spans="1:23" ht="13.5" customHeight="1" x14ac:dyDescent="0.3">
      <c r="B55" s="395"/>
      <c r="C55" s="395"/>
      <c r="D55" s="395"/>
      <c r="E55" s="395"/>
      <c r="F55" s="395"/>
      <c r="G55" s="395"/>
      <c r="H55" s="395"/>
      <c r="I55" s="395"/>
      <c r="J55" s="395"/>
      <c r="K55" s="395"/>
      <c r="L55" s="395"/>
      <c r="M55" s="395"/>
      <c r="N55" s="395"/>
      <c r="O55" s="395"/>
      <c r="P55" s="395"/>
      <c r="Q55" s="395"/>
      <c r="R55" s="395"/>
      <c r="S55" s="234"/>
    </row>
    <row r="56" spans="1:23" ht="50.25" customHeight="1" x14ac:dyDescent="0.3">
      <c r="B56" s="381" t="s">
        <v>841</v>
      </c>
      <c r="C56" s="381"/>
      <c r="D56" s="381"/>
      <c r="E56" s="381"/>
      <c r="F56" s="381"/>
      <c r="G56" s="381"/>
      <c r="H56" s="381"/>
      <c r="I56" s="381"/>
      <c r="J56" s="381"/>
      <c r="K56" s="381"/>
      <c r="L56" s="381"/>
      <c r="M56" s="381"/>
      <c r="N56" s="381"/>
      <c r="O56" s="381"/>
      <c r="P56" s="381"/>
      <c r="Q56" s="381"/>
      <c r="R56" s="381"/>
      <c r="S56" s="234"/>
    </row>
    <row r="57" spans="1:23" ht="25.35" customHeight="1" x14ac:dyDescent="0.3">
      <c r="A57" s="236"/>
      <c r="B57" s="379" t="s">
        <v>440</v>
      </c>
      <c r="C57" s="379"/>
      <c r="D57" s="379"/>
      <c r="E57" s="379"/>
      <c r="F57" s="237"/>
      <c r="G57" s="237"/>
      <c r="H57" s="237"/>
      <c r="I57" s="237"/>
      <c r="J57" s="237"/>
      <c r="K57" s="237"/>
      <c r="L57" s="237"/>
      <c r="M57" s="237"/>
      <c r="N57" s="237"/>
      <c r="O57" s="237"/>
      <c r="P57" s="237"/>
      <c r="Q57" s="237"/>
      <c r="R57" s="237"/>
      <c r="S57" s="236"/>
      <c r="T57" s="236"/>
      <c r="U57" s="236"/>
      <c r="V57" s="236"/>
      <c r="W57" s="236"/>
    </row>
    <row r="58" spans="1:23" ht="84" customHeight="1" x14ac:dyDescent="0.3">
      <c r="A58" s="247"/>
      <c r="B58" s="389" t="s">
        <v>794</v>
      </c>
      <c r="C58" s="389"/>
      <c r="D58" s="389"/>
      <c r="E58" s="389"/>
      <c r="F58" s="389"/>
      <c r="G58" s="389"/>
      <c r="H58" s="389"/>
      <c r="I58" s="389"/>
      <c r="J58" s="389"/>
      <c r="K58" s="389"/>
      <c r="L58" s="389"/>
      <c r="M58" s="389"/>
      <c r="N58" s="389"/>
      <c r="O58" s="389"/>
      <c r="P58" s="389"/>
      <c r="Q58" s="389"/>
      <c r="R58" s="389"/>
      <c r="S58" s="247"/>
      <c r="T58" s="247"/>
      <c r="U58" s="248"/>
      <c r="V58" s="248"/>
      <c r="W58" s="248"/>
    </row>
    <row r="59" spans="1:23" ht="48" customHeight="1" x14ac:dyDescent="0.3">
      <c r="B59" s="239"/>
      <c r="C59" s="238"/>
      <c r="D59" s="238"/>
      <c r="E59" s="238"/>
      <c r="F59" s="238"/>
      <c r="G59" s="238"/>
      <c r="H59" s="238"/>
      <c r="I59" s="238"/>
      <c r="J59" s="238"/>
      <c r="K59" s="238"/>
      <c r="L59" s="238"/>
      <c r="M59" s="238"/>
      <c r="N59" s="238"/>
      <c r="O59" s="238"/>
      <c r="P59" s="238"/>
      <c r="Q59" s="238"/>
      <c r="R59" s="238"/>
      <c r="S59" s="234"/>
    </row>
    <row r="60" spans="1:23" ht="48" customHeight="1" x14ac:dyDescent="0.3">
      <c r="B60" s="239"/>
      <c r="C60" s="238"/>
      <c r="D60" s="238"/>
      <c r="E60" s="238"/>
      <c r="F60" s="238"/>
      <c r="G60" s="238"/>
      <c r="H60" s="238"/>
      <c r="I60" s="238"/>
      <c r="J60" s="238"/>
      <c r="K60" s="238"/>
      <c r="L60" s="238"/>
      <c r="M60" s="238"/>
      <c r="N60" s="238"/>
      <c r="O60" s="238"/>
      <c r="P60" s="238"/>
      <c r="Q60" s="238"/>
      <c r="R60" s="238"/>
      <c r="S60" s="234"/>
    </row>
    <row r="61" spans="1:23" ht="48" customHeight="1" x14ac:dyDescent="0.3">
      <c r="B61" s="239"/>
      <c r="C61" s="238"/>
      <c r="D61" s="238"/>
      <c r="E61" s="238"/>
      <c r="F61" s="238"/>
      <c r="G61" s="238"/>
      <c r="H61" s="238"/>
      <c r="I61" s="238"/>
      <c r="J61" s="238"/>
      <c r="K61" s="238"/>
      <c r="L61" s="238"/>
      <c r="M61" s="238"/>
      <c r="N61" s="238"/>
      <c r="O61" s="238"/>
      <c r="P61" s="238"/>
      <c r="Q61" s="238"/>
      <c r="R61" s="238"/>
      <c r="S61" s="234"/>
    </row>
    <row r="62" spans="1:23" ht="48" customHeight="1" x14ac:dyDescent="0.3">
      <c r="B62" s="239"/>
      <c r="C62" s="238"/>
      <c r="D62" s="238"/>
      <c r="E62" s="238"/>
      <c r="F62" s="238"/>
      <c r="G62" s="238"/>
      <c r="H62" s="238"/>
      <c r="I62" s="238"/>
      <c r="J62" s="238"/>
      <c r="K62" s="238"/>
      <c r="L62" s="238"/>
      <c r="M62" s="238"/>
      <c r="N62" s="238"/>
      <c r="O62" s="238"/>
      <c r="P62" s="238"/>
      <c r="Q62" s="238"/>
      <c r="R62" s="238"/>
      <c r="S62" s="234"/>
    </row>
    <row r="63" spans="1:23" ht="48" customHeight="1" x14ac:dyDescent="0.3">
      <c r="B63" s="239"/>
      <c r="C63" s="238"/>
      <c r="D63" s="238"/>
      <c r="E63" s="238"/>
      <c r="F63" s="238"/>
      <c r="G63" s="238"/>
      <c r="H63" s="238"/>
      <c r="I63" s="238"/>
      <c r="J63" s="238"/>
      <c r="K63" s="238"/>
      <c r="L63" s="238"/>
      <c r="M63" s="238"/>
      <c r="N63" s="238"/>
      <c r="O63" s="238"/>
      <c r="P63" s="238"/>
      <c r="Q63" s="238"/>
      <c r="R63" s="238"/>
      <c r="S63" s="234"/>
    </row>
    <row r="64" spans="1:23" ht="48" customHeight="1" x14ac:dyDescent="0.3">
      <c r="B64" s="239"/>
      <c r="C64" s="238"/>
      <c r="D64" s="238"/>
      <c r="E64" s="238"/>
      <c r="F64" s="238"/>
      <c r="G64" s="238"/>
      <c r="H64" s="238"/>
      <c r="I64" s="238"/>
      <c r="J64" s="238"/>
      <c r="K64" s="238"/>
      <c r="L64" s="238"/>
      <c r="M64" s="238"/>
      <c r="N64" s="238"/>
      <c r="O64" s="238"/>
      <c r="P64" s="238"/>
      <c r="Q64" s="238"/>
      <c r="R64" s="238"/>
      <c r="S64" s="234"/>
    </row>
    <row r="65" spans="1:23" ht="48" customHeight="1" x14ac:dyDescent="0.3">
      <c r="B65" s="239"/>
      <c r="C65" s="238"/>
      <c r="D65" s="238"/>
      <c r="E65" s="238"/>
      <c r="F65" s="238"/>
      <c r="G65" s="238"/>
      <c r="H65" s="238"/>
      <c r="I65" s="238"/>
      <c r="J65" s="238"/>
      <c r="K65" s="238"/>
      <c r="L65" s="238"/>
      <c r="M65" s="238"/>
      <c r="N65" s="238"/>
      <c r="O65" s="238"/>
      <c r="P65" s="238"/>
      <c r="Q65" s="238"/>
      <c r="R65" s="238"/>
      <c r="S65" s="234"/>
    </row>
    <row r="66" spans="1:23" ht="48" customHeight="1" x14ac:dyDescent="0.3">
      <c r="B66" s="239"/>
      <c r="C66" s="238"/>
      <c r="D66" s="238"/>
      <c r="E66" s="238"/>
      <c r="F66" s="238"/>
      <c r="G66" s="238"/>
      <c r="H66" s="238"/>
      <c r="I66" s="238"/>
      <c r="J66" s="238"/>
      <c r="K66" s="238"/>
      <c r="L66" s="238"/>
      <c r="M66" s="238"/>
      <c r="N66" s="238"/>
      <c r="O66" s="238"/>
      <c r="P66" s="238"/>
      <c r="Q66" s="238"/>
      <c r="R66" s="238"/>
      <c r="S66" s="234"/>
    </row>
    <row r="67" spans="1:23" ht="48" customHeight="1" x14ac:dyDescent="0.3">
      <c r="B67" s="239"/>
      <c r="C67" s="238"/>
      <c r="D67" s="238"/>
      <c r="E67" s="238"/>
      <c r="F67" s="238"/>
      <c r="G67" s="238"/>
      <c r="H67" s="238"/>
      <c r="I67" s="238"/>
      <c r="J67" s="238"/>
      <c r="K67" s="238"/>
      <c r="L67" s="238"/>
      <c r="M67" s="238"/>
      <c r="N67" s="238"/>
      <c r="O67" s="238"/>
      <c r="P67" s="238"/>
      <c r="Q67" s="238"/>
      <c r="R67" s="238"/>
      <c r="S67" s="234"/>
    </row>
    <row r="68" spans="1:23" ht="48" customHeight="1" x14ac:dyDescent="0.3">
      <c r="B68" s="239"/>
      <c r="C68" s="238"/>
      <c r="D68" s="238"/>
      <c r="E68" s="238"/>
      <c r="F68" s="238"/>
      <c r="G68" s="238"/>
      <c r="H68" s="238"/>
      <c r="I68" s="238"/>
      <c r="J68" s="238"/>
      <c r="K68" s="238"/>
      <c r="L68" s="238"/>
      <c r="M68" s="238"/>
      <c r="N68" s="238"/>
      <c r="O68" s="238"/>
      <c r="P68" s="238"/>
      <c r="Q68" s="238"/>
      <c r="R68" s="238"/>
      <c r="S68" s="234"/>
    </row>
    <row r="69" spans="1:23" ht="27.75" customHeight="1" x14ac:dyDescent="0.3">
      <c r="B69" s="239"/>
      <c r="C69" s="238"/>
      <c r="D69" s="238"/>
      <c r="E69" s="238"/>
      <c r="F69" s="238"/>
      <c r="G69" s="238"/>
      <c r="H69" s="238"/>
      <c r="I69" s="238"/>
      <c r="J69" s="238"/>
      <c r="K69" s="238"/>
      <c r="L69" s="238"/>
      <c r="M69" s="238"/>
      <c r="N69" s="238"/>
      <c r="O69" s="238"/>
      <c r="P69" s="238"/>
      <c r="Q69" s="238"/>
      <c r="R69" s="238"/>
      <c r="S69" s="234"/>
    </row>
    <row r="70" spans="1:23" ht="21.75" customHeight="1" x14ac:dyDescent="0.3">
      <c r="B70" s="239"/>
      <c r="C70" s="238"/>
      <c r="D70" s="238"/>
      <c r="E70" s="238"/>
      <c r="F70" s="238"/>
      <c r="G70" s="238"/>
      <c r="H70" s="238"/>
      <c r="I70" s="238"/>
      <c r="J70" s="238"/>
      <c r="K70" s="238"/>
      <c r="L70" s="238"/>
      <c r="M70" s="238"/>
      <c r="N70" s="238"/>
      <c r="O70" s="238"/>
      <c r="P70" s="238"/>
      <c r="Q70" s="238"/>
      <c r="R70" s="238"/>
      <c r="S70" s="234"/>
    </row>
    <row r="71" spans="1:23" ht="14.25" customHeight="1" x14ac:dyDescent="0.3">
      <c r="B71" s="239"/>
      <c r="C71" s="238"/>
      <c r="D71" s="238"/>
      <c r="E71" s="238"/>
      <c r="F71" s="238"/>
      <c r="G71" s="238"/>
      <c r="H71" s="238"/>
      <c r="I71" s="238"/>
      <c r="J71" s="238"/>
      <c r="K71" s="238"/>
      <c r="L71" s="238"/>
      <c r="M71" s="238"/>
      <c r="N71" s="238"/>
      <c r="O71" s="238"/>
      <c r="P71" s="238"/>
      <c r="Q71" s="238"/>
      <c r="R71" s="238"/>
      <c r="S71" s="234"/>
    </row>
    <row r="72" spans="1:23" ht="25.35" customHeight="1" x14ac:dyDescent="0.3">
      <c r="A72" s="236"/>
      <c r="B72" s="379" t="s">
        <v>441</v>
      </c>
      <c r="C72" s="379"/>
      <c r="D72" s="379"/>
      <c r="E72" s="379"/>
      <c r="F72" s="379"/>
      <c r="G72" s="379"/>
      <c r="H72" s="237"/>
      <c r="I72" s="237"/>
      <c r="J72" s="237"/>
      <c r="K72" s="237"/>
      <c r="L72" s="237"/>
      <c r="M72" s="237"/>
      <c r="N72" s="237"/>
      <c r="O72" s="237"/>
      <c r="P72" s="237"/>
      <c r="Q72" s="237"/>
      <c r="R72" s="237"/>
      <c r="S72" s="236"/>
      <c r="T72" s="236"/>
      <c r="U72" s="236"/>
      <c r="V72" s="236"/>
      <c r="W72" s="236"/>
    </row>
    <row r="73" spans="1:23" ht="121.5" customHeight="1" x14ac:dyDescent="0.3">
      <c r="B73" s="396" t="s">
        <v>731</v>
      </c>
      <c r="C73" s="396"/>
      <c r="D73" s="396"/>
      <c r="E73" s="396"/>
      <c r="F73" s="396"/>
      <c r="G73" s="396"/>
      <c r="H73" s="396"/>
      <c r="I73" s="396"/>
      <c r="J73" s="396"/>
      <c r="K73" s="396"/>
      <c r="L73" s="396"/>
      <c r="M73" s="396"/>
      <c r="N73" s="396"/>
      <c r="O73" s="396"/>
      <c r="P73" s="396"/>
      <c r="Q73" s="396"/>
      <c r="R73" s="396"/>
      <c r="S73" s="234"/>
      <c r="T73" s="234"/>
    </row>
    <row r="74" spans="1:23" hidden="1" x14ac:dyDescent="0.3">
      <c r="B74" s="235"/>
      <c r="C74" s="235"/>
      <c r="D74" s="235"/>
      <c r="E74" s="235"/>
      <c r="F74" s="235"/>
      <c r="G74" s="235"/>
      <c r="H74" s="235"/>
      <c r="I74" s="235"/>
      <c r="J74" s="235"/>
      <c r="K74" s="235"/>
      <c r="L74" s="235"/>
      <c r="M74" s="235"/>
      <c r="N74" s="235"/>
      <c r="O74" s="235"/>
      <c r="P74" s="235"/>
      <c r="Q74" s="235"/>
      <c r="R74" s="235"/>
      <c r="S74" s="234"/>
    </row>
    <row r="75" spans="1:23" hidden="1" x14ac:dyDescent="0.3">
      <c r="B75" s="235"/>
      <c r="C75" s="235"/>
      <c r="D75" s="235"/>
      <c r="E75" s="235"/>
      <c r="F75" s="235"/>
      <c r="G75" s="235"/>
      <c r="H75" s="235"/>
      <c r="I75" s="235"/>
      <c r="J75" s="235"/>
      <c r="K75" s="235"/>
      <c r="L75" s="235"/>
      <c r="M75" s="235"/>
      <c r="N75" s="235"/>
      <c r="O75" s="235"/>
      <c r="P75" s="235"/>
      <c r="Q75" s="235"/>
      <c r="R75" s="235"/>
      <c r="S75" s="234"/>
    </row>
    <row r="76" spans="1:23" hidden="1" x14ac:dyDescent="0.3">
      <c r="B76" s="235"/>
      <c r="C76" s="235"/>
      <c r="D76" s="235"/>
      <c r="E76" s="235"/>
      <c r="F76" s="235"/>
      <c r="G76" s="235"/>
      <c r="H76" s="235"/>
      <c r="I76" s="235"/>
      <c r="J76" s="235"/>
      <c r="K76" s="235"/>
      <c r="L76" s="235"/>
      <c r="M76" s="235"/>
      <c r="N76" s="235"/>
      <c r="O76" s="235"/>
      <c r="P76" s="235"/>
      <c r="Q76" s="235"/>
      <c r="R76" s="235"/>
      <c r="S76" s="234"/>
    </row>
    <row r="77" spans="1:23" hidden="1" x14ac:dyDescent="0.3">
      <c r="B77" s="235"/>
      <c r="C77" s="235"/>
      <c r="D77" s="235"/>
      <c r="E77" s="235"/>
      <c r="F77" s="235"/>
      <c r="G77" s="235"/>
      <c r="H77" s="235"/>
      <c r="I77" s="235"/>
      <c r="J77" s="235"/>
      <c r="K77" s="235"/>
      <c r="L77" s="235"/>
      <c r="M77" s="235"/>
      <c r="N77" s="235"/>
      <c r="O77" s="235"/>
      <c r="P77" s="235"/>
      <c r="Q77" s="235"/>
      <c r="R77" s="235"/>
      <c r="S77" s="234"/>
    </row>
    <row r="78" spans="1:23" hidden="1" x14ac:dyDescent="0.3">
      <c r="B78" s="235"/>
      <c r="C78" s="235"/>
      <c r="D78" s="235"/>
      <c r="E78" s="235"/>
      <c r="F78" s="235"/>
      <c r="G78" s="235"/>
      <c r="H78" s="235"/>
      <c r="I78" s="235"/>
      <c r="J78" s="235"/>
      <c r="K78" s="235"/>
      <c r="L78" s="235"/>
      <c r="M78" s="235"/>
      <c r="N78" s="235"/>
      <c r="O78" s="235"/>
      <c r="P78" s="235"/>
      <c r="Q78" s="235"/>
      <c r="R78" s="235"/>
      <c r="S78" s="234"/>
    </row>
    <row r="79" spans="1:23" hidden="1" x14ac:dyDescent="0.3">
      <c r="B79" s="235"/>
      <c r="C79" s="235"/>
      <c r="D79" s="235"/>
      <c r="E79" s="235"/>
      <c r="F79" s="235"/>
      <c r="G79" s="235"/>
      <c r="H79" s="235"/>
      <c r="I79" s="235"/>
      <c r="J79" s="235"/>
      <c r="K79" s="235"/>
      <c r="L79" s="235"/>
      <c r="M79" s="235"/>
      <c r="N79" s="235"/>
      <c r="O79" s="235"/>
      <c r="P79" s="235"/>
      <c r="Q79" s="235"/>
      <c r="R79" s="235"/>
      <c r="S79" s="234"/>
    </row>
    <row r="80" spans="1:23" hidden="1" x14ac:dyDescent="0.3">
      <c r="B80" s="235"/>
      <c r="C80" s="235"/>
      <c r="D80" s="235"/>
      <c r="E80" s="235"/>
      <c r="F80" s="235"/>
      <c r="G80" s="235"/>
      <c r="H80" s="235"/>
      <c r="I80" s="235"/>
      <c r="J80" s="235"/>
      <c r="K80" s="235"/>
      <c r="L80" s="235"/>
      <c r="M80" s="235"/>
      <c r="N80" s="235"/>
      <c r="O80" s="235"/>
      <c r="P80" s="235"/>
      <c r="Q80" s="235"/>
      <c r="R80" s="235"/>
      <c r="S80" s="234"/>
    </row>
    <row r="81" spans="2:19" hidden="1" x14ac:dyDescent="0.3">
      <c r="B81" s="235"/>
      <c r="C81" s="235"/>
      <c r="D81" s="235"/>
      <c r="E81" s="235"/>
      <c r="F81" s="235"/>
      <c r="G81" s="235"/>
      <c r="H81" s="235"/>
      <c r="I81" s="235"/>
      <c r="J81" s="235"/>
      <c r="K81" s="235"/>
      <c r="L81" s="235"/>
      <c r="M81" s="235"/>
      <c r="N81" s="235"/>
      <c r="O81" s="235"/>
      <c r="P81" s="235"/>
      <c r="Q81" s="235"/>
      <c r="R81" s="235"/>
      <c r="S81" s="234"/>
    </row>
    <row r="82" spans="2:19" hidden="1" x14ac:dyDescent="0.3">
      <c r="B82" s="235"/>
      <c r="C82" s="235"/>
      <c r="D82" s="235"/>
      <c r="E82" s="235"/>
      <c r="F82" s="235"/>
      <c r="G82" s="235"/>
      <c r="H82" s="235"/>
      <c r="I82" s="235"/>
      <c r="J82" s="235"/>
      <c r="K82" s="235"/>
      <c r="L82" s="235"/>
      <c r="M82" s="235"/>
      <c r="N82" s="235"/>
      <c r="O82" s="235"/>
      <c r="P82" s="235"/>
      <c r="Q82" s="235"/>
      <c r="R82" s="235"/>
      <c r="S82" s="234"/>
    </row>
    <row r="83" spans="2:19" hidden="1" x14ac:dyDescent="0.3">
      <c r="B83" s="234"/>
      <c r="C83" s="234"/>
      <c r="D83" s="234"/>
      <c r="E83" s="234"/>
      <c r="F83" s="234"/>
      <c r="G83" s="234"/>
      <c r="H83" s="234"/>
      <c r="I83" s="234"/>
      <c r="J83" s="234"/>
      <c r="K83" s="234"/>
      <c r="L83" s="234"/>
      <c r="M83" s="234"/>
      <c r="N83" s="234"/>
      <c r="O83" s="234"/>
      <c r="P83" s="234"/>
      <c r="Q83" s="234"/>
      <c r="R83" s="234"/>
      <c r="S83" s="234"/>
    </row>
    <row r="84" spans="2:19" hidden="1" x14ac:dyDescent="0.3">
      <c r="B84" s="234"/>
      <c r="C84" s="234"/>
      <c r="D84" s="234"/>
      <c r="E84" s="234"/>
      <c r="F84" s="234"/>
      <c r="G84" s="234"/>
      <c r="H84" s="234"/>
      <c r="I84" s="234"/>
      <c r="J84" s="234"/>
      <c r="K84" s="234"/>
      <c r="L84" s="234"/>
      <c r="M84" s="234"/>
      <c r="N84" s="234"/>
      <c r="O84" s="234"/>
      <c r="P84" s="234"/>
      <c r="Q84" s="234"/>
      <c r="R84" s="234"/>
      <c r="S84" s="234"/>
    </row>
    <row r="85" spans="2:19" hidden="1" x14ac:dyDescent="0.3">
      <c r="B85" s="234"/>
      <c r="C85" s="234"/>
      <c r="D85" s="234"/>
      <c r="E85" s="234"/>
      <c r="F85" s="234"/>
      <c r="G85" s="234"/>
      <c r="H85" s="234"/>
      <c r="I85" s="234"/>
      <c r="J85" s="234"/>
      <c r="K85" s="234"/>
      <c r="L85" s="234"/>
      <c r="M85" s="234"/>
      <c r="N85" s="234"/>
      <c r="O85" s="234"/>
      <c r="P85" s="234"/>
      <c r="Q85" s="234"/>
      <c r="R85" s="234"/>
      <c r="S85" s="234"/>
    </row>
    <row r="86" spans="2:19" hidden="1" x14ac:dyDescent="0.3">
      <c r="B86" s="234"/>
      <c r="C86" s="234"/>
      <c r="D86" s="234"/>
      <c r="E86" s="234"/>
      <c r="F86" s="234"/>
      <c r="G86" s="234"/>
      <c r="H86" s="234"/>
      <c r="I86" s="234"/>
      <c r="J86" s="234"/>
      <c r="K86" s="234"/>
      <c r="L86" s="234"/>
      <c r="M86" s="234"/>
      <c r="N86" s="234"/>
      <c r="O86" s="234"/>
      <c r="P86" s="234"/>
      <c r="Q86" s="234"/>
      <c r="R86" s="234"/>
      <c r="S86" s="234"/>
    </row>
    <row r="87" spans="2:19" hidden="1" x14ac:dyDescent="0.3">
      <c r="B87" s="234"/>
      <c r="C87" s="234"/>
      <c r="D87" s="234"/>
      <c r="E87" s="234"/>
      <c r="F87" s="234"/>
      <c r="G87" s="234"/>
      <c r="H87" s="234"/>
      <c r="I87" s="234"/>
      <c r="J87" s="234"/>
      <c r="K87" s="234"/>
      <c r="L87" s="234"/>
      <c r="M87" s="234"/>
      <c r="N87" s="234"/>
      <c r="O87" s="234"/>
      <c r="P87" s="234"/>
      <c r="Q87" s="234"/>
      <c r="R87" s="234"/>
      <c r="S87" s="234"/>
    </row>
    <row r="88" spans="2:19" hidden="1" x14ac:dyDescent="0.3">
      <c r="B88" s="234"/>
      <c r="C88" s="234"/>
      <c r="D88" s="234"/>
      <c r="E88" s="234"/>
      <c r="F88" s="234"/>
      <c r="G88" s="234"/>
      <c r="H88" s="234"/>
      <c r="I88" s="234"/>
      <c r="J88" s="234"/>
      <c r="K88" s="234"/>
      <c r="L88" s="234"/>
      <c r="M88" s="234"/>
      <c r="N88" s="234"/>
      <c r="O88" s="234"/>
      <c r="P88" s="234"/>
      <c r="Q88" s="234"/>
      <c r="R88" s="234"/>
      <c r="S88" s="234"/>
    </row>
    <row r="89" spans="2:19" hidden="1" x14ac:dyDescent="0.3">
      <c r="B89" s="234"/>
      <c r="C89" s="234"/>
      <c r="D89" s="234"/>
      <c r="E89" s="234"/>
      <c r="F89" s="234"/>
      <c r="G89" s="234"/>
      <c r="H89" s="234"/>
      <c r="I89" s="234"/>
      <c r="J89" s="234"/>
      <c r="K89" s="234"/>
      <c r="L89" s="234"/>
      <c r="M89" s="234"/>
      <c r="N89" s="234"/>
      <c r="O89" s="234"/>
      <c r="P89" s="234"/>
      <c r="Q89" s="234"/>
      <c r="R89" s="234"/>
      <c r="S89" s="234"/>
    </row>
    <row r="90" spans="2:19" hidden="1" x14ac:dyDescent="0.3">
      <c r="B90" s="234"/>
      <c r="C90" s="234"/>
      <c r="D90" s="234"/>
      <c r="E90" s="234"/>
      <c r="F90" s="234"/>
      <c r="G90" s="234"/>
      <c r="H90" s="234"/>
      <c r="I90" s="234"/>
      <c r="J90" s="234"/>
      <c r="K90" s="234"/>
      <c r="L90" s="234"/>
      <c r="M90" s="234"/>
      <c r="N90" s="234"/>
      <c r="O90" s="234"/>
      <c r="P90" s="234"/>
      <c r="Q90" s="234"/>
      <c r="R90" s="234"/>
      <c r="S90" s="234"/>
    </row>
    <row r="91" spans="2:19" hidden="1" x14ac:dyDescent="0.3">
      <c r="B91" s="234"/>
      <c r="C91" s="234"/>
      <c r="D91" s="234"/>
      <c r="E91" s="234"/>
      <c r="F91" s="234"/>
      <c r="G91" s="234"/>
      <c r="H91" s="234"/>
      <c r="I91" s="234"/>
      <c r="J91" s="234"/>
      <c r="K91" s="234"/>
      <c r="L91" s="234"/>
      <c r="M91" s="234"/>
      <c r="N91" s="234"/>
      <c r="O91" s="234"/>
      <c r="P91" s="234"/>
      <c r="Q91" s="234"/>
      <c r="R91" s="234"/>
      <c r="S91" s="234"/>
    </row>
    <row r="92" spans="2:19" hidden="1" x14ac:dyDescent="0.3">
      <c r="B92" s="234"/>
      <c r="C92" s="234"/>
      <c r="D92" s="234"/>
      <c r="E92" s="234"/>
      <c r="F92" s="234"/>
      <c r="G92" s="234"/>
      <c r="H92" s="234"/>
      <c r="I92" s="234"/>
      <c r="J92" s="234"/>
      <c r="K92" s="234"/>
      <c r="L92" s="234"/>
      <c r="M92" s="234"/>
      <c r="N92" s="234"/>
      <c r="O92" s="234"/>
      <c r="P92" s="234"/>
      <c r="Q92" s="234"/>
      <c r="R92" s="234"/>
      <c r="S92" s="234"/>
    </row>
    <row r="93" spans="2:19" hidden="1" x14ac:dyDescent="0.3">
      <c r="B93" s="234"/>
      <c r="C93" s="234"/>
      <c r="D93" s="234"/>
      <c r="E93" s="234"/>
      <c r="F93" s="234"/>
      <c r="G93" s="234"/>
      <c r="H93" s="234"/>
      <c r="I93" s="234"/>
      <c r="J93" s="234"/>
      <c r="K93" s="234"/>
      <c r="L93" s="234"/>
      <c r="M93" s="234"/>
      <c r="N93" s="234"/>
      <c r="O93" s="234"/>
      <c r="P93" s="234"/>
      <c r="Q93" s="234"/>
      <c r="R93" s="234"/>
      <c r="S93" s="234"/>
    </row>
    <row r="94" spans="2:19" hidden="1" x14ac:dyDescent="0.3">
      <c r="B94" s="234"/>
      <c r="C94" s="234"/>
      <c r="D94" s="234"/>
      <c r="E94" s="234"/>
      <c r="F94" s="234"/>
      <c r="G94" s="234"/>
      <c r="H94" s="234"/>
      <c r="I94" s="234"/>
      <c r="J94" s="234"/>
      <c r="K94" s="234"/>
      <c r="L94" s="234"/>
      <c r="M94" s="234"/>
      <c r="N94" s="234"/>
      <c r="O94" s="234"/>
      <c r="P94" s="234"/>
      <c r="Q94" s="234"/>
      <c r="R94" s="234"/>
      <c r="S94" s="234"/>
    </row>
    <row r="95" spans="2:19" hidden="1" x14ac:dyDescent="0.3">
      <c r="B95" s="234"/>
      <c r="C95" s="234"/>
      <c r="D95" s="234"/>
      <c r="E95" s="234"/>
      <c r="F95" s="234"/>
      <c r="G95" s="234"/>
      <c r="H95" s="234"/>
      <c r="I95" s="234"/>
      <c r="J95" s="234"/>
      <c r="K95" s="234"/>
      <c r="L95" s="234"/>
      <c r="M95" s="234"/>
      <c r="N95" s="234"/>
      <c r="O95" s="234"/>
      <c r="P95" s="234"/>
      <c r="Q95" s="234"/>
      <c r="R95" s="234"/>
      <c r="S95" s="234"/>
    </row>
    <row r="96" spans="2:19" hidden="1" x14ac:dyDescent="0.3">
      <c r="B96" s="234"/>
      <c r="C96" s="234"/>
      <c r="D96" s="234"/>
      <c r="E96" s="234"/>
      <c r="F96" s="234"/>
      <c r="G96" s="234"/>
      <c r="H96" s="234"/>
      <c r="I96" s="234"/>
      <c r="J96" s="234"/>
      <c r="K96" s="234"/>
      <c r="L96" s="234"/>
      <c r="M96" s="234"/>
      <c r="N96" s="234"/>
      <c r="O96" s="234"/>
      <c r="P96" s="234"/>
      <c r="Q96" s="234"/>
      <c r="R96" s="234"/>
      <c r="S96" s="234"/>
    </row>
    <row r="97" spans="2:19" hidden="1" x14ac:dyDescent="0.3">
      <c r="B97" s="234"/>
      <c r="C97" s="234"/>
      <c r="D97" s="234"/>
      <c r="E97" s="234"/>
      <c r="F97" s="234"/>
      <c r="G97" s="234"/>
      <c r="H97" s="234"/>
      <c r="I97" s="234"/>
      <c r="J97" s="234"/>
      <c r="K97" s="234"/>
      <c r="L97" s="234"/>
      <c r="M97" s="234"/>
      <c r="N97" s="234"/>
      <c r="O97" s="234"/>
      <c r="P97" s="234"/>
      <c r="Q97" s="234"/>
      <c r="R97" s="234"/>
      <c r="S97" s="234"/>
    </row>
    <row r="98" spans="2:19" hidden="1" x14ac:dyDescent="0.3">
      <c r="B98" s="234"/>
      <c r="C98" s="234"/>
      <c r="D98" s="234"/>
      <c r="E98" s="234"/>
      <c r="F98" s="234"/>
      <c r="G98" s="234"/>
      <c r="H98" s="234"/>
      <c r="I98" s="234"/>
      <c r="J98" s="234"/>
      <c r="K98" s="234"/>
      <c r="L98" s="234"/>
      <c r="M98" s="234"/>
      <c r="N98" s="234"/>
      <c r="O98" s="234"/>
      <c r="P98" s="234"/>
      <c r="Q98" s="234"/>
      <c r="R98" s="234"/>
      <c r="S98" s="234"/>
    </row>
    <row r="99" spans="2:19" hidden="1" x14ac:dyDescent="0.3">
      <c r="B99" s="234"/>
      <c r="C99" s="234"/>
      <c r="D99" s="234"/>
      <c r="E99" s="234"/>
      <c r="F99" s="234"/>
      <c r="G99" s="234"/>
      <c r="H99" s="234"/>
      <c r="I99" s="234"/>
      <c r="J99" s="234"/>
      <c r="K99" s="234"/>
      <c r="L99" s="234"/>
      <c r="M99" s="234"/>
      <c r="N99" s="234"/>
      <c r="O99" s="234"/>
      <c r="P99" s="234"/>
      <c r="Q99" s="234"/>
      <c r="R99" s="234"/>
      <c r="S99" s="234"/>
    </row>
    <row r="100" spans="2:19" hidden="1" x14ac:dyDescent="0.3">
      <c r="B100" s="234"/>
      <c r="C100" s="234"/>
      <c r="D100" s="234"/>
      <c r="E100" s="234"/>
      <c r="F100" s="234"/>
      <c r="G100" s="234"/>
      <c r="H100" s="234"/>
      <c r="I100" s="234"/>
      <c r="J100" s="234"/>
      <c r="K100" s="234"/>
      <c r="L100" s="234"/>
      <c r="M100" s="234"/>
      <c r="N100" s="234"/>
      <c r="O100" s="234"/>
      <c r="P100" s="234"/>
      <c r="Q100" s="234"/>
      <c r="R100" s="234"/>
      <c r="S100" s="234"/>
    </row>
    <row r="101" spans="2:19" hidden="1" x14ac:dyDescent="0.3">
      <c r="B101" s="234"/>
      <c r="C101" s="234"/>
      <c r="D101" s="234"/>
      <c r="E101" s="234"/>
      <c r="F101" s="234"/>
      <c r="G101" s="234"/>
      <c r="H101" s="234"/>
      <c r="I101" s="234"/>
      <c r="J101" s="234"/>
      <c r="K101" s="234"/>
      <c r="L101" s="234"/>
      <c r="M101" s="234"/>
      <c r="N101" s="234"/>
      <c r="O101" s="234"/>
      <c r="P101" s="234"/>
      <c r="Q101" s="234"/>
      <c r="R101" s="234"/>
      <c r="S101" s="234"/>
    </row>
    <row r="102" spans="2:19" hidden="1" x14ac:dyDescent="0.3">
      <c r="B102" s="234"/>
      <c r="C102" s="234"/>
      <c r="D102" s="234"/>
      <c r="E102" s="234"/>
      <c r="F102" s="234"/>
      <c r="G102" s="234"/>
      <c r="H102" s="234"/>
      <c r="I102" s="234"/>
      <c r="J102" s="234"/>
      <c r="K102" s="234"/>
      <c r="L102" s="234"/>
      <c r="M102" s="234"/>
      <c r="N102" s="234"/>
      <c r="O102" s="234"/>
      <c r="P102" s="234"/>
      <c r="Q102" s="234"/>
      <c r="R102" s="234"/>
      <c r="S102" s="234"/>
    </row>
    <row r="103" spans="2:19" hidden="1" x14ac:dyDescent="0.3">
      <c r="B103" s="234"/>
      <c r="C103" s="234"/>
      <c r="D103" s="234"/>
      <c r="E103" s="234"/>
      <c r="F103" s="234"/>
      <c r="G103" s="234"/>
      <c r="H103" s="234"/>
      <c r="I103" s="234"/>
      <c r="J103" s="234"/>
      <c r="K103" s="234"/>
      <c r="L103" s="234"/>
      <c r="M103" s="234"/>
      <c r="N103" s="234"/>
      <c r="O103" s="234"/>
      <c r="P103" s="234"/>
      <c r="Q103" s="234"/>
      <c r="R103" s="234"/>
      <c r="S103" s="234"/>
    </row>
    <row r="104" spans="2:19" hidden="1" x14ac:dyDescent="0.3">
      <c r="B104" s="234"/>
      <c r="C104" s="234"/>
      <c r="D104" s="234"/>
      <c r="E104" s="234"/>
      <c r="F104" s="234"/>
      <c r="G104" s="234"/>
      <c r="H104" s="234"/>
      <c r="I104" s="234"/>
      <c r="J104" s="234"/>
      <c r="K104" s="234"/>
      <c r="L104" s="234"/>
      <c r="M104" s="234"/>
      <c r="N104" s="234"/>
      <c r="O104" s="234"/>
      <c r="P104" s="234"/>
      <c r="Q104" s="234"/>
      <c r="R104" s="234"/>
      <c r="S104" s="234"/>
    </row>
  </sheetData>
  <sheetProtection algorithmName="SHA-512" hashValue="/hv1dPv8iy6IDoVw3gL2tgYxQidmc9UUQpF+zNbF4lZZyZwxzlXHJ3piOPCV6y/cNst+jyaKTD7J3ilRBeA09A==" saltValue="eU+Yk6zHxZnn5UQ8krXPeg==" spinCount="100000" sheet="1" objects="1" scenarios="1"/>
  <mergeCells count="28">
    <mergeCell ref="B52:R53"/>
    <mergeCell ref="B50:R50"/>
    <mergeCell ref="B25:R27"/>
    <mergeCell ref="B29:R32"/>
    <mergeCell ref="B34:R34"/>
    <mergeCell ref="B36:R40"/>
    <mergeCell ref="B42:R43"/>
    <mergeCell ref="B45:R48"/>
    <mergeCell ref="B54:R55"/>
    <mergeCell ref="B58:R58"/>
    <mergeCell ref="B73:R73"/>
    <mergeCell ref="B57:E57"/>
    <mergeCell ref="B72:G72"/>
    <mergeCell ref="B56:R56"/>
    <mergeCell ref="A1:S1"/>
    <mergeCell ref="B5:R5"/>
    <mergeCell ref="B3:R3"/>
    <mergeCell ref="B8:R8"/>
    <mergeCell ref="B4:D4"/>
    <mergeCell ref="B7:D7"/>
    <mergeCell ref="B6:S6"/>
    <mergeCell ref="B11:E11"/>
    <mergeCell ref="B15:R15"/>
    <mergeCell ref="B17:R19"/>
    <mergeCell ref="B21:R23"/>
    <mergeCell ref="F9:O9"/>
    <mergeCell ref="F10:O10"/>
    <mergeCell ref="B13:R13"/>
  </mergeCells>
  <hyperlinks>
    <hyperlink ref="B5:R5" r:id="rId1" display="Welcome to the National Highways carbon tool. National Highways is committed to net zero construction and maintenance carbon by 2040, as set out in our Net zero highways plan. This means we need to accurately monitor all of the greenhouse gases (measured as carbon equivalents (CO2e)) generated by building and maintaining the Strategic Road Network._x000a__x000a_As one of our supply chain members, you shall complete the tool as completely and accurately as possible for the entirety of the contract or project for which you are contracted for. Our carbon tool has been developed based on supply chain user feedback to improve the carbon reporting process, ensuring ease of use and accurate data._x000a__x000a_The data you input into this tool is known as your 'Carbon Return'. You must send your carbon returns to National Highways on a quarterly or monthly basis, depending on your preference. You shall read this guidance page (which should only take 10 minutes) to ensure you use the tool correctly. You shall also refer to the separate detailed guidance document as necessary when completing the tool. You shall use the same file for the entire length of your contract, so make sure you save it somewhere so that you can access it again for future returns." xr:uid="{BF97F35B-75ED-40FD-8685-E15BFCF08808}"/>
    <hyperlink ref="B58:R58" r:id="rId2" display="https://nationalhighways.co.uk/suppliers/design-standards-and-specifications/carbon-emissions-calculation-tool/" xr:uid="{FAE2703A-25DA-4CEC-9F2B-08E02CAC7721}"/>
    <hyperlink ref="B6:S6" r:id="rId3" display="The data you input into this tool is known as your 'Carbon Return'. You must send your carbon returns to National Highways on a quarterly or monthly basis, depending on agreement with National Highways Project Managers. You shall read this guidance page (which should only take 10 minutes) to ensure you use the tool correctly. You shall also refer to the separate detailed guidance document as necessary when completing the tool. You shall use the same file for the entire length of your contract, so make sure you save it somewhere so that you can access it again for future returns." xr:uid="{ACCBA103-B373-4149-B7C8-B8FF37B4C279}"/>
    <hyperlink ref="B50:R50" r:id="rId4" display="mailto:carbon.reporting@nationalhighways.co.uk" xr:uid="{482C124A-9B95-47BE-8DAD-41F2EC7C7D8E}"/>
    <hyperlink ref="B13:R13" r:id="rId5" display="Step 1) Save to local machine. Firstly, ensure the carbon tool is saved on your local computer drive. (Saving the tool on OneDrive can cause the tool to behave incorrectly or not work at all.) Please read the main Guidance Document before using the tool." xr:uid="{81F0679A-2695-4CA7-A887-B6E2744A77AC}"/>
  </hyperlinks>
  <pageMargins left="0.7" right="0.7" top="0.75" bottom="0.75" header="0.3" footer="0.3"/>
  <pageSetup paperSize="9" orientation="portrait" r:id="rId6"/>
  <headerFooter>
    <oddFooter>&amp;C_x000D_&amp;1#&amp;"Verdana"&amp;7&amp;K000000 Confidential</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511000" r:id="rId9" name="activate_home_page">
              <controlPr defaultSize="0" print="0" autoFill="0" autoPict="0" macro="[0]!thisworkbook.activate_home_page">
                <anchor>
                  <from>
                    <xdr:col>3</xdr:col>
                    <xdr:colOff>640080</xdr:colOff>
                    <xdr:row>0</xdr:row>
                    <xdr:rowOff>144780</xdr:rowOff>
                  </from>
                  <to>
                    <xdr:col>6</xdr:col>
                    <xdr:colOff>68580</xdr:colOff>
                    <xdr:row>0</xdr:row>
                    <xdr:rowOff>373380</xdr:rowOff>
                  </to>
                </anchor>
              </controlPr>
            </control>
          </mc:Choice>
        </mc:AlternateContent>
        <mc:AlternateContent xmlns:mc="http://schemas.openxmlformats.org/markup-compatibility/2006">
          <mc:Choice Requires="x14">
            <control shapeId="511001" r:id="rId10" name="activate_guidance">
              <controlPr defaultSize="0" print="0" autoFill="0" autoPict="0" macro="[0]!thisworkbook.activate_guidance">
                <anchor>
                  <from>
                    <xdr:col>6</xdr:col>
                    <xdr:colOff>76200</xdr:colOff>
                    <xdr:row>0</xdr:row>
                    <xdr:rowOff>144780</xdr:rowOff>
                  </from>
                  <to>
                    <xdr:col>8</xdr:col>
                    <xdr:colOff>152400</xdr:colOff>
                    <xdr:row>0</xdr:row>
                    <xdr:rowOff>373380</xdr:rowOff>
                  </to>
                </anchor>
              </controlPr>
            </control>
          </mc:Choice>
        </mc:AlternateContent>
        <mc:AlternateContent xmlns:mc="http://schemas.openxmlformats.org/markup-compatibility/2006">
          <mc:Choice Requires="x14">
            <control shapeId="511002" r:id="rId11" name="activate_summary_report">
              <controlPr defaultSize="0" print="0" autoFill="0" autoPict="0" macro="[0]!thisworkbook.activate_summary_report">
                <anchor>
                  <from>
                    <xdr:col>8</xdr:col>
                    <xdr:colOff>182880</xdr:colOff>
                    <xdr:row>0</xdr:row>
                    <xdr:rowOff>144780</xdr:rowOff>
                  </from>
                  <to>
                    <xdr:col>10</xdr:col>
                    <xdr:colOff>259080</xdr:colOff>
                    <xdr:row>0</xdr:row>
                    <xdr:rowOff>373380</xdr:rowOff>
                  </to>
                </anchor>
              </controlPr>
            </control>
          </mc:Choice>
        </mc:AlternateContent>
        <mc:AlternateContent xmlns:mc="http://schemas.openxmlformats.org/markup-compatibility/2006">
          <mc:Choice Requires="x14">
            <control shapeId="511003" r:id="rId12" name="activate_outputs">
              <controlPr defaultSize="0" print="0" autoFill="0" autoPict="0" macro="[0]!thisworkbook.activate_outputs">
                <anchor>
                  <from>
                    <xdr:col>10</xdr:col>
                    <xdr:colOff>297180</xdr:colOff>
                    <xdr:row>0</xdr:row>
                    <xdr:rowOff>144780</xdr:rowOff>
                  </from>
                  <to>
                    <xdr:col>12</xdr:col>
                    <xdr:colOff>373380</xdr:colOff>
                    <xdr:row>0</xdr:row>
                    <xdr:rowOff>373380</xdr:rowOff>
                  </to>
                </anchor>
              </controlPr>
            </control>
          </mc:Choice>
        </mc:AlternateContent>
        <mc:AlternateContent xmlns:mc="http://schemas.openxmlformats.org/markup-compatibility/2006">
          <mc:Choice Requires="x14">
            <control shapeId="511004" r:id="rId13" name="activate_emissions_factors">
              <controlPr defaultSize="0" print="0" autoFill="0" autoPict="0" macro="[0]!thisworkbook.activate_emissions_factors">
                <anchor>
                  <from>
                    <xdr:col>12</xdr:col>
                    <xdr:colOff>381000</xdr:colOff>
                    <xdr:row>0</xdr:row>
                    <xdr:rowOff>144780</xdr:rowOff>
                  </from>
                  <to>
                    <xdr:col>14</xdr:col>
                    <xdr:colOff>457200</xdr:colOff>
                    <xdr:row>0</xdr:row>
                    <xdr:rowOff>373380</xdr:rowOff>
                  </to>
                </anchor>
              </controlPr>
            </control>
          </mc:Choice>
        </mc:AlternateContent>
        <mc:AlternateContent xmlns:mc="http://schemas.openxmlformats.org/markup-compatibility/2006">
          <mc:Choice Requires="x14">
            <control shapeId="511005" r:id="rId14" name="activate_material_density">
              <controlPr defaultSize="0" print="0" autoFill="0" autoPict="0" macro="[0]!thisworkbook.activate_material_density">
                <anchor>
                  <from>
                    <xdr:col>14</xdr:col>
                    <xdr:colOff>487680</xdr:colOff>
                    <xdr:row>0</xdr:row>
                    <xdr:rowOff>144780</xdr:rowOff>
                  </from>
                  <to>
                    <xdr:col>16</xdr:col>
                    <xdr:colOff>563880</xdr:colOff>
                    <xdr:row>0</xdr:row>
                    <xdr:rowOff>373380</xdr:rowOff>
                  </to>
                </anchor>
              </controlPr>
            </control>
          </mc:Choice>
        </mc:AlternateContent>
        <mc:AlternateContent xmlns:mc="http://schemas.openxmlformats.org/markup-compatibility/2006">
          <mc:Choice Requires="x14">
            <control shapeId="511006" r:id="rId15" name="activate_notes">
              <controlPr defaultSize="0" print="0" autoFill="0" autoPict="0" macro="[0]!thisworkbook.activate_notes">
                <anchor>
                  <from>
                    <xdr:col>16</xdr:col>
                    <xdr:colOff>601980</xdr:colOff>
                    <xdr:row>0</xdr:row>
                    <xdr:rowOff>144780</xdr:rowOff>
                  </from>
                  <to>
                    <xdr:col>17</xdr:col>
                    <xdr:colOff>1325880</xdr:colOff>
                    <xdr:row>0</xdr:row>
                    <xdr:rowOff>373380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AP146"/>
  <sheetViews>
    <sheetView showGridLines="0" showRowColHeaders="0" zoomScale="130" zoomScaleNormal="130" zoomScaleSheetLayoutView="70" workbookViewId="0">
      <selection activeCell="H3" sqref="H3"/>
    </sheetView>
  </sheetViews>
  <sheetFormatPr defaultColWidth="0" defaultRowHeight="14.4" x14ac:dyDescent="0.3"/>
  <cols>
    <col min="1" max="1" width="3" style="14" customWidth="1"/>
    <col min="2" max="2" width="10.5546875" style="14" customWidth="1"/>
    <col min="3" max="3" width="17.33203125" style="14" customWidth="1"/>
    <col min="4" max="4" width="4" style="14" customWidth="1"/>
    <col min="5" max="16" width="9.33203125" style="14" customWidth="1"/>
    <col min="17" max="17" width="5.33203125" style="14" bestFit="1" customWidth="1"/>
    <col min="18" max="18" width="3" style="14" customWidth="1"/>
    <col min="19" max="19" width="12.33203125" style="14" bestFit="1" customWidth="1"/>
    <col min="20" max="20" width="15" style="14" customWidth="1"/>
    <col min="21" max="35" width="9.33203125" hidden="1" customWidth="1"/>
    <col min="36" max="16384" width="9.33203125" style="14" hidden="1"/>
  </cols>
  <sheetData>
    <row r="1" spans="1:42" ht="43.5" customHeight="1" x14ac:dyDescent="0.3">
      <c r="Q1" s="146"/>
      <c r="U1" s="14"/>
      <c r="V1" s="14"/>
      <c r="W1" s="14"/>
      <c r="X1" s="14"/>
      <c r="Y1" s="14"/>
      <c r="Z1" s="14"/>
      <c r="AA1" s="14"/>
      <c r="AB1" s="14"/>
      <c r="AC1" s="14"/>
      <c r="AD1" s="14"/>
      <c r="AE1" s="14"/>
      <c r="AF1" s="14"/>
      <c r="AG1" s="14"/>
      <c r="AH1" s="14"/>
      <c r="AI1" s="14"/>
      <c r="AM1" s="67"/>
      <c r="AN1" s="428"/>
      <c r="AO1" s="428"/>
      <c r="AP1" s="428"/>
    </row>
    <row r="2" spans="1:42" ht="72" customHeight="1" x14ac:dyDescent="0.3">
      <c r="B2" s="49"/>
      <c r="Q2" s="146"/>
      <c r="U2" s="14"/>
      <c r="V2" s="14"/>
      <c r="W2" s="14">
        <v>3</v>
      </c>
      <c r="X2" s="14"/>
      <c r="Y2" s="14"/>
      <c r="Z2" s="14"/>
      <c r="AA2" s="14"/>
      <c r="AB2" s="14"/>
      <c r="AC2" s="14"/>
      <c r="AD2" s="14"/>
      <c r="AE2" s="14"/>
      <c r="AF2" s="14"/>
      <c r="AG2" s="14"/>
      <c r="AH2" s="14"/>
      <c r="AI2" s="14"/>
      <c r="AM2" s="67"/>
    </row>
    <row r="3" spans="1:42" ht="30.75" customHeight="1" x14ac:dyDescent="0.3">
      <c r="B3" s="49"/>
      <c r="Q3" s="146"/>
      <c r="U3" s="14"/>
      <c r="V3" s="14"/>
      <c r="W3" s="14"/>
      <c r="X3" s="14"/>
      <c r="Y3" s="14"/>
      <c r="Z3" s="14"/>
      <c r="AA3" s="14"/>
      <c r="AB3" s="14"/>
      <c r="AC3" s="14"/>
      <c r="AD3" s="14"/>
      <c r="AE3" s="14"/>
      <c r="AF3" s="14"/>
      <c r="AG3" s="14"/>
      <c r="AH3" s="14"/>
      <c r="AI3" s="14"/>
      <c r="AM3" s="67"/>
    </row>
    <row r="4" spans="1:42" ht="30.75" customHeight="1" x14ac:dyDescent="0.3">
      <c r="B4" s="411" t="s">
        <v>643</v>
      </c>
      <c r="C4" s="412"/>
      <c r="D4" s="412"/>
      <c r="E4" s="412"/>
      <c r="F4" s="412"/>
      <c r="G4" s="415" t="str">
        <f>'Home Page'!D4&amp;" - "&amp;'Home Page'!D5</f>
        <v>Holcim - 613703. A1M Wentbridge</v>
      </c>
      <c r="H4" s="415"/>
      <c r="I4" s="415"/>
      <c r="J4" s="415"/>
      <c r="K4" s="415"/>
      <c r="L4" s="415"/>
      <c r="M4" s="415"/>
      <c r="N4" s="415"/>
      <c r="O4" s="415"/>
      <c r="P4" s="415"/>
      <c r="Q4" s="416"/>
      <c r="U4" s="14"/>
      <c r="V4" s="14"/>
      <c r="W4" s="14"/>
      <c r="X4" s="14"/>
      <c r="Y4" s="14"/>
      <c r="Z4" s="14"/>
      <c r="AA4" s="14"/>
      <c r="AB4" s="14"/>
      <c r="AC4" s="14"/>
      <c r="AD4" s="14"/>
      <c r="AE4" s="14"/>
      <c r="AF4" s="14"/>
      <c r="AG4" s="14"/>
      <c r="AH4" s="14"/>
      <c r="AI4" s="14"/>
      <c r="AM4" s="67"/>
    </row>
    <row r="5" spans="1:42" ht="30.75" customHeight="1" thickBot="1" x14ac:dyDescent="0.35">
      <c r="B5" s="413"/>
      <c r="C5" s="414"/>
      <c r="D5" s="414"/>
      <c r="E5" s="414"/>
      <c r="F5" s="414"/>
      <c r="G5" s="417"/>
      <c r="H5" s="417"/>
      <c r="I5" s="417"/>
      <c r="J5" s="417"/>
      <c r="K5" s="417"/>
      <c r="L5" s="417"/>
      <c r="M5" s="417"/>
      <c r="N5" s="417"/>
      <c r="O5" s="417"/>
      <c r="P5" s="417"/>
      <c r="Q5" s="418"/>
      <c r="U5" s="14"/>
      <c r="V5" s="14"/>
      <c r="W5" s="14"/>
      <c r="X5" s="14"/>
      <c r="Y5" s="14"/>
      <c r="Z5" s="14"/>
      <c r="AA5" s="14"/>
      <c r="AB5" s="14"/>
      <c r="AC5" s="14"/>
      <c r="AD5" s="14"/>
      <c r="AE5" s="14"/>
      <c r="AF5" s="14"/>
      <c r="AG5" s="14"/>
      <c r="AH5" s="14"/>
      <c r="AI5" s="14"/>
      <c r="AM5" s="67"/>
    </row>
    <row r="6" spans="1:42" ht="21" customHeight="1" x14ac:dyDescent="0.3">
      <c r="A6" s="145"/>
      <c r="B6" s="408" t="s">
        <v>613</v>
      </c>
      <c r="C6" s="398"/>
      <c r="D6" s="399"/>
      <c r="F6" s="171" t="s">
        <v>611</v>
      </c>
      <c r="G6" s="171"/>
      <c r="H6" s="171"/>
      <c r="I6" s="171"/>
      <c r="K6" s="150"/>
      <c r="L6" s="150"/>
      <c r="N6" s="423" t="str">
        <f>IF(ISERROR(VLOOKUP(C6,Outputs!B8:C9999,2,FALSE)),"",VLOOKUP(C6,Outputs!B8:C9999,2,FALSE))</f>
        <v/>
      </c>
      <c r="O6" s="424"/>
      <c r="P6" s="14" t="s">
        <v>592</v>
      </c>
      <c r="Q6" s="186"/>
    </row>
    <row r="7" spans="1:42" ht="21" customHeight="1" thickBot="1" x14ac:dyDescent="0.35">
      <c r="A7" s="145"/>
      <c r="B7" s="408"/>
      <c r="C7" s="400"/>
      <c r="D7" s="401"/>
      <c r="F7" s="171" t="s">
        <v>612</v>
      </c>
      <c r="G7" s="171"/>
      <c r="H7" s="171"/>
      <c r="I7" s="171"/>
      <c r="K7" s="150"/>
      <c r="L7" s="150"/>
      <c r="N7" s="406" t="str">
        <f>IF(ISERROR(N6/VLOOKUP(C6,'Home Page'!B25:Q9983,16,FALSE)),"",N6/VLOOKUP(C6,'Home Page'!B25:Q9983,16,FALSE))</f>
        <v/>
      </c>
      <c r="O7" s="407"/>
      <c r="P7" s="14" t="s">
        <v>592</v>
      </c>
      <c r="Q7" s="186"/>
    </row>
    <row r="8" spans="1:42" ht="21" customHeight="1" thickBot="1" x14ac:dyDescent="0.35">
      <c r="A8" s="145"/>
      <c r="B8" s="185"/>
      <c r="C8" s="202"/>
      <c r="D8" s="202"/>
      <c r="F8" s="171"/>
      <c r="G8" s="171"/>
      <c r="H8" s="171"/>
      <c r="I8" s="171"/>
      <c r="K8" s="150"/>
      <c r="L8" s="150"/>
      <c r="N8" s="203"/>
      <c r="O8" s="203"/>
      <c r="Q8" s="186"/>
    </row>
    <row r="9" spans="1:42" ht="21" customHeight="1" x14ac:dyDescent="0.3">
      <c r="A9" s="145"/>
      <c r="B9" s="185"/>
      <c r="C9" s="402" t="s">
        <v>320</v>
      </c>
      <c r="D9" s="403"/>
      <c r="F9" s="171" t="s">
        <v>590</v>
      </c>
      <c r="G9" s="171"/>
      <c r="H9" s="171"/>
      <c r="I9" s="171"/>
      <c r="J9" s="171"/>
      <c r="L9" s="172"/>
      <c r="M9" s="150"/>
      <c r="N9" s="423">
        <f>'Home Page'!N6</f>
        <v>78.086150529999998</v>
      </c>
      <c r="O9" s="424"/>
      <c r="P9" s="14" t="s">
        <v>592</v>
      </c>
      <c r="Q9" s="186"/>
    </row>
    <row r="10" spans="1:42" ht="21" customHeight="1" thickBot="1" x14ac:dyDescent="0.35">
      <c r="A10" s="145"/>
      <c r="B10" s="185"/>
      <c r="C10" s="404"/>
      <c r="D10" s="405"/>
      <c r="F10" s="171" t="s">
        <v>591</v>
      </c>
      <c r="G10" s="145"/>
      <c r="H10" s="145"/>
      <c r="I10" s="145"/>
      <c r="J10" s="145"/>
      <c r="L10" s="145"/>
      <c r="M10" s="145"/>
      <c r="N10" s="406">
        <f>IF(ISERROR(N9/SUM('Home Page'!Q25:Q9983)),"",N9/SUM('Home Page'!Q25:Q9983))</f>
        <v>4.3521915599326711E-4</v>
      </c>
      <c r="O10" s="407"/>
      <c r="P10" s="14" t="s">
        <v>592</v>
      </c>
      <c r="Q10" s="186"/>
    </row>
    <row r="11" spans="1:42" ht="21" customHeight="1" x14ac:dyDescent="0.3">
      <c r="A11" s="145"/>
      <c r="B11" s="185"/>
      <c r="C11" s="145"/>
      <c r="E11" s="171"/>
      <c r="F11" s="145"/>
      <c r="G11" s="145"/>
      <c r="H11" s="145"/>
      <c r="I11" s="145"/>
      <c r="K11" s="145"/>
      <c r="L11" s="145"/>
      <c r="M11" s="170"/>
      <c r="N11" s="170"/>
      <c r="Q11" s="186"/>
    </row>
    <row r="12" spans="1:42" ht="21" customHeight="1" x14ac:dyDescent="0.3">
      <c r="A12" s="145"/>
      <c r="B12" s="185"/>
      <c r="C12" s="145" t="s">
        <v>588</v>
      </c>
      <c r="D12" s="173"/>
      <c r="E12" s="173"/>
      <c r="F12" s="173"/>
      <c r="G12" s="173"/>
      <c r="H12" s="173"/>
      <c r="I12" s="173"/>
      <c r="J12" s="173"/>
      <c r="K12" s="173"/>
      <c r="L12" s="173"/>
      <c r="M12" s="145"/>
      <c r="Q12" s="186"/>
    </row>
    <row r="13" spans="1:42" ht="21" customHeight="1" x14ac:dyDescent="0.3">
      <c r="A13" s="145"/>
      <c r="B13" s="185"/>
      <c r="C13" s="145"/>
      <c r="D13" s="173"/>
      <c r="E13" s="173"/>
      <c r="F13" s="173"/>
      <c r="G13" s="173"/>
      <c r="H13" s="173"/>
      <c r="I13" s="173"/>
      <c r="J13" s="173"/>
      <c r="K13" s="173"/>
      <c r="L13" s="173"/>
      <c r="M13" s="145"/>
      <c r="Q13" s="186"/>
    </row>
    <row r="14" spans="1:42" ht="21" customHeight="1" x14ac:dyDescent="0.3">
      <c r="A14" s="145"/>
      <c r="B14" s="187"/>
      <c r="C14" s="173"/>
      <c r="D14" s="173"/>
      <c r="E14" s="173"/>
      <c r="F14" s="173"/>
      <c r="G14" s="173"/>
      <c r="H14" s="173"/>
      <c r="I14" s="173"/>
      <c r="J14" s="173"/>
      <c r="K14" s="173"/>
      <c r="L14" s="173"/>
      <c r="M14" s="145"/>
      <c r="Q14" s="186"/>
    </row>
    <row r="15" spans="1:42" ht="21" customHeight="1" x14ac:dyDescent="0.3">
      <c r="A15" s="145"/>
      <c r="B15" s="184"/>
      <c r="C15" s="145"/>
      <c r="D15" s="145"/>
      <c r="E15" s="145"/>
      <c r="F15" s="145"/>
      <c r="G15" s="145"/>
      <c r="H15" s="145"/>
      <c r="I15" s="145"/>
      <c r="J15" s="145"/>
      <c r="K15" s="145"/>
      <c r="L15" s="145"/>
      <c r="M15" s="145"/>
      <c r="Q15" s="186"/>
      <c r="T15" s="200"/>
    </row>
    <row r="16" spans="1:42" ht="21" customHeight="1" x14ac:dyDescent="0.3">
      <c r="A16" s="145"/>
      <c r="B16" s="184"/>
      <c r="C16" s="145"/>
      <c r="D16" s="145"/>
      <c r="E16" s="145"/>
      <c r="F16" s="145"/>
      <c r="G16" s="145"/>
      <c r="H16" s="145"/>
      <c r="I16" s="145"/>
      <c r="J16" s="145"/>
      <c r="K16" s="145"/>
      <c r="L16" s="145"/>
      <c r="M16" s="145"/>
      <c r="Q16" s="186"/>
    </row>
    <row r="17" spans="1:20" ht="21" customHeight="1" x14ac:dyDescent="0.3">
      <c r="A17" s="145"/>
      <c r="B17" s="184"/>
      <c r="C17" s="145"/>
      <c r="D17" s="174"/>
      <c r="E17" s="174"/>
      <c r="F17" s="174"/>
      <c r="G17" s="174"/>
      <c r="H17" s="174"/>
      <c r="I17" s="174"/>
      <c r="J17" s="145"/>
      <c r="Q17" s="186"/>
      <c r="R17" s="145"/>
      <c r="S17" s="145"/>
      <c r="T17" s="145"/>
    </row>
    <row r="18" spans="1:20" ht="21" customHeight="1" x14ac:dyDescent="0.3">
      <c r="A18" s="145"/>
      <c r="B18" s="184"/>
      <c r="C18" s="145"/>
      <c r="D18" s="174"/>
      <c r="E18" s="174"/>
      <c r="F18" s="174"/>
      <c r="G18" s="174"/>
      <c r="H18" s="174"/>
      <c r="I18" s="174"/>
      <c r="J18" s="145"/>
      <c r="Q18" s="186"/>
      <c r="R18" s="145"/>
      <c r="S18" s="145"/>
      <c r="T18" s="145"/>
    </row>
    <row r="19" spans="1:20" ht="21" customHeight="1" x14ac:dyDescent="0.3">
      <c r="A19" s="145"/>
      <c r="B19" s="184"/>
      <c r="C19" s="145"/>
      <c r="D19" s="174"/>
      <c r="E19" s="174"/>
      <c r="F19" s="174"/>
      <c r="G19" s="174"/>
      <c r="H19" s="174"/>
      <c r="I19" s="174"/>
      <c r="J19" s="145"/>
      <c r="Q19" s="186"/>
      <c r="R19" s="145"/>
      <c r="S19" s="145"/>
      <c r="T19" s="145"/>
    </row>
    <row r="20" spans="1:20" ht="21" customHeight="1" x14ac:dyDescent="0.3">
      <c r="A20" s="145"/>
      <c r="B20" s="184"/>
      <c r="C20" s="145"/>
      <c r="D20" s="174"/>
      <c r="E20" s="174"/>
      <c r="F20" s="174"/>
      <c r="G20" s="174"/>
      <c r="H20" s="174"/>
      <c r="I20" s="174"/>
      <c r="J20" s="145"/>
      <c r="Q20" s="186"/>
      <c r="R20" s="145"/>
      <c r="S20" s="145"/>
      <c r="T20" s="145"/>
    </row>
    <row r="21" spans="1:20" ht="21" customHeight="1" x14ac:dyDescent="0.3">
      <c r="A21" s="145"/>
      <c r="B21" s="184"/>
      <c r="C21" s="145"/>
      <c r="D21" s="174"/>
      <c r="E21" s="174"/>
      <c r="F21" s="174"/>
      <c r="G21" s="174"/>
      <c r="H21" s="174"/>
      <c r="I21" s="174"/>
      <c r="J21" s="145"/>
      <c r="Q21" s="186"/>
      <c r="R21" s="145"/>
      <c r="S21" s="145"/>
      <c r="T21" s="145"/>
    </row>
    <row r="22" spans="1:20" ht="21" customHeight="1" x14ac:dyDescent="0.3">
      <c r="A22" s="145"/>
      <c r="B22" s="184"/>
      <c r="C22" s="145"/>
      <c r="D22" s="174"/>
      <c r="E22" s="174"/>
      <c r="F22" s="174"/>
      <c r="G22" s="174"/>
      <c r="H22" s="174"/>
      <c r="I22" s="174"/>
      <c r="J22" s="145"/>
      <c r="Q22" s="186"/>
      <c r="R22" s="145"/>
      <c r="S22" s="145"/>
      <c r="T22" s="145"/>
    </row>
    <row r="23" spans="1:20" ht="21" customHeight="1" x14ac:dyDescent="0.3">
      <c r="A23" s="145"/>
      <c r="B23" s="184"/>
      <c r="C23" s="145"/>
      <c r="D23" s="174"/>
      <c r="E23" s="174"/>
      <c r="F23" s="174"/>
      <c r="G23" s="174"/>
      <c r="H23" s="174"/>
      <c r="I23" s="174"/>
      <c r="J23" s="145"/>
      <c r="Q23" s="186"/>
      <c r="R23" s="145"/>
      <c r="S23" s="145"/>
      <c r="T23" s="145"/>
    </row>
    <row r="24" spans="1:20" ht="21" customHeight="1" x14ac:dyDescent="0.3">
      <c r="A24" s="145"/>
      <c r="B24" s="184"/>
      <c r="C24" s="145"/>
      <c r="D24" s="174"/>
      <c r="E24" s="174"/>
      <c r="F24" s="174"/>
      <c r="G24" s="174"/>
      <c r="H24" s="174"/>
      <c r="I24" s="174"/>
      <c r="J24" s="145"/>
      <c r="Q24" s="186"/>
      <c r="R24" s="145"/>
      <c r="S24" s="145"/>
      <c r="T24" s="145"/>
    </row>
    <row r="25" spans="1:20" ht="21" customHeight="1" x14ac:dyDescent="0.3">
      <c r="A25" s="145"/>
      <c r="B25" s="184"/>
      <c r="C25" s="145"/>
      <c r="D25" s="174"/>
      <c r="E25" s="174"/>
      <c r="F25" s="174"/>
      <c r="G25" s="174"/>
      <c r="H25" s="174"/>
      <c r="I25" s="174"/>
      <c r="J25" s="145"/>
      <c r="K25" s="145"/>
      <c r="L25" s="145"/>
      <c r="M25" s="145"/>
      <c r="Q25" s="186"/>
      <c r="R25" s="147"/>
    </row>
    <row r="26" spans="1:20" ht="21" customHeight="1" x14ac:dyDescent="0.3">
      <c r="A26" s="145"/>
      <c r="B26" s="184"/>
      <c r="C26" s="145"/>
      <c r="D26" s="174"/>
      <c r="E26" s="174"/>
      <c r="F26" s="174"/>
      <c r="G26" s="174"/>
      <c r="H26" s="174"/>
      <c r="I26" s="174"/>
      <c r="J26" s="145"/>
      <c r="K26" s="145"/>
      <c r="L26" s="145"/>
      <c r="M26" s="145"/>
      <c r="Q26" s="186"/>
      <c r="R26" s="147"/>
    </row>
    <row r="27" spans="1:20" ht="21" customHeight="1" x14ac:dyDescent="0.3">
      <c r="A27" s="145"/>
      <c r="B27" s="184"/>
      <c r="C27" s="145"/>
      <c r="D27" s="174"/>
      <c r="E27" s="174"/>
      <c r="F27" s="174"/>
      <c r="G27" s="174"/>
      <c r="H27" s="174"/>
      <c r="I27" s="174"/>
      <c r="J27" s="145"/>
      <c r="K27" s="145"/>
      <c r="L27" s="145"/>
      <c r="M27" s="145"/>
      <c r="Q27" s="186"/>
      <c r="R27" s="147"/>
    </row>
    <row r="28" spans="1:20" ht="21" customHeight="1" x14ac:dyDescent="0.3">
      <c r="A28" s="145"/>
      <c r="B28" s="184"/>
      <c r="C28" s="145"/>
      <c r="D28" s="174"/>
      <c r="E28" s="174"/>
      <c r="F28" s="174"/>
      <c r="G28" s="174"/>
      <c r="H28" s="174"/>
      <c r="I28" s="174"/>
      <c r="J28" s="145"/>
      <c r="K28" s="145"/>
      <c r="L28" s="145"/>
      <c r="M28" s="145"/>
      <c r="Q28" s="186"/>
      <c r="R28" s="147"/>
    </row>
    <row r="29" spans="1:20" ht="21" customHeight="1" x14ac:dyDescent="0.3">
      <c r="A29" s="145"/>
      <c r="B29" s="184"/>
      <c r="C29" s="145"/>
      <c r="D29" s="174"/>
      <c r="E29" s="174"/>
      <c r="F29" s="174"/>
      <c r="G29" s="174"/>
      <c r="H29" s="174"/>
      <c r="I29" s="174"/>
      <c r="J29" s="145"/>
      <c r="K29" s="145"/>
      <c r="L29" s="145"/>
      <c r="M29" s="145"/>
      <c r="Q29" s="186"/>
    </row>
    <row r="30" spans="1:20" ht="21" customHeight="1" x14ac:dyDescent="0.3">
      <c r="A30" s="145"/>
      <c r="B30" s="184"/>
      <c r="C30" s="145"/>
      <c r="D30" s="174"/>
      <c r="E30" s="174"/>
      <c r="F30" s="174"/>
      <c r="G30" s="174"/>
      <c r="H30" s="174"/>
      <c r="I30" s="174"/>
      <c r="J30" s="145"/>
      <c r="K30" s="145"/>
      <c r="L30" s="145"/>
      <c r="M30" s="145"/>
      <c r="Q30" s="186"/>
    </row>
    <row r="31" spans="1:20" ht="21" customHeight="1" x14ac:dyDescent="0.3">
      <c r="A31" s="145"/>
      <c r="B31" s="184"/>
      <c r="C31" s="145"/>
      <c r="D31" s="174"/>
      <c r="E31" s="174"/>
      <c r="F31" s="174"/>
      <c r="G31" s="174"/>
      <c r="H31" s="174"/>
      <c r="I31" s="174"/>
      <c r="J31" s="145"/>
      <c r="K31" s="145"/>
      <c r="L31" s="145"/>
      <c r="M31" s="145"/>
      <c r="Q31" s="186"/>
    </row>
    <row r="32" spans="1:20" ht="21" customHeight="1" x14ac:dyDescent="0.3">
      <c r="A32" s="145"/>
      <c r="B32" s="184"/>
      <c r="C32" s="145"/>
      <c r="D32" s="174"/>
      <c r="E32" s="174"/>
      <c r="F32" s="174"/>
      <c r="G32" s="174"/>
      <c r="H32" s="174"/>
      <c r="I32" s="174"/>
      <c r="J32" s="145"/>
      <c r="K32" s="145"/>
      <c r="L32" s="145"/>
      <c r="M32" s="145"/>
      <c r="Q32" s="186"/>
    </row>
    <row r="33" spans="1:20" ht="21" customHeight="1" x14ac:dyDescent="0.3">
      <c r="A33" s="145"/>
      <c r="B33" s="184"/>
      <c r="C33" s="145"/>
      <c r="D33" s="174"/>
      <c r="E33" s="174"/>
      <c r="F33" s="174"/>
      <c r="G33" s="174"/>
      <c r="H33" s="174"/>
      <c r="I33" s="174"/>
      <c r="J33" s="145"/>
      <c r="K33" s="145"/>
      <c r="L33" s="145"/>
      <c r="M33" s="145"/>
      <c r="Q33" s="186"/>
    </row>
    <row r="34" spans="1:20" ht="21" customHeight="1" x14ac:dyDescent="0.3">
      <c r="A34" s="145"/>
      <c r="B34" s="184"/>
      <c r="C34" s="145"/>
      <c r="D34" s="174"/>
      <c r="E34" s="174"/>
      <c r="F34" s="174"/>
      <c r="G34" s="174"/>
      <c r="H34" s="174"/>
      <c r="I34" s="174"/>
      <c r="J34" s="145"/>
      <c r="K34" s="145"/>
      <c r="L34" s="145"/>
      <c r="M34" s="145"/>
      <c r="O34" s="141"/>
      <c r="P34" s="141"/>
      <c r="Q34" s="188"/>
    </row>
    <row r="35" spans="1:20" ht="21" customHeight="1" x14ac:dyDescent="0.3">
      <c r="A35" s="145"/>
      <c r="B35" s="184"/>
      <c r="C35" s="145"/>
      <c r="D35" s="145"/>
      <c r="E35" s="145"/>
      <c r="F35" s="145"/>
      <c r="G35" s="145"/>
      <c r="H35" s="145"/>
      <c r="I35" s="145"/>
      <c r="J35" s="145"/>
      <c r="K35" s="145"/>
      <c r="L35" s="145"/>
      <c r="M35" s="145"/>
      <c r="O35" s="141"/>
      <c r="P35" s="141"/>
      <c r="Q35" s="188"/>
    </row>
    <row r="36" spans="1:20" ht="21" customHeight="1" x14ac:dyDescent="0.3">
      <c r="A36" s="145"/>
      <c r="B36" s="184"/>
      <c r="C36" s="145"/>
      <c r="D36" s="145"/>
      <c r="E36" s="145"/>
      <c r="F36" s="145"/>
      <c r="G36" s="145"/>
      <c r="H36" s="145"/>
      <c r="I36" s="145"/>
      <c r="J36" s="145"/>
      <c r="K36" s="145"/>
      <c r="L36" s="145"/>
      <c r="M36" s="145"/>
      <c r="O36" s="141"/>
      <c r="P36" s="141"/>
      <c r="Q36" s="188"/>
    </row>
    <row r="37" spans="1:20" ht="21" customHeight="1" x14ac:dyDescent="0.3">
      <c r="A37" s="145"/>
      <c r="B37" s="185"/>
      <c r="G37" s="145"/>
      <c r="H37" s="145"/>
      <c r="I37" s="145"/>
      <c r="J37" s="145"/>
      <c r="K37" s="145"/>
      <c r="L37" s="145"/>
      <c r="M37" s="145"/>
      <c r="O37" s="141"/>
      <c r="P37" s="141"/>
      <c r="Q37" s="188"/>
    </row>
    <row r="38" spans="1:20" ht="21" customHeight="1" x14ac:dyDescent="0.3">
      <c r="A38" s="145"/>
      <c r="B38" s="185"/>
      <c r="G38" s="145"/>
      <c r="H38" s="145"/>
      <c r="I38" s="145"/>
      <c r="J38" s="145"/>
      <c r="K38" s="145"/>
      <c r="L38" s="145"/>
      <c r="M38" s="145"/>
      <c r="O38" s="141"/>
      <c r="P38" s="141"/>
      <c r="Q38" s="188"/>
    </row>
    <row r="39" spans="1:20" ht="21" customHeight="1" x14ac:dyDescent="0.3">
      <c r="A39" s="145"/>
      <c r="B39" s="185"/>
      <c r="C39" s="425" t="s">
        <v>578</v>
      </c>
      <c r="D39" s="425"/>
      <c r="E39" s="425"/>
      <c r="F39" s="425"/>
      <c r="G39" s="425"/>
      <c r="J39" s="259" t="s">
        <v>579</v>
      </c>
      <c r="K39" s="179"/>
      <c r="L39" s="179"/>
      <c r="M39" s="179"/>
      <c r="N39" s="179"/>
      <c r="O39" s="179"/>
      <c r="P39" s="179"/>
      <c r="Q39" s="188"/>
    </row>
    <row r="40" spans="1:20" ht="21" customHeight="1" x14ac:dyDescent="0.3">
      <c r="A40" s="145"/>
      <c r="B40" s="185"/>
      <c r="C40" s="421" t="s">
        <v>826</v>
      </c>
      <c r="D40" s="421"/>
      <c r="E40" s="421"/>
      <c r="F40" s="421"/>
      <c r="G40" s="421"/>
      <c r="J40" s="421" t="s">
        <v>827</v>
      </c>
      <c r="K40" s="421"/>
      <c r="L40" s="421"/>
      <c r="M40" s="421"/>
      <c r="N40" s="421"/>
      <c r="O40" s="421"/>
      <c r="P40" s="149"/>
      <c r="Q40" s="189"/>
    </row>
    <row r="41" spans="1:20" ht="21" customHeight="1" x14ac:dyDescent="0.3">
      <c r="A41" s="145"/>
      <c r="B41" s="190"/>
      <c r="C41" s="421"/>
      <c r="D41" s="421"/>
      <c r="E41" s="421"/>
      <c r="F41" s="421"/>
      <c r="G41" s="421"/>
      <c r="I41" s="176"/>
      <c r="J41" s="421"/>
      <c r="K41" s="421"/>
      <c r="L41" s="421"/>
      <c r="M41" s="421"/>
      <c r="N41" s="421"/>
      <c r="O41" s="421"/>
      <c r="Q41" s="186"/>
    </row>
    <row r="42" spans="1:20" ht="21" customHeight="1" x14ac:dyDescent="0.3">
      <c r="A42" s="145"/>
      <c r="B42" s="190"/>
      <c r="C42" s="421"/>
      <c r="D42" s="421"/>
      <c r="E42" s="421"/>
      <c r="F42" s="421"/>
      <c r="G42" s="421"/>
      <c r="I42" s="176"/>
      <c r="J42" s="421"/>
      <c r="K42" s="421"/>
      <c r="L42" s="421"/>
      <c r="M42" s="421"/>
      <c r="N42" s="421"/>
      <c r="O42" s="421"/>
      <c r="Q42" s="186"/>
    </row>
    <row r="43" spans="1:20" ht="21" customHeight="1" x14ac:dyDescent="0.3">
      <c r="A43" s="145"/>
      <c r="B43" s="190"/>
      <c r="C43" s="176"/>
      <c r="D43" s="176"/>
      <c r="E43" s="176"/>
      <c r="F43" s="176"/>
      <c r="G43" s="173"/>
      <c r="I43" s="176"/>
      <c r="J43" s="176"/>
      <c r="K43" s="176"/>
      <c r="L43" s="176"/>
      <c r="M43" s="176"/>
      <c r="N43" s="176"/>
      <c r="O43" s="175"/>
      <c r="Q43" s="186"/>
    </row>
    <row r="44" spans="1:20" ht="21" customHeight="1" x14ac:dyDescent="0.3">
      <c r="A44" s="145"/>
      <c r="B44" s="190"/>
      <c r="C44" s="176"/>
      <c r="D44" s="176"/>
      <c r="E44" s="176"/>
      <c r="F44" s="176"/>
      <c r="G44" s="173"/>
      <c r="I44" s="176"/>
      <c r="J44" s="176"/>
      <c r="K44" s="176"/>
      <c r="L44" s="176"/>
      <c r="M44" s="176"/>
      <c r="N44" s="176"/>
      <c r="Q44" s="186"/>
    </row>
    <row r="45" spans="1:20" ht="21" customHeight="1" x14ac:dyDescent="0.3">
      <c r="A45" s="145"/>
      <c r="B45" s="187"/>
      <c r="C45" s="173"/>
      <c r="D45" s="173"/>
      <c r="E45" s="173"/>
      <c r="F45" s="173"/>
      <c r="G45" s="173"/>
      <c r="I45" s="177"/>
      <c r="J45" s="177"/>
      <c r="K45" s="177"/>
      <c r="L45" s="177"/>
      <c r="M45" s="177"/>
      <c r="N45" s="177"/>
      <c r="Q45" s="186"/>
    </row>
    <row r="46" spans="1:20" ht="21" customHeight="1" x14ac:dyDescent="0.3">
      <c r="A46" s="145"/>
      <c r="B46" s="187"/>
      <c r="C46" s="173"/>
      <c r="D46" s="173"/>
      <c r="E46" s="173"/>
      <c r="F46" s="173"/>
      <c r="G46" s="173"/>
      <c r="I46" s="177"/>
      <c r="J46" s="177"/>
      <c r="K46" s="177"/>
      <c r="L46" s="177"/>
      <c r="M46" s="177"/>
      <c r="N46" s="177"/>
      <c r="Q46" s="186"/>
    </row>
    <row r="47" spans="1:20" ht="21" customHeight="1" x14ac:dyDescent="0.3">
      <c r="A47" s="145"/>
      <c r="B47" s="187"/>
      <c r="C47" s="173"/>
      <c r="D47" s="173"/>
      <c r="E47" s="173"/>
      <c r="F47" s="173"/>
      <c r="G47" s="173"/>
      <c r="I47" s="145"/>
      <c r="J47" s="142"/>
      <c r="K47" s="142"/>
      <c r="L47" s="142"/>
      <c r="M47" s="142"/>
      <c r="N47" s="145"/>
      <c r="Q47" s="186"/>
    </row>
    <row r="48" spans="1:20" ht="21" customHeight="1" x14ac:dyDescent="0.3">
      <c r="A48" s="145"/>
      <c r="B48" s="184"/>
      <c r="C48" s="145"/>
      <c r="D48" s="145"/>
      <c r="E48" s="145"/>
      <c r="F48" s="145"/>
      <c r="G48" s="145"/>
      <c r="I48" s="145"/>
      <c r="J48" s="168"/>
      <c r="K48" s="168"/>
      <c r="L48" s="143"/>
      <c r="M48" s="143"/>
      <c r="N48" s="145"/>
      <c r="Q48" s="186"/>
      <c r="R48" s="147"/>
      <c r="S48" s="147"/>
      <c r="T48" s="147"/>
    </row>
    <row r="49" spans="1:20" ht="21" customHeight="1" x14ac:dyDescent="0.3">
      <c r="A49" s="145"/>
      <c r="B49" s="184"/>
      <c r="C49" s="145"/>
      <c r="D49" s="145"/>
      <c r="E49" s="145"/>
      <c r="F49" s="145"/>
      <c r="G49" s="145"/>
      <c r="I49" s="145"/>
      <c r="J49" s="168"/>
      <c r="K49" s="168"/>
      <c r="L49" s="143"/>
      <c r="M49" s="143"/>
      <c r="N49" s="145"/>
      <c r="Q49" s="186"/>
      <c r="T49" s="147"/>
    </row>
    <row r="50" spans="1:20" ht="21" customHeight="1" x14ac:dyDescent="0.3">
      <c r="A50" s="145"/>
      <c r="B50" s="184"/>
      <c r="C50" s="145"/>
      <c r="D50" s="145"/>
      <c r="E50" s="145"/>
      <c r="F50" s="145"/>
      <c r="G50" s="145"/>
      <c r="I50" s="145"/>
      <c r="J50" s="168"/>
      <c r="K50" s="168"/>
      <c r="L50" s="143"/>
      <c r="M50" s="143"/>
      <c r="N50" s="145"/>
      <c r="Q50" s="186"/>
      <c r="T50" s="147"/>
    </row>
    <row r="51" spans="1:20" ht="21" customHeight="1" x14ac:dyDescent="0.3">
      <c r="A51" s="145"/>
      <c r="B51" s="184"/>
      <c r="C51" s="145"/>
      <c r="D51" s="145"/>
      <c r="E51" s="145"/>
      <c r="F51" s="145"/>
      <c r="G51" s="145"/>
      <c r="I51" s="145"/>
      <c r="J51" s="168"/>
      <c r="K51" s="168"/>
      <c r="L51" s="143"/>
      <c r="M51" s="143"/>
      <c r="N51" s="145"/>
      <c r="Q51" s="186"/>
      <c r="T51" s="147"/>
    </row>
    <row r="52" spans="1:20" ht="21" customHeight="1" x14ac:dyDescent="0.3">
      <c r="A52" s="145"/>
      <c r="B52" s="184"/>
      <c r="C52" s="145"/>
      <c r="D52" s="145"/>
      <c r="E52" s="145"/>
      <c r="F52" s="145"/>
      <c r="G52" s="145"/>
      <c r="I52" s="145"/>
      <c r="J52" s="168"/>
      <c r="K52" s="168"/>
      <c r="L52" s="143"/>
      <c r="M52" s="143"/>
      <c r="N52" s="145"/>
      <c r="Q52" s="186"/>
      <c r="T52" s="147"/>
    </row>
    <row r="53" spans="1:20" ht="21" customHeight="1" x14ac:dyDescent="0.3">
      <c r="A53" s="145"/>
      <c r="B53" s="184"/>
      <c r="C53" s="145"/>
      <c r="D53" s="145"/>
      <c r="E53" s="145"/>
      <c r="F53" s="145"/>
      <c r="G53" s="145"/>
      <c r="I53" s="145"/>
      <c r="J53" s="168"/>
      <c r="K53" s="168"/>
      <c r="L53" s="143"/>
      <c r="M53" s="143"/>
      <c r="N53" s="145"/>
      <c r="Q53" s="186"/>
      <c r="T53" s="147"/>
    </row>
    <row r="54" spans="1:20" ht="21" customHeight="1" x14ac:dyDescent="0.3">
      <c r="A54" s="145"/>
      <c r="B54" s="184"/>
      <c r="C54" s="145"/>
      <c r="D54" s="145"/>
      <c r="E54" s="145"/>
      <c r="F54" s="145"/>
      <c r="G54" s="145"/>
      <c r="I54" s="145"/>
      <c r="J54" s="168"/>
      <c r="K54" s="168"/>
      <c r="L54" s="143"/>
      <c r="M54" s="143"/>
      <c r="N54" s="145"/>
      <c r="Q54" s="186"/>
      <c r="T54" s="147"/>
    </row>
    <row r="55" spans="1:20" ht="21" customHeight="1" x14ac:dyDescent="0.3">
      <c r="A55" s="145"/>
      <c r="B55" s="184"/>
      <c r="C55" s="145"/>
      <c r="D55" s="145"/>
      <c r="E55" s="145"/>
      <c r="F55" s="145"/>
      <c r="G55" s="145"/>
      <c r="I55" s="145"/>
      <c r="J55" s="168"/>
      <c r="K55" s="169"/>
      <c r="L55" s="144"/>
      <c r="M55" s="144"/>
      <c r="N55" s="145"/>
      <c r="Q55" s="186"/>
    </row>
    <row r="56" spans="1:20" ht="21" customHeight="1" x14ac:dyDescent="0.3">
      <c r="A56" s="145"/>
      <c r="B56" s="184"/>
      <c r="C56" s="422" t="s">
        <v>584</v>
      </c>
      <c r="D56" s="422"/>
      <c r="E56" s="422" t="s">
        <v>642</v>
      </c>
      <c r="F56" s="422"/>
      <c r="G56" s="178"/>
      <c r="I56" s="178"/>
      <c r="K56" s="422" t="s">
        <v>584</v>
      </c>
      <c r="L56" s="422"/>
      <c r="M56" s="422" t="s">
        <v>642</v>
      </c>
      <c r="N56" s="422"/>
      <c r="Q56" s="186"/>
    </row>
    <row r="57" spans="1:20" ht="21" customHeight="1" x14ac:dyDescent="0.3">
      <c r="A57" s="145"/>
      <c r="B57" s="184"/>
      <c r="C57" s="434" t="s">
        <v>599</v>
      </c>
      <c r="D57" s="434"/>
      <c r="E57" s="410" t="str">
        <f>IF(ISERROR('Chart data'!X13),"",'Chart data'!X13)</f>
        <v/>
      </c>
      <c r="F57" s="410"/>
      <c r="G57" s="178"/>
      <c r="I57" s="178"/>
      <c r="K57" s="426" t="s">
        <v>585</v>
      </c>
      <c r="L57" s="426"/>
      <c r="M57" s="410" t="str">
        <f>IF(ISERROR('Chart data'!AF13),"",'Chart data'!AF13)</f>
        <v/>
      </c>
      <c r="N57" s="410"/>
      <c r="P57" s="429"/>
      <c r="Q57" s="430"/>
      <c r="R57" s="431"/>
      <c r="S57" s="431"/>
    </row>
    <row r="58" spans="1:20" ht="21" customHeight="1" x14ac:dyDescent="0.3">
      <c r="A58" s="145"/>
      <c r="B58" s="184"/>
      <c r="C58" s="435" t="s">
        <v>24</v>
      </c>
      <c r="D58" s="435"/>
      <c r="E58" s="419" t="str">
        <f>IF(ISERROR('Chart data'!X14),"",'Chart data'!X14)</f>
        <v/>
      </c>
      <c r="F58" s="420"/>
      <c r="G58" s="178"/>
      <c r="I58" s="178"/>
      <c r="K58" s="427" t="s">
        <v>586</v>
      </c>
      <c r="L58" s="427"/>
      <c r="M58" s="410" t="str">
        <f>IF(ISERROR('Chart data'!AF14),"",'Chart data'!AF14)</f>
        <v/>
      </c>
      <c r="N58" s="410"/>
      <c r="P58" s="429"/>
      <c r="Q58" s="430"/>
      <c r="R58" s="431"/>
      <c r="S58" s="431"/>
    </row>
    <row r="59" spans="1:20" ht="21" customHeight="1" x14ac:dyDescent="0.3">
      <c r="A59" s="145"/>
      <c r="B59" s="184"/>
      <c r="C59" s="436" t="s">
        <v>25</v>
      </c>
      <c r="D59" s="436"/>
      <c r="E59" s="419" t="str">
        <f>IF(ISERROR('Chart data'!X15),"",'Chart data'!X15)</f>
        <v/>
      </c>
      <c r="F59" s="420"/>
      <c r="G59" s="178"/>
      <c r="I59" s="178"/>
      <c r="K59" s="439" t="s">
        <v>587</v>
      </c>
      <c r="L59" s="439"/>
      <c r="M59" s="410" t="str">
        <f>IF(ISERROR('Chart data'!AF15),"",'Chart data'!AF15)</f>
        <v/>
      </c>
      <c r="N59" s="410"/>
      <c r="Q59" s="186"/>
    </row>
    <row r="60" spans="1:20" ht="21" customHeight="1" x14ac:dyDescent="0.3">
      <c r="A60" s="145"/>
      <c r="B60" s="184"/>
      <c r="C60" s="437" t="s">
        <v>581</v>
      </c>
      <c r="D60" s="437"/>
      <c r="E60" s="419" t="str">
        <f>IF(ISERROR('Chart data'!X16),"",'Chart data'!X16)</f>
        <v/>
      </c>
      <c r="F60" s="420"/>
      <c r="G60" s="178"/>
      <c r="I60" s="178"/>
      <c r="K60" s="442" t="s">
        <v>589</v>
      </c>
      <c r="L60" s="442"/>
      <c r="M60" s="410" t="str">
        <f>IF(ISERROR('Chart data'!AF16),"",'Chart data'!AF16)</f>
        <v/>
      </c>
      <c r="N60" s="410"/>
      <c r="Q60" s="186"/>
    </row>
    <row r="61" spans="1:20" ht="21" customHeight="1" x14ac:dyDescent="0.3">
      <c r="A61" s="145"/>
      <c r="B61" s="184"/>
      <c r="C61" s="433" t="s">
        <v>582</v>
      </c>
      <c r="D61" s="433"/>
      <c r="E61" s="419" t="str">
        <f>IF(ISERROR('Chart data'!X17),"",'Chart data'!X17)</f>
        <v/>
      </c>
      <c r="F61" s="420"/>
      <c r="G61" s="178"/>
      <c r="I61" s="178"/>
      <c r="K61" s="442"/>
      <c r="L61" s="442"/>
      <c r="M61" s="410"/>
      <c r="N61" s="410"/>
      <c r="Q61" s="186"/>
    </row>
    <row r="62" spans="1:20" ht="21" customHeight="1" x14ac:dyDescent="0.3">
      <c r="A62" s="145"/>
      <c r="B62" s="191"/>
      <c r="C62" s="432" t="s">
        <v>583</v>
      </c>
      <c r="D62" s="432"/>
      <c r="E62" s="419" t="str">
        <f>IF(ISERROR('Chart data'!X18),"",'Chart data'!X18)</f>
        <v/>
      </c>
      <c r="F62" s="420"/>
      <c r="G62" s="180"/>
      <c r="I62" s="180"/>
      <c r="K62" s="433" t="s">
        <v>29</v>
      </c>
      <c r="L62" s="433"/>
      <c r="M62" s="410" t="str">
        <f>IF(ISERROR('Chart data'!AF18),"",'Chart data'!AF18)</f>
        <v/>
      </c>
      <c r="N62" s="410"/>
      <c r="Q62" s="186"/>
    </row>
    <row r="63" spans="1:20" ht="21" customHeight="1" x14ac:dyDescent="0.3">
      <c r="A63" s="145"/>
      <c r="B63" s="187"/>
      <c r="C63" s="441" t="s">
        <v>430</v>
      </c>
      <c r="D63" s="441"/>
      <c r="E63" s="419" t="str">
        <f>IF(ISERROR('Chart data'!X19),"",'Chart data'!X19)</f>
        <v/>
      </c>
      <c r="F63" s="420"/>
      <c r="G63" s="180"/>
      <c r="I63" s="180"/>
      <c r="K63" s="438" t="s">
        <v>320</v>
      </c>
      <c r="L63" s="438"/>
      <c r="M63" s="409">
        <f>SUM(M57:N62)</f>
        <v>0</v>
      </c>
      <c r="N63" s="409"/>
      <c r="Q63" s="186"/>
    </row>
    <row r="64" spans="1:20" ht="21" customHeight="1" x14ac:dyDescent="0.3">
      <c r="A64" s="145"/>
      <c r="B64" s="187"/>
      <c r="C64" s="438" t="s">
        <v>320</v>
      </c>
      <c r="D64" s="438"/>
      <c r="E64" s="409">
        <f>SUM(E57:E63)</f>
        <v>0</v>
      </c>
      <c r="F64" s="409"/>
      <c r="G64"/>
      <c r="I64"/>
      <c r="J64"/>
      <c r="K64"/>
      <c r="L64"/>
      <c r="M64"/>
      <c r="N64" s="145"/>
      <c r="Q64" s="186"/>
    </row>
    <row r="65" spans="1:17" ht="21" customHeight="1" x14ac:dyDescent="0.3">
      <c r="A65" s="145"/>
      <c r="B65" s="184"/>
      <c r="C65"/>
      <c r="D65"/>
      <c r="E65"/>
      <c r="F65"/>
      <c r="G65"/>
      <c r="H65"/>
      <c r="I65"/>
      <c r="J65"/>
      <c r="K65"/>
      <c r="L65"/>
      <c r="M65" s="145"/>
      <c r="Q65" s="186"/>
    </row>
    <row r="66" spans="1:17" ht="21" customHeight="1" x14ac:dyDescent="0.3">
      <c r="A66" s="145"/>
      <c r="B66" s="184"/>
      <c r="C66"/>
      <c r="D66"/>
      <c r="E66"/>
      <c r="F66"/>
      <c r="G66"/>
      <c r="H66"/>
      <c r="I66"/>
      <c r="J66"/>
      <c r="K66"/>
      <c r="L66"/>
      <c r="M66" s="145"/>
      <c r="Q66" s="186"/>
    </row>
    <row r="67" spans="1:17" ht="21" customHeight="1" x14ac:dyDescent="0.3">
      <c r="A67" s="145"/>
      <c r="B67" s="184"/>
      <c r="C67"/>
      <c r="D67"/>
      <c r="E67"/>
      <c r="F67"/>
      <c r="G67"/>
      <c r="H67"/>
      <c r="I67"/>
      <c r="J67"/>
      <c r="K67"/>
      <c r="L67"/>
      <c r="M67" s="145"/>
      <c r="Q67" s="186"/>
    </row>
    <row r="68" spans="1:17" ht="21" customHeight="1" x14ac:dyDescent="0.3">
      <c r="A68" s="145"/>
      <c r="B68" s="184"/>
      <c r="C68"/>
      <c r="D68"/>
      <c r="E68"/>
      <c r="F68"/>
      <c r="G68"/>
      <c r="H68"/>
      <c r="I68"/>
      <c r="J68"/>
      <c r="K68"/>
      <c r="L68"/>
      <c r="M68" s="145"/>
      <c r="Q68" s="186"/>
    </row>
    <row r="69" spans="1:17" ht="21" customHeight="1" x14ac:dyDescent="0.3">
      <c r="A69" s="145"/>
      <c r="B69" s="192"/>
      <c r="C69" s="181"/>
      <c r="D69" s="181"/>
      <c r="E69" s="181"/>
      <c r="F69" s="181"/>
      <c r="G69" s="181"/>
      <c r="H69" s="181"/>
      <c r="I69" s="440"/>
      <c r="J69" s="440"/>
      <c r="K69" s="182"/>
      <c r="L69" s="182"/>
      <c r="M69" s="181"/>
      <c r="N69" s="183"/>
      <c r="O69" s="183"/>
      <c r="P69" s="183"/>
      <c r="Q69" s="193"/>
    </row>
    <row r="70" spans="1:17" ht="21" customHeight="1" x14ac:dyDescent="0.3"/>
    <row r="71" spans="1:17" ht="21" customHeight="1" x14ac:dyDescent="0.3"/>
    <row r="72" spans="1:17" ht="21" customHeight="1" x14ac:dyDescent="0.3"/>
    <row r="73" spans="1:17" ht="21" customHeight="1" x14ac:dyDescent="0.3"/>
    <row r="74" spans="1:17" ht="21" customHeight="1" x14ac:dyDescent="0.3"/>
    <row r="75" spans="1:17" ht="21" customHeight="1" x14ac:dyDescent="0.3"/>
    <row r="76" spans="1:17" ht="21" customHeight="1" x14ac:dyDescent="0.3"/>
    <row r="77" spans="1:17" ht="21" customHeight="1" x14ac:dyDescent="0.3"/>
    <row r="78" spans="1:17" ht="21" customHeight="1" x14ac:dyDescent="0.3"/>
    <row r="79" spans="1:17" ht="21" customHeight="1" x14ac:dyDescent="0.3"/>
    <row r="80" spans="1:17"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row r="94" ht="21" customHeight="1" x14ac:dyDescent="0.3"/>
    <row r="95" ht="21" customHeight="1" x14ac:dyDescent="0.3"/>
    <row r="96" ht="21" customHeight="1" x14ac:dyDescent="0.3"/>
    <row r="97" ht="21" customHeight="1" x14ac:dyDescent="0.3"/>
    <row r="98" ht="21" customHeight="1" x14ac:dyDescent="0.3"/>
    <row r="99" ht="21" customHeight="1" x14ac:dyDescent="0.3"/>
    <row r="100" ht="21" customHeight="1" x14ac:dyDescent="0.3"/>
    <row r="101" ht="21" customHeight="1" x14ac:dyDescent="0.3"/>
    <row r="102" ht="21" customHeight="1" x14ac:dyDescent="0.3"/>
    <row r="103" ht="21" customHeight="1" x14ac:dyDescent="0.3"/>
    <row r="104" ht="21" customHeight="1" x14ac:dyDescent="0.3"/>
    <row r="105" ht="21" customHeight="1" x14ac:dyDescent="0.3"/>
    <row r="106" ht="21" customHeight="1" x14ac:dyDescent="0.3"/>
    <row r="107" ht="21" customHeight="1" x14ac:dyDescent="0.3"/>
    <row r="108" ht="21" customHeight="1" x14ac:dyDescent="0.3"/>
    <row r="109" ht="21" customHeight="1" x14ac:dyDescent="0.3"/>
    <row r="110" ht="21" customHeight="1" x14ac:dyDescent="0.3"/>
    <row r="111" ht="21" customHeight="1" x14ac:dyDescent="0.3"/>
    <row r="112" ht="21" customHeight="1" x14ac:dyDescent="0.3"/>
    <row r="113" ht="21" customHeight="1" x14ac:dyDescent="0.3"/>
    <row r="114" ht="21" customHeight="1" x14ac:dyDescent="0.3"/>
    <row r="115" ht="21" customHeight="1" x14ac:dyDescent="0.3"/>
    <row r="116" ht="21" customHeight="1" x14ac:dyDescent="0.3"/>
    <row r="117" ht="21" customHeight="1" x14ac:dyDescent="0.3"/>
    <row r="118" ht="21" customHeight="1" x14ac:dyDescent="0.3"/>
    <row r="119" ht="21" customHeight="1" x14ac:dyDescent="0.3"/>
    <row r="120" ht="21" customHeight="1" x14ac:dyDescent="0.3"/>
    <row r="121" ht="21" customHeight="1" x14ac:dyDescent="0.3"/>
    <row r="122" ht="21" customHeight="1" x14ac:dyDescent="0.3"/>
    <row r="123" ht="21" customHeight="1" x14ac:dyDescent="0.3"/>
    <row r="124" ht="21" customHeight="1" x14ac:dyDescent="0.3"/>
    <row r="125" ht="21" customHeight="1" x14ac:dyDescent="0.3"/>
    <row r="126" ht="21" customHeight="1" x14ac:dyDescent="0.3"/>
    <row r="127" ht="21" customHeight="1" x14ac:dyDescent="0.3"/>
    <row r="128" ht="21" customHeight="1" x14ac:dyDescent="0.3"/>
    <row r="129" ht="21" customHeight="1" x14ac:dyDescent="0.3"/>
    <row r="130" ht="21" customHeight="1" x14ac:dyDescent="0.3"/>
    <row r="131" ht="21" customHeight="1" x14ac:dyDescent="0.3"/>
    <row r="132" ht="21" customHeight="1" x14ac:dyDescent="0.3"/>
    <row r="133" ht="21" customHeight="1" x14ac:dyDescent="0.3"/>
    <row r="134" ht="21" customHeight="1" x14ac:dyDescent="0.3"/>
    <row r="135" ht="21" customHeight="1" x14ac:dyDescent="0.3"/>
    <row r="136" ht="21" customHeight="1" x14ac:dyDescent="0.3"/>
    <row r="137" ht="21" customHeight="1" x14ac:dyDescent="0.3"/>
    <row r="138" ht="21" customHeight="1" x14ac:dyDescent="0.3"/>
    <row r="139" ht="21" customHeight="1" x14ac:dyDescent="0.3"/>
    <row r="140" ht="21" customHeight="1" x14ac:dyDescent="0.3"/>
    <row r="141" ht="21" customHeight="1" x14ac:dyDescent="0.3"/>
    <row r="142" ht="21" customHeight="1" x14ac:dyDescent="0.3"/>
    <row r="143" ht="21" customHeight="1" x14ac:dyDescent="0.3"/>
    <row r="144" ht="21" customHeight="1" x14ac:dyDescent="0.3"/>
    <row r="145" ht="21" customHeight="1" x14ac:dyDescent="0.3"/>
    <row r="146" ht="21" customHeight="1" x14ac:dyDescent="0.3"/>
  </sheetData>
  <sheetProtection algorithmName="SHA-512" hashValue="zHOu2fuNRHZ69b40B+GDXYFgFIJSOdyWtwG05QNSqlBhzVL7BvOtJq9anTeIauxGR99PJvMJ9u9iXnDGOIqoSg==" saltValue="OMGnRGh5TXzmrfXKhxNz9w==" spinCount="100000" sheet="1" objects="1" scenarios="1"/>
  <mergeCells count="49">
    <mergeCell ref="C64:D64"/>
    <mergeCell ref="E62:F62"/>
    <mergeCell ref="E64:F64"/>
    <mergeCell ref="K59:L59"/>
    <mergeCell ref="I69:J69"/>
    <mergeCell ref="C63:D63"/>
    <mergeCell ref="K63:L63"/>
    <mergeCell ref="K60:L61"/>
    <mergeCell ref="K62:L62"/>
    <mergeCell ref="AN1:AP1"/>
    <mergeCell ref="P57:Q58"/>
    <mergeCell ref="R57:R58"/>
    <mergeCell ref="S57:S58"/>
    <mergeCell ref="C62:D62"/>
    <mergeCell ref="C61:D61"/>
    <mergeCell ref="E56:F56"/>
    <mergeCell ref="E57:F57"/>
    <mergeCell ref="E58:F58"/>
    <mergeCell ref="E59:F59"/>
    <mergeCell ref="E60:F60"/>
    <mergeCell ref="E61:F61"/>
    <mergeCell ref="C57:D57"/>
    <mergeCell ref="C58:D58"/>
    <mergeCell ref="C59:D59"/>
    <mergeCell ref="C60:D60"/>
    <mergeCell ref="B4:F5"/>
    <mergeCell ref="G4:Q5"/>
    <mergeCell ref="E63:F63"/>
    <mergeCell ref="C40:G42"/>
    <mergeCell ref="J40:O42"/>
    <mergeCell ref="K56:L56"/>
    <mergeCell ref="M56:N56"/>
    <mergeCell ref="N6:O6"/>
    <mergeCell ref="N9:O9"/>
    <mergeCell ref="N10:O10"/>
    <mergeCell ref="C39:G39"/>
    <mergeCell ref="K57:L57"/>
    <mergeCell ref="K58:L58"/>
    <mergeCell ref="C56:D56"/>
    <mergeCell ref="M57:N57"/>
    <mergeCell ref="M58:N58"/>
    <mergeCell ref="C6:D7"/>
    <mergeCell ref="C9:D10"/>
    <mergeCell ref="N7:O7"/>
    <mergeCell ref="B6:B7"/>
    <mergeCell ref="M63:N63"/>
    <mergeCell ref="M59:N59"/>
    <mergeCell ref="M60:N61"/>
    <mergeCell ref="M62:N62"/>
  </mergeCells>
  <pageMargins left="0.78740157480314965" right="0.78740157480314965" top="0.78740157480314965" bottom="0.78740157480314965" header="0.31496062992125984" footer="0.31496062992125984"/>
  <pageSetup paperSize="9" scale="50"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4278" r:id="rId4" name="Button 22">
              <controlPr defaultSize="0" print="0" autoFill="0" autoPict="0" macro="[0]!print_report">
                <anchor>
                  <from>
                    <xdr:col>18</xdr:col>
                    <xdr:colOff>449580</xdr:colOff>
                    <xdr:row>1</xdr:row>
                    <xdr:rowOff>716280</xdr:rowOff>
                  </from>
                  <to>
                    <xdr:col>19</xdr:col>
                    <xdr:colOff>838200</xdr:colOff>
                    <xdr:row>2</xdr:row>
                    <xdr:rowOff>373380</xdr:rowOff>
                  </to>
                </anchor>
              </controlPr>
            </control>
          </mc:Choice>
        </mc:AlternateContent>
        <mc:AlternateContent xmlns:mc="http://schemas.openxmlformats.org/markup-compatibility/2006">
          <mc:Choice Requires="x14">
            <control shapeId="470136" r:id="rId5" name="activate_home_page">
              <controlPr defaultSize="0" print="0" autoFill="0" autoPict="0" macro="[0]!thisworkbook.activate_home_page">
                <anchor>
                  <from>
                    <xdr:col>3</xdr:col>
                    <xdr:colOff>68580</xdr:colOff>
                    <xdr:row>0</xdr:row>
                    <xdr:rowOff>144780</xdr:rowOff>
                  </from>
                  <to>
                    <xdr:col>5</xdr:col>
                    <xdr:colOff>563880</xdr:colOff>
                    <xdr:row>0</xdr:row>
                    <xdr:rowOff>373380</xdr:rowOff>
                  </to>
                </anchor>
              </controlPr>
            </control>
          </mc:Choice>
        </mc:AlternateContent>
        <mc:AlternateContent xmlns:mc="http://schemas.openxmlformats.org/markup-compatibility/2006">
          <mc:Choice Requires="x14">
            <control shapeId="470137" r:id="rId6" name="activate_guidance">
              <controlPr defaultSize="0" print="0" autoFill="0" autoPict="0" macro="[0]!thisworkbook.activate_guidance">
                <anchor>
                  <from>
                    <xdr:col>5</xdr:col>
                    <xdr:colOff>601980</xdr:colOff>
                    <xdr:row>0</xdr:row>
                    <xdr:rowOff>144780</xdr:rowOff>
                  </from>
                  <to>
                    <xdr:col>8</xdr:col>
                    <xdr:colOff>144780</xdr:colOff>
                    <xdr:row>0</xdr:row>
                    <xdr:rowOff>373380</xdr:rowOff>
                  </to>
                </anchor>
              </controlPr>
            </control>
          </mc:Choice>
        </mc:AlternateContent>
        <mc:AlternateContent xmlns:mc="http://schemas.openxmlformats.org/markup-compatibility/2006">
          <mc:Choice Requires="x14">
            <control shapeId="470138" r:id="rId7" name="activate_summary_report">
              <controlPr defaultSize="0" print="0" autoFill="0" autoPict="0" macro="[0]!thisworkbook.activate_summary_report">
                <anchor>
                  <from>
                    <xdr:col>8</xdr:col>
                    <xdr:colOff>144780</xdr:colOff>
                    <xdr:row>0</xdr:row>
                    <xdr:rowOff>144780</xdr:rowOff>
                  </from>
                  <to>
                    <xdr:col>10</xdr:col>
                    <xdr:colOff>297180</xdr:colOff>
                    <xdr:row>0</xdr:row>
                    <xdr:rowOff>373380</xdr:rowOff>
                  </to>
                </anchor>
              </controlPr>
            </control>
          </mc:Choice>
        </mc:AlternateContent>
        <mc:AlternateContent xmlns:mc="http://schemas.openxmlformats.org/markup-compatibility/2006">
          <mc:Choice Requires="x14">
            <control shapeId="470139" r:id="rId8" name="activate_outputs">
              <controlPr defaultSize="0" print="0" autoFill="0" autoPict="0" macro="[0]!thisworkbook.activate_outputs">
                <anchor>
                  <from>
                    <xdr:col>10</xdr:col>
                    <xdr:colOff>335280</xdr:colOff>
                    <xdr:row>0</xdr:row>
                    <xdr:rowOff>144780</xdr:rowOff>
                  </from>
                  <to>
                    <xdr:col>12</xdr:col>
                    <xdr:colOff>487680</xdr:colOff>
                    <xdr:row>0</xdr:row>
                    <xdr:rowOff>373380</xdr:rowOff>
                  </to>
                </anchor>
              </controlPr>
            </control>
          </mc:Choice>
        </mc:AlternateContent>
        <mc:AlternateContent xmlns:mc="http://schemas.openxmlformats.org/markup-compatibility/2006">
          <mc:Choice Requires="x14">
            <control shapeId="470140" r:id="rId9" name="activate_emissions_factors">
              <controlPr defaultSize="0" print="0" autoFill="0" autoPict="0" macro="[0]!thisworkbook.activate_emissions_factors">
                <anchor>
                  <from>
                    <xdr:col>12</xdr:col>
                    <xdr:colOff>525780</xdr:colOff>
                    <xdr:row>0</xdr:row>
                    <xdr:rowOff>144780</xdr:rowOff>
                  </from>
                  <to>
                    <xdr:col>15</xdr:col>
                    <xdr:colOff>68580</xdr:colOff>
                    <xdr:row>0</xdr:row>
                    <xdr:rowOff>373380</xdr:rowOff>
                  </to>
                </anchor>
              </controlPr>
            </control>
          </mc:Choice>
        </mc:AlternateContent>
        <mc:AlternateContent xmlns:mc="http://schemas.openxmlformats.org/markup-compatibility/2006">
          <mc:Choice Requires="x14">
            <control shapeId="470141" r:id="rId10" name="activate_material_density">
              <controlPr defaultSize="0" print="0" autoFill="0" autoPict="0" macro="[0]!thisworkbook.activate_material_density">
                <anchor>
                  <from>
                    <xdr:col>15</xdr:col>
                    <xdr:colOff>68580</xdr:colOff>
                    <xdr:row>0</xdr:row>
                    <xdr:rowOff>144780</xdr:rowOff>
                  </from>
                  <to>
                    <xdr:col>18</xdr:col>
                    <xdr:colOff>266700</xdr:colOff>
                    <xdr:row>0</xdr:row>
                    <xdr:rowOff>373380</xdr:rowOff>
                  </to>
                </anchor>
              </controlPr>
            </control>
          </mc:Choice>
        </mc:AlternateContent>
        <mc:AlternateContent xmlns:mc="http://schemas.openxmlformats.org/markup-compatibility/2006">
          <mc:Choice Requires="x14">
            <control shapeId="470142" r:id="rId11" name="activate_notes">
              <controlPr defaultSize="0" print="0" autoFill="0" autoPict="0" macro="[0]!thisworkbook.activate_notes">
                <anchor>
                  <from>
                    <xdr:col>18</xdr:col>
                    <xdr:colOff>297180</xdr:colOff>
                    <xdr:row>0</xdr:row>
                    <xdr:rowOff>144780</xdr:rowOff>
                  </from>
                  <to>
                    <xdr:col>19</xdr:col>
                    <xdr:colOff>838200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'Home Page'!$B$25:$B$9982</xm:f>
          </x14:formula1>
          <xm:sqref>C6 C8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G65"/>
  <sheetViews>
    <sheetView workbookViewId="0">
      <selection activeCell="C8" sqref="C8:S8"/>
    </sheetView>
  </sheetViews>
  <sheetFormatPr defaultRowHeight="14.4" x14ac:dyDescent="0.3"/>
  <cols>
    <col min="1" max="1" width="11.33203125" style="14" bestFit="1" customWidth="1"/>
    <col min="2" max="2" width="9.33203125" style="14" customWidth="1"/>
    <col min="3" max="3" width="18.6640625" style="14" customWidth="1"/>
    <col min="4" max="4" width="17.33203125" style="14" customWidth="1"/>
    <col min="5" max="5" width="13.6640625" style="14" customWidth="1"/>
    <col min="6" max="6" width="22.33203125" style="14" customWidth="1"/>
    <col min="7" max="7" width="13.33203125" style="14" customWidth="1"/>
    <col min="8" max="12" width="9.33203125" style="14" customWidth="1"/>
    <col min="13" max="14" width="10" style="14" bestFit="1" customWidth="1"/>
    <col min="15" max="15" width="9.33203125" style="14" customWidth="1"/>
    <col min="20" max="20" width="20" customWidth="1"/>
  </cols>
  <sheetData>
    <row r="1" spans="1:33" x14ac:dyDescent="0.3">
      <c r="I1" s="428"/>
      <c r="J1" s="428"/>
      <c r="K1" s="428"/>
    </row>
    <row r="4" spans="1:33" x14ac:dyDescent="0.3">
      <c r="A4" s="14" t="s">
        <v>608</v>
      </c>
      <c r="L4" s="14" t="s">
        <v>609</v>
      </c>
    </row>
    <row r="5" spans="1:33" x14ac:dyDescent="0.3">
      <c r="A5" s="14" t="s">
        <v>606</v>
      </c>
      <c r="C5" s="200" t="s">
        <v>631</v>
      </c>
      <c r="L5" s="200" t="s">
        <v>610</v>
      </c>
    </row>
    <row r="6" spans="1:33" x14ac:dyDescent="0.3">
      <c r="A6" s="14" t="s">
        <v>604</v>
      </c>
      <c r="C6">
        <f>IF(ISERROR(G6+C5),G6,G6+C5)</f>
        <v>0</v>
      </c>
      <c r="D6" s="201">
        <f>('Home Page'!$D$16/1000000)*152</f>
        <v>43.337783999999999</v>
      </c>
      <c r="E6" s="201">
        <f>('Home Page'!$D$16/1000000)*350</f>
        <v>99.790950000000009</v>
      </c>
      <c r="F6">
        <f>IF(ISERROR(D6+D5),D6,D6+D5)</f>
        <v>43.337783999999999</v>
      </c>
      <c r="G6" s="14">
        <f>Outputs!C6</f>
        <v>0</v>
      </c>
      <c r="L6" s="14">
        <f>Outputs!C6</f>
        <v>0</v>
      </c>
      <c r="M6" s="165">
        <f>IF(ISERROR(VLOOKUP(N6,'Home Page'!$B:$Q,16,FALSE)),0,VLOOKUP(N6,'Home Page'!$B:$Q,16,FALSE))</f>
        <v>0</v>
      </c>
      <c r="N6" s="14">
        <f>Outputs!B6</f>
        <v>0</v>
      </c>
      <c r="O6" s="166">
        <f>IF(ISERROR((L6/M6)),0,(L6/M6))*1000000</f>
        <v>0</v>
      </c>
      <c r="P6" s="167">
        <v>152</v>
      </c>
      <c r="Q6" s="167">
        <v>350</v>
      </c>
      <c r="R6">
        <f>IF(ISERROR(C6/S6),0,(C6/S6))*1000000</f>
        <v>0</v>
      </c>
      <c r="S6">
        <f>IF(ISERROR(M6+S5),M6,M6+S5)</f>
        <v>0</v>
      </c>
    </row>
    <row r="7" spans="1:33" x14ac:dyDescent="0.3">
      <c r="B7"/>
      <c r="C7" t="s">
        <v>635</v>
      </c>
      <c r="D7" t="s">
        <v>632</v>
      </c>
      <c r="E7" s="14" t="s">
        <v>633</v>
      </c>
      <c r="F7" t="s">
        <v>605</v>
      </c>
      <c r="G7" t="s">
        <v>634</v>
      </c>
      <c r="L7" t="s">
        <v>320</v>
      </c>
      <c r="M7" t="s">
        <v>575</v>
      </c>
      <c r="N7" t="s">
        <v>318</v>
      </c>
      <c r="O7" s="166" t="s">
        <v>607</v>
      </c>
      <c r="P7" t="s">
        <v>576</v>
      </c>
      <c r="Q7" t="s">
        <v>577</v>
      </c>
      <c r="R7" t="s">
        <v>622</v>
      </c>
      <c r="S7" t="s">
        <v>623</v>
      </c>
    </row>
    <row r="8" spans="1:33" x14ac:dyDescent="0.3">
      <c r="C8">
        <f>IF(ISERROR(G8+C7),G8,G8+C7)</f>
        <v>78.086150529999998</v>
      </c>
      <c r="D8" s="165">
        <f>('Home Page'!$D$16/1000000)*152</f>
        <v>43.337783999999999</v>
      </c>
      <c r="E8" s="14">
        <f>('Home Page'!$D$16/1000000)*350</f>
        <v>99.790950000000009</v>
      </c>
      <c r="F8">
        <f>IF(ISERROR(D8+D7),D8,D8+D7)</f>
        <v>43.337783999999999</v>
      </c>
      <c r="G8" s="147">
        <f>Outputs!C8</f>
        <v>78.086150529999998</v>
      </c>
      <c r="L8" s="14">
        <f>Outputs!C8</f>
        <v>78.086150529999998</v>
      </c>
      <c r="M8" s="250">
        <f>IF(ISERROR(VLOOKUP(N8,'Home Page'!$B:$Q,16,FALSE)),0,VLOOKUP(N8,'Home Page'!$B:$Q,16,FALSE))</f>
        <v>179418</v>
      </c>
      <c r="N8" s="14" t="str">
        <f>Outputs!B8</f>
        <v>2025 Oct - Dec</v>
      </c>
      <c r="O8" s="166">
        <f>IF(ISERROR((L8/M8)),0,(L8/M8))*1000000</f>
        <v>435.21915599326712</v>
      </c>
      <c r="P8">
        <v>152</v>
      </c>
      <c r="Q8">
        <v>350</v>
      </c>
      <c r="R8">
        <f>IF(ISERROR(C8/S8),0,(C8/S8))*1000000</f>
        <v>435.21915599326712</v>
      </c>
      <c r="S8">
        <f>IF(ISERROR(M8+S7),M8,M8+S7)</f>
        <v>179418</v>
      </c>
    </row>
    <row r="9" spans="1:33" ht="15" thickBot="1" x14ac:dyDescent="0.35">
      <c r="C9"/>
      <c r="D9" s="165"/>
      <c r="F9"/>
      <c r="G9" s="147"/>
      <c r="M9" s="250"/>
      <c r="O9" s="166"/>
      <c r="P9" s="166"/>
    </row>
    <row r="10" spans="1:33" ht="15" thickBot="1" x14ac:dyDescent="0.35">
      <c r="C10"/>
      <c r="D10" s="165"/>
      <c r="F10"/>
      <c r="G10" s="147"/>
      <c r="M10" s="250"/>
      <c r="N10" s="165"/>
      <c r="O10" s="166"/>
      <c r="P10" s="166"/>
      <c r="W10" s="13" t="s">
        <v>603</v>
      </c>
      <c r="X10" s="199">
        <f>'Summary Report'!C6</f>
        <v>0</v>
      </c>
    </row>
    <row r="11" spans="1:33" x14ac:dyDescent="0.3">
      <c r="C11"/>
      <c r="D11"/>
      <c r="E11" s="147"/>
      <c r="F11" s="165"/>
      <c r="M11" s="165"/>
      <c r="N11" s="165"/>
      <c r="O11" s="166"/>
      <c r="P11" s="166"/>
    </row>
    <row r="12" spans="1:33" x14ac:dyDescent="0.3">
      <c r="C12"/>
      <c r="D12"/>
      <c r="E12" s="147"/>
      <c r="F12" s="165"/>
      <c r="M12" s="165"/>
      <c r="N12" s="165"/>
      <c r="O12" s="166"/>
      <c r="P12" s="166"/>
    </row>
    <row r="13" spans="1:33" x14ac:dyDescent="0.3">
      <c r="C13"/>
      <c r="D13"/>
      <c r="E13" s="147"/>
      <c r="F13" s="165"/>
      <c r="M13" s="165"/>
      <c r="N13" s="165"/>
      <c r="O13" s="166"/>
      <c r="P13" s="166"/>
      <c r="V13" s="14" t="s">
        <v>580</v>
      </c>
      <c r="W13" s="14"/>
      <c r="X13" s="211" t="e">
        <f>VLOOKUP(X10,Outputs!B8:X9999,8,FALSE)-VLOOKUP(X10,Outputs!B8:X9999,9,FALSE)</f>
        <v>#N/A</v>
      </c>
      <c r="AB13" s="14" t="s">
        <v>585</v>
      </c>
      <c r="AC13" s="14"/>
      <c r="AD13" s="14"/>
      <c r="AE13" s="14"/>
      <c r="AF13" s="211" t="e">
        <f>SUM(X13:X19)</f>
        <v>#N/A</v>
      </c>
      <c r="AG13" s="147"/>
    </row>
    <row r="14" spans="1:33" x14ac:dyDescent="0.3">
      <c r="C14"/>
      <c r="D14"/>
      <c r="E14" s="147"/>
      <c r="F14" s="165"/>
      <c r="M14" s="165"/>
      <c r="N14" s="165"/>
      <c r="O14" s="166"/>
      <c r="P14" s="166"/>
      <c r="V14" s="14" t="s">
        <v>24</v>
      </c>
      <c r="W14" s="14"/>
      <c r="X14" s="211" t="e">
        <f>VLOOKUP(X10,Outputs!B8:X9999,10,FALSE)-VLOOKUP(X10,Outputs!B8:X9999,11,FALSE)</f>
        <v>#N/A</v>
      </c>
      <c r="AB14" s="14" t="s">
        <v>586</v>
      </c>
      <c r="AC14" s="14"/>
      <c r="AD14" s="14"/>
      <c r="AE14" s="14"/>
      <c r="AF14" s="211" t="e">
        <f>VLOOKUP(X10,Outputs!B8:X9999,5,FALSE)+VLOOKUP(X10,Outputs!B8:X9999,7,FALSE)+VLOOKUP(X10,Outputs!B8:X9999,9,FALSE)+VLOOKUP(X10,Outputs!B8:X9999,11,FALSE)+VLOOKUP(X10,Outputs!B8:X9999,13,FALSE)+VLOOKUP(X10,Outputs!B8:X9999,15,FALSE)+VLOOKUP(X10,Outputs!B8:X9999,17,FALSE)</f>
        <v>#N/A</v>
      </c>
      <c r="AG14" s="147"/>
    </row>
    <row r="15" spans="1:33" x14ac:dyDescent="0.3">
      <c r="H15" s="148"/>
      <c r="I15" s="148"/>
      <c r="M15" s="165"/>
      <c r="N15" s="165"/>
      <c r="O15" s="166"/>
      <c r="P15" s="166"/>
      <c r="V15" s="14" t="s">
        <v>25</v>
      </c>
      <c r="W15" s="14"/>
      <c r="X15" s="211" t="e">
        <f>VLOOKUP(X10,Outputs!B8:X9999,6,FALSE)-VLOOKUP(X10,Outputs!B8:X9999,7,FALSE)</f>
        <v>#N/A</v>
      </c>
      <c r="AB15" s="14" t="s">
        <v>587</v>
      </c>
      <c r="AC15" s="14"/>
      <c r="AD15" s="14"/>
      <c r="AE15" s="14"/>
      <c r="AF15" s="211" t="e">
        <f>VLOOKUP(X10,Outputs!B8:X9999,18,FALSE)</f>
        <v>#N/A</v>
      </c>
      <c r="AG15" s="147"/>
    </row>
    <row r="16" spans="1:33" x14ac:dyDescent="0.3">
      <c r="H16" s="148"/>
      <c r="I16" s="148"/>
      <c r="M16" s="165"/>
      <c r="N16" s="165"/>
      <c r="O16" s="166"/>
      <c r="P16" s="166"/>
      <c r="V16" s="14" t="s">
        <v>581</v>
      </c>
      <c r="W16" s="14"/>
      <c r="X16" s="211" t="e">
        <f>VLOOKUP(X10,Outputs!B8:X9999,12,FALSE)-VLOOKUP(X10,Outputs!B8:X9999,13,FALSE)</f>
        <v>#N/A</v>
      </c>
      <c r="AB16" s="14" t="s">
        <v>589</v>
      </c>
      <c r="AC16" s="14"/>
      <c r="AD16" s="14"/>
      <c r="AE16" s="14"/>
      <c r="AF16" s="211" t="e">
        <f>VLOOKUP(X10,Outputs!B8:X9999,20,FALSE)</f>
        <v>#N/A</v>
      </c>
      <c r="AG16" s="147"/>
    </row>
    <row r="17" spans="6:33" x14ac:dyDescent="0.3">
      <c r="H17" s="148"/>
      <c r="I17" s="148"/>
      <c r="M17" s="165"/>
      <c r="N17" s="165"/>
      <c r="O17" s="166"/>
      <c r="P17" s="166"/>
      <c r="V17" s="14" t="s">
        <v>582</v>
      </c>
      <c r="W17" s="14"/>
      <c r="X17" s="211" t="e">
        <f>VLOOKUP(X10,Outputs!B8:X9999,14,FALSE)-VLOOKUP(X10,Outputs!B8:X9999,15,FALSE)</f>
        <v>#N/A</v>
      </c>
      <c r="AB17" s="14"/>
      <c r="AC17" s="14"/>
      <c r="AD17" s="14"/>
      <c r="AE17" s="14"/>
      <c r="AF17" s="212"/>
      <c r="AG17" s="14"/>
    </row>
    <row r="18" spans="6:33" x14ac:dyDescent="0.3">
      <c r="H18" s="148"/>
      <c r="I18" s="148"/>
      <c r="M18" s="165"/>
      <c r="N18" s="165"/>
      <c r="O18" s="166"/>
      <c r="P18" s="166"/>
      <c r="V18" s="14" t="s">
        <v>583</v>
      </c>
      <c r="W18" s="14"/>
      <c r="X18" s="211" t="e">
        <f>VLOOKUP(X10,Outputs!B8:X9999,16,FALSE)-VLOOKUP(X10,Outputs!B8:X9999,17,FALSE)</f>
        <v>#N/A</v>
      </c>
      <c r="AB18" s="14" t="s">
        <v>121</v>
      </c>
      <c r="AC18" s="14"/>
      <c r="AD18" s="14"/>
      <c r="AE18" s="14"/>
      <c r="AF18" s="211" t="e">
        <f>VLOOKUP(X10,Outputs!B8:X9999,22,FALSE)</f>
        <v>#N/A</v>
      </c>
      <c r="AG18" s="147"/>
    </row>
    <row r="19" spans="6:33" x14ac:dyDescent="0.3">
      <c r="F19" s="147"/>
      <c r="G19" s="147"/>
      <c r="M19" s="165"/>
      <c r="N19" s="165"/>
      <c r="O19" s="166"/>
      <c r="P19" s="166"/>
      <c r="V19" t="s">
        <v>430</v>
      </c>
      <c r="W19" s="14"/>
      <c r="X19" s="211" t="e">
        <f>VLOOKUP(X10,Outputs!B8:X9999,4,FALSE)-VLOOKUP(X10,Outputs!B8:X9999,5,FALSE)</f>
        <v>#N/A</v>
      </c>
      <c r="AB19" s="14"/>
      <c r="AC19" s="147"/>
      <c r="AD19" s="14"/>
      <c r="AE19" s="14"/>
      <c r="AF19" s="14"/>
      <c r="AG19" s="14"/>
    </row>
    <row r="20" spans="6:33" x14ac:dyDescent="0.3">
      <c r="G20" s="147"/>
      <c r="V20" s="14"/>
      <c r="W20" s="14"/>
      <c r="X20" s="147"/>
      <c r="AB20" s="14"/>
      <c r="AC20" s="147"/>
      <c r="AD20" s="14"/>
      <c r="AE20" s="14"/>
      <c r="AF20" s="14"/>
      <c r="AG20" s="14"/>
    </row>
    <row r="43" spans="1:6" x14ac:dyDescent="0.3">
      <c r="A43" s="147"/>
    </row>
    <row r="44" spans="1:6" x14ac:dyDescent="0.3">
      <c r="F44" s="147"/>
    </row>
    <row r="45" spans="1:6" x14ac:dyDescent="0.3">
      <c r="F45" s="147"/>
    </row>
    <row r="46" spans="1:6" x14ac:dyDescent="0.3">
      <c r="F46" s="147"/>
    </row>
    <row r="47" spans="1:6" x14ac:dyDescent="0.3">
      <c r="F47" s="147"/>
    </row>
    <row r="48" spans="1:6" x14ac:dyDescent="0.3">
      <c r="F48" s="147"/>
    </row>
    <row r="49" spans="2:6" x14ac:dyDescent="0.3">
      <c r="F49" s="147"/>
    </row>
    <row r="51" spans="2:6" x14ac:dyDescent="0.3">
      <c r="F51" s="147"/>
    </row>
    <row r="64" spans="2:6" x14ac:dyDescent="0.3">
      <c r="B64" s="147"/>
    </row>
    <row r="65" spans="2:2" x14ac:dyDescent="0.3">
      <c r="B65" s="147"/>
    </row>
  </sheetData>
  <sheetProtection algorithmName="SHA-512" hashValue="WBOEm4FmShpZ0LAVLJbI6lXuk+aGSNWQxhuoSdlVoEOt4PXV2a1vbM5r3oCF6na8P1mCx4TIAp68idndYvtMcA==" saltValue="ftcyrf70HQdgvkxfby0eHw==" spinCount="100000" sheet="1" objects="1" scenarios="1"/>
  <mergeCells count="1">
    <mergeCell ref="I1:K1"/>
  </mergeCells>
  <pageMargins left="0.7" right="0.7" top="0.75" bottom="0.75" header="0.3" footer="0.3"/>
  <headerFooter>
    <oddFooter>&amp;C_x000D_&amp;1#&amp;"Verdana"&amp;7&amp;K000000 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AT59"/>
  <sheetViews>
    <sheetView showGridLines="0" showRowColHeaders="0" zoomScaleNormal="100" workbookViewId="0">
      <selection activeCell="C8" sqref="C8:AG8"/>
    </sheetView>
  </sheetViews>
  <sheetFormatPr defaultColWidth="0" defaultRowHeight="12" x14ac:dyDescent="0.3"/>
  <cols>
    <col min="1" max="1" width="3" style="79" customWidth="1"/>
    <col min="2" max="2" width="10.5546875" style="156" customWidth="1"/>
    <col min="3" max="3" width="9.6640625" style="210" customWidth="1"/>
    <col min="4" max="4" width="9.6640625" style="207" customWidth="1"/>
    <col min="5" max="5" width="9.6640625" style="206" customWidth="1"/>
    <col min="6" max="6" width="9.6640625" style="207" customWidth="1"/>
    <col min="7" max="7" width="9.6640625" style="206" customWidth="1"/>
    <col min="8" max="8" width="9.6640625" style="207" customWidth="1"/>
    <col min="9" max="9" width="9.6640625" style="206" customWidth="1"/>
    <col min="10" max="10" width="9.6640625" style="207" customWidth="1"/>
    <col min="11" max="11" width="9.6640625" style="206" customWidth="1"/>
    <col min="12" max="12" width="9.6640625" style="207" customWidth="1"/>
    <col min="13" max="13" width="9.6640625" style="206" customWidth="1"/>
    <col min="14" max="14" width="9.6640625" style="207" customWidth="1"/>
    <col min="15" max="15" width="9.6640625" style="206" customWidth="1"/>
    <col min="16" max="16" width="9.6640625" style="207" customWidth="1"/>
    <col min="17" max="17" width="9.6640625" style="206" customWidth="1"/>
    <col min="18" max="18" width="9.6640625" style="207" customWidth="1"/>
    <col min="19" max="19" width="9.6640625" style="206" customWidth="1"/>
    <col min="20" max="20" width="9.6640625" style="207" customWidth="1"/>
    <col min="21" max="21" width="9.6640625" style="206" customWidth="1"/>
    <col min="22" max="22" width="9.6640625" style="207" customWidth="1"/>
    <col min="23" max="23" width="9.6640625" style="206" customWidth="1"/>
    <col min="24" max="24" width="9.6640625" style="207" customWidth="1"/>
    <col min="25" max="25" width="3" style="50" customWidth="1"/>
    <col min="26" max="46" width="0" style="50" hidden="1" customWidth="1"/>
    <col min="47" max="16384" width="13.5546875" style="50" hidden="1"/>
  </cols>
  <sheetData>
    <row r="1" spans="1:34" s="6" customFormat="1" ht="43.5" customHeight="1" x14ac:dyDescent="0.25">
      <c r="A1" s="79"/>
      <c r="B1" s="152"/>
      <c r="N1" s="196"/>
      <c r="V1" s="447"/>
      <c r="W1" s="447"/>
      <c r="AE1" s="51"/>
      <c r="AF1" s="447"/>
      <c r="AG1" s="447"/>
      <c r="AH1" s="447"/>
    </row>
    <row r="2" spans="1:34" s="6" customFormat="1" ht="72" customHeight="1" x14ac:dyDescent="0.25">
      <c r="A2" s="151"/>
      <c r="B2" s="153"/>
      <c r="N2" s="196"/>
      <c r="AE2" s="51"/>
    </row>
    <row r="3" spans="1:34" ht="30.75" customHeight="1" x14ac:dyDescent="0.3">
      <c r="B3" s="255" t="s">
        <v>641</v>
      </c>
      <c r="C3" s="52"/>
      <c r="D3" s="50"/>
      <c r="E3" s="50"/>
      <c r="F3" s="50"/>
      <c r="G3" s="50"/>
      <c r="H3" s="50"/>
      <c r="I3" s="50"/>
      <c r="J3" s="50"/>
      <c r="K3" s="50"/>
      <c r="L3" s="50"/>
      <c r="M3" s="50"/>
      <c r="N3" s="50"/>
      <c r="O3" s="50"/>
      <c r="P3" s="50"/>
      <c r="Q3" s="50"/>
      <c r="R3" s="50"/>
      <c r="S3" s="50"/>
      <c r="T3" s="50"/>
      <c r="U3" s="50"/>
      <c r="V3" s="50"/>
      <c r="W3" s="50"/>
      <c r="X3" s="50"/>
    </row>
    <row r="4" spans="1:34" s="79" customFormat="1" x14ac:dyDescent="0.3">
      <c r="B4" s="154"/>
      <c r="C4" s="81">
        <f>E4+I4+K4+G4+M4+O4+Q4+S4+U4+W4</f>
        <v>0</v>
      </c>
      <c r="D4" s="81">
        <f>F4+J4+L4+H4+N4+P4+R4+T4+V4+X4</f>
        <v>0</v>
      </c>
      <c r="E4" s="81">
        <f>SUMIFS('Entity datastore'!$M:$M,'Entity datastore'!$AJ:$AJ,99991231,'Entity datastore'!$A:$A,$A4,'Entity datastore'!$C:$C,E$5,'Entity datastore'!$B:$B,"&lt;&gt;Bulk Materials")+SUMIFS('Entity datastore'!$Z:$Z,'Entity datastore'!$AJ:$AJ,99991231,'Entity datastore'!$A:$A,$A4,'Entity datastore'!$C:$C,E$5,'Entity datastore'!$B:$B,"&lt;&gt;Bulk Materials")</f>
        <v>0</v>
      </c>
      <c r="F4" s="81">
        <f>SUMIFS('Entity datastore'!$Z:$Z,'Entity datastore'!$AJ:$AJ,99991231,'Entity datastore'!$A:$A,$A4,'Entity datastore'!$C:$C,E$5,'Entity datastore'!$B:$B,"&lt;&gt;Bulk Materials")</f>
        <v>0</v>
      </c>
      <c r="G4" s="81">
        <f>SUMIFS('Entity datastore'!$M:$M,'Entity datastore'!$AJ:$AJ,99991231,'Entity datastore'!$A:$A,$A4,'Entity datastore'!$C:$C,G$5,'Entity datastore'!$B:$B,"&lt;&gt;Bulk Materials")+SUMIFS('Entity datastore'!$Z:$Z,'Entity datastore'!$AJ:$AJ,99991231,'Entity datastore'!$A:$A,$A4,'Entity datastore'!$C:$C,G$5,'Entity datastore'!$B:$B,"&lt;&gt;Bulk Materials")</f>
        <v>0</v>
      </c>
      <c r="H4" s="81">
        <f>SUMIFS('Entity datastore'!$Z:$Z,'Entity datastore'!$AJ:$AJ,99991231,'Entity datastore'!$A:$A,$A4,'Entity datastore'!$C:$C,G$5,'Entity datastore'!$B:$B,"&lt;&gt;Bulk Materials")</f>
        <v>0</v>
      </c>
      <c r="I4" s="81">
        <f>SUMIFS('Entity datastore'!$M:$M,'Entity datastore'!$AJ:$AJ,99991231,'Entity datastore'!$A:$A,$A4,'Entity datastore'!$C:$C,I$5,'Entity datastore'!$B:$B,"&lt;&gt;Bulk Materials")+SUMIFS('Entity datastore'!$Z:$Z,'Entity datastore'!$AJ:$AJ,99991231,'Entity datastore'!$A:$A,$A4,'Entity datastore'!$C:$C,I$5,'Entity datastore'!$B:$B,"&lt;&gt;Bulk Materials")</f>
        <v>0</v>
      </c>
      <c r="J4" s="81">
        <f>SUMIFS('Entity datastore'!$Z:$Z,'Entity datastore'!$AJ:$AJ,99991231,'Entity datastore'!$A:$A,$A4,'Entity datastore'!$C:$C,I$5,'Entity datastore'!$B:$B,"&lt;&gt;Bulk Materials")</f>
        <v>0</v>
      </c>
      <c r="K4" s="81">
        <f>SUMIFS('Entity datastore'!$M:$M,'Entity datastore'!$AJ:$AJ,99991231,'Entity datastore'!$A:$A,$A4,'Entity datastore'!$C:$C,K$5,'Entity datastore'!$B:$B,"&lt;&gt;Bulk Materials")+SUMIFS('Entity datastore'!$Z:$Z,'Entity datastore'!$AJ:$AJ,99991231,'Entity datastore'!$A:$A,$A4,'Entity datastore'!$C:$C,K$5,'Entity datastore'!$B:$B,"&lt;&gt;Bulk Materials")</f>
        <v>0</v>
      </c>
      <c r="L4" s="81">
        <f>SUMIFS('Entity datastore'!$Z:$Z,'Entity datastore'!$AJ:$AJ,99991231,'Entity datastore'!$A:$A,$A4,'Entity datastore'!$C:$C,K$5,'Entity datastore'!$B:$B,"&lt;&gt;Bulk Materials")</f>
        <v>0</v>
      </c>
      <c r="M4" s="81">
        <f>SUMIFS('Entity datastore'!$M:$M,'Entity datastore'!$AJ:$AJ,99991231,'Entity datastore'!$A:$A,$A4,'Entity datastore'!$C:$C,M$5,'Entity datastore'!$B:$B,"&lt;&gt;Bulk Materials")+SUMIFS('Entity datastore'!$Z:$Z,'Entity datastore'!$AJ:$AJ,99991231,'Entity datastore'!$A:$A,$A4,'Entity datastore'!$C:$C,M$5,'Entity datastore'!$B:$B,"&lt;&gt;Bulk Materials")</f>
        <v>0</v>
      </c>
      <c r="N4" s="81">
        <f>SUMIFS('Entity datastore'!$Z:$Z,'Entity datastore'!$AJ:$AJ,99991231,'Entity datastore'!$A:$A,$A4,'Entity datastore'!$C:$C,M$5,'Entity datastore'!$B:$B,"&lt;&gt;Bulk Materials")</f>
        <v>0</v>
      </c>
      <c r="O4" s="81">
        <f>SUMIFS('Entity datastore'!$M:$M,'Entity datastore'!$AJ:$AJ,99991231,'Entity datastore'!$A:$A,$A4,'Entity datastore'!$C:$C,O$5,'Entity datastore'!$B:$B,"&lt;&gt;Bulk Materials")+SUMIFS('Entity datastore'!$Z:$Z,'Entity datastore'!$AJ:$AJ,99991231,'Entity datastore'!$A:$A,$A4,'Entity datastore'!$C:$C,O$5,'Entity datastore'!$B:$B,"&lt;&gt;Bulk Materials")</f>
        <v>0</v>
      </c>
      <c r="P4" s="81">
        <f>SUMIFS('Entity datastore'!$Z:$Z,'Entity datastore'!$AJ:$AJ,99991231,'Entity datastore'!$A:$A,$A4,'Entity datastore'!$C:$C,O$5,'Entity datastore'!$B:$B,"&lt;&gt;Bulk Materials")</f>
        <v>0</v>
      </c>
      <c r="Q4" s="81">
        <f>SUMIFS('Entity datastore'!$M:$M,'Entity datastore'!$AJ:$AJ,99991231,'Entity datastore'!$A:$A,$A4,'Entity datastore'!$C:$C,Q$5,'Entity datastore'!$B:$B,"&lt;&gt;Bulk Materials")+SUMIFS('Entity datastore'!$Z:$Z,'Entity datastore'!$AJ:$AJ,99991231,'Entity datastore'!$A:$A,$A4,'Entity datastore'!$C:$C,Q$5,'Entity datastore'!$B:$B,"&lt;&gt;Bulk Materials")</f>
        <v>0</v>
      </c>
      <c r="R4" s="81">
        <f>SUMIFS('Entity datastore'!$Z:$Z,'Entity datastore'!$AJ:$AJ,99991231,'Entity datastore'!$A:$A,$A4,'Entity datastore'!$C:$C,Q$5,'Entity datastore'!$B:$B,"&lt;&gt;Bulk Materials")</f>
        <v>0</v>
      </c>
      <c r="S4" s="81">
        <f>SUMIFS('Entity datastore'!$M:$M,'Entity datastore'!$AJ:$AJ,99991231,'Entity datastore'!$A:$A,$A4,'Entity datastore'!$C:$C,S$5,'Entity datastore'!$B:$B,"&lt;&gt;Bulk Materials")+SUMIFS('Entity datastore'!$Z:$Z,'Entity datastore'!$AJ:$AJ,99991231,'Entity datastore'!$A:$A,$A4,'Entity datastore'!$C:$C,S$5,'Entity datastore'!$B:$B,"&lt;&gt;Bulk Materials")</f>
        <v>0</v>
      </c>
      <c r="T4" s="81">
        <f>SUMIFS('Entity datastore'!$Z:$Z,'Entity datastore'!$AJ:$AJ,99991231,'Entity datastore'!$A:$A,$A4,'Entity datastore'!$C:$C,S$5,'Entity datastore'!$B:$B,"&lt;&gt;Bulk Materials")</f>
        <v>0</v>
      </c>
      <c r="U4" s="81">
        <f>SUMIFS('Entity datastore'!$M:$M,'Entity datastore'!$AJ:$AJ,99991231,'Entity datastore'!$A:$A,$A4,'Entity datastore'!$C:$C,U$5,'Entity datastore'!$B:$B,"&lt;&gt;Bulk Materials")+SUMIFS('Entity datastore'!$Z:$Z,'Entity datastore'!$AJ:$AJ,99991231,'Entity datastore'!$A:$A,$A4,'Entity datastore'!$C:$C,U$5,'Entity datastore'!$B:$B,"&lt;&gt;Bulk Materials")</f>
        <v>0</v>
      </c>
      <c r="V4" s="81">
        <f>SUMIFS('Entity datastore'!$Z:$Z,'Entity datastore'!$AJ:$AJ,99991231,'Entity datastore'!$A:$A,$A4,'Entity datastore'!$C:$C,U$5,'Entity datastore'!$B:$B,"&lt;&gt;Bulk Materials")</f>
        <v>0</v>
      </c>
      <c r="W4" s="81">
        <f>SUMIFS('Entity datastore'!$M:$M,'Entity datastore'!$AJ:$AJ,99991231,'Entity datastore'!$A:$A,$A4,'Entity datastore'!$C:$C,W$5,'Entity datastore'!$B:$B,"&lt;&gt;Bulk Materials")+SUMIFS('Entity datastore'!$Z:$Z,'Entity datastore'!$AJ:$AJ,99991231,'Entity datastore'!$A:$A,$A4,'Entity datastore'!$C:$C,W$5,'Entity datastore'!$B:$B,"&lt;&gt;Bulk Materials")</f>
        <v>0</v>
      </c>
      <c r="X4" s="81">
        <f>SUMIFS('Entity datastore'!$Z:$Z,'Entity datastore'!$AJ:$AJ,99991231,'Entity datastore'!$A:$A,$A4,'Entity datastore'!$C:$C,W$5,'Entity datastore'!$B:$B,"&lt;&gt;Bulk Materials")</f>
        <v>0</v>
      </c>
    </row>
    <row r="5" spans="1:34" s="53" customFormat="1" ht="15" customHeight="1" x14ac:dyDescent="0.3">
      <c r="A5" s="80"/>
      <c r="B5" s="448" t="s">
        <v>318</v>
      </c>
      <c r="C5" s="450" t="s">
        <v>320</v>
      </c>
      <c r="D5" s="443" t="s">
        <v>602</v>
      </c>
      <c r="E5" s="445" t="s">
        <v>430</v>
      </c>
      <c r="F5" s="443" t="s">
        <v>602</v>
      </c>
      <c r="G5" s="452" t="s">
        <v>25</v>
      </c>
      <c r="H5" s="443" t="s">
        <v>602</v>
      </c>
      <c r="I5" s="445" t="s">
        <v>46</v>
      </c>
      <c r="J5" s="443" t="s">
        <v>602</v>
      </c>
      <c r="K5" s="445" t="s">
        <v>24</v>
      </c>
      <c r="L5" s="443" t="s">
        <v>602</v>
      </c>
      <c r="M5" s="452" t="s">
        <v>26</v>
      </c>
      <c r="N5" s="443" t="s">
        <v>602</v>
      </c>
      <c r="O5" s="452" t="s">
        <v>27</v>
      </c>
      <c r="P5" s="443" t="s">
        <v>602</v>
      </c>
      <c r="Q5" s="452" t="s">
        <v>28</v>
      </c>
      <c r="R5" s="443" t="s">
        <v>602</v>
      </c>
      <c r="S5" s="445" t="s">
        <v>551</v>
      </c>
      <c r="T5" s="443" t="s">
        <v>602</v>
      </c>
      <c r="U5" s="445" t="s">
        <v>246</v>
      </c>
      <c r="V5" s="443" t="s">
        <v>602</v>
      </c>
      <c r="W5" s="445" t="s">
        <v>29</v>
      </c>
      <c r="X5" s="443" t="s">
        <v>602</v>
      </c>
      <c r="Y5" s="52"/>
    </row>
    <row r="6" spans="1:34" s="54" customFormat="1" ht="69" customHeight="1" x14ac:dyDescent="0.3">
      <c r="A6" s="80"/>
      <c r="B6" s="449"/>
      <c r="C6" s="451"/>
      <c r="D6" s="444"/>
      <c r="E6" s="446"/>
      <c r="F6" s="444"/>
      <c r="G6" s="453"/>
      <c r="H6" s="444"/>
      <c r="I6" s="446"/>
      <c r="J6" s="444"/>
      <c r="K6" s="446"/>
      <c r="L6" s="444"/>
      <c r="M6" s="453"/>
      <c r="N6" s="444"/>
      <c r="O6" s="453"/>
      <c r="P6" s="444"/>
      <c r="Q6" s="453"/>
      <c r="R6" s="444"/>
      <c r="S6" s="446"/>
      <c r="T6" s="444"/>
      <c r="U6" s="446"/>
      <c r="V6" s="444"/>
      <c r="W6" s="446"/>
      <c r="X6" s="444"/>
      <c r="Y6" s="52"/>
    </row>
    <row r="7" spans="1:34" s="53" customFormat="1" ht="45" customHeight="1" x14ac:dyDescent="0.3">
      <c r="A7" s="80"/>
      <c r="B7" s="260" t="s">
        <v>319</v>
      </c>
      <c r="C7" s="204">
        <f t="shared" ref="C7:L7" si="0">SUM(C8:C10000)</f>
        <v>78.086150529999998</v>
      </c>
      <c r="D7" s="205">
        <f t="shared" si="0"/>
        <v>18.897375329999999</v>
      </c>
      <c r="E7" s="204">
        <f t="shared" ref="E7:F7" si="1">SUM(E8:E10000)</f>
        <v>62.215069190000001</v>
      </c>
      <c r="F7" s="205">
        <f t="shared" si="1"/>
        <v>10.15288419</v>
      </c>
      <c r="G7" s="204">
        <f>SUM(G8:G10000)</f>
        <v>0</v>
      </c>
      <c r="H7" s="205">
        <f>SUM(H8:H10000)</f>
        <v>0</v>
      </c>
      <c r="I7" s="204">
        <f t="shared" si="0"/>
        <v>0</v>
      </c>
      <c r="J7" s="205">
        <f t="shared" si="0"/>
        <v>0</v>
      </c>
      <c r="K7" s="204">
        <f t="shared" si="0"/>
        <v>0</v>
      </c>
      <c r="L7" s="205">
        <f t="shared" si="0"/>
        <v>0</v>
      </c>
      <c r="M7" s="204">
        <f>SUM(M8:M10005)</f>
        <v>0.69573326999999996</v>
      </c>
      <c r="N7" s="205">
        <f t="shared" ref="N7:X7" si="2">SUM(N8:N10000)</f>
        <v>3.0735270000000002E-2</v>
      </c>
      <c r="O7" s="204">
        <f t="shared" si="2"/>
        <v>0</v>
      </c>
      <c r="P7" s="205">
        <f t="shared" si="2"/>
        <v>0</v>
      </c>
      <c r="Q7" s="204">
        <f t="shared" si="2"/>
        <v>0</v>
      </c>
      <c r="R7" s="205">
        <f t="shared" si="2"/>
        <v>0</v>
      </c>
      <c r="S7" s="204">
        <f t="shared" si="2"/>
        <v>5.7102300900000005</v>
      </c>
      <c r="T7" s="205">
        <f t="shared" si="2"/>
        <v>8.739008999999999E-2</v>
      </c>
      <c r="U7" s="204">
        <f t="shared" si="2"/>
        <v>9.5084999999999996E-3</v>
      </c>
      <c r="V7" s="205">
        <f t="shared" si="2"/>
        <v>0</v>
      </c>
      <c r="W7" s="204">
        <f t="shared" si="2"/>
        <v>9.4556094799999997</v>
      </c>
      <c r="X7" s="205">
        <f t="shared" si="2"/>
        <v>8.6263657800000004</v>
      </c>
      <c r="Y7" s="52"/>
    </row>
    <row r="8" spans="1:34" x14ac:dyDescent="0.3">
      <c r="A8" s="79" t="str">
        <f>'Home Page'!AA25</f>
        <v>2025Q3</v>
      </c>
      <c r="B8" s="195" t="str">
        <f>work_out_display_name(A8)</f>
        <v>2025 Oct - Dec</v>
      </c>
      <c r="C8" s="206">
        <f>E8+I8+K8+G8+M8+O8+Q8+S8+U8+W8</f>
        <v>78.086150529999998</v>
      </c>
      <c r="D8" s="207">
        <f>F8+J8+L8+H8+N8+P8+R8+T8+V8+X8</f>
        <v>18.897375329999999</v>
      </c>
      <c r="E8" s="206">
        <f>SUMIFS('Entity datastore'!$M:$M,'Entity datastore'!$AJ:$AJ,99991231,'Entity datastore'!$A:$A,$A8,'Entity datastore'!$C:$C,E$5,'Entity datastore'!$B:$B,"&lt;&gt;Bulk Materials")+SUMIFS('Entity datastore'!$Z:$Z,'Entity datastore'!$AJ:$AJ,99991231,'Entity datastore'!$A:$A,$A8,'Entity datastore'!$C:$C,E$5,'Entity datastore'!$B:$B,"&lt;&gt;Bulk Materials")</f>
        <v>62.215069190000001</v>
      </c>
      <c r="F8" s="207">
        <f>SUMIFS('Entity datastore'!$Z:$Z,'Entity datastore'!$AJ:$AJ,99991231,'Entity datastore'!$A:$A,$A8,'Entity datastore'!$C:$C,E$5,'Entity datastore'!$B:$B,"&lt;&gt;Bulk Materials")</f>
        <v>10.15288419</v>
      </c>
      <c r="G8" s="206">
        <f>SUMIFS('Entity datastore'!$M:$M,'Entity datastore'!$AJ:$AJ,99991231,'Entity datastore'!$A:$A,$A8,'Entity datastore'!$C:$C,G$5,'Entity datastore'!$B:$B,"&lt;&gt;Bulk Materials")+SUMIFS('Entity datastore'!$Z:$Z,'Entity datastore'!$AJ:$AJ,99991231,'Entity datastore'!$A:$A,$A8,'Entity datastore'!$C:$C,G$5,'Entity datastore'!$B:$B,"&lt;&gt;Bulk Materials")</f>
        <v>0</v>
      </c>
      <c r="H8" s="207">
        <f>SUMIFS('Entity datastore'!$Z:$Z,'Entity datastore'!$AJ:$AJ,99991231,'Entity datastore'!$A:$A,$A8,'Entity datastore'!$C:$C,G$5,'Entity datastore'!$B:$B,"&lt;&gt;Bulk Materials")</f>
        <v>0</v>
      </c>
      <c r="I8" s="206">
        <f>SUMIFS('Entity datastore'!$M:$M,'Entity datastore'!$AJ:$AJ,99991231,'Entity datastore'!$A:$A,$A8,'Entity datastore'!$C:$C,I$5,'Entity datastore'!$B:$B,"&lt;&gt;Bulk Materials")+SUMIFS('Entity datastore'!$Z:$Z,'Entity datastore'!$AJ:$AJ,99991231,'Entity datastore'!$A:$A,$A8,'Entity datastore'!$C:$C,I$5,'Entity datastore'!$B:$B,"&lt;&gt;Bulk Materials")</f>
        <v>0</v>
      </c>
      <c r="J8" s="207">
        <f>SUMIFS('Entity datastore'!$Z:$Z,'Entity datastore'!$AJ:$AJ,99991231,'Entity datastore'!$A:$A,$A8,'Entity datastore'!$C:$C,I$5,'Entity datastore'!$B:$B,"&lt;&gt;Bulk Materials")</f>
        <v>0</v>
      </c>
      <c r="K8" s="206">
        <f>SUMIFS('Entity datastore'!$M:$M,'Entity datastore'!$AJ:$AJ,99991231,'Entity datastore'!$A:$A,$A8,'Entity datastore'!$C:$C,K$5,'Entity datastore'!$B:$B,"&lt;&gt;Bulk Materials")+SUMIFS('Entity datastore'!$Z:$Z,'Entity datastore'!$AJ:$AJ,99991231,'Entity datastore'!$A:$A,$A8,'Entity datastore'!$C:$C,K$5,'Entity datastore'!$B:$B,"&lt;&gt;Bulk Materials")</f>
        <v>0</v>
      </c>
      <c r="L8" s="207">
        <f>SUMIFS('Entity datastore'!$Z:$Z,'Entity datastore'!$AJ:$AJ,99991231,'Entity datastore'!$A:$A,$A8,'Entity datastore'!$C:$C,K$5,'Entity datastore'!$B:$B,"&lt;&gt;Bulk Materials")</f>
        <v>0</v>
      </c>
      <c r="M8" s="206">
        <f>SUMIFS('Entity datastore'!$M:$M,'Entity datastore'!$AJ:$AJ,99991231,'Entity datastore'!$A:$A,$A8,'Entity datastore'!$C:$C,M$5,'Entity datastore'!$B:$B,"&lt;&gt;Bulk Materials")+SUMIFS('Entity datastore'!$Z:$Z,'Entity datastore'!$AJ:$AJ,99991231,'Entity datastore'!$A:$A,$A8,'Entity datastore'!$C:$C,M$5,'Entity datastore'!$B:$B,"&lt;&gt;Bulk Materials")</f>
        <v>0.69573326999999996</v>
      </c>
      <c r="N8" s="207">
        <f>SUMIFS('Entity datastore'!$Z:$Z,'Entity datastore'!$AJ:$AJ,99991231,'Entity datastore'!$A:$A,$A8,'Entity datastore'!$C:$C,M$5,'Entity datastore'!$B:$B,"&lt;&gt;Bulk Materials")</f>
        <v>3.0735270000000002E-2</v>
      </c>
      <c r="O8" s="206">
        <f>SUMIFS('Entity datastore'!$M:$M,'Entity datastore'!$AJ:$AJ,99991231,'Entity datastore'!$A:$A,$A8,'Entity datastore'!$C:$C,O$5,'Entity datastore'!$B:$B,"&lt;&gt;Bulk Materials")+SUMIFS('Entity datastore'!$Z:$Z,'Entity datastore'!$AJ:$AJ,99991231,'Entity datastore'!$A:$A,$A8,'Entity datastore'!$C:$C,O$5,'Entity datastore'!$B:$B,"&lt;&gt;Bulk Materials")</f>
        <v>0</v>
      </c>
      <c r="P8" s="207">
        <f>SUMIFS('Entity datastore'!$Z:$Z,'Entity datastore'!$AJ:$AJ,99991231,'Entity datastore'!$A:$A,$A8,'Entity datastore'!$C:$C,O$5,'Entity datastore'!$B:$B,"&lt;&gt;Bulk Materials")</f>
        <v>0</v>
      </c>
      <c r="Q8" s="206">
        <f>SUMIFS('Entity datastore'!$M:$M,'Entity datastore'!$AJ:$AJ,99991231,'Entity datastore'!$A:$A,$A8,'Entity datastore'!$C:$C,Q$5,'Entity datastore'!$B:$B,"&lt;&gt;Bulk Materials")+SUMIFS('Entity datastore'!$Z:$Z,'Entity datastore'!$AJ:$AJ,99991231,'Entity datastore'!$A:$A,$A8,'Entity datastore'!$C:$C,Q$5,'Entity datastore'!$B:$B,"&lt;&gt;Bulk Materials")</f>
        <v>0</v>
      </c>
      <c r="R8" s="207">
        <f>SUMIFS('Entity datastore'!$Z:$Z,'Entity datastore'!$AJ:$AJ,99991231,'Entity datastore'!$A:$A,$A8,'Entity datastore'!$C:$C,Q$5,'Entity datastore'!$B:$B,"&lt;&gt;Bulk Materials")</f>
        <v>0</v>
      </c>
      <c r="S8" s="206">
        <f>SUMIFS('Entity datastore'!$M:$M,'Entity datastore'!$AJ:$AJ,99991231,'Entity datastore'!$A:$A,$A8,'Entity datastore'!$C:$C,S$5,'Entity datastore'!$B:$B,"&lt;&gt;Bulk Materials")+SUMIFS('Entity datastore'!$Z:$Z,'Entity datastore'!$AJ:$AJ,99991231,'Entity datastore'!$A:$A,$A8,'Entity datastore'!$C:$C,S$5,'Entity datastore'!$B:$B,"&lt;&gt;Bulk Materials")</f>
        <v>5.7102300900000005</v>
      </c>
      <c r="T8" s="207">
        <f>SUMIFS('Entity datastore'!$Z:$Z,'Entity datastore'!$AJ:$AJ,99991231,'Entity datastore'!$A:$A,$A8,'Entity datastore'!$C:$C,S$5,'Entity datastore'!$B:$B,"&lt;&gt;Bulk Materials")</f>
        <v>8.739008999999999E-2</v>
      </c>
      <c r="U8" s="206">
        <f>SUMIFS('Entity datastore'!$M:$M,'Entity datastore'!$AJ:$AJ,99991231,'Entity datastore'!$A:$A,$A8,'Entity datastore'!$C:$C,U$5,'Entity datastore'!$B:$B,"&lt;&gt;Bulk Materials")+SUMIFS('Entity datastore'!$Z:$Z,'Entity datastore'!$AJ:$AJ,99991231,'Entity datastore'!$A:$A,$A8,'Entity datastore'!$C:$C,U$5,'Entity datastore'!$B:$B,"&lt;&gt;Bulk Materials")</f>
        <v>9.5084999999999996E-3</v>
      </c>
      <c r="V8" s="207">
        <f>SUMIFS('Entity datastore'!$Z:$Z,'Entity datastore'!$AJ:$AJ,99991231,'Entity datastore'!$A:$A,$A8,'Entity datastore'!$C:$C,U$5,'Entity datastore'!$B:$B,"&lt;&gt;Bulk Materials")</f>
        <v>0</v>
      </c>
      <c r="W8" s="206">
        <f>SUMIFS('Entity datastore'!$M:$M,'Entity datastore'!$AJ:$AJ,99991231,'Entity datastore'!$A:$A,$A8,'Entity datastore'!$C:$C,W$5,'Entity datastore'!$B:$B,"&lt;&gt;Bulk Materials")+SUMIFS('Entity datastore'!$Z:$Z,'Entity datastore'!$AJ:$AJ,99991231,'Entity datastore'!$A:$A,$A8,'Entity datastore'!$C:$C,W$5,'Entity datastore'!$B:$B,"&lt;&gt;Bulk Materials")</f>
        <v>9.4556094799999997</v>
      </c>
      <c r="X8" s="207">
        <f>SUMIFS('Entity datastore'!$Z:$Z,'Entity datastore'!$AJ:$AJ,99991231,'Entity datastore'!$A:$A,$A8,'Entity datastore'!$C:$C,W$5,'Entity datastore'!$B:$B,"&lt;&gt;Bulk Materials")</f>
        <v>8.6263657800000004</v>
      </c>
    </row>
    <row r="9" spans="1:34" x14ac:dyDescent="0.3">
      <c r="A9" s="79" t="e">
        <f>'Home Page'!#REF!</f>
        <v>#REF!</v>
      </c>
      <c r="B9" s="195"/>
      <c r="C9" s="206"/>
    </row>
    <row r="10" spans="1:34" x14ac:dyDescent="0.25">
      <c r="A10" s="79" t="e">
        <f>'Home Page'!#REF!</f>
        <v>#REF!</v>
      </c>
      <c r="B10" s="195"/>
      <c r="C10" s="206"/>
      <c r="E10" s="208"/>
      <c r="F10" s="209"/>
      <c r="G10" s="208"/>
      <c r="H10" s="209"/>
      <c r="I10" s="208"/>
      <c r="J10" s="209"/>
      <c r="K10" s="208"/>
      <c r="L10" s="209"/>
      <c r="M10" s="208"/>
      <c r="N10" s="209"/>
      <c r="O10" s="208"/>
      <c r="P10" s="209"/>
      <c r="Q10" s="208"/>
      <c r="R10" s="209"/>
      <c r="S10" s="208"/>
      <c r="T10" s="209"/>
      <c r="U10" s="208"/>
      <c r="V10" s="209"/>
      <c r="W10" s="208"/>
      <c r="X10" s="209"/>
    </row>
    <row r="11" spans="1:34" x14ac:dyDescent="0.3">
      <c r="B11" s="155"/>
      <c r="C11" s="206"/>
    </row>
    <row r="12" spans="1:34" x14ac:dyDescent="0.3">
      <c r="B12" s="155"/>
      <c r="C12" s="206"/>
    </row>
    <row r="13" spans="1:34" x14ac:dyDescent="0.25">
      <c r="B13" s="155"/>
      <c r="C13" s="206"/>
      <c r="E13" s="208"/>
      <c r="F13" s="209"/>
      <c r="G13" s="208"/>
      <c r="H13" s="209"/>
      <c r="I13" s="208"/>
      <c r="J13" s="209"/>
      <c r="K13" s="208"/>
      <c r="L13" s="209"/>
      <c r="M13" s="208"/>
      <c r="N13" s="209"/>
      <c r="O13" s="208"/>
      <c r="P13" s="209"/>
      <c r="Q13" s="208"/>
      <c r="R13" s="209"/>
      <c r="S13" s="208"/>
      <c r="T13" s="209"/>
      <c r="U13" s="208"/>
      <c r="V13" s="209"/>
      <c r="W13" s="208"/>
      <c r="X13" s="209"/>
    </row>
    <row r="14" spans="1:34" x14ac:dyDescent="0.3">
      <c r="B14" s="155"/>
      <c r="C14" s="206"/>
    </row>
    <row r="15" spans="1:34" x14ac:dyDescent="0.3">
      <c r="B15" s="155"/>
    </row>
    <row r="16" spans="1:34" x14ac:dyDescent="0.3">
      <c r="B16" s="155"/>
    </row>
    <row r="17" spans="2:2" x14ac:dyDescent="0.3">
      <c r="B17" s="155"/>
    </row>
    <row r="18" spans="2:2" x14ac:dyDescent="0.3">
      <c r="B18" s="155"/>
    </row>
    <row r="19" spans="2:2" x14ac:dyDescent="0.3">
      <c r="B19" s="155"/>
    </row>
    <row r="20" spans="2:2" x14ac:dyDescent="0.3">
      <c r="B20" s="155"/>
    </row>
    <row r="21" spans="2:2" x14ac:dyDescent="0.3">
      <c r="B21" s="155"/>
    </row>
    <row r="22" spans="2:2" x14ac:dyDescent="0.3">
      <c r="B22" s="155"/>
    </row>
    <row r="23" spans="2:2" x14ac:dyDescent="0.3">
      <c r="B23" s="155"/>
    </row>
    <row r="24" spans="2:2" x14ac:dyDescent="0.3">
      <c r="B24" s="155"/>
    </row>
    <row r="25" spans="2:2" x14ac:dyDescent="0.3">
      <c r="B25" s="155"/>
    </row>
    <row r="26" spans="2:2" x14ac:dyDescent="0.3">
      <c r="B26" s="155"/>
    </row>
    <row r="27" spans="2:2" x14ac:dyDescent="0.3">
      <c r="B27" s="155"/>
    </row>
    <row r="28" spans="2:2" x14ac:dyDescent="0.3">
      <c r="B28" s="155"/>
    </row>
    <row r="29" spans="2:2" x14ac:dyDescent="0.3">
      <c r="B29" s="155"/>
    </row>
    <row r="30" spans="2:2" x14ac:dyDescent="0.3">
      <c r="B30" s="155"/>
    </row>
    <row r="31" spans="2:2" x14ac:dyDescent="0.3">
      <c r="B31" s="155"/>
    </row>
    <row r="32" spans="2:2" x14ac:dyDescent="0.3">
      <c r="B32" s="155"/>
    </row>
    <row r="33" spans="2:2" x14ac:dyDescent="0.3">
      <c r="B33" s="155"/>
    </row>
    <row r="34" spans="2:2" x14ac:dyDescent="0.3">
      <c r="B34" s="155"/>
    </row>
    <row r="35" spans="2:2" x14ac:dyDescent="0.3">
      <c r="B35" s="155"/>
    </row>
    <row r="36" spans="2:2" x14ac:dyDescent="0.3">
      <c r="B36" s="155"/>
    </row>
    <row r="37" spans="2:2" x14ac:dyDescent="0.3">
      <c r="B37" s="155"/>
    </row>
    <row r="38" spans="2:2" x14ac:dyDescent="0.3">
      <c r="B38" s="155"/>
    </row>
    <row r="39" spans="2:2" x14ac:dyDescent="0.3">
      <c r="B39" s="155"/>
    </row>
    <row r="40" spans="2:2" x14ac:dyDescent="0.3">
      <c r="B40" s="155"/>
    </row>
    <row r="41" spans="2:2" x14ac:dyDescent="0.3">
      <c r="B41" s="155"/>
    </row>
    <row r="42" spans="2:2" x14ac:dyDescent="0.3">
      <c r="B42" s="155"/>
    </row>
    <row r="43" spans="2:2" x14ac:dyDescent="0.3">
      <c r="B43" s="155"/>
    </row>
    <row r="44" spans="2:2" x14ac:dyDescent="0.3">
      <c r="B44" s="155"/>
    </row>
    <row r="45" spans="2:2" x14ac:dyDescent="0.3">
      <c r="B45" s="155"/>
    </row>
    <row r="46" spans="2:2" x14ac:dyDescent="0.3">
      <c r="B46" s="155"/>
    </row>
    <row r="47" spans="2:2" x14ac:dyDescent="0.3">
      <c r="B47" s="155"/>
    </row>
    <row r="48" spans="2:2" x14ac:dyDescent="0.3">
      <c r="B48" s="155"/>
    </row>
    <row r="49" spans="2:2" x14ac:dyDescent="0.3">
      <c r="B49" s="155"/>
    </row>
    <row r="50" spans="2:2" x14ac:dyDescent="0.3">
      <c r="B50" s="155"/>
    </row>
    <row r="51" spans="2:2" x14ac:dyDescent="0.3">
      <c r="B51" s="155"/>
    </row>
    <row r="52" spans="2:2" x14ac:dyDescent="0.3">
      <c r="B52" s="155"/>
    </row>
    <row r="53" spans="2:2" x14ac:dyDescent="0.3">
      <c r="B53" s="155"/>
    </row>
    <row r="54" spans="2:2" x14ac:dyDescent="0.3">
      <c r="B54" s="155"/>
    </row>
    <row r="55" spans="2:2" x14ac:dyDescent="0.3">
      <c r="B55" s="155"/>
    </row>
    <row r="56" spans="2:2" x14ac:dyDescent="0.3">
      <c r="B56" s="155"/>
    </row>
    <row r="57" spans="2:2" x14ac:dyDescent="0.3">
      <c r="B57" s="155"/>
    </row>
    <row r="58" spans="2:2" x14ac:dyDescent="0.3">
      <c r="B58" s="155"/>
    </row>
    <row r="59" spans="2:2" x14ac:dyDescent="0.3">
      <c r="B59" s="155"/>
    </row>
  </sheetData>
  <sheetProtection algorithmName="SHA-512" hashValue="vF6lf5YBFjHteq9pSbIyiFpn303YpkyNbMfOaVWVEPSrzu6t5dWH4NtDQTs0X5s70W4+1prXJFNmvrgxiOB2iQ==" saltValue="8pD3x4I8IFpLSIkl4oVSwg==" spinCount="100000" sheet="1" objects="1" scenarios="1"/>
  <mergeCells count="25">
    <mergeCell ref="V1:W1"/>
    <mergeCell ref="AF1:AH1"/>
    <mergeCell ref="B5:B6"/>
    <mergeCell ref="C5:C6"/>
    <mergeCell ref="M5:M6"/>
    <mergeCell ref="O5:O6"/>
    <mergeCell ref="Q5:Q6"/>
    <mergeCell ref="S5:S6"/>
    <mergeCell ref="U5:U6"/>
    <mergeCell ref="W5:W6"/>
    <mergeCell ref="I5:I6"/>
    <mergeCell ref="K5:K6"/>
    <mergeCell ref="G5:G6"/>
    <mergeCell ref="H5:H6"/>
    <mergeCell ref="N5:N6"/>
    <mergeCell ref="P5:P6"/>
    <mergeCell ref="X5:X6"/>
    <mergeCell ref="E5:E6"/>
    <mergeCell ref="D5:D6"/>
    <mergeCell ref="F5:F6"/>
    <mergeCell ref="J5:J6"/>
    <mergeCell ref="L5:L6"/>
    <mergeCell ref="R5:R6"/>
    <mergeCell ref="T5:T6"/>
    <mergeCell ref="V5:V6"/>
  </mergeCells>
  <pageMargins left="0.7" right="0.7" top="0.75" bottom="0.75" header="0.3" footer="0.3"/>
  <headerFooter>
    <oddFooter>&amp;C_x000D_&amp;1#&amp;"Verdana"&amp;7&amp;K000000 Confidential</oddFooter>
  </headerFooter>
  <ignoredErrors>
    <ignoredError sqref="I4:L7 F4:F7 M4:X7 G4:H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529429" r:id="rId3" name="activate_home_page">
              <controlPr defaultSize="0" print="0" autoFill="0" autoPict="0" macro="[0]!thisworkbook.activate_home_page">
                <anchor>
                  <from>
                    <xdr:col>3</xdr:col>
                    <xdr:colOff>563880</xdr:colOff>
                    <xdr:row>0</xdr:row>
                    <xdr:rowOff>144780</xdr:rowOff>
                  </from>
                  <to>
                    <xdr:col>5</xdr:col>
                    <xdr:colOff>601980</xdr:colOff>
                    <xdr:row>0</xdr:row>
                    <xdr:rowOff>373380</xdr:rowOff>
                  </to>
                </anchor>
              </controlPr>
            </control>
          </mc:Choice>
        </mc:AlternateContent>
        <mc:AlternateContent xmlns:mc="http://schemas.openxmlformats.org/markup-compatibility/2006">
          <mc:Choice Requires="x14">
            <control shapeId="529430" r:id="rId4" name="activate_guidance">
              <controlPr defaultSize="0" print="0" autoFill="0" autoPict="0" macro="[0]!thisworkbook.activate_guidance">
                <anchor>
                  <from>
                    <xdr:col>5</xdr:col>
                    <xdr:colOff>640080</xdr:colOff>
                    <xdr:row>0</xdr:row>
                    <xdr:rowOff>144780</xdr:rowOff>
                  </from>
                  <to>
                    <xdr:col>8</xdr:col>
                    <xdr:colOff>30480</xdr:colOff>
                    <xdr:row>0</xdr:row>
                    <xdr:rowOff>373380</xdr:rowOff>
                  </to>
                </anchor>
              </controlPr>
            </control>
          </mc:Choice>
        </mc:AlternateContent>
        <mc:AlternateContent xmlns:mc="http://schemas.openxmlformats.org/markup-compatibility/2006">
          <mc:Choice Requires="x14">
            <control shapeId="529431" r:id="rId5" name="activate_summary_report">
              <controlPr defaultSize="0" print="0" autoFill="0" autoPict="0" macro="[0]!thisworkbook.activate_summary_report">
                <anchor>
                  <from>
                    <xdr:col>8</xdr:col>
                    <xdr:colOff>68580</xdr:colOff>
                    <xdr:row>0</xdr:row>
                    <xdr:rowOff>144780</xdr:rowOff>
                  </from>
                  <to>
                    <xdr:col>10</xdr:col>
                    <xdr:colOff>106680</xdr:colOff>
                    <xdr:row>0</xdr:row>
                    <xdr:rowOff>373380</xdr:rowOff>
                  </to>
                </anchor>
              </controlPr>
            </control>
          </mc:Choice>
        </mc:AlternateContent>
        <mc:AlternateContent xmlns:mc="http://schemas.openxmlformats.org/markup-compatibility/2006">
          <mc:Choice Requires="x14">
            <control shapeId="529432" r:id="rId6" name="activate_outputs">
              <controlPr defaultSize="0" print="0" autoFill="0" autoPict="0" macro="[0]!thisworkbook.activate_outputs">
                <anchor>
                  <from>
                    <xdr:col>10</xdr:col>
                    <xdr:colOff>144780</xdr:colOff>
                    <xdr:row>0</xdr:row>
                    <xdr:rowOff>144780</xdr:rowOff>
                  </from>
                  <to>
                    <xdr:col>12</xdr:col>
                    <xdr:colOff>190500</xdr:colOff>
                    <xdr:row>0</xdr:row>
                    <xdr:rowOff>373380</xdr:rowOff>
                  </to>
                </anchor>
              </controlPr>
            </control>
          </mc:Choice>
        </mc:AlternateContent>
        <mc:AlternateContent xmlns:mc="http://schemas.openxmlformats.org/markup-compatibility/2006">
          <mc:Choice Requires="x14">
            <control shapeId="529433" r:id="rId7" name="activate_emissions_factors">
              <controlPr defaultSize="0" print="0" autoFill="0" autoPict="0" macro="[0]!thisworkbook.activate_emissions_factors">
                <anchor>
                  <from>
                    <xdr:col>12</xdr:col>
                    <xdr:colOff>220980</xdr:colOff>
                    <xdr:row>0</xdr:row>
                    <xdr:rowOff>144780</xdr:rowOff>
                  </from>
                  <to>
                    <xdr:col>14</xdr:col>
                    <xdr:colOff>297180</xdr:colOff>
                    <xdr:row>0</xdr:row>
                    <xdr:rowOff>373380</xdr:rowOff>
                  </to>
                </anchor>
              </controlPr>
            </control>
          </mc:Choice>
        </mc:AlternateContent>
        <mc:AlternateContent xmlns:mc="http://schemas.openxmlformats.org/markup-compatibility/2006">
          <mc:Choice Requires="x14">
            <control shapeId="529434" r:id="rId8" name="activate_material_density">
              <controlPr defaultSize="0" print="0" autoFill="0" autoPict="0" macro="[0]!thisworkbook.activate_material_density">
                <anchor>
                  <from>
                    <xdr:col>14</xdr:col>
                    <xdr:colOff>297180</xdr:colOff>
                    <xdr:row>0</xdr:row>
                    <xdr:rowOff>144780</xdr:rowOff>
                  </from>
                  <to>
                    <xdr:col>16</xdr:col>
                    <xdr:colOff>373380</xdr:colOff>
                    <xdr:row>0</xdr:row>
                    <xdr:rowOff>373380</xdr:rowOff>
                  </to>
                </anchor>
              </controlPr>
            </control>
          </mc:Choice>
        </mc:AlternateContent>
        <mc:AlternateContent xmlns:mc="http://schemas.openxmlformats.org/markup-compatibility/2006">
          <mc:Choice Requires="x14">
            <control shapeId="529435" r:id="rId9" name="activate_notes">
              <controlPr defaultSize="0" print="0" autoFill="0" autoPict="0" macro="[0]!thisworkbook.activate_notes">
                <anchor>
                  <from>
                    <xdr:col>16</xdr:col>
                    <xdr:colOff>381000</xdr:colOff>
                    <xdr:row>0</xdr:row>
                    <xdr:rowOff>144780</xdr:rowOff>
                  </from>
                  <to>
                    <xdr:col>18</xdr:col>
                    <xdr:colOff>449580</xdr:colOff>
                    <xdr:row>0</xdr:row>
                    <xdr:rowOff>373380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K23"/>
  <sheetViews>
    <sheetView zoomScale="70" zoomScaleNormal="70" workbookViewId="0">
      <selection activeCell="A23" sqref="A23:AG23"/>
    </sheetView>
  </sheetViews>
  <sheetFormatPr defaultColWidth="12.33203125" defaultRowHeight="14.4" x14ac:dyDescent="0.3"/>
  <cols>
    <col min="15" max="15" width="12.33203125" style="3"/>
    <col min="17" max="19" width="12.33203125" style="3"/>
    <col min="33" max="36" width="12.33203125" style="3"/>
    <col min="37" max="37" width="18.33203125" style="3" bestFit="1" customWidth="1"/>
    <col min="42" max="42" width="15" bestFit="1" customWidth="1"/>
  </cols>
  <sheetData>
    <row r="1" spans="1:37" s="1" customFormat="1" ht="43.2" x14ac:dyDescent="0.3">
      <c r="A1" s="9" t="s">
        <v>7</v>
      </c>
      <c r="C1" s="9" t="s">
        <v>4</v>
      </c>
      <c r="D1" s="10" t="s">
        <v>0</v>
      </c>
      <c r="E1" s="10" t="s">
        <v>1</v>
      </c>
      <c r="F1" s="10" t="s">
        <v>8</v>
      </c>
      <c r="G1" s="10" t="s">
        <v>51</v>
      </c>
      <c r="H1" s="10" t="s">
        <v>188</v>
      </c>
      <c r="I1" s="10" t="s">
        <v>187</v>
      </c>
      <c r="J1" s="10" t="s">
        <v>235</v>
      </c>
      <c r="K1" s="10" t="s">
        <v>236</v>
      </c>
      <c r="L1" s="10" t="s">
        <v>189</v>
      </c>
      <c r="M1" s="10" t="s">
        <v>323</v>
      </c>
      <c r="N1" s="10" t="s">
        <v>54</v>
      </c>
      <c r="O1" s="10"/>
      <c r="P1" s="1" t="s">
        <v>464</v>
      </c>
      <c r="Q1" s="1" t="s">
        <v>469</v>
      </c>
      <c r="R1" s="1" t="s">
        <v>468</v>
      </c>
      <c r="S1" s="1" t="s">
        <v>465</v>
      </c>
      <c r="T1" s="1" t="s">
        <v>466</v>
      </c>
      <c r="U1" s="1" t="s">
        <v>467</v>
      </c>
      <c r="V1" s="10"/>
      <c r="W1" s="11" t="s">
        <v>3</v>
      </c>
      <c r="X1" s="11" t="s">
        <v>186</v>
      </c>
      <c r="Y1" s="32" t="s">
        <v>593</v>
      </c>
      <c r="Z1" s="1" t="s">
        <v>323</v>
      </c>
      <c r="AB1" s="1" t="s">
        <v>187</v>
      </c>
      <c r="AF1"/>
      <c r="AG1"/>
      <c r="AH1"/>
      <c r="AI1" s="12" t="s">
        <v>40</v>
      </c>
      <c r="AJ1" s="12" t="s">
        <v>41</v>
      </c>
      <c r="AK1" s="12" t="s">
        <v>42</v>
      </c>
    </row>
    <row r="2" spans="1:37" x14ac:dyDescent="0.3">
      <c r="A2" t="s">
        <v>1113</v>
      </c>
      <c r="C2" t="s">
        <v>430</v>
      </c>
      <c r="D2" t="s">
        <v>424</v>
      </c>
      <c r="E2" t="s">
        <v>732</v>
      </c>
      <c r="F2" t="s">
        <v>59</v>
      </c>
      <c r="G2" t="s">
        <v>496</v>
      </c>
      <c r="H2">
        <v>837</v>
      </c>
      <c r="J2">
        <v>5.2534999999999998E-2</v>
      </c>
      <c r="K2" t="s">
        <v>237</v>
      </c>
      <c r="L2">
        <v>1</v>
      </c>
      <c r="M2">
        <v>43.971795</v>
      </c>
      <c r="N2" t="s">
        <v>744</v>
      </c>
      <c r="O2" s="3">
        <v>0</v>
      </c>
      <c r="P2">
        <v>0</v>
      </c>
      <c r="Q2" s="3">
        <v>0</v>
      </c>
      <c r="R2" s="3">
        <v>0</v>
      </c>
      <c r="S2" s="3">
        <v>1</v>
      </c>
      <c r="T2">
        <v>0</v>
      </c>
      <c r="U2">
        <v>0</v>
      </c>
      <c r="W2" t="s">
        <v>483</v>
      </c>
      <c r="X2">
        <v>45</v>
      </c>
      <c r="Y2">
        <v>1.1383433333333334E-4</v>
      </c>
      <c r="Z2">
        <v>8.57514033</v>
      </c>
      <c r="AF2">
        <v>0</v>
      </c>
      <c r="AG2" s="3">
        <v>10</v>
      </c>
      <c r="AI2" s="3">
        <v>20260116</v>
      </c>
      <c r="AJ2" s="3">
        <v>20260116</v>
      </c>
      <c r="AK2" s="3">
        <v>20260116105740</v>
      </c>
    </row>
    <row r="3" spans="1:37" x14ac:dyDescent="0.3">
      <c r="A3" t="s">
        <v>1113</v>
      </c>
      <c r="C3" t="s">
        <v>430</v>
      </c>
      <c r="D3" t="s">
        <v>424</v>
      </c>
      <c r="E3" t="s">
        <v>732</v>
      </c>
      <c r="F3" t="s">
        <v>59</v>
      </c>
      <c r="G3" t="s">
        <v>496</v>
      </c>
      <c r="H3">
        <v>154</v>
      </c>
      <c r="J3">
        <v>5.2534999999999998E-2</v>
      </c>
      <c r="K3" t="s">
        <v>237</v>
      </c>
      <c r="L3">
        <v>1</v>
      </c>
      <c r="M3">
        <v>8.0903899999999993</v>
      </c>
      <c r="N3" t="s">
        <v>744</v>
      </c>
      <c r="O3" s="3">
        <v>0</v>
      </c>
      <c r="P3">
        <v>0</v>
      </c>
      <c r="Q3" s="3">
        <v>0</v>
      </c>
      <c r="R3" s="3">
        <v>0</v>
      </c>
      <c r="S3" s="3">
        <v>1</v>
      </c>
      <c r="T3">
        <v>0</v>
      </c>
      <c r="U3">
        <v>0</v>
      </c>
      <c r="W3" t="s">
        <v>483</v>
      </c>
      <c r="X3">
        <v>45</v>
      </c>
      <c r="Y3">
        <v>1.1383433333333334E-4</v>
      </c>
      <c r="Z3">
        <v>1.5777438600000002</v>
      </c>
      <c r="AF3">
        <v>0</v>
      </c>
      <c r="AG3" s="3">
        <v>10</v>
      </c>
      <c r="AI3" s="3">
        <v>20260116</v>
      </c>
      <c r="AJ3" s="3">
        <v>20260116</v>
      </c>
      <c r="AK3" s="3">
        <v>20260116105740</v>
      </c>
    </row>
    <row r="4" spans="1:37" x14ac:dyDescent="0.3">
      <c r="A4" t="s">
        <v>1113</v>
      </c>
      <c r="C4" t="s">
        <v>26</v>
      </c>
      <c r="D4" t="s">
        <v>594</v>
      </c>
      <c r="E4" t="s">
        <v>724</v>
      </c>
      <c r="F4" t="s">
        <v>59</v>
      </c>
      <c r="G4" t="s">
        <v>85</v>
      </c>
      <c r="H4">
        <v>3</v>
      </c>
      <c r="J4">
        <v>0.221666</v>
      </c>
      <c r="K4" t="s">
        <v>237</v>
      </c>
      <c r="L4">
        <v>1</v>
      </c>
      <c r="M4">
        <v>0.66499799999999998</v>
      </c>
      <c r="N4" t="s">
        <v>1000</v>
      </c>
      <c r="O4" s="3">
        <v>0</v>
      </c>
      <c r="W4" t="s">
        <v>483</v>
      </c>
      <c r="X4">
        <v>45</v>
      </c>
      <c r="Y4">
        <v>1.1383433333333334E-4</v>
      </c>
      <c r="Z4">
        <v>3.0735270000000002E-2</v>
      </c>
      <c r="AF4">
        <v>0</v>
      </c>
      <c r="AG4" s="3">
        <v>5</v>
      </c>
      <c r="AI4" s="3">
        <v>20260116</v>
      </c>
      <c r="AJ4" s="3">
        <v>20260116</v>
      </c>
      <c r="AK4" s="3">
        <v>20260116105740</v>
      </c>
    </row>
    <row r="5" spans="1:37" x14ac:dyDescent="0.3">
      <c r="A5" t="s">
        <v>1113</v>
      </c>
      <c r="C5" t="s">
        <v>551</v>
      </c>
      <c r="D5" t="s">
        <v>552</v>
      </c>
      <c r="E5" t="s">
        <v>114</v>
      </c>
      <c r="F5" t="s">
        <v>70</v>
      </c>
      <c r="G5" t="s">
        <v>490</v>
      </c>
      <c r="H5">
        <v>1800</v>
      </c>
      <c r="J5">
        <v>3.1238000000000001</v>
      </c>
      <c r="K5" t="s">
        <v>742</v>
      </c>
      <c r="L5">
        <v>1E-3</v>
      </c>
      <c r="M5">
        <v>5.6228400000000001</v>
      </c>
      <c r="N5" t="s">
        <v>1042</v>
      </c>
      <c r="O5" s="3">
        <v>0</v>
      </c>
      <c r="W5" t="s">
        <v>55</v>
      </c>
      <c r="X5">
        <v>45</v>
      </c>
      <c r="Y5">
        <v>5.3944499999999994E-4</v>
      </c>
      <c r="Z5">
        <v>8.739008999999999E-2</v>
      </c>
      <c r="AF5">
        <v>0</v>
      </c>
      <c r="AG5" s="3">
        <v>5</v>
      </c>
      <c r="AI5" s="3">
        <v>20260116</v>
      </c>
      <c r="AJ5" s="3">
        <v>20260116</v>
      </c>
      <c r="AK5" s="3">
        <v>20260116105740</v>
      </c>
    </row>
    <row r="6" spans="1:37" x14ac:dyDescent="0.3">
      <c r="A6" t="s">
        <v>1113</v>
      </c>
      <c r="C6" t="s">
        <v>246</v>
      </c>
      <c r="D6" t="s">
        <v>566</v>
      </c>
      <c r="E6" t="s">
        <v>564</v>
      </c>
      <c r="F6" t="s">
        <v>6</v>
      </c>
      <c r="G6" t="s">
        <v>317</v>
      </c>
      <c r="H6">
        <v>45</v>
      </c>
      <c r="J6">
        <v>0.21129999999999999</v>
      </c>
      <c r="K6" t="s">
        <v>1127</v>
      </c>
      <c r="L6">
        <v>1E-3</v>
      </c>
      <c r="M6">
        <v>9.5084999999999996E-3</v>
      </c>
      <c r="N6" t="s">
        <v>1055</v>
      </c>
      <c r="O6" s="3">
        <v>0</v>
      </c>
      <c r="Y6" t="s">
        <v>1130</v>
      </c>
      <c r="Z6" t="s">
        <v>1130</v>
      </c>
      <c r="AF6">
        <v>0</v>
      </c>
      <c r="AG6" s="3">
        <v>3</v>
      </c>
      <c r="AI6" s="3">
        <v>20260116</v>
      </c>
      <c r="AJ6" s="3">
        <v>20260116</v>
      </c>
      <c r="AK6" s="3">
        <v>20260116105740</v>
      </c>
    </row>
    <row r="7" spans="1:37" x14ac:dyDescent="0.3">
      <c r="A7" t="s">
        <v>1113</v>
      </c>
      <c r="C7" t="s">
        <v>29</v>
      </c>
      <c r="D7" t="s">
        <v>125</v>
      </c>
      <c r="E7" t="s">
        <v>80</v>
      </c>
      <c r="F7" t="s">
        <v>59</v>
      </c>
      <c r="G7" t="s">
        <v>29</v>
      </c>
      <c r="H7">
        <v>842</v>
      </c>
      <c r="J7">
        <v>9.8485E-4</v>
      </c>
      <c r="K7" t="s">
        <v>237</v>
      </c>
      <c r="L7">
        <v>1</v>
      </c>
      <c r="M7">
        <v>0.82924370000000003</v>
      </c>
      <c r="N7" t="s">
        <v>1074</v>
      </c>
      <c r="O7" s="3">
        <v>0</v>
      </c>
      <c r="W7" t="s">
        <v>483</v>
      </c>
      <c r="X7">
        <v>45</v>
      </c>
      <c r="Y7">
        <v>1.1383433333333334E-4</v>
      </c>
      <c r="Z7">
        <v>8.6263657800000004</v>
      </c>
      <c r="AF7">
        <v>0</v>
      </c>
      <c r="AG7" s="3">
        <v>5</v>
      </c>
      <c r="AI7" s="3">
        <v>20260116</v>
      </c>
      <c r="AJ7" s="3">
        <v>20260116</v>
      </c>
      <c r="AK7" s="3">
        <v>20260116105740</v>
      </c>
    </row>
    <row r="8" spans="1:37" x14ac:dyDescent="0.3">
      <c r="A8" t="s">
        <v>1113</v>
      </c>
      <c r="C8" t="s">
        <v>430</v>
      </c>
      <c r="D8" t="s">
        <v>424</v>
      </c>
      <c r="E8" t="s">
        <v>732</v>
      </c>
      <c r="F8" t="s">
        <v>59</v>
      </c>
      <c r="G8" t="s">
        <v>496</v>
      </c>
      <c r="H8">
        <v>837</v>
      </c>
      <c r="J8">
        <v>5.2534999999999998E-2</v>
      </c>
      <c r="K8" t="s">
        <v>237</v>
      </c>
      <c r="L8">
        <v>1</v>
      </c>
      <c r="M8">
        <v>43.971795</v>
      </c>
      <c r="N8" t="s">
        <v>744</v>
      </c>
      <c r="O8" s="3">
        <v>0</v>
      </c>
      <c r="P8">
        <v>0</v>
      </c>
      <c r="Q8" s="3">
        <v>0</v>
      </c>
      <c r="R8" s="3">
        <v>0</v>
      </c>
      <c r="S8" s="3">
        <v>1</v>
      </c>
      <c r="T8">
        <v>0</v>
      </c>
      <c r="U8">
        <v>0</v>
      </c>
      <c r="W8" t="s">
        <v>483</v>
      </c>
      <c r="X8">
        <v>45</v>
      </c>
      <c r="Y8">
        <v>1.1383433333333334E-4</v>
      </c>
      <c r="Z8">
        <v>8.57514033</v>
      </c>
      <c r="AF8">
        <v>0</v>
      </c>
      <c r="AG8" s="3">
        <v>10</v>
      </c>
      <c r="AI8" s="3">
        <v>20260116</v>
      </c>
      <c r="AJ8" s="3">
        <v>20260116</v>
      </c>
      <c r="AK8" s="3">
        <v>20260116110050</v>
      </c>
    </row>
    <row r="9" spans="1:37" x14ac:dyDescent="0.3">
      <c r="A9" t="s">
        <v>1113</v>
      </c>
      <c r="C9" t="s">
        <v>430</v>
      </c>
      <c r="D9" t="s">
        <v>424</v>
      </c>
      <c r="E9" t="s">
        <v>732</v>
      </c>
      <c r="F9" t="s">
        <v>59</v>
      </c>
      <c r="G9" t="s">
        <v>496</v>
      </c>
      <c r="H9">
        <v>154</v>
      </c>
      <c r="J9">
        <v>5.2534999999999998E-2</v>
      </c>
      <c r="K9" t="s">
        <v>237</v>
      </c>
      <c r="L9">
        <v>1</v>
      </c>
      <c r="M9">
        <v>8.0903899999999993</v>
      </c>
      <c r="N9" t="s">
        <v>744</v>
      </c>
      <c r="O9" s="3">
        <v>0</v>
      </c>
      <c r="P9">
        <v>0</v>
      </c>
      <c r="Q9" s="3">
        <v>0</v>
      </c>
      <c r="R9" s="3">
        <v>0</v>
      </c>
      <c r="S9" s="3">
        <v>1</v>
      </c>
      <c r="T9">
        <v>0</v>
      </c>
      <c r="U9">
        <v>0</v>
      </c>
      <c r="W9" t="s">
        <v>483</v>
      </c>
      <c r="X9">
        <v>45</v>
      </c>
      <c r="Y9">
        <v>1.1383433333333334E-4</v>
      </c>
      <c r="Z9">
        <v>1.5777438600000002</v>
      </c>
      <c r="AF9">
        <v>0</v>
      </c>
      <c r="AG9" s="3">
        <v>10</v>
      </c>
      <c r="AI9" s="3">
        <v>20260116</v>
      </c>
      <c r="AJ9" s="3">
        <v>20260116</v>
      </c>
      <c r="AK9" s="3">
        <v>20260116110050</v>
      </c>
    </row>
    <row r="10" spans="1:37" x14ac:dyDescent="0.3">
      <c r="A10" t="s">
        <v>1113</v>
      </c>
      <c r="B10" t="s">
        <v>430</v>
      </c>
      <c r="C10" t="s">
        <v>26</v>
      </c>
      <c r="D10" t="s">
        <v>424</v>
      </c>
      <c r="E10" t="s">
        <v>732</v>
      </c>
      <c r="F10" t="s">
        <v>59</v>
      </c>
      <c r="G10" t="s">
        <v>496</v>
      </c>
      <c r="H10">
        <v>837</v>
      </c>
      <c r="J10">
        <v>5.2534999999999998E-2</v>
      </c>
      <c r="K10" t="s">
        <v>237</v>
      </c>
      <c r="L10">
        <v>1</v>
      </c>
      <c r="M10">
        <v>43.971795</v>
      </c>
      <c r="N10" t="s">
        <v>744</v>
      </c>
      <c r="O10" s="3">
        <v>0</v>
      </c>
      <c r="P10">
        <v>0</v>
      </c>
      <c r="W10" t="s">
        <v>483</v>
      </c>
      <c r="X10">
        <v>45</v>
      </c>
      <c r="Y10">
        <v>1.1383433333333334E-4</v>
      </c>
      <c r="Z10">
        <v>8.57514033</v>
      </c>
      <c r="AF10">
        <v>2</v>
      </c>
      <c r="AG10" s="3">
        <v>5</v>
      </c>
      <c r="AI10" s="3">
        <v>20260116</v>
      </c>
      <c r="AJ10" s="3">
        <v>20260116</v>
      </c>
      <c r="AK10" s="3">
        <v>20260116110050</v>
      </c>
    </row>
    <row r="11" spans="1:37" x14ac:dyDescent="0.3">
      <c r="A11" t="s">
        <v>1113</v>
      </c>
      <c r="B11" t="s">
        <v>430</v>
      </c>
      <c r="C11" t="s">
        <v>26</v>
      </c>
      <c r="D11" t="s">
        <v>424</v>
      </c>
      <c r="E11" t="s">
        <v>732</v>
      </c>
      <c r="F11" t="s">
        <v>59</v>
      </c>
      <c r="G11" t="s">
        <v>496</v>
      </c>
      <c r="H11">
        <v>154</v>
      </c>
      <c r="J11">
        <v>5.2534999999999998E-2</v>
      </c>
      <c r="K11" t="s">
        <v>237</v>
      </c>
      <c r="L11">
        <v>1</v>
      </c>
      <c r="M11">
        <v>8.0903899999999993</v>
      </c>
      <c r="N11" t="s">
        <v>744</v>
      </c>
      <c r="O11" s="3">
        <v>0</v>
      </c>
      <c r="P11">
        <v>0</v>
      </c>
      <c r="W11" t="s">
        <v>483</v>
      </c>
      <c r="X11">
        <v>45</v>
      </c>
      <c r="Y11">
        <v>1.1383433333333334E-4</v>
      </c>
      <c r="Z11">
        <v>1.5777438600000002</v>
      </c>
      <c r="AF11">
        <v>2</v>
      </c>
      <c r="AG11" s="3">
        <v>5</v>
      </c>
      <c r="AI11" s="3">
        <v>20260116</v>
      </c>
      <c r="AJ11" s="3">
        <v>20260116</v>
      </c>
      <c r="AK11" s="3">
        <v>20260116110050</v>
      </c>
    </row>
    <row r="12" spans="1:37" x14ac:dyDescent="0.3">
      <c r="A12" t="s">
        <v>1113</v>
      </c>
      <c r="C12" t="s">
        <v>26</v>
      </c>
      <c r="D12" t="s">
        <v>594</v>
      </c>
      <c r="E12" t="s">
        <v>724</v>
      </c>
      <c r="F12" t="s">
        <v>59</v>
      </c>
      <c r="G12" t="s">
        <v>85</v>
      </c>
      <c r="H12">
        <v>3</v>
      </c>
      <c r="J12">
        <v>0.221666</v>
      </c>
      <c r="K12" t="s">
        <v>237</v>
      </c>
      <c r="L12">
        <v>1</v>
      </c>
      <c r="M12">
        <v>0.66499799999999998</v>
      </c>
      <c r="N12" t="s">
        <v>1000</v>
      </c>
      <c r="O12" s="3">
        <v>0</v>
      </c>
      <c r="W12" t="s">
        <v>483</v>
      </c>
      <c r="X12">
        <v>45</v>
      </c>
      <c r="Y12">
        <v>1.1383433333333334E-4</v>
      </c>
      <c r="Z12">
        <v>3.0735270000000002E-2</v>
      </c>
      <c r="AF12">
        <v>0</v>
      </c>
      <c r="AG12" s="3">
        <v>5</v>
      </c>
      <c r="AI12" s="3">
        <v>20260116</v>
      </c>
      <c r="AJ12" s="3">
        <v>20260116</v>
      </c>
      <c r="AK12" s="3">
        <v>20260116110050</v>
      </c>
    </row>
    <row r="13" spans="1:37" x14ac:dyDescent="0.3">
      <c r="A13" t="s">
        <v>1113</v>
      </c>
      <c r="C13" t="s">
        <v>551</v>
      </c>
      <c r="D13" t="s">
        <v>552</v>
      </c>
      <c r="E13" t="s">
        <v>114</v>
      </c>
      <c r="F13" t="s">
        <v>70</v>
      </c>
      <c r="G13" t="s">
        <v>490</v>
      </c>
      <c r="H13">
        <v>1800</v>
      </c>
      <c r="J13">
        <v>3.1238000000000001</v>
      </c>
      <c r="K13" t="s">
        <v>742</v>
      </c>
      <c r="L13">
        <v>1E-3</v>
      </c>
      <c r="M13">
        <v>5.6228400000000001</v>
      </c>
      <c r="N13" t="s">
        <v>1042</v>
      </c>
      <c r="O13" s="3">
        <v>0</v>
      </c>
      <c r="W13" t="s">
        <v>55</v>
      </c>
      <c r="X13">
        <v>45</v>
      </c>
      <c r="Y13">
        <v>5.3944499999999994E-4</v>
      </c>
      <c r="Z13">
        <v>8.739008999999999E-2</v>
      </c>
      <c r="AF13">
        <v>0</v>
      </c>
      <c r="AG13" s="3">
        <v>5</v>
      </c>
      <c r="AI13" s="3">
        <v>20260116</v>
      </c>
      <c r="AJ13" s="3">
        <v>20260116</v>
      </c>
      <c r="AK13" s="3">
        <v>20260116110050</v>
      </c>
    </row>
    <row r="14" spans="1:37" x14ac:dyDescent="0.3">
      <c r="A14" t="s">
        <v>1113</v>
      </c>
      <c r="C14" t="s">
        <v>246</v>
      </c>
      <c r="D14" t="s">
        <v>566</v>
      </c>
      <c r="E14" t="s">
        <v>564</v>
      </c>
      <c r="F14" t="s">
        <v>6</v>
      </c>
      <c r="G14" t="s">
        <v>317</v>
      </c>
      <c r="H14">
        <v>45</v>
      </c>
      <c r="J14">
        <v>0.21129999999999999</v>
      </c>
      <c r="K14" t="s">
        <v>1127</v>
      </c>
      <c r="L14">
        <v>1E-3</v>
      </c>
      <c r="M14">
        <v>9.5084999999999996E-3</v>
      </c>
      <c r="N14" t="s">
        <v>1055</v>
      </c>
      <c r="O14" s="3">
        <v>0</v>
      </c>
      <c r="Y14" t="s">
        <v>1130</v>
      </c>
      <c r="Z14" t="s">
        <v>1130</v>
      </c>
      <c r="AF14">
        <v>0</v>
      </c>
      <c r="AG14" s="3">
        <v>3</v>
      </c>
      <c r="AI14" s="3">
        <v>20260116</v>
      </c>
      <c r="AJ14" s="3">
        <v>20260116</v>
      </c>
      <c r="AK14" s="3">
        <v>20260116110051</v>
      </c>
    </row>
    <row r="15" spans="1:37" x14ac:dyDescent="0.3">
      <c r="A15" t="s">
        <v>1113</v>
      </c>
      <c r="C15" t="s">
        <v>29</v>
      </c>
      <c r="D15" t="s">
        <v>125</v>
      </c>
      <c r="E15" t="s">
        <v>80</v>
      </c>
      <c r="F15" t="s">
        <v>59</v>
      </c>
      <c r="G15" t="s">
        <v>29</v>
      </c>
      <c r="H15">
        <v>842</v>
      </c>
      <c r="J15">
        <v>9.8485E-4</v>
      </c>
      <c r="K15" t="s">
        <v>237</v>
      </c>
      <c r="L15">
        <v>1</v>
      </c>
      <c r="M15">
        <v>0.82924370000000003</v>
      </c>
      <c r="N15" t="s">
        <v>1074</v>
      </c>
      <c r="O15" s="3">
        <v>0</v>
      </c>
      <c r="W15" t="s">
        <v>483</v>
      </c>
      <c r="X15">
        <v>45</v>
      </c>
      <c r="Y15">
        <v>1.1383433333333334E-4</v>
      </c>
      <c r="Z15">
        <v>8.6263657800000004</v>
      </c>
      <c r="AF15">
        <v>0</v>
      </c>
      <c r="AG15" s="3">
        <v>5</v>
      </c>
      <c r="AI15" s="3">
        <v>20260116</v>
      </c>
      <c r="AJ15" s="3">
        <v>20260116</v>
      </c>
      <c r="AK15" s="3">
        <v>20260116110051</v>
      </c>
    </row>
    <row r="16" spans="1:37" x14ac:dyDescent="0.3">
      <c r="A16" t="s">
        <v>1113</v>
      </c>
      <c r="C16" t="s">
        <v>430</v>
      </c>
      <c r="D16" t="s">
        <v>424</v>
      </c>
      <c r="E16" t="s">
        <v>732</v>
      </c>
      <c r="F16" t="s">
        <v>59</v>
      </c>
      <c r="G16" t="s">
        <v>496</v>
      </c>
      <c r="H16">
        <v>837</v>
      </c>
      <c r="J16">
        <v>5.2534999999999998E-2</v>
      </c>
      <c r="K16" t="s">
        <v>237</v>
      </c>
      <c r="L16">
        <v>1</v>
      </c>
      <c r="M16">
        <v>43.971795</v>
      </c>
      <c r="N16" t="s">
        <v>744</v>
      </c>
      <c r="O16" s="3">
        <v>0</v>
      </c>
      <c r="P16">
        <v>0</v>
      </c>
      <c r="Q16" s="3">
        <v>0</v>
      </c>
      <c r="R16" s="3">
        <v>0</v>
      </c>
      <c r="S16" s="3">
        <v>1</v>
      </c>
      <c r="T16">
        <v>0</v>
      </c>
      <c r="U16">
        <v>0</v>
      </c>
      <c r="W16" t="s">
        <v>483</v>
      </c>
      <c r="X16">
        <v>45</v>
      </c>
      <c r="Y16">
        <v>1.1383433333333334E-4</v>
      </c>
      <c r="Z16">
        <v>8.57514033</v>
      </c>
      <c r="AF16">
        <v>0</v>
      </c>
      <c r="AG16" s="3">
        <v>10</v>
      </c>
      <c r="AI16" s="3">
        <v>20260116</v>
      </c>
      <c r="AJ16" s="3">
        <v>99991231</v>
      </c>
      <c r="AK16" s="3">
        <v>20260116110056</v>
      </c>
    </row>
    <row r="17" spans="1:37" x14ac:dyDescent="0.3">
      <c r="A17" t="s">
        <v>1113</v>
      </c>
      <c r="C17" t="s">
        <v>430</v>
      </c>
      <c r="D17" t="s">
        <v>424</v>
      </c>
      <c r="E17" t="s">
        <v>732</v>
      </c>
      <c r="F17" t="s">
        <v>59</v>
      </c>
      <c r="G17" t="s">
        <v>496</v>
      </c>
      <c r="H17">
        <v>154</v>
      </c>
      <c r="J17">
        <v>5.2534999999999998E-2</v>
      </c>
      <c r="K17" t="s">
        <v>237</v>
      </c>
      <c r="L17">
        <v>1</v>
      </c>
      <c r="M17">
        <v>8.0903899999999993</v>
      </c>
      <c r="N17" t="s">
        <v>744</v>
      </c>
      <c r="O17" s="3">
        <v>0</v>
      </c>
      <c r="P17">
        <v>0</v>
      </c>
      <c r="Q17" s="3">
        <v>0</v>
      </c>
      <c r="R17" s="3">
        <v>0</v>
      </c>
      <c r="S17" s="3">
        <v>1</v>
      </c>
      <c r="T17">
        <v>0</v>
      </c>
      <c r="U17">
        <v>0</v>
      </c>
      <c r="W17" t="s">
        <v>483</v>
      </c>
      <c r="X17">
        <v>45</v>
      </c>
      <c r="Y17">
        <v>1.1383433333333334E-4</v>
      </c>
      <c r="Z17">
        <v>1.5777438600000002</v>
      </c>
      <c r="AF17">
        <v>0</v>
      </c>
      <c r="AG17" s="3">
        <v>10</v>
      </c>
      <c r="AI17" s="3">
        <v>20260116</v>
      </c>
      <c r="AJ17" s="3">
        <v>99991231</v>
      </c>
      <c r="AK17" s="3">
        <v>20260116110056</v>
      </c>
    </row>
    <row r="18" spans="1:37" x14ac:dyDescent="0.3">
      <c r="A18" t="s">
        <v>1113</v>
      </c>
      <c r="B18" t="s">
        <v>430</v>
      </c>
      <c r="C18" t="s">
        <v>26</v>
      </c>
      <c r="D18" t="s">
        <v>424</v>
      </c>
      <c r="E18" t="s">
        <v>732</v>
      </c>
      <c r="F18" t="s">
        <v>59</v>
      </c>
      <c r="G18" t="s">
        <v>496</v>
      </c>
      <c r="H18">
        <v>837</v>
      </c>
      <c r="J18">
        <v>5.2534999999999998E-2</v>
      </c>
      <c r="K18" t="s">
        <v>237</v>
      </c>
      <c r="L18">
        <v>1</v>
      </c>
      <c r="M18">
        <v>43.971795</v>
      </c>
      <c r="N18" t="s">
        <v>744</v>
      </c>
      <c r="O18" s="3">
        <v>0</v>
      </c>
      <c r="P18">
        <v>0</v>
      </c>
      <c r="W18" t="s">
        <v>483</v>
      </c>
      <c r="X18">
        <v>45</v>
      </c>
      <c r="Y18">
        <v>1.1383433333333334E-4</v>
      </c>
      <c r="Z18">
        <v>8.57514033</v>
      </c>
      <c r="AF18">
        <v>2</v>
      </c>
      <c r="AG18" s="3">
        <v>5</v>
      </c>
      <c r="AI18" s="3">
        <v>20260116</v>
      </c>
      <c r="AJ18" s="3">
        <v>99991231</v>
      </c>
      <c r="AK18" s="3">
        <v>20260116110056</v>
      </c>
    </row>
    <row r="19" spans="1:37" x14ac:dyDescent="0.3">
      <c r="A19" t="s">
        <v>1113</v>
      </c>
      <c r="B19" t="s">
        <v>430</v>
      </c>
      <c r="C19" t="s">
        <v>26</v>
      </c>
      <c r="D19" t="s">
        <v>424</v>
      </c>
      <c r="E19" t="s">
        <v>732</v>
      </c>
      <c r="F19" t="s">
        <v>59</v>
      </c>
      <c r="G19" t="s">
        <v>496</v>
      </c>
      <c r="H19">
        <v>154</v>
      </c>
      <c r="J19">
        <v>5.2534999999999998E-2</v>
      </c>
      <c r="K19" t="s">
        <v>237</v>
      </c>
      <c r="L19">
        <v>1</v>
      </c>
      <c r="M19">
        <v>8.0903899999999993</v>
      </c>
      <c r="N19" t="s">
        <v>744</v>
      </c>
      <c r="O19" s="3">
        <v>0</v>
      </c>
      <c r="P19">
        <v>0</v>
      </c>
      <c r="W19" t="s">
        <v>483</v>
      </c>
      <c r="X19">
        <v>45</v>
      </c>
      <c r="Y19">
        <v>1.1383433333333334E-4</v>
      </c>
      <c r="Z19">
        <v>1.5777438600000002</v>
      </c>
      <c r="AF19">
        <v>2</v>
      </c>
      <c r="AG19" s="3">
        <v>5</v>
      </c>
      <c r="AI19" s="3">
        <v>20260116</v>
      </c>
      <c r="AJ19" s="3">
        <v>99991231</v>
      </c>
      <c r="AK19" s="3">
        <v>20260116110056</v>
      </c>
    </row>
    <row r="20" spans="1:37" x14ac:dyDescent="0.3">
      <c r="A20" t="s">
        <v>1113</v>
      </c>
      <c r="C20" t="s">
        <v>26</v>
      </c>
      <c r="D20" t="s">
        <v>594</v>
      </c>
      <c r="E20" t="s">
        <v>724</v>
      </c>
      <c r="F20" t="s">
        <v>59</v>
      </c>
      <c r="G20" t="s">
        <v>85</v>
      </c>
      <c r="H20">
        <v>3</v>
      </c>
      <c r="J20">
        <v>0.221666</v>
      </c>
      <c r="K20" t="s">
        <v>237</v>
      </c>
      <c r="L20">
        <v>1</v>
      </c>
      <c r="M20">
        <v>0.66499799999999998</v>
      </c>
      <c r="N20" t="s">
        <v>1000</v>
      </c>
      <c r="O20" s="3">
        <v>0</v>
      </c>
      <c r="W20" t="s">
        <v>483</v>
      </c>
      <c r="X20">
        <v>45</v>
      </c>
      <c r="Y20">
        <v>1.1383433333333334E-4</v>
      </c>
      <c r="Z20">
        <v>3.0735270000000002E-2</v>
      </c>
      <c r="AF20">
        <v>0</v>
      </c>
      <c r="AG20" s="3">
        <v>5</v>
      </c>
      <c r="AI20" s="3">
        <v>20260116</v>
      </c>
      <c r="AJ20" s="3">
        <v>99991231</v>
      </c>
      <c r="AK20" s="3">
        <v>20260116110056</v>
      </c>
    </row>
    <row r="21" spans="1:37" x14ac:dyDescent="0.3">
      <c r="A21" t="s">
        <v>1113</v>
      </c>
      <c r="C21" t="s">
        <v>551</v>
      </c>
      <c r="D21" t="s">
        <v>552</v>
      </c>
      <c r="E21" t="s">
        <v>114</v>
      </c>
      <c r="F21" t="s">
        <v>70</v>
      </c>
      <c r="G21" t="s">
        <v>490</v>
      </c>
      <c r="H21">
        <v>1800</v>
      </c>
      <c r="J21">
        <v>3.1238000000000001</v>
      </c>
      <c r="K21" t="s">
        <v>742</v>
      </c>
      <c r="L21">
        <v>1E-3</v>
      </c>
      <c r="M21">
        <v>5.6228400000000001</v>
      </c>
      <c r="N21" t="s">
        <v>1042</v>
      </c>
      <c r="O21" s="3">
        <v>0</v>
      </c>
      <c r="W21" t="s">
        <v>55</v>
      </c>
      <c r="X21">
        <v>45</v>
      </c>
      <c r="Y21">
        <v>5.3944499999999994E-4</v>
      </c>
      <c r="Z21">
        <v>8.739008999999999E-2</v>
      </c>
      <c r="AF21">
        <v>0</v>
      </c>
      <c r="AG21" s="3">
        <v>5</v>
      </c>
      <c r="AI21" s="3">
        <v>20260116</v>
      </c>
      <c r="AJ21" s="3">
        <v>99991231</v>
      </c>
      <c r="AK21" s="3">
        <v>20260116110056</v>
      </c>
    </row>
    <row r="22" spans="1:37" x14ac:dyDescent="0.3">
      <c r="A22" t="s">
        <v>1113</v>
      </c>
      <c r="C22" t="s">
        <v>246</v>
      </c>
      <c r="D22" t="s">
        <v>566</v>
      </c>
      <c r="E22" t="s">
        <v>564</v>
      </c>
      <c r="F22" t="s">
        <v>6</v>
      </c>
      <c r="G22" t="s">
        <v>317</v>
      </c>
      <c r="H22">
        <v>45</v>
      </c>
      <c r="J22">
        <v>0.21129999999999999</v>
      </c>
      <c r="K22" t="s">
        <v>1127</v>
      </c>
      <c r="L22">
        <v>1E-3</v>
      </c>
      <c r="M22">
        <v>9.5084999999999996E-3</v>
      </c>
      <c r="N22" t="s">
        <v>1055</v>
      </c>
      <c r="O22" s="3">
        <v>0</v>
      </c>
      <c r="Y22" t="s">
        <v>1130</v>
      </c>
      <c r="Z22" t="s">
        <v>1130</v>
      </c>
      <c r="AF22">
        <v>0</v>
      </c>
      <c r="AG22" s="3">
        <v>3</v>
      </c>
      <c r="AI22" s="3">
        <v>20260116</v>
      </c>
      <c r="AJ22" s="3">
        <v>99991231</v>
      </c>
      <c r="AK22" s="3">
        <v>20260116110056</v>
      </c>
    </row>
    <row r="23" spans="1:37" x14ac:dyDescent="0.3">
      <c r="A23" t="s">
        <v>1113</v>
      </c>
      <c r="C23" t="s">
        <v>29</v>
      </c>
      <c r="D23" t="s">
        <v>125</v>
      </c>
      <c r="E23" t="s">
        <v>80</v>
      </c>
      <c r="F23" t="s">
        <v>59</v>
      </c>
      <c r="G23" t="s">
        <v>29</v>
      </c>
      <c r="H23">
        <v>842</v>
      </c>
      <c r="J23">
        <v>9.8485E-4</v>
      </c>
      <c r="K23" t="s">
        <v>237</v>
      </c>
      <c r="L23">
        <v>1</v>
      </c>
      <c r="M23">
        <v>0.82924370000000003</v>
      </c>
      <c r="N23" t="s">
        <v>1074</v>
      </c>
      <c r="O23" s="3">
        <v>0</v>
      </c>
      <c r="W23" t="s">
        <v>483</v>
      </c>
      <c r="X23">
        <v>45</v>
      </c>
      <c r="Y23">
        <v>1.1383433333333334E-4</v>
      </c>
      <c r="Z23">
        <v>8.6263657800000004</v>
      </c>
      <c r="AF23">
        <v>0</v>
      </c>
      <c r="AG23" s="3">
        <v>5</v>
      </c>
      <c r="AI23" s="3">
        <v>20260116</v>
      </c>
      <c r="AJ23" s="3">
        <v>99991231</v>
      </c>
      <c r="AK23" s="3">
        <v>20260116110056</v>
      </c>
    </row>
  </sheetData>
  <sheetProtection algorithmName="SHA-512" hashValue="ENoJsNoJswxnzF7dUcAxBSfaRLpcLTivjl85jYchlOeqqgvdZ4Mo2NVfYWWc4+El99dsi2A5cXyRG9wu4jLahg==" saltValue="aEjagM/GqN2acsZAnlWigQ==" spinCount="100000" sheet="1" objects="1" scenarios="1"/>
  <autoFilter ref="A1:AK23" xr:uid="{00000000-0001-0000-0500-000000000000}"/>
  <pageMargins left="0.7" right="0.7" top="0.75" bottom="0.75" header="0.3" footer="0.3"/>
  <headerFooter>
    <oddFooter>&amp;C_x000D_&amp;1#&amp;"Verdana"&amp;7&amp;K000000 Confidential</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autoPageBreaks="0" fitToPage="1"/>
  </sheetPr>
  <dimension ref="A1:AP417"/>
  <sheetViews>
    <sheetView showGridLines="0" showRowColHeaders="0" topLeftCell="B359" zoomScale="90" zoomScaleNormal="90" zoomScalePageLayoutView="80" workbookViewId="0">
      <selection activeCell="J121" sqref="J121"/>
    </sheetView>
  </sheetViews>
  <sheetFormatPr defaultColWidth="0" defaultRowHeight="14.4" zeroHeight="1" x14ac:dyDescent="0.3"/>
  <cols>
    <col min="1" max="1" width="3" style="59" customWidth="1"/>
    <col min="2" max="2" width="10.5546875" style="59" customWidth="1"/>
    <col min="3" max="3" width="24.5546875" style="59" bestFit="1" customWidth="1"/>
    <col min="4" max="4" width="33.33203125" style="48" customWidth="1"/>
    <col min="5" max="5" width="8.6640625" style="59" bestFit="1" customWidth="1"/>
    <col min="6" max="6" width="17.5546875" style="4" bestFit="1" customWidth="1"/>
    <col min="7" max="7" width="7.6640625" style="117" bestFit="1" customWidth="1"/>
    <col min="8" max="8" width="11.6640625" style="60" bestFit="1" customWidth="1"/>
    <col min="9" max="9" width="10.33203125" style="60" bestFit="1" customWidth="1"/>
    <col min="10" max="10" width="78.33203125" style="4" customWidth="1"/>
    <col min="11" max="11" width="3" style="59" customWidth="1"/>
    <col min="12" max="14" width="9.33203125" style="59" hidden="1" customWidth="1"/>
    <col min="15" max="15" width="37.33203125" style="59" hidden="1" customWidth="1"/>
    <col min="16" max="16384" width="9.33203125" style="59" hidden="1"/>
  </cols>
  <sheetData>
    <row r="1" spans="1:42" s="56" customFormat="1" ht="43.5" customHeight="1" x14ac:dyDescent="0.25">
      <c r="A1" s="55"/>
      <c r="G1" s="311"/>
      <c r="Q1" s="57"/>
      <c r="AC1" s="447"/>
      <c r="AD1" s="447"/>
      <c r="AE1" s="447"/>
      <c r="AM1" s="58"/>
      <c r="AN1" s="447"/>
      <c r="AO1" s="447"/>
      <c r="AP1" s="447"/>
    </row>
    <row r="2" spans="1:42" s="56" customFormat="1" ht="72" customHeight="1" x14ac:dyDescent="0.25">
      <c r="B2" s="49"/>
      <c r="G2" s="311"/>
      <c r="Q2" s="57"/>
      <c r="AM2" s="58"/>
    </row>
    <row r="3" spans="1:42" ht="30.75" customHeight="1" x14ac:dyDescent="0.3">
      <c r="A3" s="47"/>
      <c r="B3" s="496" t="s">
        <v>48</v>
      </c>
      <c r="C3" s="496"/>
      <c r="D3" s="496"/>
      <c r="E3" s="496"/>
      <c r="F3" s="496"/>
      <c r="G3" s="312"/>
      <c r="H3" s="43"/>
      <c r="I3" s="43"/>
      <c r="J3" s="35"/>
      <c r="K3" s="47"/>
    </row>
    <row r="4" spans="1:42" ht="84.75" customHeight="1" x14ac:dyDescent="0.3">
      <c r="A4" s="47"/>
      <c r="B4" s="495" t="s">
        <v>1107</v>
      </c>
      <c r="C4" s="495"/>
      <c r="D4" s="495"/>
      <c r="E4" s="495"/>
      <c r="F4" s="495"/>
      <c r="G4" s="495"/>
      <c r="H4" s="495"/>
      <c r="I4" s="495"/>
      <c r="J4" s="495"/>
      <c r="K4" s="47"/>
    </row>
    <row r="5" spans="1:42" s="39" customFormat="1" ht="28.2" thickBot="1" x14ac:dyDescent="0.35">
      <c r="A5" s="42"/>
      <c r="B5" s="197" t="s">
        <v>4</v>
      </c>
      <c r="C5" s="197" t="s">
        <v>0</v>
      </c>
      <c r="D5" s="197" t="s">
        <v>49</v>
      </c>
      <c r="E5" s="197" t="s">
        <v>50</v>
      </c>
      <c r="F5" s="197" t="s">
        <v>51</v>
      </c>
      <c r="G5" s="313"/>
      <c r="H5" s="197" t="s">
        <v>52</v>
      </c>
      <c r="I5" s="197" t="s">
        <v>53</v>
      </c>
      <c r="J5" s="197" t="s">
        <v>54</v>
      </c>
      <c r="K5" s="41"/>
      <c r="L5" s="40"/>
      <c r="M5" s="40"/>
    </row>
    <row r="6" spans="1:42" s="39" customFormat="1" ht="43.2" x14ac:dyDescent="0.3">
      <c r="A6" s="42"/>
      <c r="B6" s="497" t="s">
        <v>485</v>
      </c>
      <c r="C6" s="500" t="s">
        <v>482</v>
      </c>
      <c r="D6" s="87" t="s">
        <v>55</v>
      </c>
      <c r="E6" s="294" t="s">
        <v>6</v>
      </c>
      <c r="F6" s="87" t="s">
        <v>490</v>
      </c>
      <c r="G6" s="300">
        <v>7.6738000000000002E-4</v>
      </c>
      <c r="H6" s="294" t="s">
        <v>491</v>
      </c>
      <c r="I6" s="273"/>
      <c r="J6" s="88" t="s">
        <v>843</v>
      </c>
      <c r="K6" s="41"/>
      <c r="L6" s="40"/>
      <c r="M6" s="40"/>
    </row>
    <row r="7" spans="1:42" s="39" customFormat="1" ht="45" customHeight="1" x14ac:dyDescent="0.3">
      <c r="A7" s="42"/>
      <c r="B7" s="498"/>
      <c r="C7" s="501"/>
      <c r="D7" s="89" t="s">
        <v>483</v>
      </c>
      <c r="E7" s="269" t="s">
        <v>6</v>
      </c>
      <c r="F7" s="87" t="s">
        <v>490</v>
      </c>
      <c r="G7" s="124">
        <v>1.2111E-4</v>
      </c>
      <c r="H7" s="294" t="s">
        <v>491</v>
      </c>
      <c r="I7" s="273"/>
      <c r="J7" s="90" t="s">
        <v>844</v>
      </c>
      <c r="K7" s="41"/>
      <c r="L7" s="40"/>
      <c r="M7" s="40"/>
    </row>
    <row r="8" spans="1:42" s="39" customFormat="1" ht="43.2" x14ac:dyDescent="0.3">
      <c r="A8" s="42"/>
      <c r="B8" s="498"/>
      <c r="C8" s="501"/>
      <c r="D8" s="89" t="s">
        <v>56</v>
      </c>
      <c r="E8" s="269" t="s">
        <v>6</v>
      </c>
      <c r="F8" s="87" t="s">
        <v>490</v>
      </c>
      <c r="G8" s="124">
        <v>3.4700000000000003E-5</v>
      </c>
      <c r="H8" s="294" t="s">
        <v>491</v>
      </c>
      <c r="I8" s="157"/>
      <c r="J8" s="90" t="s">
        <v>845</v>
      </c>
      <c r="K8" s="41"/>
      <c r="L8" s="40"/>
      <c r="M8" s="40"/>
    </row>
    <row r="9" spans="1:42" s="39" customFormat="1" ht="43.2" x14ac:dyDescent="0.3">
      <c r="A9" s="42"/>
      <c r="B9" s="498"/>
      <c r="C9" s="502"/>
      <c r="D9" s="89" t="s">
        <v>57</v>
      </c>
      <c r="E9" s="269" t="s">
        <v>6</v>
      </c>
      <c r="F9" s="87" t="s">
        <v>490</v>
      </c>
      <c r="G9" s="124">
        <v>1.6209999999999999E-5</v>
      </c>
      <c r="H9" s="294" t="s">
        <v>491</v>
      </c>
      <c r="I9" s="157"/>
      <c r="J9" s="90" t="s">
        <v>846</v>
      </c>
      <c r="K9" s="41"/>
      <c r="L9" s="40"/>
      <c r="M9" s="40"/>
    </row>
    <row r="10" spans="1:42" s="39" customFormat="1" ht="57.6" x14ac:dyDescent="0.3">
      <c r="A10" s="42"/>
      <c r="B10" s="498"/>
      <c r="C10" s="503" t="s">
        <v>484</v>
      </c>
      <c r="D10" s="87" t="s">
        <v>55</v>
      </c>
      <c r="E10" s="294" t="s">
        <v>6</v>
      </c>
      <c r="F10" s="87" t="s">
        <v>490</v>
      </c>
      <c r="G10" s="124">
        <v>3.1150999999999998E-4</v>
      </c>
      <c r="H10" s="294" t="s">
        <v>492</v>
      </c>
      <c r="I10" s="157"/>
      <c r="J10" s="91" t="s">
        <v>1087</v>
      </c>
      <c r="K10" s="41"/>
      <c r="L10" s="40"/>
      <c r="M10" s="40"/>
    </row>
    <row r="11" spans="1:42" s="39" customFormat="1" ht="57.6" x14ac:dyDescent="0.3">
      <c r="A11" s="42"/>
      <c r="B11" s="498"/>
      <c r="C11" s="501"/>
      <c r="D11" s="89" t="s">
        <v>483</v>
      </c>
      <c r="E11" s="269" t="s">
        <v>6</v>
      </c>
      <c r="F11" s="87" t="s">
        <v>490</v>
      </c>
      <c r="G11" s="124">
        <v>1.0655866666666667E-4</v>
      </c>
      <c r="H11" s="294" t="s">
        <v>492</v>
      </c>
      <c r="I11" s="158"/>
      <c r="J11" s="90" t="s">
        <v>1088</v>
      </c>
      <c r="K11" s="41"/>
      <c r="L11" s="40"/>
      <c r="M11" s="40"/>
    </row>
    <row r="12" spans="1:42" s="39" customFormat="1" ht="28.8" x14ac:dyDescent="0.3">
      <c r="A12" s="42"/>
      <c r="B12" s="498"/>
      <c r="C12" s="501"/>
      <c r="D12" s="89" t="s">
        <v>56</v>
      </c>
      <c r="E12" s="269" t="s">
        <v>6</v>
      </c>
      <c r="F12" s="87" t="s">
        <v>490</v>
      </c>
      <c r="G12" s="300">
        <v>0</v>
      </c>
      <c r="H12" s="294" t="s">
        <v>491</v>
      </c>
      <c r="I12" s="157"/>
      <c r="J12" s="90" t="s">
        <v>620</v>
      </c>
      <c r="K12" s="41"/>
      <c r="L12" s="40"/>
      <c r="M12" s="40"/>
    </row>
    <row r="13" spans="1:42" s="39" customFormat="1" ht="28.8" x14ac:dyDescent="0.3">
      <c r="A13" s="42"/>
      <c r="B13" s="499"/>
      <c r="C13" s="502"/>
      <c r="D13" s="89" t="s">
        <v>57</v>
      </c>
      <c r="E13" s="269" t="s">
        <v>6</v>
      </c>
      <c r="F13" s="87" t="s">
        <v>490</v>
      </c>
      <c r="G13" s="124">
        <v>0</v>
      </c>
      <c r="H13" s="294" t="s">
        <v>491</v>
      </c>
      <c r="I13" s="157"/>
      <c r="J13" s="90" t="s">
        <v>493</v>
      </c>
      <c r="K13" s="41"/>
      <c r="L13" s="40"/>
      <c r="M13" s="40"/>
    </row>
    <row r="14" spans="1:42" s="39" customFormat="1" ht="86.4" x14ac:dyDescent="0.3">
      <c r="A14" s="42"/>
      <c r="B14" s="508" t="s">
        <v>430</v>
      </c>
      <c r="C14" s="505" t="s">
        <v>429</v>
      </c>
      <c r="D14" s="92" t="s">
        <v>494</v>
      </c>
      <c r="E14" s="270" t="s">
        <v>118</v>
      </c>
      <c r="F14" s="82" t="s">
        <v>62</v>
      </c>
      <c r="G14" s="124">
        <v>0.10336134453781512</v>
      </c>
      <c r="H14" s="94" t="s">
        <v>472</v>
      </c>
      <c r="I14" s="94">
        <v>2.4</v>
      </c>
      <c r="J14" s="95" t="s">
        <v>847</v>
      </c>
      <c r="K14" s="41"/>
      <c r="L14" s="40"/>
      <c r="M14" s="40"/>
    </row>
    <row r="15" spans="1:42" s="39" customFormat="1" ht="18" customHeight="1" x14ac:dyDescent="0.3">
      <c r="A15" s="42"/>
      <c r="B15" s="509"/>
      <c r="C15" s="506"/>
      <c r="D15" s="92" t="s">
        <v>797</v>
      </c>
      <c r="E15" s="270" t="s">
        <v>118</v>
      </c>
      <c r="F15" s="82" t="s">
        <v>62</v>
      </c>
      <c r="G15" s="124">
        <v>6.3373117689006345E-2</v>
      </c>
      <c r="H15" s="94" t="s">
        <v>472</v>
      </c>
      <c r="I15" s="94">
        <v>2.4</v>
      </c>
      <c r="J15" s="95" t="s">
        <v>848</v>
      </c>
      <c r="K15" s="41"/>
      <c r="L15" s="40"/>
      <c r="M15" s="40"/>
    </row>
    <row r="16" spans="1:42" s="39" customFormat="1" ht="18" customHeight="1" x14ac:dyDescent="0.3">
      <c r="A16" s="42"/>
      <c r="B16" s="509"/>
      <c r="C16" s="506"/>
      <c r="D16" s="92" t="s">
        <v>798</v>
      </c>
      <c r="E16" s="270" t="s">
        <v>118</v>
      </c>
      <c r="F16" s="82" t="s">
        <v>62</v>
      </c>
      <c r="G16" s="124">
        <v>8.7148437655235431E-2</v>
      </c>
      <c r="H16" s="94" t="s">
        <v>472</v>
      </c>
      <c r="I16" s="94">
        <v>2.4</v>
      </c>
      <c r="J16" s="95" t="s">
        <v>849</v>
      </c>
      <c r="K16" s="41"/>
      <c r="L16" s="40"/>
      <c r="M16" s="40"/>
    </row>
    <row r="17" spans="1:13" s="39" customFormat="1" ht="18" customHeight="1" x14ac:dyDescent="0.3">
      <c r="A17" s="42"/>
      <c r="B17" s="509"/>
      <c r="C17" s="506"/>
      <c r="D17" s="92" t="s">
        <v>799</v>
      </c>
      <c r="E17" s="270" t="s">
        <v>118</v>
      </c>
      <c r="F17" s="82" t="s">
        <v>62</v>
      </c>
      <c r="G17" s="124">
        <v>9.4176448798983056E-2</v>
      </c>
      <c r="H17" s="94" t="s">
        <v>472</v>
      </c>
      <c r="I17" s="94">
        <v>2.4</v>
      </c>
      <c r="J17" s="95" t="s">
        <v>850</v>
      </c>
      <c r="K17" s="41"/>
      <c r="L17" s="40"/>
      <c r="M17" s="40"/>
    </row>
    <row r="18" spans="1:13" s="39" customFormat="1" ht="18" customHeight="1" x14ac:dyDescent="0.3">
      <c r="A18" s="42"/>
      <c r="B18" s="509"/>
      <c r="C18" s="506"/>
      <c r="D18" s="92" t="s">
        <v>800</v>
      </c>
      <c r="E18" s="270" t="s">
        <v>118</v>
      </c>
      <c r="F18" s="82" t="s">
        <v>62</v>
      </c>
      <c r="G18" s="124">
        <v>0.10106203384050846</v>
      </c>
      <c r="H18" s="94" t="s">
        <v>472</v>
      </c>
      <c r="I18" s="94">
        <v>2.4</v>
      </c>
      <c r="J18" s="95" t="s">
        <v>851</v>
      </c>
      <c r="K18" s="41"/>
      <c r="L18" s="40"/>
      <c r="M18" s="40"/>
    </row>
    <row r="19" spans="1:13" s="39" customFormat="1" ht="18" customHeight="1" x14ac:dyDescent="0.3">
      <c r="A19" s="42"/>
      <c r="B19" s="509"/>
      <c r="C19" s="506"/>
      <c r="D19" s="92" t="s">
        <v>801</v>
      </c>
      <c r="E19" s="270" t="s">
        <v>118</v>
      </c>
      <c r="F19" s="82" t="s">
        <v>62</v>
      </c>
      <c r="G19" s="124">
        <v>0.10868251073949689</v>
      </c>
      <c r="H19" s="94" t="s">
        <v>472</v>
      </c>
      <c r="I19" s="94">
        <v>2.4</v>
      </c>
      <c r="J19" s="95" t="s">
        <v>852</v>
      </c>
      <c r="K19" s="41"/>
      <c r="L19" s="40"/>
      <c r="M19" s="40"/>
    </row>
    <row r="20" spans="1:13" s="39" customFormat="1" ht="18" customHeight="1" x14ac:dyDescent="0.3">
      <c r="A20" s="42"/>
      <c r="B20" s="509"/>
      <c r="C20" s="506"/>
      <c r="D20" s="92" t="s">
        <v>690</v>
      </c>
      <c r="E20" s="270" t="s">
        <v>118</v>
      </c>
      <c r="F20" s="82" t="s">
        <v>62</v>
      </c>
      <c r="G20" s="124">
        <v>0.11548180315078208</v>
      </c>
      <c r="H20" s="94" t="s">
        <v>472</v>
      </c>
      <c r="I20" s="94">
        <v>2.4</v>
      </c>
      <c r="J20" s="95" t="s">
        <v>853</v>
      </c>
      <c r="K20" s="41"/>
      <c r="L20" s="40"/>
      <c r="M20" s="40"/>
    </row>
    <row r="21" spans="1:13" s="39" customFormat="1" ht="18" customHeight="1" x14ac:dyDescent="0.3">
      <c r="A21" s="42"/>
      <c r="B21" s="509"/>
      <c r="C21" s="506"/>
      <c r="D21" s="92" t="s">
        <v>691</v>
      </c>
      <c r="E21" s="270" t="s">
        <v>118</v>
      </c>
      <c r="F21" s="82" t="s">
        <v>62</v>
      </c>
      <c r="G21" s="124">
        <v>0.12229033916473796</v>
      </c>
      <c r="H21" s="94" t="s">
        <v>472</v>
      </c>
      <c r="I21" s="94">
        <v>2.4</v>
      </c>
      <c r="J21" s="95" t="s">
        <v>854</v>
      </c>
      <c r="K21" s="41"/>
      <c r="L21" s="40"/>
      <c r="M21" s="40"/>
    </row>
    <row r="22" spans="1:13" s="39" customFormat="1" ht="18" customHeight="1" x14ac:dyDescent="0.3">
      <c r="A22" s="42"/>
      <c r="B22" s="509"/>
      <c r="C22" s="506"/>
      <c r="D22" s="92" t="s">
        <v>692</v>
      </c>
      <c r="E22" s="270" t="s">
        <v>118</v>
      </c>
      <c r="F22" s="82" t="s">
        <v>62</v>
      </c>
      <c r="G22" s="124">
        <v>0.13417238358255332</v>
      </c>
      <c r="H22" s="94" t="s">
        <v>472</v>
      </c>
      <c r="I22" s="94">
        <v>2.4</v>
      </c>
      <c r="J22" s="95" t="s">
        <v>855</v>
      </c>
      <c r="K22" s="41"/>
      <c r="L22" s="40"/>
      <c r="M22" s="40"/>
    </row>
    <row r="23" spans="1:13" s="39" customFormat="1" ht="18" customHeight="1" x14ac:dyDescent="0.3">
      <c r="A23" s="42"/>
      <c r="B23" s="509"/>
      <c r="C23" s="506"/>
      <c r="D23" s="92" t="s">
        <v>693</v>
      </c>
      <c r="E23" s="270" t="s">
        <v>118</v>
      </c>
      <c r="F23" s="82" t="s">
        <v>62</v>
      </c>
      <c r="G23" s="124">
        <v>0.14433624526231445</v>
      </c>
      <c r="H23" s="94" t="s">
        <v>472</v>
      </c>
      <c r="I23" s="94">
        <v>2.4</v>
      </c>
      <c r="J23" s="95" t="s">
        <v>856</v>
      </c>
      <c r="K23" s="41"/>
      <c r="L23" s="40"/>
      <c r="M23" s="40"/>
    </row>
    <row r="24" spans="1:13" s="39" customFormat="1" ht="18" customHeight="1" x14ac:dyDescent="0.3">
      <c r="A24" s="42"/>
      <c r="B24" s="509"/>
      <c r="C24" s="506"/>
      <c r="D24" s="92" t="s">
        <v>694</v>
      </c>
      <c r="E24" s="270" t="s">
        <v>118</v>
      </c>
      <c r="F24" s="82" t="s">
        <v>62</v>
      </c>
      <c r="G24" s="124">
        <v>0.15447090494319499</v>
      </c>
      <c r="H24" s="94" t="s">
        <v>472</v>
      </c>
      <c r="I24" s="94">
        <v>2.4</v>
      </c>
      <c r="J24" s="95" t="s">
        <v>857</v>
      </c>
      <c r="K24" s="41"/>
      <c r="L24" s="40"/>
      <c r="M24" s="40"/>
    </row>
    <row r="25" spans="1:13" s="39" customFormat="1" ht="18" customHeight="1" x14ac:dyDescent="0.3">
      <c r="A25" s="42"/>
      <c r="B25" s="509"/>
      <c r="C25" s="506"/>
      <c r="D25" s="92" t="s">
        <v>802</v>
      </c>
      <c r="E25" s="270" t="s">
        <v>118</v>
      </c>
      <c r="F25" s="82" t="s">
        <v>62</v>
      </c>
      <c r="G25" s="305">
        <v>6.5253811774683548E-2</v>
      </c>
      <c r="H25" s="94" t="s">
        <v>472</v>
      </c>
      <c r="I25" s="94">
        <v>2.4</v>
      </c>
      <c r="J25" s="95" t="s">
        <v>858</v>
      </c>
      <c r="K25" s="41"/>
      <c r="L25" s="40"/>
      <c r="M25" s="40"/>
    </row>
    <row r="26" spans="1:13" s="39" customFormat="1" ht="18" customHeight="1" x14ac:dyDescent="0.3">
      <c r="A26" s="42"/>
      <c r="B26" s="509"/>
      <c r="C26" s="506"/>
      <c r="D26" s="92" t="s">
        <v>803</v>
      </c>
      <c r="E26" s="270" t="s">
        <v>118</v>
      </c>
      <c r="F26" s="82" t="s">
        <v>62</v>
      </c>
      <c r="G26" s="305">
        <v>8.9863537242822103E-2</v>
      </c>
      <c r="H26" s="94" t="s">
        <v>472</v>
      </c>
      <c r="I26" s="94">
        <v>2.4</v>
      </c>
      <c r="J26" s="95" t="s">
        <v>859</v>
      </c>
      <c r="K26" s="41"/>
      <c r="L26" s="40"/>
      <c r="M26" s="40"/>
    </row>
    <row r="27" spans="1:13" s="39" customFormat="1" ht="18" customHeight="1" x14ac:dyDescent="0.3">
      <c r="A27" s="42"/>
      <c r="B27" s="509"/>
      <c r="C27" s="506"/>
      <c r="D27" s="92" t="s">
        <v>804</v>
      </c>
      <c r="E27" s="270" t="s">
        <v>118</v>
      </c>
      <c r="F27" s="82" t="s">
        <v>62</v>
      </c>
      <c r="G27" s="305">
        <v>9.7012842995443035E-2</v>
      </c>
      <c r="H27" s="94" t="s">
        <v>472</v>
      </c>
      <c r="I27" s="94">
        <v>2.4</v>
      </c>
      <c r="J27" s="95" t="s">
        <v>860</v>
      </c>
      <c r="K27" s="41"/>
      <c r="L27" s="40"/>
      <c r="M27" s="40"/>
    </row>
    <row r="28" spans="1:13" s="39" customFormat="1" ht="18" customHeight="1" x14ac:dyDescent="0.3">
      <c r="A28" s="42"/>
      <c r="B28" s="509"/>
      <c r="C28" s="506"/>
      <c r="D28" s="92" t="s">
        <v>805</v>
      </c>
      <c r="E28" s="270" t="s">
        <v>118</v>
      </c>
      <c r="F28" s="82" t="s">
        <v>62</v>
      </c>
      <c r="G28" s="305">
        <v>0.10410197846396624</v>
      </c>
      <c r="H28" s="94" t="s">
        <v>472</v>
      </c>
      <c r="I28" s="94">
        <v>2.4</v>
      </c>
      <c r="J28" s="95" t="s">
        <v>861</v>
      </c>
      <c r="K28" s="41"/>
      <c r="L28" s="40"/>
      <c r="M28" s="40"/>
    </row>
    <row r="29" spans="1:13" s="39" customFormat="1" ht="18" customHeight="1" x14ac:dyDescent="0.3">
      <c r="A29" s="42"/>
      <c r="B29" s="509"/>
      <c r="C29" s="506"/>
      <c r="D29" s="92" t="s">
        <v>806</v>
      </c>
      <c r="E29" s="270" t="s">
        <v>118</v>
      </c>
      <c r="F29" s="82" t="s">
        <v>62</v>
      </c>
      <c r="G29" s="305">
        <v>0.11170667452850003</v>
      </c>
      <c r="H29" s="94" t="s">
        <v>472</v>
      </c>
      <c r="I29" s="94">
        <v>2.4</v>
      </c>
      <c r="J29" s="95" t="s">
        <v>862</v>
      </c>
      <c r="K29" s="41"/>
      <c r="L29" s="40"/>
      <c r="M29" s="40"/>
    </row>
    <row r="30" spans="1:13" s="39" customFormat="1" ht="18" customHeight="1" x14ac:dyDescent="0.3">
      <c r="A30" s="42"/>
      <c r="B30" s="509"/>
      <c r="C30" s="506"/>
      <c r="D30" s="92" t="s">
        <v>695</v>
      </c>
      <c r="E30" s="270" t="s">
        <v>118</v>
      </c>
      <c r="F30" s="82" t="s">
        <v>62</v>
      </c>
      <c r="G30" s="305">
        <v>0.11874165604416667</v>
      </c>
      <c r="H30" s="94" t="s">
        <v>472</v>
      </c>
      <c r="I30" s="94">
        <v>2.4</v>
      </c>
      <c r="J30" s="95" t="s">
        <v>863</v>
      </c>
      <c r="K30" s="41"/>
      <c r="L30" s="40"/>
      <c r="M30" s="40"/>
    </row>
    <row r="31" spans="1:13" s="39" customFormat="1" ht="18" customHeight="1" x14ac:dyDescent="0.3">
      <c r="A31" s="42"/>
      <c r="B31" s="509"/>
      <c r="C31" s="506"/>
      <c r="D31" s="92" t="s">
        <v>696</v>
      </c>
      <c r="E31" s="270" t="s">
        <v>118</v>
      </c>
      <c r="F31" s="82" t="s">
        <v>62</v>
      </c>
      <c r="G31" s="305">
        <v>0.12574710021083335</v>
      </c>
      <c r="H31" s="94" t="s">
        <v>472</v>
      </c>
      <c r="I31" s="94">
        <v>2.4</v>
      </c>
      <c r="J31" s="95" t="s">
        <v>864</v>
      </c>
      <c r="K31" s="41"/>
      <c r="L31" s="40"/>
      <c r="M31" s="40"/>
    </row>
    <row r="32" spans="1:13" s="39" customFormat="1" ht="18" customHeight="1" x14ac:dyDescent="0.3">
      <c r="A32" s="42"/>
      <c r="B32" s="509"/>
      <c r="C32" s="506"/>
      <c r="D32" s="92" t="s">
        <v>697</v>
      </c>
      <c r="E32" s="270" t="s">
        <v>118</v>
      </c>
      <c r="F32" s="82" t="s">
        <v>62</v>
      </c>
      <c r="G32" s="305">
        <v>0.13798201304499999</v>
      </c>
      <c r="H32" s="94" t="s">
        <v>472</v>
      </c>
      <c r="I32" s="94">
        <v>2.4</v>
      </c>
      <c r="J32" s="95" t="s">
        <v>865</v>
      </c>
      <c r="K32" s="41"/>
      <c r="L32" s="40"/>
      <c r="M32" s="40"/>
    </row>
    <row r="33" spans="1:15" s="39" customFormat="1" ht="18" customHeight="1" x14ac:dyDescent="0.3">
      <c r="A33" s="42"/>
      <c r="B33" s="509"/>
      <c r="C33" s="506"/>
      <c r="D33" s="92" t="s">
        <v>698</v>
      </c>
      <c r="E33" s="270" t="s">
        <v>118</v>
      </c>
      <c r="F33" s="82" t="s">
        <v>62</v>
      </c>
      <c r="G33" s="305">
        <v>0.14846310339175001</v>
      </c>
      <c r="H33" s="94" t="s">
        <v>472</v>
      </c>
      <c r="I33" s="94">
        <v>2.4</v>
      </c>
      <c r="J33" s="95" t="s">
        <v>866</v>
      </c>
      <c r="K33" s="41"/>
      <c r="L33" s="40"/>
      <c r="M33" s="40"/>
    </row>
    <row r="34" spans="1:15" s="39" customFormat="1" ht="18" customHeight="1" x14ac:dyDescent="0.3">
      <c r="A34" s="42"/>
      <c r="B34" s="509"/>
      <c r="C34" s="506"/>
      <c r="D34" s="92" t="s">
        <v>699</v>
      </c>
      <c r="E34" s="270" t="s">
        <v>118</v>
      </c>
      <c r="F34" s="82" t="s">
        <v>62</v>
      </c>
      <c r="G34" s="305">
        <v>0.15896683903940001</v>
      </c>
      <c r="H34" s="94" t="s">
        <v>472</v>
      </c>
      <c r="I34" s="94">
        <v>2.4</v>
      </c>
      <c r="J34" s="95" t="s">
        <v>867</v>
      </c>
      <c r="K34" s="41"/>
      <c r="L34" s="40"/>
      <c r="M34" s="40"/>
    </row>
    <row r="35" spans="1:15" customFormat="1" ht="30" customHeight="1" x14ac:dyDescent="0.3">
      <c r="A35" s="34"/>
      <c r="B35" s="509"/>
      <c r="C35" s="506"/>
      <c r="D35" s="92" t="s">
        <v>807</v>
      </c>
      <c r="E35" s="270" t="s">
        <v>118</v>
      </c>
      <c r="F35" s="82" t="s">
        <v>62</v>
      </c>
      <c r="G35" s="124">
        <v>5.6976097708405081E-2</v>
      </c>
      <c r="H35" s="94" t="s">
        <v>472</v>
      </c>
      <c r="I35" s="94">
        <v>2.4</v>
      </c>
      <c r="J35" s="95" t="s">
        <v>868</v>
      </c>
      <c r="K35" s="103"/>
      <c r="L35" s="104"/>
      <c r="M35" s="104"/>
      <c r="O35" s="39"/>
    </row>
    <row r="36" spans="1:15" customFormat="1" ht="30" customHeight="1" x14ac:dyDescent="0.3">
      <c r="A36" s="34"/>
      <c r="B36" s="509"/>
      <c r="C36" s="506"/>
      <c r="D36" s="92" t="s">
        <v>808</v>
      </c>
      <c r="E36" s="270" t="s">
        <v>118</v>
      </c>
      <c r="F36" s="82" t="s">
        <v>62</v>
      </c>
      <c r="G36" s="124">
        <v>7.7519340032489475E-2</v>
      </c>
      <c r="H36" s="94" t="s">
        <v>472</v>
      </c>
      <c r="I36" s="94">
        <v>2.4</v>
      </c>
      <c r="J36" s="95" t="s">
        <v>869</v>
      </c>
      <c r="K36" s="103"/>
      <c r="L36" s="104"/>
      <c r="M36" s="104"/>
      <c r="O36" s="39"/>
    </row>
    <row r="37" spans="1:15" customFormat="1" ht="30" customHeight="1" x14ac:dyDescent="0.3">
      <c r="A37" s="34"/>
      <c r="B37" s="509"/>
      <c r="C37" s="506"/>
      <c r="D37" s="92" t="s">
        <v>809</v>
      </c>
      <c r="E37" s="270" t="s">
        <v>118</v>
      </c>
      <c r="F37" s="82" t="s">
        <v>62</v>
      </c>
      <c r="G37" s="124">
        <v>8.3705088661670882E-2</v>
      </c>
      <c r="H37" s="94" t="s">
        <v>472</v>
      </c>
      <c r="I37" s="94">
        <v>2.4</v>
      </c>
      <c r="J37" s="95" t="s">
        <v>870</v>
      </c>
      <c r="K37" s="103"/>
      <c r="L37" s="104"/>
      <c r="M37" s="104"/>
      <c r="O37" s="39"/>
    </row>
    <row r="38" spans="1:15" customFormat="1" ht="30" customHeight="1" x14ac:dyDescent="0.3">
      <c r="A38" s="34"/>
      <c r="B38" s="509"/>
      <c r="C38" s="506"/>
      <c r="D38" s="92" t="s">
        <v>810</v>
      </c>
      <c r="E38" s="270" t="s">
        <v>118</v>
      </c>
      <c r="F38" s="82" t="s">
        <v>62</v>
      </c>
      <c r="G38" s="124">
        <v>8.9360574335858825E-2</v>
      </c>
      <c r="H38" s="94" t="s">
        <v>472</v>
      </c>
      <c r="I38" s="94">
        <v>2.4</v>
      </c>
      <c r="J38" s="95" t="s">
        <v>871</v>
      </c>
      <c r="K38" s="103"/>
      <c r="L38" s="104"/>
      <c r="M38" s="104"/>
      <c r="O38" s="39"/>
    </row>
    <row r="39" spans="1:15" customFormat="1" ht="30" customHeight="1" x14ac:dyDescent="0.3">
      <c r="A39" s="34"/>
      <c r="B39" s="509"/>
      <c r="C39" s="506"/>
      <c r="D39" s="92" t="s">
        <v>811</v>
      </c>
      <c r="E39" s="270" t="s">
        <v>118</v>
      </c>
      <c r="F39" s="82" t="s">
        <v>62</v>
      </c>
      <c r="G39" s="124">
        <v>9.6167195367179992E-2</v>
      </c>
      <c r="H39" s="94" t="s">
        <v>472</v>
      </c>
      <c r="I39" s="94">
        <v>2.4</v>
      </c>
      <c r="J39" s="95" t="s">
        <v>872</v>
      </c>
      <c r="K39" s="34"/>
      <c r="O39" s="39"/>
    </row>
    <row r="40" spans="1:15" customFormat="1" ht="30" customHeight="1" x14ac:dyDescent="0.3">
      <c r="A40" s="34"/>
      <c r="B40" s="509"/>
      <c r="C40" s="506"/>
      <c r="D40" s="92" t="s">
        <v>700</v>
      </c>
      <c r="E40" s="270" t="s">
        <v>118</v>
      </c>
      <c r="F40" s="82" t="s">
        <v>62</v>
      </c>
      <c r="G40" s="124">
        <v>0.1024255647525</v>
      </c>
      <c r="H40" s="94" t="s">
        <v>472</v>
      </c>
      <c r="I40" s="94">
        <v>2.4</v>
      </c>
      <c r="J40" s="95" t="s">
        <v>873</v>
      </c>
      <c r="K40" s="34"/>
      <c r="O40" s="39"/>
    </row>
    <row r="41" spans="1:15" s="39" customFormat="1" ht="30" customHeight="1" x14ac:dyDescent="0.3">
      <c r="A41" s="42"/>
      <c r="B41" s="509"/>
      <c r="C41" s="506"/>
      <c r="D41" s="92" t="s">
        <v>701</v>
      </c>
      <c r="E41" s="270" t="s">
        <v>118</v>
      </c>
      <c r="F41" s="82" t="s">
        <v>62</v>
      </c>
      <c r="G41" s="124">
        <v>0.10846002690249999</v>
      </c>
      <c r="H41" s="94" t="s">
        <v>472</v>
      </c>
      <c r="I41" s="94">
        <v>2.4</v>
      </c>
      <c r="J41" s="95" t="s">
        <v>874</v>
      </c>
      <c r="K41" s="41"/>
      <c r="L41" s="40"/>
      <c r="M41" s="40"/>
    </row>
    <row r="42" spans="1:15" customFormat="1" ht="30" customHeight="1" x14ac:dyDescent="0.3">
      <c r="A42" s="34"/>
      <c r="B42" s="509"/>
      <c r="C42" s="506"/>
      <c r="D42" s="92" t="s">
        <v>702</v>
      </c>
      <c r="E42" s="270" t="s">
        <v>118</v>
      </c>
      <c r="F42" s="82" t="s">
        <v>62</v>
      </c>
      <c r="G42" s="124">
        <v>0.11899572120750002</v>
      </c>
      <c r="H42" s="94" t="s">
        <v>472</v>
      </c>
      <c r="I42" s="94">
        <v>2.4</v>
      </c>
      <c r="J42" s="95" t="s">
        <v>875</v>
      </c>
      <c r="K42" s="103"/>
      <c r="L42" s="104"/>
      <c r="M42" s="104"/>
      <c r="O42" s="39"/>
    </row>
    <row r="43" spans="1:15" customFormat="1" ht="30" customHeight="1" x14ac:dyDescent="0.3">
      <c r="A43" s="34"/>
      <c r="B43" s="509"/>
      <c r="C43" s="506"/>
      <c r="D43" s="92" t="s">
        <v>703</v>
      </c>
      <c r="E43" s="270" t="s">
        <v>118</v>
      </c>
      <c r="F43" s="82" t="s">
        <v>62</v>
      </c>
      <c r="G43" s="124">
        <v>0.12952895406675</v>
      </c>
      <c r="H43" s="94" t="s">
        <v>472</v>
      </c>
      <c r="I43" s="94">
        <v>2.4</v>
      </c>
      <c r="J43" s="95" t="s">
        <v>876</v>
      </c>
      <c r="K43" s="103"/>
      <c r="L43" s="104"/>
      <c r="M43" s="104"/>
      <c r="O43" s="39"/>
    </row>
    <row r="44" spans="1:15" customFormat="1" ht="30" customHeight="1" x14ac:dyDescent="0.3">
      <c r="A44" s="34"/>
      <c r="B44" s="509"/>
      <c r="C44" s="506"/>
      <c r="D44" s="92" t="s">
        <v>704</v>
      </c>
      <c r="E44" s="270" t="s">
        <v>118</v>
      </c>
      <c r="F44" s="82" t="s">
        <v>62</v>
      </c>
      <c r="G44" s="124">
        <v>0.141114412498374</v>
      </c>
      <c r="H44" s="94" t="s">
        <v>472</v>
      </c>
      <c r="I44" s="94">
        <v>2.4</v>
      </c>
      <c r="J44" s="95" t="s">
        <v>877</v>
      </c>
      <c r="K44" s="103"/>
      <c r="L44" s="104"/>
      <c r="M44" s="104"/>
      <c r="O44" s="39"/>
    </row>
    <row r="45" spans="1:15" customFormat="1" ht="30" customHeight="1" x14ac:dyDescent="0.3">
      <c r="A45" s="34"/>
      <c r="B45" s="509"/>
      <c r="C45" s="506"/>
      <c r="D45" s="92" t="s">
        <v>812</v>
      </c>
      <c r="E45" s="270" t="s">
        <v>118</v>
      </c>
      <c r="F45" s="82" t="s">
        <v>62</v>
      </c>
      <c r="G45" s="124">
        <v>5.1638866373037981E-2</v>
      </c>
      <c r="H45" s="94" t="s">
        <v>472</v>
      </c>
      <c r="I45" s="94">
        <v>2.4</v>
      </c>
      <c r="J45" s="95" t="s">
        <v>878</v>
      </c>
      <c r="K45" s="103"/>
      <c r="L45" s="104"/>
      <c r="M45" s="104"/>
      <c r="O45" s="39"/>
    </row>
    <row r="46" spans="1:15" customFormat="1" ht="30" customHeight="1" x14ac:dyDescent="0.3">
      <c r="A46" s="34"/>
      <c r="B46" s="509"/>
      <c r="C46" s="506"/>
      <c r="D46" s="92" t="s">
        <v>813</v>
      </c>
      <c r="E46" s="270" t="s">
        <v>118</v>
      </c>
      <c r="F46" s="82" t="s">
        <v>62</v>
      </c>
      <c r="G46" s="124">
        <v>7.0050147460755885E-2</v>
      </c>
      <c r="H46" s="94" t="s">
        <v>472</v>
      </c>
      <c r="I46" s="94">
        <v>2.4</v>
      </c>
      <c r="J46" s="95" t="s">
        <v>879</v>
      </c>
      <c r="K46" s="103"/>
      <c r="L46" s="104"/>
      <c r="M46" s="104"/>
      <c r="O46" s="39"/>
    </row>
    <row r="47" spans="1:15" customFormat="1" ht="30" customHeight="1" x14ac:dyDescent="0.3">
      <c r="A47" s="34"/>
      <c r="B47" s="509"/>
      <c r="C47" s="506"/>
      <c r="D47" s="92" t="s">
        <v>814</v>
      </c>
      <c r="E47" s="270" t="s">
        <v>118</v>
      </c>
      <c r="F47" s="82" t="s">
        <v>62</v>
      </c>
      <c r="G47" s="124">
        <v>7.5333619691037995E-2</v>
      </c>
      <c r="H47" s="94" t="s">
        <v>472</v>
      </c>
      <c r="I47" s="94">
        <v>2.4</v>
      </c>
      <c r="J47" s="95" t="s">
        <v>880</v>
      </c>
      <c r="K47" s="103"/>
      <c r="L47" s="104"/>
      <c r="M47" s="104"/>
      <c r="O47" s="39"/>
    </row>
    <row r="48" spans="1:15" customFormat="1" ht="30" customHeight="1" x14ac:dyDescent="0.3">
      <c r="A48" s="34"/>
      <c r="B48" s="509"/>
      <c r="C48" s="506"/>
      <c r="D48" s="92" t="s">
        <v>815</v>
      </c>
      <c r="E48" s="270" t="s">
        <v>118</v>
      </c>
      <c r="F48" s="82" t="s">
        <v>62</v>
      </c>
      <c r="G48" s="124">
        <v>8.0625874370362866E-2</v>
      </c>
      <c r="H48" s="94" t="s">
        <v>472</v>
      </c>
      <c r="I48" s="94">
        <v>2.4</v>
      </c>
      <c r="J48" s="95" t="s">
        <v>881</v>
      </c>
      <c r="K48" s="103"/>
      <c r="L48" s="104"/>
      <c r="M48" s="104"/>
      <c r="O48" s="39"/>
    </row>
    <row r="49" spans="1:15" customFormat="1" ht="30" customHeight="1" x14ac:dyDescent="0.3">
      <c r="A49" s="34"/>
      <c r="B49" s="509"/>
      <c r="C49" s="506"/>
      <c r="D49" s="92" t="s">
        <v>816</v>
      </c>
      <c r="E49" s="270" t="s">
        <v>118</v>
      </c>
      <c r="F49" s="82" t="s">
        <v>62</v>
      </c>
      <c r="G49" s="124">
        <v>8.7005152427962196E-2</v>
      </c>
      <c r="H49" s="94" t="s">
        <v>472</v>
      </c>
      <c r="I49" s="94">
        <v>2.4</v>
      </c>
      <c r="J49" s="95" t="s">
        <v>882</v>
      </c>
      <c r="K49" s="103"/>
      <c r="L49" s="104"/>
      <c r="M49" s="104"/>
      <c r="O49" s="39"/>
    </row>
    <row r="50" spans="1:15" customFormat="1" ht="30" customHeight="1" x14ac:dyDescent="0.3">
      <c r="A50" s="34"/>
      <c r="B50" s="509"/>
      <c r="C50" s="506"/>
      <c r="D50" s="92" t="s">
        <v>705</v>
      </c>
      <c r="E50" s="270" t="s">
        <v>118</v>
      </c>
      <c r="F50" s="82" t="s">
        <v>62</v>
      </c>
      <c r="G50" s="124">
        <v>9.2281169224327747E-2</v>
      </c>
      <c r="H50" s="94" t="s">
        <v>472</v>
      </c>
      <c r="I50" s="94">
        <v>2.4</v>
      </c>
      <c r="J50" s="95" t="s">
        <v>883</v>
      </c>
      <c r="K50" s="103"/>
      <c r="L50" s="104"/>
      <c r="M50" s="104"/>
      <c r="O50" s="39"/>
    </row>
    <row r="51" spans="1:15" customFormat="1" ht="30" customHeight="1" x14ac:dyDescent="0.3">
      <c r="A51" s="34"/>
      <c r="B51" s="509"/>
      <c r="C51" s="506"/>
      <c r="D51" s="92" t="s">
        <v>706</v>
      </c>
      <c r="E51" s="270" t="s">
        <v>118</v>
      </c>
      <c r="F51" s="82" t="s">
        <v>62</v>
      </c>
      <c r="G51" s="124">
        <v>9.7850839605882353E-2</v>
      </c>
      <c r="H51" s="94" t="s">
        <v>472</v>
      </c>
      <c r="I51" s="94">
        <v>2.4</v>
      </c>
      <c r="J51" s="95" t="s">
        <v>884</v>
      </c>
      <c r="K51" s="103"/>
      <c r="L51" s="104"/>
      <c r="M51" s="104"/>
      <c r="O51" s="39"/>
    </row>
    <row r="52" spans="1:15" customFormat="1" ht="30" customHeight="1" x14ac:dyDescent="0.3">
      <c r="A52" s="34"/>
      <c r="B52" s="509"/>
      <c r="C52" s="506"/>
      <c r="D52" s="92" t="s">
        <v>707</v>
      </c>
      <c r="E52" s="270" t="s">
        <v>118</v>
      </c>
      <c r="F52" s="82" t="s">
        <v>62</v>
      </c>
      <c r="G52" s="124">
        <v>0.10813692370336135</v>
      </c>
      <c r="H52" s="94" t="s">
        <v>472</v>
      </c>
      <c r="I52" s="94">
        <v>2.4</v>
      </c>
      <c r="J52" s="95" t="s">
        <v>885</v>
      </c>
      <c r="K52" s="103"/>
      <c r="L52" s="104"/>
      <c r="M52" s="104"/>
      <c r="O52" s="39"/>
    </row>
    <row r="53" spans="1:15" customFormat="1" ht="30" customHeight="1" x14ac:dyDescent="0.3">
      <c r="A53" s="34"/>
      <c r="B53" s="509"/>
      <c r="C53" s="506"/>
      <c r="D53" s="92" t="s">
        <v>708</v>
      </c>
      <c r="E53" s="270" t="s">
        <v>118</v>
      </c>
      <c r="F53" s="82" t="s">
        <v>62</v>
      </c>
      <c r="G53" s="124">
        <v>0.11461794314826301</v>
      </c>
      <c r="H53" s="94" t="s">
        <v>472</v>
      </c>
      <c r="I53" s="94">
        <v>2.4</v>
      </c>
      <c r="J53" s="95" t="s">
        <v>886</v>
      </c>
      <c r="K53" s="103"/>
      <c r="L53" s="104"/>
      <c r="M53" s="104"/>
      <c r="O53" s="39"/>
    </row>
    <row r="54" spans="1:15" customFormat="1" ht="30" customHeight="1" x14ac:dyDescent="0.3">
      <c r="A54" s="34"/>
      <c r="B54" s="509"/>
      <c r="C54" s="506"/>
      <c r="D54" s="92" t="s">
        <v>709</v>
      </c>
      <c r="E54" s="270" t="s">
        <v>118</v>
      </c>
      <c r="F54" s="82" t="s">
        <v>62</v>
      </c>
      <c r="G54" s="124">
        <v>0.12245617649812941</v>
      </c>
      <c r="H54" s="94" t="s">
        <v>472</v>
      </c>
      <c r="I54" s="94">
        <v>2.4</v>
      </c>
      <c r="J54" s="95" t="s">
        <v>887</v>
      </c>
      <c r="K54" s="103"/>
      <c r="L54" s="104"/>
      <c r="M54" s="104"/>
      <c r="O54" s="39"/>
    </row>
    <row r="55" spans="1:15" customFormat="1" ht="30" customHeight="1" x14ac:dyDescent="0.3">
      <c r="A55" s="34"/>
      <c r="B55" s="509"/>
      <c r="C55" s="506"/>
      <c r="D55" s="92" t="s">
        <v>817</v>
      </c>
      <c r="E55" s="270" t="s">
        <v>118</v>
      </c>
      <c r="F55" s="82" t="s">
        <v>62</v>
      </c>
      <c r="G55" s="124">
        <v>5.2510908033696208E-2</v>
      </c>
      <c r="H55" s="94" t="s">
        <v>472</v>
      </c>
      <c r="I55" s="94">
        <v>2.4</v>
      </c>
      <c r="J55" s="95" t="s">
        <v>888</v>
      </c>
      <c r="K55" s="103"/>
      <c r="L55" s="104"/>
      <c r="M55" s="104"/>
      <c r="O55" s="39"/>
    </row>
    <row r="56" spans="1:15" customFormat="1" ht="30" customHeight="1" x14ac:dyDescent="0.3">
      <c r="A56" s="34"/>
      <c r="B56" s="509"/>
      <c r="C56" s="506"/>
      <c r="D56" s="92" t="s">
        <v>818</v>
      </c>
      <c r="E56" s="270" t="s">
        <v>118</v>
      </c>
      <c r="F56" s="82" t="s">
        <v>62</v>
      </c>
      <c r="G56" s="124">
        <v>7.258674272536135E-2</v>
      </c>
      <c r="H56" s="94" t="s">
        <v>472</v>
      </c>
      <c r="I56" s="94">
        <v>2.4</v>
      </c>
      <c r="J56" s="95" t="s">
        <v>889</v>
      </c>
      <c r="K56" s="103"/>
      <c r="L56" s="104"/>
      <c r="M56" s="104"/>
      <c r="O56" s="39"/>
    </row>
    <row r="57" spans="1:15" customFormat="1" ht="30" customHeight="1" x14ac:dyDescent="0.3">
      <c r="A57" s="34"/>
      <c r="B57" s="509"/>
      <c r="C57" s="506"/>
      <c r="D57" s="92" t="s">
        <v>819</v>
      </c>
      <c r="E57" s="270" t="s">
        <v>118</v>
      </c>
      <c r="F57" s="82" t="s">
        <v>62</v>
      </c>
      <c r="G57" s="124">
        <v>7.9059197586207594E-2</v>
      </c>
      <c r="H57" s="94" t="s">
        <v>472</v>
      </c>
      <c r="I57" s="94">
        <v>2.4</v>
      </c>
      <c r="J57" s="95" t="s">
        <v>890</v>
      </c>
      <c r="K57" s="103"/>
      <c r="L57" s="104"/>
      <c r="M57" s="104"/>
      <c r="O57" s="39"/>
    </row>
    <row r="58" spans="1:15" customFormat="1" ht="30" customHeight="1" x14ac:dyDescent="0.3">
      <c r="A58" s="34"/>
      <c r="B58" s="509"/>
      <c r="C58" s="506"/>
      <c r="D58" s="92" t="s">
        <v>820</v>
      </c>
      <c r="E58" s="270" t="s">
        <v>118</v>
      </c>
      <c r="F58" s="82" t="s">
        <v>62</v>
      </c>
      <c r="G58" s="124">
        <v>8.4660620936418546E-2</v>
      </c>
      <c r="H58" s="94" t="s">
        <v>472</v>
      </c>
      <c r="I58" s="94">
        <v>2.4</v>
      </c>
      <c r="J58" s="95" t="s">
        <v>891</v>
      </c>
      <c r="K58" s="103"/>
      <c r="L58" s="104"/>
      <c r="M58" s="104"/>
      <c r="O58" s="39"/>
    </row>
    <row r="59" spans="1:15" customFormat="1" ht="30" customHeight="1" x14ac:dyDescent="0.3">
      <c r="A59" s="34"/>
      <c r="B59" s="509"/>
      <c r="C59" s="506"/>
      <c r="D59" s="92" t="s">
        <v>821</v>
      </c>
      <c r="E59" s="270" t="s">
        <v>118</v>
      </c>
      <c r="F59" s="82" t="s">
        <v>62</v>
      </c>
      <c r="G59" s="124">
        <v>9.1406442980634439E-2</v>
      </c>
      <c r="H59" s="94" t="s">
        <v>472</v>
      </c>
      <c r="I59" s="94">
        <v>2.4</v>
      </c>
      <c r="J59" s="95" t="s">
        <v>892</v>
      </c>
      <c r="K59" s="103"/>
      <c r="L59" s="104"/>
      <c r="M59" s="104"/>
      <c r="O59" s="39"/>
    </row>
    <row r="60" spans="1:15" customFormat="1" ht="18" customHeight="1" x14ac:dyDescent="0.3">
      <c r="A60" s="34"/>
      <c r="B60" s="509"/>
      <c r="C60" s="506"/>
      <c r="D60" s="92" t="s">
        <v>710</v>
      </c>
      <c r="E60" s="270" t="s">
        <v>118</v>
      </c>
      <c r="F60" s="82" t="s">
        <v>62</v>
      </c>
      <c r="G60" s="124">
        <v>9.7075802526050414E-2</v>
      </c>
      <c r="H60" s="94" t="s">
        <v>472</v>
      </c>
      <c r="I60" s="94">
        <v>2.4</v>
      </c>
      <c r="J60" s="95" t="s">
        <v>893</v>
      </c>
      <c r="K60" s="103"/>
      <c r="L60" s="104"/>
      <c r="M60" s="104"/>
      <c r="O60" s="39"/>
    </row>
    <row r="61" spans="1:15" customFormat="1" ht="18" customHeight="1" x14ac:dyDescent="0.3">
      <c r="A61" s="34"/>
      <c r="B61" s="509"/>
      <c r="C61" s="506"/>
      <c r="D61" s="92" t="s">
        <v>711</v>
      </c>
      <c r="E61" s="270" t="s">
        <v>118</v>
      </c>
      <c r="F61" s="82" t="s">
        <v>62</v>
      </c>
      <c r="G61" s="124">
        <v>0.1044800785764706</v>
      </c>
      <c r="H61" s="94" t="s">
        <v>472</v>
      </c>
      <c r="I61" s="94">
        <v>2.4</v>
      </c>
      <c r="J61" s="95" t="s">
        <v>894</v>
      </c>
      <c r="K61" s="103"/>
      <c r="L61" s="104"/>
      <c r="M61" s="104"/>
      <c r="O61" s="39"/>
    </row>
    <row r="62" spans="1:15" customFormat="1" ht="18" customHeight="1" x14ac:dyDescent="0.3">
      <c r="A62" s="34"/>
      <c r="B62" s="509"/>
      <c r="C62" s="506"/>
      <c r="D62" s="92" t="s">
        <v>712</v>
      </c>
      <c r="E62" s="270" t="s">
        <v>118</v>
      </c>
      <c r="F62" s="82" t="s">
        <v>62</v>
      </c>
      <c r="G62" s="124">
        <v>0.11556167135042017</v>
      </c>
      <c r="H62" s="94" t="s">
        <v>472</v>
      </c>
      <c r="I62" s="94">
        <v>2.4</v>
      </c>
      <c r="J62" s="95" t="s">
        <v>895</v>
      </c>
      <c r="K62" s="103"/>
      <c r="L62" s="104"/>
      <c r="M62" s="104"/>
      <c r="O62" s="39"/>
    </row>
    <row r="63" spans="1:15" customFormat="1" ht="18" customHeight="1" x14ac:dyDescent="0.3">
      <c r="A63" s="34"/>
      <c r="B63" s="509"/>
      <c r="C63" s="506"/>
      <c r="D63" s="92" t="s">
        <v>713</v>
      </c>
      <c r="E63" s="270" t="s">
        <v>118</v>
      </c>
      <c r="F63" s="82" t="s">
        <v>62</v>
      </c>
      <c r="G63" s="124">
        <v>0.12254651295708655</v>
      </c>
      <c r="H63" s="94" t="s">
        <v>472</v>
      </c>
      <c r="I63" s="94">
        <v>2.4</v>
      </c>
      <c r="J63" s="95" t="s">
        <v>896</v>
      </c>
      <c r="K63" s="103"/>
      <c r="L63" s="104"/>
      <c r="M63" s="104"/>
      <c r="O63" s="39"/>
    </row>
    <row r="64" spans="1:15" customFormat="1" ht="18" customHeight="1" x14ac:dyDescent="0.3">
      <c r="A64" s="34"/>
      <c r="B64" s="509"/>
      <c r="C64" s="506"/>
      <c r="D64" s="92" t="s">
        <v>714</v>
      </c>
      <c r="E64" s="270" t="s">
        <v>118</v>
      </c>
      <c r="F64" s="82" t="s">
        <v>62</v>
      </c>
      <c r="G64" s="124">
        <v>0.13099463629224706</v>
      </c>
      <c r="H64" s="94" t="s">
        <v>472</v>
      </c>
      <c r="I64" s="94">
        <v>2.4</v>
      </c>
      <c r="J64" s="95" t="s">
        <v>897</v>
      </c>
      <c r="K64" s="103"/>
      <c r="L64" s="104"/>
      <c r="M64" s="104"/>
      <c r="O64" s="39"/>
    </row>
    <row r="65" spans="1:15" customFormat="1" ht="30" customHeight="1" x14ac:dyDescent="0.3">
      <c r="A65" s="34"/>
      <c r="B65" s="509"/>
      <c r="C65" s="506"/>
      <c r="D65" s="92" t="s">
        <v>822</v>
      </c>
      <c r="E65" s="270" t="s">
        <v>118</v>
      </c>
      <c r="F65" s="82" t="s">
        <v>62</v>
      </c>
      <c r="G65" s="124">
        <v>5.175591329172622E-2</v>
      </c>
      <c r="H65" s="94" t="s">
        <v>472</v>
      </c>
      <c r="I65" s="94">
        <v>2.4</v>
      </c>
      <c r="J65" s="95" t="s">
        <v>898</v>
      </c>
      <c r="K65" s="103"/>
      <c r="L65" s="104"/>
      <c r="M65" s="104"/>
      <c r="O65" s="39"/>
    </row>
    <row r="66" spans="1:15" customFormat="1" ht="30" customHeight="1" x14ac:dyDescent="0.3">
      <c r="A66" s="34"/>
      <c r="B66" s="509"/>
      <c r="C66" s="506"/>
      <c r="D66" s="92" t="s">
        <v>823</v>
      </c>
      <c r="E66" s="270" t="s">
        <v>118</v>
      </c>
      <c r="F66" s="82" t="s">
        <v>62</v>
      </c>
      <c r="G66" s="124">
        <v>6.9424711699929267E-2</v>
      </c>
      <c r="H66" s="94" t="s">
        <v>472</v>
      </c>
      <c r="I66" s="94">
        <v>2.4</v>
      </c>
      <c r="J66" s="95" t="s">
        <v>899</v>
      </c>
      <c r="K66" s="103"/>
      <c r="L66" s="104"/>
      <c r="M66" s="104"/>
      <c r="O66" s="39"/>
    </row>
    <row r="67" spans="1:15" customFormat="1" ht="30" customHeight="1" x14ac:dyDescent="0.3">
      <c r="A67" s="34"/>
      <c r="B67" s="509"/>
      <c r="C67" s="506"/>
      <c r="D67" s="92" t="s">
        <v>715</v>
      </c>
      <c r="E67" s="270" t="s">
        <v>118</v>
      </c>
      <c r="F67" s="82" t="s">
        <v>62</v>
      </c>
      <c r="G67" s="124">
        <v>7.6162830489915234E-2</v>
      </c>
      <c r="H67" s="94" t="s">
        <v>472</v>
      </c>
      <c r="I67" s="94">
        <v>2.4</v>
      </c>
      <c r="J67" s="95" t="s">
        <v>900</v>
      </c>
      <c r="K67" s="103"/>
      <c r="L67" s="104"/>
      <c r="M67" s="104"/>
      <c r="O67" s="39"/>
    </row>
    <row r="68" spans="1:15" customFormat="1" ht="30" customHeight="1" x14ac:dyDescent="0.3">
      <c r="A68" s="34"/>
      <c r="B68" s="509"/>
      <c r="C68" s="506"/>
      <c r="D68" s="92" t="s">
        <v>824</v>
      </c>
      <c r="E68" s="270" t="s">
        <v>118</v>
      </c>
      <c r="F68" s="82" t="s">
        <v>62</v>
      </c>
      <c r="G68" s="124">
        <v>8.1544840086311438E-2</v>
      </c>
      <c r="H68" s="94" t="s">
        <v>472</v>
      </c>
      <c r="I68" s="94">
        <v>2.4</v>
      </c>
      <c r="J68" s="95" t="s">
        <v>901</v>
      </c>
      <c r="K68" s="103"/>
      <c r="L68" s="104"/>
      <c r="M68" s="104"/>
      <c r="O68" s="39"/>
    </row>
    <row r="69" spans="1:15" customFormat="1" ht="30" customHeight="1" x14ac:dyDescent="0.3">
      <c r="A69" s="34"/>
      <c r="B69" s="509"/>
      <c r="C69" s="506"/>
      <c r="D69" s="92" t="s">
        <v>825</v>
      </c>
      <c r="E69" s="270" t="s">
        <v>118</v>
      </c>
      <c r="F69" s="82" t="s">
        <v>62</v>
      </c>
      <c r="G69" s="124">
        <v>8.8308109556207104E-2</v>
      </c>
      <c r="H69" s="94" t="s">
        <v>472</v>
      </c>
      <c r="I69" s="94">
        <v>2.4</v>
      </c>
      <c r="J69" s="95" t="s">
        <v>902</v>
      </c>
      <c r="K69" s="103"/>
      <c r="L69" s="104"/>
      <c r="M69" s="104"/>
      <c r="O69" s="39"/>
    </row>
    <row r="70" spans="1:15" customFormat="1" ht="18" customHeight="1" x14ac:dyDescent="0.3">
      <c r="A70" s="34"/>
      <c r="B70" s="509"/>
      <c r="C70" s="506"/>
      <c r="D70" s="92" t="s">
        <v>716</v>
      </c>
      <c r="E70" s="270" t="s">
        <v>118</v>
      </c>
      <c r="F70" s="82" t="s">
        <v>62</v>
      </c>
      <c r="G70" s="124">
        <v>9.3841159623306941E-2</v>
      </c>
      <c r="H70" s="94" t="s">
        <v>472</v>
      </c>
      <c r="I70" s="94">
        <v>2.4</v>
      </c>
      <c r="J70" s="95" t="s">
        <v>903</v>
      </c>
      <c r="K70" s="103"/>
      <c r="L70" s="104"/>
      <c r="M70" s="104"/>
      <c r="O70" s="39"/>
    </row>
    <row r="71" spans="1:15" customFormat="1" ht="18" customHeight="1" x14ac:dyDescent="0.3">
      <c r="A71" s="34"/>
      <c r="B71" s="509"/>
      <c r="C71" s="506"/>
      <c r="D71" s="92" t="s">
        <v>717</v>
      </c>
      <c r="E71" s="270" t="s">
        <v>118</v>
      </c>
      <c r="F71" s="82" t="s">
        <v>62</v>
      </c>
      <c r="G71" s="124">
        <v>0.10061259576317809</v>
      </c>
      <c r="H71" s="94" t="s">
        <v>472</v>
      </c>
      <c r="I71" s="94">
        <v>2.4</v>
      </c>
      <c r="J71" s="95" t="s">
        <v>904</v>
      </c>
      <c r="K71" s="103"/>
      <c r="L71" s="104"/>
      <c r="M71" s="104"/>
      <c r="O71" s="39"/>
    </row>
    <row r="72" spans="1:15" customFormat="1" ht="18" customHeight="1" x14ac:dyDescent="0.3">
      <c r="A72" s="34"/>
      <c r="B72" s="509"/>
      <c r="C72" s="506"/>
      <c r="D72" s="92" t="s">
        <v>718</v>
      </c>
      <c r="E72" s="270" t="s">
        <v>118</v>
      </c>
      <c r="F72" s="82" t="s">
        <v>62</v>
      </c>
      <c r="G72" s="124">
        <v>0.11277560227266062</v>
      </c>
      <c r="H72" s="94" t="s">
        <v>472</v>
      </c>
      <c r="I72" s="94">
        <v>2.4</v>
      </c>
      <c r="J72" s="95" t="s">
        <v>905</v>
      </c>
      <c r="K72" s="103"/>
      <c r="L72" s="104"/>
      <c r="M72" s="104"/>
      <c r="O72" s="39"/>
    </row>
    <row r="73" spans="1:15" customFormat="1" ht="18" customHeight="1" x14ac:dyDescent="0.3">
      <c r="A73" s="34"/>
      <c r="B73" s="509"/>
      <c r="C73" s="506"/>
      <c r="D73" s="92" t="s">
        <v>719</v>
      </c>
      <c r="E73" s="270" t="s">
        <v>118</v>
      </c>
      <c r="F73" s="82" t="s">
        <v>62</v>
      </c>
      <c r="G73" s="124">
        <v>0.12120609438619855</v>
      </c>
      <c r="H73" s="94" t="s">
        <v>472</v>
      </c>
      <c r="I73" s="94">
        <v>2.4</v>
      </c>
      <c r="J73" s="95" t="s">
        <v>906</v>
      </c>
      <c r="K73" s="103"/>
      <c r="L73" s="104"/>
      <c r="M73" s="104"/>
      <c r="O73" s="39"/>
    </row>
    <row r="74" spans="1:15" customFormat="1" ht="18" customHeight="1" x14ac:dyDescent="0.3">
      <c r="A74" s="34"/>
      <c r="B74" s="509"/>
      <c r="C74" s="507"/>
      <c r="D74" s="92" t="s">
        <v>720</v>
      </c>
      <c r="E74" s="270" t="s">
        <v>118</v>
      </c>
      <c r="F74" s="82" t="s">
        <v>62</v>
      </c>
      <c r="G74" s="124">
        <v>0.13099463629224706</v>
      </c>
      <c r="H74" s="94" t="s">
        <v>472</v>
      </c>
      <c r="I74" s="94">
        <v>2.4</v>
      </c>
      <c r="J74" s="95" t="s">
        <v>907</v>
      </c>
      <c r="K74" s="103"/>
      <c r="L74" s="104"/>
      <c r="M74" s="104"/>
      <c r="O74" s="39"/>
    </row>
    <row r="75" spans="1:15" customFormat="1" ht="30" customHeight="1" x14ac:dyDescent="0.3">
      <c r="A75" s="34"/>
      <c r="B75" s="509"/>
      <c r="C75" s="505" t="s">
        <v>428</v>
      </c>
      <c r="D75" s="92" t="s">
        <v>649</v>
      </c>
      <c r="E75" s="274" t="s">
        <v>59</v>
      </c>
      <c r="F75" s="38" t="s">
        <v>495</v>
      </c>
      <c r="G75" s="301">
        <v>0.83979999999999999</v>
      </c>
      <c r="H75" s="37" t="s">
        <v>472</v>
      </c>
      <c r="I75" s="37">
        <v>1</v>
      </c>
      <c r="J75" s="95" t="s">
        <v>908</v>
      </c>
      <c r="K75" s="103"/>
      <c r="L75" s="104"/>
      <c r="M75" s="104"/>
      <c r="O75" s="39"/>
    </row>
    <row r="76" spans="1:15" customFormat="1" ht="30" customHeight="1" x14ac:dyDescent="0.3">
      <c r="A76" s="34"/>
      <c r="B76" s="509"/>
      <c r="C76" s="506"/>
      <c r="D76" s="92" t="s">
        <v>650</v>
      </c>
      <c r="E76" s="274" t="s">
        <v>59</v>
      </c>
      <c r="F76" s="38" t="s">
        <v>495</v>
      </c>
      <c r="G76" s="301">
        <v>0.74467886999999999</v>
      </c>
      <c r="H76" s="37" t="s">
        <v>472</v>
      </c>
      <c r="I76" s="37">
        <v>1</v>
      </c>
      <c r="J76" s="95" t="s">
        <v>909</v>
      </c>
      <c r="K76" s="103"/>
      <c r="L76" s="104"/>
      <c r="M76" s="104"/>
      <c r="O76" s="39"/>
    </row>
    <row r="77" spans="1:15" customFormat="1" ht="30" customHeight="1" x14ac:dyDescent="0.3">
      <c r="A77" s="34"/>
      <c r="B77" s="509"/>
      <c r="C77" s="506"/>
      <c r="D77" s="92" t="s">
        <v>651</v>
      </c>
      <c r="E77" s="274" t="s">
        <v>59</v>
      </c>
      <c r="F77" s="38" t="s">
        <v>495</v>
      </c>
      <c r="G77" s="301">
        <v>0.63007871999999987</v>
      </c>
      <c r="H77" s="37" t="s">
        <v>472</v>
      </c>
      <c r="I77" s="37">
        <v>1</v>
      </c>
      <c r="J77" s="95" t="s">
        <v>910</v>
      </c>
      <c r="K77" s="103"/>
      <c r="L77" s="104"/>
      <c r="M77" s="104"/>
      <c r="O77" s="39"/>
    </row>
    <row r="78" spans="1:15" customFormat="1" ht="30" customHeight="1" x14ac:dyDescent="0.3">
      <c r="A78" s="34"/>
      <c r="B78" s="509"/>
      <c r="C78" s="506"/>
      <c r="D78" s="92" t="s">
        <v>652</v>
      </c>
      <c r="E78" s="274" t="s">
        <v>59</v>
      </c>
      <c r="F78" s="38" t="s">
        <v>495</v>
      </c>
      <c r="G78" s="301">
        <v>0.73485137700000003</v>
      </c>
      <c r="H78" s="37" t="s">
        <v>472</v>
      </c>
      <c r="I78" s="37">
        <v>1</v>
      </c>
      <c r="J78" s="95" t="s">
        <v>911</v>
      </c>
      <c r="K78" s="103"/>
      <c r="L78" s="104"/>
      <c r="M78" s="104"/>
      <c r="O78" s="39"/>
    </row>
    <row r="79" spans="1:15" customFormat="1" ht="30" customHeight="1" x14ac:dyDescent="0.3">
      <c r="A79" s="34"/>
      <c r="B79" s="509"/>
      <c r="C79" s="506"/>
      <c r="D79" s="92" t="s">
        <v>653</v>
      </c>
      <c r="E79" s="274" t="s">
        <v>59</v>
      </c>
      <c r="F79" s="38" t="s">
        <v>495</v>
      </c>
      <c r="G79" s="301">
        <v>0.60891181199999989</v>
      </c>
      <c r="H79" s="37" t="s">
        <v>472</v>
      </c>
      <c r="I79" s="37">
        <v>1</v>
      </c>
      <c r="J79" s="95" t="s">
        <v>912</v>
      </c>
      <c r="K79" s="103"/>
      <c r="L79" s="104"/>
      <c r="M79" s="104"/>
      <c r="O79" s="39"/>
    </row>
    <row r="80" spans="1:15" customFormat="1" ht="30" customHeight="1" x14ac:dyDescent="0.3">
      <c r="A80" s="34"/>
      <c r="B80" s="509"/>
      <c r="C80" s="506"/>
      <c r="D80" s="92" t="s">
        <v>654</v>
      </c>
      <c r="E80" s="274" t="s">
        <v>59</v>
      </c>
      <c r="F80" s="38" t="s">
        <v>495</v>
      </c>
      <c r="G80" s="301">
        <v>0.73480172999999993</v>
      </c>
      <c r="H80" s="37" t="s">
        <v>472</v>
      </c>
      <c r="I80" s="37">
        <v>1</v>
      </c>
      <c r="J80" s="95" t="s">
        <v>913</v>
      </c>
      <c r="K80" s="103"/>
      <c r="L80" s="104"/>
      <c r="M80" s="104"/>
      <c r="O80" s="39"/>
    </row>
    <row r="81" spans="1:15" customFormat="1" ht="30" customHeight="1" x14ac:dyDescent="0.3">
      <c r="A81" s="34"/>
      <c r="B81" s="509"/>
      <c r="C81" s="506"/>
      <c r="D81" s="92" t="s">
        <v>655</v>
      </c>
      <c r="E81" s="274" t="s">
        <v>59</v>
      </c>
      <c r="F81" s="38" t="s">
        <v>495</v>
      </c>
      <c r="G81" s="301">
        <v>0.60880487999999988</v>
      </c>
      <c r="H81" s="37" t="s">
        <v>472</v>
      </c>
      <c r="I81" s="37">
        <v>1</v>
      </c>
      <c r="J81" s="95" t="s">
        <v>914</v>
      </c>
      <c r="K81" s="103"/>
      <c r="L81" s="104"/>
      <c r="M81" s="104"/>
      <c r="O81" s="39"/>
    </row>
    <row r="82" spans="1:15" customFormat="1" ht="30" customHeight="1" x14ac:dyDescent="0.3">
      <c r="A82" s="34"/>
      <c r="B82" s="509"/>
      <c r="C82" s="506"/>
      <c r="D82" s="92" t="s">
        <v>656</v>
      </c>
      <c r="E82" s="274" t="s">
        <v>59</v>
      </c>
      <c r="F82" s="38" t="s">
        <v>495</v>
      </c>
      <c r="G82" s="301">
        <v>0.73480172999999993</v>
      </c>
      <c r="H82" s="37" t="s">
        <v>472</v>
      </c>
      <c r="I82" s="37">
        <v>1</v>
      </c>
      <c r="J82" s="95" t="s">
        <v>915</v>
      </c>
      <c r="K82" s="103"/>
      <c r="L82" s="104"/>
      <c r="M82" s="104"/>
      <c r="O82" s="39"/>
    </row>
    <row r="83" spans="1:15" customFormat="1" ht="30" customHeight="1" x14ac:dyDescent="0.3">
      <c r="A83" s="34"/>
      <c r="B83" s="509"/>
      <c r="C83" s="506"/>
      <c r="D83" s="92" t="s">
        <v>657</v>
      </c>
      <c r="E83" s="274" t="s">
        <v>59</v>
      </c>
      <c r="F83" s="38" t="s">
        <v>495</v>
      </c>
      <c r="G83" s="301">
        <v>0.60880487999999988</v>
      </c>
      <c r="H83" s="37" t="s">
        <v>472</v>
      </c>
      <c r="I83" s="37">
        <v>1</v>
      </c>
      <c r="J83" s="95" t="s">
        <v>916</v>
      </c>
      <c r="K83" s="103"/>
      <c r="L83" s="104"/>
      <c r="M83" s="104"/>
      <c r="O83" s="39"/>
    </row>
    <row r="84" spans="1:15" customFormat="1" ht="30" customHeight="1" x14ac:dyDescent="0.3">
      <c r="A84" s="34"/>
      <c r="B84" s="509"/>
      <c r="C84" s="506"/>
      <c r="D84" s="92" t="s">
        <v>658</v>
      </c>
      <c r="E84" s="274" t="s">
        <v>59</v>
      </c>
      <c r="F84" s="38" t="s">
        <v>495</v>
      </c>
      <c r="G84" s="301">
        <v>0.73633948049999998</v>
      </c>
      <c r="H84" s="37" t="s">
        <v>472</v>
      </c>
      <c r="I84" s="37">
        <v>1</v>
      </c>
      <c r="J84" s="95" t="s">
        <v>917</v>
      </c>
      <c r="K84" s="103"/>
      <c r="L84" s="104"/>
      <c r="M84" s="104"/>
      <c r="O84" s="39"/>
    </row>
    <row r="85" spans="1:15" customFormat="1" ht="30" customHeight="1" x14ac:dyDescent="0.3">
      <c r="A85" s="34"/>
      <c r="B85" s="509"/>
      <c r="C85" s="506"/>
      <c r="D85" s="92" t="s">
        <v>659</v>
      </c>
      <c r="E85" s="274" t="s">
        <v>59</v>
      </c>
      <c r="F85" s="38" t="s">
        <v>495</v>
      </c>
      <c r="G85" s="301">
        <v>0.61211695799999988</v>
      </c>
      <c r="H85" s="37" t="s">
        <v>472</v>
      </c>
      <c r="I85" s="37">
        <v>1</v>
      </c>
      <c r="J85" s="95" t="s">
        <v>918</v>
      </c>
      <c r="K85" s="103"/>
      <c r="L85" s="104"/>
      <c r="M85" s="104"/>
      <c r="O85" s="39"/>
    </row>
    <row r="86" spans="1:15" customFormat="1" ht="30" customHeight="1" x14ac:dyDescent="0.3">
      <c r="A86" s="34"/>
      <c r="B86" s="509"/>
      <c r="C86" s="506"/>
      <c r="D86" s="92" t="s">
        <v>660</v>
      </c>
      <c r="E86" s="274" t="s">
        <v>59</v>
      </c>
      <c r="F86" s="38" t="s">
        <v>495</v>
      </c>
      <c r="G86" s="301">
        <v>0.73633948049999998</v>
      </c>
      <c r="H86" s="37" t="s">
        <v>472</v>
      </c>
      <c r="I86" s="37">
        <v>1</v>
      </c>
      <c r="J86" s="95" t="s">
        <v>919</v>
      </c>
      <c r="K86" s="103"/>
      <c r="L86" s="104"/>
      <c r="M86" s="104"/>
      <c r="O86" s="39"/>
    </row>
    <row r="87" spans="1:15" customFormat="1" ht="30" customHeight="1" x14ac:dyDescent="0.3">
      <c r="A87" s="34"/>
      <c r="B87" s="509"/>
      <c r="C87" s="506"/>
      <c r="D87" s="92" t="s">
        <v>661</v>
      </c>
      <c r="E87" s="274" t="s">
        <v>59</v>
      </c>
      <c r="F87" s="38" t="s">
        <v>495</v>
      </c>
      <c r="G87" s="301">
        <v>0.61211695799999988</v>
      </c>
      <c r="H87" s="37" t="s">
        <v>472</v>
      </c>
      <c r="I87" s="37">
        <v>1</v>
      </c>
      <c r="J87" s="95" t="s">
        <v>920</v>
      </c>
      <c r="K87" s="103"/>
      <c r="L87" s="104"/>
      <c r="M87" s="104"/>
      <c r="O87" s="39"/>
    </row>
    <row r="88" spans="1:15" customFormat="1" ht="30" customHeight="1" x14ac:dyDescent="0.3">
      <c r="A88" s="34"/>
      <c r="B88" s="509"/>
      <c r="C88" s="506"/>
      <c r="D88" s="92" t="s">
        <v>662</v>
      </c>
      <c r="E88" s="274" t="s">
        <v>59</v>
      </c>
      <c r="F88" s="38" t="s">
        <v>495</v>
      </c>
      <c r="G88" s="301">
        <v>0.7156806</v>
      </c>
      <c r="H88" s="37" t="s">
        <v>472</v>
      </c>
      <c r="I88" s="37">
        <v>1</v>
      </c>
      <c r="J88" s="95" t="s">
        <v>921</v>
      </c>
      <c r="K88" s="103"/>
      <c r="L88" s="104"/>
      <c r="M88" s="104"/>
      <c r="O88" s="39"/>
    </row>
    <row r="89" spans="1:15" customFormat="1" ht="30" customHeight="1" x14ac:dyDescent="0.3">
      <c r="A89" s="34"/>
      <c r="B89" s="509"/>
      <c r="C89" s="506"/>
      <c r="D89" s="92" t="s">
        <v>663</v>
      </c>
      <c r="E89" s="274" t="s">
        <v>59</v>
      </c>
      <c r="F89" s="38" t="s">
        <v>495</v>
      </c>
      <c r="G89" s="301">
        <v>0.61944179999999993</v>
      </c>
      <c r="H89" s="37" t="s">
        <v>472</v>
      </c>
      <c r="I89" s="37">
        <v>1</v>
      </c>
      <c r="J89" s="95" t="s">
        <v>922</v>
      </c>
      <c r="K89" s="103"/>
      <c r="L89" s="104"/>
      <c r="M89" s="104"/>
      <c r="O89" s="39"/>
    </row>
    <row r="90" spans="1:15" customFormat="1" ht="30" customHeight="1" x14ac:dyDescent="0.3">
      <c r="A90" s="34"/>
      <c r="B90" s="509"/>
      <c r="C90" s="506"/>
      <c r="D90" s="92" t="s">
        <v>664</v>
      </c>
      <c r="E90" s="274" t="s">
        <v>59</v>
      </c>
      <c r="F90" s="38" t="s">
        <v>495</v>
      </c>
      <c r="G90" s="301">
        <v>0.45817849499999996</v>
      </c>
      <c r="H90" s="37" t="s">
        <v>472</v>
      </c>
      <c r="I90" s="37">
        <v>1</v>
      </c>
      <c r="J90" s="95" t="s">
        <v>923</v>
      </c>
      <c r="K90" s="103"/>
      <c r="L90" s="104"/>
      <c r="M90" s="104"/>
      <c r="O90" s="39"/>
    </row>
    <row r="91" spans="1:15" customFormat="1" ht="30" customHeight="1" x14ac:dyDescent="0.3">
      <c r="A91" s="34"/>
      <c r="B91" s="509"/>
      <c r="C91" s="506"/>
      <c r="D91" s="92" t="s">
        <v>665</v>
      </c>
      <c r="E91" s="274" t="s">
        <v>59</v>
      </c>
      <c r="F91" s="38" t="s">
        <v>495</v>
      </c>
      <c r="G91" s="301">
        <v>0.28627826999999995</v>
      </c>
      <c r="H91" s="37" t="s">
        <v>472</v>
      </c>
      <c r="I91" s="37">
        <v>1</v>
      </c>
      <c r="J91" s="95" t="s">
        <v>924</v>
      </c>
      <c r="K91" s="103"/>
      <c r="L91" s="104"/>
      <c r="M91" s="104"/>
      <c r="O91" s="39"/>
    </row>
    <row r="92" spans="1:15" customFormat="1" ht="30" customHeight="1" x14ac:dyDescent="0.3">
      <c r="A92" s="34"/>
      <c r="B92" s="509"/>
      <c r="C92" s="506"/>
      <c r="D92" s="92" t="s">
        <v>666</v>
      </c>
      <c r="E92" s="274" t="s">
        <v>59</v>
      </c>
      <c r="F92" s="38" t="s">
        <v>495</v>
      </c>
      <c r="G92" s="301">
        <v>0.17167811999999996</v>
      </c>
      <c r="H92" s="37" t="s">
        <v>472</v>
      </c>
      <c r="I92" s="37">
        <v>1</v>
      </c>
      <c r="J92" s="95" t="s">
        <v>925</v>
      </c>
      <c r="K92" s="103"/>
      <c r="L92" s="104"/>
      <c r="M92" s="104"/>
      <c r="O92" s="39"/>
    </row>
    <row r="93" spans="1:15" customFormat="1" ht="30" customHeight="1" x14ac:dyDescent="0.3">
      <c r="A93" s="34"/>
      <c r="B93" s="509"/>
      <c r="C93" s="506"/>
      <c r="D93" s="92" t="s">
        <v>667</v>
      </c>
      <c r="E93" s="274" t="s">
        <v>59</v>
      </c>
      <c r="F93" s="38" t="s">
        <v>495</v>
      </c>
      <c r="G93" s="301">
        <v>0.65080382999999997</v>
      </c>
      <c r="H93" s="37" t="s">
        <v>472</v>
      </c>
      <c r="I93" s="37">
        <v>1</v>
      </c>
      <c r="J93" s="95" t="s">
        <v>926</v>
      </c>
      <c r="K93" s="103"/>
      <c r="L93" s="104"/>
      <c r="M93" s="104"/>
      <c r="O93" s="39"/>
    </row>
    <row r="94" spans="1:15" customFormat="1" ht="30" customHeight="1" x14ac:dyDescent="0.3">
      <c r="A94" s="34"/>
      <c r="B94" s="509"/>
      <c r="C94" s="506"/>
      <c r="D94" s="92" t="s">
        <v>668</v>
      </c>
      <c r="E94" s="274" t="s">
        <v>59</v>
      </c>
      <c r="F94" s="38" t="s">
        <v>495</v>
      </c>
      <c r="G94" s="301">
        <v>0.46180855499999995</v>
      </c>
      <c r="H94" s="37" t="s">
        <v>472</v>
      </c>
      <c r="I94" s="37">
        <v>1</v>
      </c>
      <c r="J94" s="95" t="s">
        <v>927</v>
      </c>
      <c r="K94" s="103"/>
      <c r="L94" s="104"/>
      <c r="M94" s="104"/>
      <c r="O94" s="39"/>
    </row>
    <row r="95" spans="1:15" customFormat="1" ht="30" customHeight="1" x14ac:dyDescent="0.3">
      <c r="A95" s="34"/>
      <c r="B95" s="509"/>
      <c r="C95" s="506"/>
      <c r="D95" s="92" t="s">
        <v>669</v>
      </c>
      <c r="E95" s="274" t="s">
        <v>59</v>
      </c>
      <c r="F95" s="38" t="s">
        <v>495</v>
      </c>
      <c r="G95" s="301">
        <v>0.46010025599999999</v>
      </c>
      <c r="H95" s="37" t="s">
        <v>472</v>
      </c>
      <c r="I95" s="37">
        <v>1</v>
      </c>
      <c r="J95" s="95" t="s">
        <v>928</v>
      </c>
      <c r="K95" s="103"/>
      <c r="L95" s="104"/>
      <c r="M95" s="104"/>
      <c r="O95" s="39"/>
    </row>
    <row r="96" spans="1:15" customFormat="1" ht="30" customHeight="1" x14ac:dyDescent="0.3">
      <c r="A96" s="34"/>
      <c r="B96" s="509"/>
      <c r="C96" s="507"/>
      <c r="D96" s="92" t="s">
        <v>670</v>
      </c>
      <c r="E96" s="274" t="s">
        <v>59</v>
      </c>
      <c r="F96" s="38" t="s">
        <v>495</v>
      </c>
      <c r="G96" s="301">
        <v>0.27614877450000003</v>
      </c>
      <c r="H96" s="37" t="s">
        <v>472</v>
      </c>
      <c r="I96" s="37">
        <v>1</v>
      </c>
      <c r="J96" s="95" t="s">
        <v>929</v>
      </c>
      <c r="K96" s="103"/>
      <c r="L96" s="104"/>
      <c r="M96" s="104"/>
      <c r="O96" s="39"/>
    </row>
    <row r="97" spans="1:15" customFormat="1" ht="60" customHeight="1" x14ac:dyDescent="0.3">
      <c r="A97" s="34"/>
      <c r="B97" s="509"/>
      <c r="C97" s="295" t="s">
        <v>426</v>
      </c>
      <c r="D97" s="96" t="s">
        <v>425</v>
      </c>
      <c r="E97" s="295" t="s">
        <v>59</v>
      </c>
      <c r="F97" s="97" t="s">
        <v>61</v>
      </c>
      <c r="G97" s="124">
        <v>1.72</v>
      </c>
      <c r="H97" s="94" t="s">
        <v>472</v>
      </c>
      <c r="I97" s="94">
        <v>1</v>
      </c>
      <c r="J97" s="95" t="s">
        <v>930</v>
      </c>
      <c r="K97" s="103"/>
      <c r="L97" s="104"/>
      <c r="M97" s="104"/>
      <c r="O97" s="39"/>
    </row>
    <row r="98" spans="1:15" customFormat="1" ht="30" customHeight="1" x14ac:dyDescent="0.3">
      <c r="A98" s="34"/>
      <c r="B98" s="509"/>
      <c r="C98" s="505" t="s">
        <v>424</v>
      </c>
      <c r="D98" s="92" t="s">
        <v>423</v>
      </c>
      <c r="E98" s="270" t="s">
        <v>59</v>
      </c>
      <c r="F98" s="98" t="s">
        <v>496</v>
      </c>
      <c r="G98" s="124">
        <v>5.5300000000000002E-2</v>
      </c>
      <c r="H98" s="94" t="s">
        <v>472</v>
      </c>
      <c r="I98" s="94">
        <v>1</v>
      </c>
      <c r="J98" s="95" t="s">
        <v>931</v>
      </c>
      <c r="K98" s="103"/>
      <c r="L98" s="104"/>
      <c r="M98" s="104"/>
      <c r="O98" s="39"/>
    </row>
    <row r="99" spans="1:15" customFormat="1" ht="60" customHeight="1" x14ac:dyDescent="0.3">
      <c r="A99" s="34"/>
      <c r="B99" s="509"/>
      <c r="C99" s="506"/>
      <c r="D99" s="92" t="s">
        <v>732</v>
      </c>
      <c r="E99" s="270" t="s">
        <v>59</v>
      </c>
      <c r="F99" s="285" t="s">
        <v>496</v>
      </c>
      <c r="G99" s="124">
        <v>5.2534999999999998E-2</v>
      </c>
      <c r="H99" s="94" t="s">
        <v>472</v>
      </c>
      <c r="I99" s="94">
        <v>1</v>
      </c>
      <c r="J99" s="99" t="s">
        <v>744</v>
      </c>
      <c r="K99" s="103"/>
      <c r="L99" s="104"/>
      <c r="M99" s="104"/>
      <c r="O99" s="39"/>
    </row>
    <row r="100" spans="1:15" customFormat="1" ht="30" customHeight="1" x14ac:dyDescent="0.3">
      <c r="A100" s="34"/>
      <c r="B100" s="509"/>
      <c r="C100" s="507"/>
      <c r="D100" s="92" t="s">
        <v>932</v>
      </c>
      <c r="E100" s="270" t="s">
        <v>59</v>
      </c>
      <c r="F100" s="285" t="s">
        <v>496</v>
      </c>
      <c r="G100" s="124">
        <v>1.54E-2</v>
      </c>
      <c r="H100" s="94" t="s">
        <v>472</v>
      </c>
      <c r="I100" s="94">
        <v>1</v>
      </c>
      <c r="J100" s="95" t="s">
        <v>933</v>
      </c>
      <c r="K100" s="103"/>
      <c r="L100" s="104"/>
      <c r="M100" s="104"/>
      <c r="O100" s="39"/>
    </row>
    <row r="101" spans="1:15" customFormat="1" ht="36.75" customHeight="1" x14ac:dyDescent="0.3">
      <c r="A101" s="34"/>
      <c r="B101" s="509"/>
      <c r="C101" s="505" t="s">
        <v>671</v>
      </c>
      <c r="D101" s="92" t="s">
        <v>672</v>
      </c>
      <c r="E101" s="270" t="s">
        <v>59</v>
      </c>
      <c r="F101" s="286" t="s">
        <v>72</v>
      </c>
      <c r="G101" s="124">
        <v>0</v>
      </c>
      <c r="H101" s="94" t="s">
        <v>472</v>
      </c>
      <c r="I101" s="159">
        <v>1</v>
      </c>
      <c r="J101" s="99" t="s">
        <v>497</v>
      </c>
      <c r="K101" s="103"/>
      <c r="L101" s="104"/>
      <c r="M101" s="104"/>
      <c r="O101" s="39"/>
    </row>
    <row r="102" spans="1:15" customFormat="1" ht="30" customHeight="1" x14ac:dyDescent="0.3">
      <c r="A102" s="34"/>
      <c r="B102" s="509"/>
      <c r="C102" s="506"/>
      <c r="D102" s="92" t="s">
        <v>673</v>
      </c>
      <c r="E102" s="270" t="s">
        <v>59</v>
      </c>
      <c r="F102" s="286" t="s">
        <v>72</v>
      </c>
      <c r="G102" s="124">
        <v>7.4700000000000001E-3</v>
      </c>
      <c r="H102" s="94" t="s">
        <v>472</v>
      </c>
      <c r="I102" s="94">
        <v>1</v>
      </c>
      <c r="J102" s="99" t="s">
        <v>934</v>
      </c>
      <c r="K102" s="103"/>
      <c r="L102" s="104"/>
      <c r="M102" s="104"/>
      <c r="O102" s="39"/>
    </row>
    <row r="103" spans="1:15" customFormat="1" ht="30" customHeight="1" x14ac:dyDescent="0.3">
      <c r="A103" s="34"/>
      <c r="B103" s="509"/>
      <c r="C103" s="506"/>
      <c r="D103" s="92" t="s">
        <v>674</v>
      </c>
      <c r="E103" s="270" t="s">
        <v>59</v>
      </c>
      <c r="F103" s="286" t="s">
        <v>72</v>
      </c>
      <c r="G103" s="124">
        <v>1.4181253693490319E-2</v>
      </c>
      <c r="H103" s="94" t="s">
        <v>472</v>
      </c>
      <c r="I103" s="94">
        <v>1</v>
      </c>
      <c r="J103" s="95" t="s">
        <v>935</v>
      </c>
      <c r="K103" s="103"/>
      <c r="L103" s="104"/>
      <c r="M103" s="104"/>
      <c r="O103" s="39"/>
    </row>
    <row r="104" spans="1:15" customFormat="1" ht="30" customHeight="1" x14ac:dyDescent="0.3">
      <c r="A104" s="34"/>
      <c r="B104" s="509"/>
      <c r="C104" s="506"/>
      <c r="D104" s="92" t="s">
        <v>675</v>
      </c>
      <c r="E104" s="270" t="s">
        <v>59</v>
      </c>
      <c r="F104" s="286" t="s">
        <v>72</v>
      </c>
      <c r="G104" s="300">
        <v>4.9277889032866068E-3</v>
      </c>
      <c r="H104" s="37" t="s">
        <v>472</v>
      </c>
      <c r="I104" s="37">
        <v>1</v>
      </c>
      <c r="J104" s="95" t="s">
        <v>936</v>
      </c>
      <c r="K104" s="103"/>
      <c r="L104" s="104"/>
      <c r="M104" s="104"/>
      <c r="O104" s="39"/>
    </row>
    <row r="105" spans="1:15" customFormat="1" ht="45" customHeight="1" x14ac:dyDescent="0.3">
      <c r="A105" s="34"/>
      <c r="B105" s="509"/>
      <c r="C105" s="506"/>
      <c r="D105" s="92" t="s">
        <v>676</v>
      </c>
      <c r="E105" s="270" t="s">
        <v>59</v>
      </c>
      <c r="F105" s="286" t="s">
        <v>72</v>
      </c>
      <c r="G105" s="300">
        <v>4.3575011940298501E-3</v>
      </c>
      <c r="H105" s="37" t="s">
        <v>472</v>
      </c>
      <c r="I105" s="37">
        <v>1</v>
      </c>
      <c r="J105" s="95" t="s">
        <v>937</v>
      </c>
      <c r="K105" s="103"/>
      <c r="L105" s="104"/>
      <c r="M105" s="104"/>
      <c r="O105" s="39"/>
    </row>
    <row r="106" spans="1:15" customFormat="1" ht="30" customHeight="1" x14ac:dyDescent="0.3">
      <c r="A106" s="34"/>
      <c r="B106" s="509"/>
      <c r="C106" s="506"/>
      <c r="D106" s="92" t="s">
        <v>677</v>
      </c>
      <c r="E106" s="270" t="s">
        <v>59</v>
      </c>
      <c r="F106" s="286" t="s">
        <v>72</v>
      </c>
      <c r="G106" s="300">
        <v>9.0375000000000021E-3</v>
      </c>
      <c r="H106" s="37" t="s">
        <v>472</v>
      </c>
      <c r="I106" s="37">
        <v>1</v>
      </c>
      <c r="J106" s="95" t="s">
        <v>938</v>
      </c>
      <c r="K106" s="103"/>
      <c r="L106" s="104"/>
      <c r="M106" s="104"/>
      <c r="O106" s="39"/>
    </row>
    <row r="107" spans="1:15" customFormat="1" ht="30" customHeight="1" x14ac:dyDescent="0.3">
      <c r="A107" s="34"/>
      <c r="B107" s="509"/>
      <c r="C107" s="506"/>
      <c r="D107" s="92" t="s">
        <v>678</v>
      </c>
      <c r="E107" s="270" t="s">
        <v>59</v>
      </c>
      <c r="F107" s="286" t="s">
        <v>72</v>
      </c>
      <c r="G107" s="300">
        <v>6.0529785714285717E-3</v>
      </c>
      <c r="H107" s="37" t="s">
        <v>472</v>
      </c>
      <c r="I107" s="37">
        <v>1</v>
      </c>
      <c r="J107" s="95" t="s">
        <v>939</v>
      </c>
      <c r="K107" s="103"/>
      <c r="L107" s="104"/>
      <c r="M107" s="104"/>
      <c r="O107" s="39"/>
    </row>
    <row r="108" spans="1:15" customFormat="1" ht="31.35" customHeight="1" x14ac:dyDescent="0.3">
      <c r="A108" s="34"/>
      <c r="B108" s="509"/>
      <c r="C108" s="506"/>
      <c r="D108" s="92" t="s">
        <v>679</v>
      </c>
      <c r="E108" s="270" t="s">
        <v>59</v>
      </c>
      <c r="F108" s="286" t="s">
        <v>72</v>
      </c>
      <c r="G108" s="300">
        <v>0.118771666666667</v>
      </c>
      <c r="H108" s="37" t="s">
        <v>472</v>
      </c>
      <c r="I108" s="37">
        <v>1</v>
      </c>
      <c r="J108" s="95" t="s">
        <v>940</v>
      </c>
      <c r="K108" s="103"/>
      <c r="L108" s="104"/>
      <c r="M108" s="104"/>
      <c r="O108" s="39"/>
    </row>
    <row r="109" spans="1:15" customFormat="1" ht="18" customHeight="1" x14ac:dyDescent="0.3">
      <c r="A109" s="34"/>
      <c r="B109" s="509"/>
      <c r="C109" s="506"/>
      <c r="D109" s="92" t="s">
        <v>680</v>
      </c>
      <c r="E109" s="270" t="s">
        <v>59</v>
      </c>
      <c r="F109" s="286" t="s">
        <v>72</v>
      </c>
      <c r="G109" s="300">
        <v>0.33509149999999999</v>
      </c>
      <c r="H109" s="37" t="s">
        <v>472</v>
      </c>
      <c r="I109" s="37">
        <v>1</v>
      </c>
      <c r="J109" s="95" t="s">
        <v>941</v>
      </c>
      <c r="K109" s="103"/>
      <c r="L109" s="104"/>
      <c r="M109" s="104"/>
      <c r="O109" s="39"/>
    </row>
    <row r="110" spans="1:15" customFormat="1" ht="18" customHeight="1" x14ac:dyDescent="0.3">
      <c r="A110" s="34"/>
      <c r="B110" s="509"/>
      <c r="C110" s="506"/>
      <c r="D110" s="92" t="s">
        <v>681</v>
      </c>
      <c r="E110" s="270" t="s">
        <v>59</v>
      </c>
      <c r="F110" s="286" t="s">
        <v>72</v>
      </c>
      <c r="G110" s="300">
        <v>0.273532</v>
      </c>
      <c r="H110" s="37" t="s">
        <v>472</v>
      </c>
      <c r="I110" s="37">
        <v>1</v>
      </c>
      <c r="J110" s="95" t="s">
        <v>942</v>
      </c>
      <c r="K110" s="103"/>
      <c r="L110" s="104"/>
      <c r="M110" s="104"/>
      <c r="O110" s="39"/>
    </row>
    <row r="111" spans="1:15" customFormat="1" ht="18" customHeight="1" x14ac:dyDescent="0.3">
      <c r="A111" s="34"/>
      <c r="B111" s="509"/>
      <c r="C111" s="507"/>
      <c r="D111" s="92" t="s">
        <v>682</v>
      </c>
      <c r="E111" s="270" t="s">
        <v>59</v>
      </c>
      <c r="F111" s="286" t="s">
        <v>72</v>
      </c>
      <c r="G111" s="300">
        <v>6.332299999999999E-2</v>
      </c>
      <c r="H111" s="37" t="s">
        <v>472</v>
      </c>
      <c r="I111" s="37">
        <v>1</v>
      </c>
      <c r="J111" s="95" t="s">
        <v>943</v>
      </c>
      <c r="K111" s="103"/>
      <c r="L111" s="104"/>
      <c r="M111" s="104"/>
      <c r="O111" s="39"/>
    </row>
    <row r="112" spans="1:15" customFormat="1" ht="18" customHeight="1" x14ac:dyDescent="0.3">
      <c r="A112" s="34"/>
      <c r="B112" s="510"/>
      <c r="C112" s="295" t="s">
        <v>498</v>
      </c>
      <c r="D112" s="92" t="s">
        <v>498</v>
      </c>
      <c r="E112" s="270" t="s">
        <v>59</v>
      </c>
      <c r="F112" s="82" t="s">
        <v>353</v>
      </c>
      <c r="G112" s="300">
        <v>7.0000000000000001E-3</v>
      </c>
      <c r="H112" s="94" t="s">
        <v>683</v>
      </c>
      <c r="I112" s="100">
        <v>1</v>
      </c>
      <c r="J112" s="99" t="s">
        <v>944</v>
      </c>
      <c r="K112" s="103"/>
      <c r="L112" s="104"/>
      <c r="M112" s="104"/>
      <c r="O112" s="39"/>
    </row>
    <row r="113" spans="1:15" customFormat="1" ht="18" customHeight="1" x14ac:dyDescent="0.3">
      <c r="A113" s="34"/>
      <c r="B113" s="489" t="s">
        <v>25</v>
      </c>
      <c r="C113" s="492" t="s">
        <v>499</v>
      </c>
      <c r="D113" s="101" t="s">
        <v>500</v>
      </c>
      <c r="E113" s="268" t="s">
        <v>59</v>
      </c>
      <c r="F113" s="102" t="s">
        <v>72</v>
      </c>
      <c r="G113" s="124">
        <v>2.4E-2</v>
      </c>
      <c r="H113" s="94" t="s">
        <v>472</v>
      </c>
      <c r="I113" s="94">
        <v>1</v>
      </c>
      <c r="J113" s="95" t="s">
        <v>945</v>
      </c>
      <c r="K113" s="103"/>
      <c r="L113" s="104"/>
      <c r="M113" s="104"/>
      <c r="O113" s="39"/>
    </row>
    <row r="114" spans="1:15" customFormat="1" ht="28.8" x14ac:dyDescent="0.3">
      <c r="A114" s="34"/>
      <c r="B114" s="490"/>
      <c r="C114" s="493"/>
      <c r="D114" s="101" t="s">
        <v>501</v>
      </c>
      <c r="E114" s="268" t="s">
        <v>59</v>
      </c>
      <c r="F114" s="102" t="s">
        <v>72</v>
      </c>
      <c r="G114" s="302">
        <v>5.8250000000000003E-2</v>
      </c>
      <c r="H114" s="94" t="s">
        <v>472</v>
      </c>
      <c r="I114" s="94">
        <v>1</v>
      </c>
      <c r="J114" s="95" t="s">
        <v>1089</v>
      </c>
      <c r="K114" s="103"/>
      <c r="L114" s="104"/>
      <c r="M114" s="104"/>
      <c r="O114" s="39"/>
    </row>
    <row r="115" spans="1:15" customFormat="1" ht="28.8" x14ac:dyDescent="0.3">
      <c r="A115" s="34"/>
      <c r="B115" s="490"/>
      <c r="C115" s="293" t="s">
        <v>502</v>
      </c>
      <c r="D115" s="105" t="s">
        <v>355</v>
      </c>
      <c r="E115" s="268" t="s">
        <v>59</v>
      </c>
      <c r="F115" s="102" t="s">
        <v>72</v>
      </c>
      <c r="G115" s="302">
        <v>0</v>
      </c>
      <c r="H115" s="94" t="s">
        <v>472</v>
      </c>
      <c r="I115" s="159">
        <v>1</v>
      </c>
      <c r="J115" s="99" t="s">
        <v>503</v>
      </c>
      <c r="K115" s="103"/>
      <c r="L115" s="104"/>
      <c r="M115" s="104"/>
      <c r="O115" s="39"/>
    </row>
    <row r="116" spans="1:15" customFormat="1" x14ac:dyDescent="0.3">
      <c r="A116" s="34"/>
      <c r="B116" s="490"/>
      <c r="C116" s="492" t="s">
        <v>504</v>
      </c>
      <c r="D116" s="101" t="s">
        <v>427</v>
      </c>
      <c r="E116" s="268" t="s">
        <v>59</v>
      </c>
      <c r="F116" s="504" t="s">
        <v>505</v>
      </c>
      <c r="G116" s="352"/>
      <c r="H116" s="352"/>
      <c r="I116" s="352"/>
      <c r="J116" s="353"/>
      <c r="K116" s="103"/>
      <c r="L116" s="104"/>
      <c r="M116" s="104"/>
      <c r="O116" s="39"/>
    </row>
    <row r="117" spans="1:15" customFormat="1" ht="18" customHeight="1" x14ac:dyDescent="0.3">
      <c r="A117" s="34"/>
      <c r="B117" s="490"/>
      <c r="C117" s="494"/>
      <c r="D117" s="105" t="s">
        <v>82</v>
      </c>
      <c r="E117" s="268" t="s">
        <v>59</v>
      </c>
      <c r="F117" s="106" t="s">
        <v>495</v>
      </c>
      <c r="G117" s="302">
        <v>8.3000000000000004E-2</v>
      </c>
      <c r="H117" s="94" t="s">
        <v>472</v>
      </c>
      <c r="I117" s="94">
        <v>1</v>
      </c>
      <c r="J117" s="95" t="s">
        <v>684</v>
      </c>
      <c r="K117" s="103"/>
      <c r="L117" s="104"/>
      <c r="M117" s="104"/>
      <c r="O117" s="39"/>
    </row>
    <row r="118" spans="1:15" customFormat="1" ht="18" customHeight="1" x14ac:dyDescent="0.3">
      <c r="A118" s="34"/>
      <c r="B118" s="490"/>
      <c r="C118" s="494"/>
      <c r="D118" s="105" t="s">
        <v>83</v>
      </c>
      <c r="E118" s="268" t="s">
        <v>59</v>
      </c>
      <c r="F118" s="106" t="s">
        <v>495</v>
      </c>
      <c r="G118" s="302">
        <v>8.0000000000000002E-3</v>
      </c>
      <c r="H118" s="94" t="s">
        <v>472</v>
      </c>
      <c r="I118" s="94">
        <v>1</v>
      </c>
      <c r="J118" s="95" t="s">
        <v>685</v>
      </c>
      <c r="K118" s="103"/>
      <c r="L118" s="104"/>
      <c r="M118" s="104"/>
      <c r="O118" s="39"/>
    </row>
    <row r="119" spans="1:15" customFormat="1" ht="15.6" x14ac:dyDescent="0.3">
      <c r="A119" s="34"/>
      <c r="B119" s="490"/>
      <c r="C119" s="493"/>
      <c r="D119" s="105" t="s">
        <v>84</v>
      </c>
      <c r="E119" s="268" t="s">
        <v>59</v>
      </c>
      <c r="F119" s="106" t="s">
        <v>495</v>
      </c>
      <c r="G119" s="124">
        <v>0.78</v>
      </c>
      <c r="H119" s="94" t="s">
        <v>472</v>
      </c>
      <c r="I119" s="94">
        <v>1</v>
      </c>
      <c r="J119" s="95" t="s">
        <v>946</v>
      </c>
      <c r="K119" s="103"/>
      <c r="L119" s="104"/>
      <c r="M119" s="104"/>
      <c r="O119" s="39"/>
    </row>
    <row r="120" spans="1:15" customFormat="1" ht="45" customHeight="1" x14ac:dyDescent="0.3">
      <c r="A120" s="34"/>
      <c r="B120" s="491"/>
      <c r="C120" s="108" t="s">
        <v>354</v>
      </c>
      <c r="D120" s="107" t="s">
        <v>506</v>
      </c>
      <c r="E120" s="108" t="s">
        <v>507</v>
      </c>
      <c r="F120" s="102" t="s">
        <v>66</v>
      </c>
      <c r="G120" s="117">
        <v>2.54</v>
      </c>
      <c r="H120" s="94" t="s">
        <v>472</v>
      </c>
      <c r="I120" s="109">
        <v>9.4600000000000001E-4</v>
      </c>
      <c r="J120" s="95" t="s">
        <v>1090</v>
      </c>
      <c r="K120" s="103"/>
      <c r="L120" s="104"/>
      <c r="M120" s="104"/>
      <c r="O120" s="39"/>
    </row>
    <row r="121" spans="1:15" customFormat="1" ht="45" customHeight="1" x14ac:dyDescent="0.3">
      <c r="A121" s="34"/>
      <c r="B121" s="483" t="s">
        <v>46</v>
      </c>
      <c r="C121" s="486" t="s">
        <v>58</v>
      </c>
      <c r="D121" s="110" t="s">
        <v>508</v>
      </c>
      <c r="E121" s="267" t="s">
        <v>118</v>
      </c>
      <c r="F121" s="111" t="s">
        <v>60</v>
      </c>
      <c r="G121" s="303">
        <v>0.262594457833771</v>
      </c>
      <c r="H121" s="94" t="s">
        <v>472</v>
      </c>
      <c r="I121" s="100">
        <v>0.5</v>
      </c>
      <c r="J121" s="99" t="s">
        <v>947</v>
      </c>
      <c r="K121" s="103"/>
      <c r="L121" s="104"/>
      <c r="M121" s="104"/>
      <c r="O121" s="39"/>
    </row>
    <row r="122" spans="1:15" customFormat="1" ht="100.8" x14ac:dyDescent="0.3">
      <c r="A122" s="34"/>
      <c r="B122" s="484"/>
      <c r="C122" s="487"/>
      <c r="D122" s="110" t="s">
        <v>509</v>
      </c>
      <c r="E122" s="267" t="s">
        <v>67</v>
      </c>
      <c r="F122" s="111" t="s">
        <v>60</v>
      </c>
      <c r="G122" s="303">
        <v>0.26259445783377083</v>
      </c>
      <c r="H122" s="94" t="s">
        <v>472</v>
      </c>
      <c r="I122" s="100">
        <v>1.4283850000000001E-2</v>
      </c>
      <c r="J122" s="99" t="s">
        <v>948</v>
      </c>
      <c r="K122" s="103"/>
      <c r="L122" s="104"/>
      <c r="M122" s="104"/>
      <c r="O122" s="39"/>
    </row>
    <row r="123" spans="1:15" customFormat="1" ht="90" customHeight="1" x14ac:dyDescent="0.3">
      <c r="A123" s="34"/>
      <c r="B123" s="484"/>
      <c r="C123" s="487"/>
      <c r="D123" s="112" t="s">
        <v>422</v>
      </c>
      <c r="E123" s="292" t="s">
        <v>92</v>
      </c>
      <c r="F123" s="113" t="s">
        <v>60</v>
      </c>
      <c r="G123" s="303">
        <v>0.26259445783377083</v>
      </c>
      <c r="H123" s="94" t="s">
        <v>472</v>
      </c>
      <c r="I123" s="100">
        <v>3.5749999999999997E-2</v>
      </c>
      <c r="J123" s="99" t="s">
        <v>949</v>
      </c>
      <c r="K123" s="103"/>
      <c r="L123" s="104"/>
      <c r="M123" s="104"/>
      <c r="O123" s="39"/>
    </row>
    <row r="124" spans="1:15" customFormat="1" ht="62.85" customHeight="1" x14ac:dyDescent="0.3">
      <c r="A124" s="34"/>
      <c r="B124" s="484"/>
      <c r="C124" s="488"/>
      <c r="D124" s="112" t="s">
        <v>510</v>
      </c>
      <c r="E124" s="292" t="s">
        <v>67</v>
      </c>
      <c r="F124" s="113" t="s">
        <v>61</v>
      </c>
      <c r="G124" s="124">
        <v>2.62</v>
      </c>
      <c r="H124" s="94" t="s">
        <v>472</v>
      </c>
      <c r="I124" s="94">
        <v>3.82E-3</v>
      </c>
      <c r="J124" s="99" t="s">
        <v>950</v>
      </c>
      <c r="K124" s="103"/>
      <c r="L124" s="104"/>
      <c r="M124" s="104"/>
      <c r="O124" s="39"/>
    </row>
    <row r="125" spans="1:15" customFormat="1" ht="36" customHeight="1" x14ac:dyDescent="0.3">
      <c r="A125" s="34"/>
      <c r="B125" s="484"/>
      <c r="C125" s="486" t="s">
        <v>63</v>
      </c>
      <c r="D125" s="110" t="s">
        <v>421</v>
      </c>
      <c r="E125" s="292" t="s">
        <v>67</v>
      </c>
      <c r="F125" s="36" t="s">
        <v>60</v>
      </c>
      <c r="G125" s="124">
        <v>0.89123593574476545</v>
      </c>
      <c r="H125" s="94" t="s">
        <v>472</v>
      </c>
      <c r="I125" s="94">
        <v>0.09</v>
      </c>
      <c r="J125" s="472" t="s">
        <v>951</v>
      </c>
      <c r="K125" s="103"/>
      <c r="L125" s="104"/>
      <c r="M125" s="104"/>
      <c r="O125" s="39"/>
    </row>
    <row r="126" spans="1:15" customFormat="1" ht="35.25" customHeight="1" x14ac:dyDescent="0.3">
      <c r="A126" s="34"/>
      <c r="B126" s="484"/>
      <c r="C126" s="487"/>
      <c r="D126" s="110" t="s">
        <v>420</v>
      </c>
      <c r="E126" s="292" t="s">
        <v>67</v>
      </c>
      <c r="F126" s="36" t="s">
        <v>60</v>
      </c>
      <c r="G126" s="124">
        <v>0.83844924675987276</v>
      </c>
      <c r="H126" s="94" t="s">
        <v>472</v>
      </c>
      <c r="I126" s="94">
        <v>0.13100000000000001</v>
      </c>
      <c r="J126" s="473"/>
      <c r="K126" s="103"/>
      <c r="L126" s="104"/>
      <c r="M126" s="104"/>
      <c r="O126" s="39"/>
    </row>
    <row r="127" spans="1:15" customFormat="1" ht="36" customHeight="1" x14ac:dyDescent="0.3">
      <c r="A127" s="34"/>
      <c r="B127" s="484"/>
      <c r="C127" s="487"/>
      <c r="D127" s="110" t="s">
        <v>419</v>
      </c>
      <c r="E127" s="292" t="s">
        <v>67</v>
      </c>
      <c r="F127" s="36" t="s">
        <v>60</v>
      </c>
      <c r="G127" s="124">
        <v>0.81082830484917301</v>
      </c>
      <c r="H127" s="94" t="s">
        <v>472</v>
      </c>
      <c r="I127" s="94">
        <v>0.17200000000000001</v>
      </c>
      <c r="J127" s="474"/>
      <c r="K127" s="103"/>
      <c r="L127" s="104"/>
      <c r="M127" s="104"/>
      <c r="O127" s="39"/>
    </row>
    <row r="128" spans="1:15" customFormat="1" ht="25.35" customHeight="1" x14ac:dyDescent="0.3">
      <c r="A128" s="34"/>
      <c r="B128" s="484"/>
      <c r="C128" s="487"/>
      <c r="D128" s="110" t="s">
        <v>511</v>
      </c>
      <c r="E128" s="292" t="s">
        <v>67</v>
      </c>
      <c r="F128" s="36" t="s">
        <v>61</v>
      </c>
      <c r="G128" s="124">
        <v>2.62</v>
      </c>
      <c r="H128" s="94" t="s">
        <v>472</v>
      </c>
      <c r="I128" s="94">
        <v>7.400000000000001E-2</v>
      </c>
      <c r="J128" s="472" t="s">
        <v>952</v>
      </c>
      <c r="K128" s="103"/>
      <c r="L128" s="104"/>
      <c r="M128" s="104"/>
      <c r="O128" s="39"/>
    </row>
    <row r="129" spans="1:15" customFormat="1" ht="25.35" customHeight="1" x14ac:dyDescent="0.3">
      <c r="A129" s="34"/>
      <c r="B129" s="484"/>
      <c r="C129" s="487"/>
      <c r="D129" s="110" t="s">
        <v>512</v>
      </c>
      <c r="E129" s="292" t="s">
        <v>67</v>
      </c>
      <c r="F129" s="36" t="s">
        <v>61</v>
      </c>
      <c r="G129" s="124">
        <v>2.62</v>
      </c>
      <c r="H129" s="94" t="s">
        <v>472</v>
      </c>
      <c r="I129" s="94">
        <v>0.10700000000000001</v>
      </c>
      <c r="J129" s="473"/>
      <c r="K129" s="103"/>
      <c r="L129" s="104"/>
      <c r="M129" s="104"/>
      <c r="O129" s="39"/>
    </row>
    <row r="130" spans="1:15" customFormat="1" ht="25.35" customHeight="1" x14ac:dyDescent="0.3">
      <c r="A130" s="34"/>
      <c r="B130" s="484"/>
      <c r="C130" s="487"/>
      <c r="D130" s="110" t="s">
        <v>513</v>
      </c>
      <c r="E130" s="292" t="s">
        <v>67</v>
      </c>
      <c r="F130" s="36" t="s">
        <v>61</v>
      </c>
      <c r="G130" s="124">
        <v>2.62</v>
      </c>
      <c r="H130" s="94" t="s">
        <v>472</v>
      </c>
      <c r="I130" s="94">
        <v>0.14000000000000001</v>
      </c>
      <c r="J130" s="474"/>
      <c r="K130" s="103"/>
      <c r="L130" s="104"/>
      <c r="M130" s="104"/>
      <c r="O130" s="39"/>
    </row>
    <row r="131" spans="1:15" customFormat="1" ht="25.35" customHeight="1" x14ac:dyDescent="0.3">
      <c r="A131" s="34"/>
      <c r="B131" s="484"/>
      <c r="C131" s="487"/>
      <c r="D131" s="110" t="s">
        <v>514</v>
      </c>
      <c r="E131" s="292" t="s">
        <v>67</v>
      </c>
      <c r="F131" s="36" t="s">
        <v>64</v>
      </c>
      <c r="G131" s="124">
        <v>5.1014720348438711</v>
      </c>
      <c r="H131" s="94" t="s">
        <v>472</v>
      </c>
      <c r="I131" s="94">
        <v>6.2E-2</v>
      </c>
      <c r="J131" s="472" t="s">
        <v>953</v>
      </c>
      <c r="K131" s="103"/>
      <c r="L131" s="104"/>
      <c r="M131" s="104"/>
      <c r="O131" s="39"/>
    </row>
    <row r="132" spans="1:15" customFormat="1" ht="25.35" customHeight="1" x14ac:dyDescent="0.3">
      <c r="A132" s="34"/>
      <c r="B132" s="484"/>
      <c r="C132" s="487"/>
      <c r="D132" s="110" t="s">
        <v>515</v>
      </c>
      <c r="E132" s="292" t="s">
        <v>67</v>
      </c>
      <c r="F132" s="36" t="s">
        <v>64</v>
      </c>
      <c r="G132" s="124">
        <v>5.2129988678705619</v>
      </c>
      <c r="H132" s="94" t="s">
        <v>472</v>
      </c>
      <c r="I132" s="94">
        <v>8.8999999999999996E-2</v>
      </c>
      <c r="J132" s="473"/>
      <c r="K132" s="103"/>
      <c r="L132" s="104"/>
      <c r="M132" s="104"/>
      <c r="O132" s="39"/>
    </row>
    <row r="133" spans="1:15" customFormat="1" ht="25.35" customHeight="1" x14ac:dyDescent="0.3">
      <c r="A133" s="34"/>
      <c r="B133" s="484"/>
      <c r="C133" s="487"/>
      <c r="D133" s="110" t="s">
        <v>516</v>
      </c>
      <c r="E133" s="292" t="s">
        <v>67</v>
      </c>
      <c r="F133" s="36" t="s">
        <v>64</v>
      </c>
      <c r="G133" s="124">
        <v>5.2726080372468971</v>
      </c>
      <c r="H133" s="94" t="s">
        <v>472</v>
      </c>
      <c r="I133" s="94">
        <v>0.11599999999999999</v>
      </c>
      <c r="J133" s="474"/>
      <c r="K133" s="103"/>
      <c r="L133" s="104"/>
      <c r="M133" s="104"/>
      <c r="O133" s="39"/>
    </row>
    <row r="134" spans="1:15" customFormat="1" ht="25.35" customHeight="1" x14ac:dyDescent="0.3">
      <c r="A134" s="34"/>
      <c r="B134" s="484"/>
      <c r="C134" s="487"/>
      <c r="D134" s="110" t="s">
        <v>517</v>
      </c>
      <c r="E134" s="292" t="s">
        <v>67</v>
      </c>
      <c r="F134" s="36" t="s">
        <v>66</v>
      </c>
      <c r="G134" s="124">
        <v>3.0862162162162163</v>
      </c>
      <c r="H134" s="94" t="s">
        <v>472</v>
      </c>
      <c r="I134" s="94">
        <v>7.400000000000001E-2</v>
      </c>
      <c r="J134" s="472" t="s">
        <v>954</v>
      </c>
      <c r="K134" s="103"/>
      <c r="L134" s="104"/>
      <c r="M134" s="104"/>
      <c r="O134" s="39"/>
    </row>
    <row r="135" spans="1:15" customFormat="1" ht="25.35" customHeight="1" x14ac:dyDescent="0.3">
      <c r="A135" s="34"/>
      <c r="B135" s="484"/>
      <c r="C135" s="487"/>
      <c r="D135" s="110" t="s">
        <v>518</v>
      </c>
      <c r="E135" s="292" t="s">
        <v>67</v>
      </c>
      <c r="F135" s="36" t="s">
        <v>66</v>
      </c>
      <c r="G135" s="124">
        <v>3.1036448598130844</v>
      </c>
      <c r="H135" s="94" t="s">
        <v>472</v>
      </c>
      <c r="I135" s="94">
        <v>0.10700000000000001</v>
      </c>
      <c r="J135" s="473"/>
      <c r="K135" s="103"/>
      <c r="L135" s="104"/>
      <c r="M135" s="104"/>
      <c r="O135" s="39"/>
    </row>
    <row r="136" spans="1:15" customFormat="1" ht="25.35" customHeight="1" x14ac:dyDescent="0.3">
      <c r="A136" s="34"/>
      <c r="B136" s="484"/>
      <c r="C136" s="488"/>
      <c r="D136" s="110" t="s">
        <v>519</v>
      </c>
      <c r="E136" s="292" t="s">
        <v>67</v>
      </c>
      <c r="F136" s="36" t="s">
        <v>66</v>
      </c>
      <c r="G136" s="124">
        <v>3.1128571428571425</v>
      </c>
      <c r="H136" s="94" t="s">
        <v>472</v>
      </c>
      <c r="I136" s="94">
        <v>0.14000000000000001</v>
      </c>
      <c r="J136" s="474"/>
      <c r="K136" s="103"/>
      <c r="L136" s="104"/>
      <c r="M136" s="104"/>
      <c r="O136" s="39"/>
    </row>
    <row r="137" spans="1:15" customFormat="1" ht="28.8" x14ac:dyDescent="0.3">
      <c r="A137" s="34"/>
      <c r="B137" s="484"/>
      <c r="C137" s="486" t="s">
        <v>520</v>
      </c>
      <c r="D137" s="110" t="s">
        <v>418</v>
      </c>
      <c r="E137" s="292" t="s">
        <v>67</v>
      </c>
      <c r="F137" s="82" t="s">
        <v>61</v>
      </c>
      <c r="G137" s="124">
        <v>2.62</v>
      </c>
      <c r="H137" s="94" t="s">
        <v>472</v>
      </c>
      <c r="I137" s="109">
        <v>2.2290000000000001E-2</v>
      </c>
      <c r="J137" s="95" t="s">
        <v>955</v>
      </c>
      <c r="K137" s="103"/>
      <c r="L137" s="104"/>
      <c r="M137" s="104"/>
      <c r="O137" s="39"/>
    </row>
    <row r="138" spans="1:15" customFormat="1" ht="28.8" x14ac:dyDescent="0.3">
      <c r="A138" s="34"/>
      <c r="B138" s="484"/>
      <c r="C138" s="487"/>
      <c r="D138" s="110" t="s">
        <v>417</v>
      </c>
      <c r="E138" s="292" t="s">
        <v>67</v>
      </c>
      <c r="F138" s="82" t="s">
        <v>61</v>
      </c>
      <c r="G138" s="124">
        <v>2.62</v>
      </c>
      <c r="H138" s="94" t="s">
        <v>472</v>
      </c>
      <c r="I138" s="94">
        <v>3.5540000000000002E-2</v>
      </c>
      <c r="J138" s="95" t="s">
        <v>956</v>
      </c>
      <c r="K138" s="103"/>
      <c r="L138" s="104"/>
      <c r="M138" s="104"/>
      <c r="O138" s="39"/>
    </row>
    <row r="139" spans="1:15" customFormat="1" ht="43.2" x14ac:dyDescent="0.3">
      <c r="A139" s="34"/>
      <c r="B139" s="484"/>
      <c r="C139" s="487"/>
      <c r="D139" s="110" t="s">
        <v>416</v>
      </c>
      <c r="E139" s="292" t="s">
        <v>67</v>
      </c>
      <c r="F139" s="114" t="s">
        <v>62</v>
      </c>
      <c r="G139" s="124">
        <v>0.23577719722910626</v>
      </c>
      <c r="H139" s="94" t="s">
        <v>472</v>
      </c>
      <c r="I139" s="94">
        <v>1.2</v>
      </c>
      <c r="J139" s="95" t="s">
        <v>957</v>
      </c>
      <c r="K139" s="103"/>
      <c r="L139" s="104"/>
      <c r="M139" s="104"/>
      <c r="O139" s="39"/>
    </row>
    <row r="140" spans="1:15" customFormat="1" x14ac:dyDescent="0.3">
      <c r="A140" s="34"/>
      <c r="B140" s="484"/>
      <c r="C140" s="488"/>
      <c r="D140" s="110" t="s">
        <v>415</v>
      </c>
      <c r="E140" s="292" t="s">
        <v>67</v>
      </c>
      <c r="F140" s="504" t="s">
        <v>521</v>
      </c>
      <c r="G140" s="352"/>
      <c r="H140" s="352"/>
      <c r="I140" s="352"/>
      <c r="J140" s="353"/>
      <c r="K140" s="103"/>
      <c r="L140" s="104"/>
      <c r="M140" s="104"/>
      <c r="O140" s="39"/>
    </row>
    <row r="141" spans="1:15" customFormat="1" ht="43.2" x14ac:dyDescent="0.3">
      <c r="A141" s="34"/>
      <c r="B141" s="484"/>
      <c r="C141" s="486" t="s">
        <v>414</v>
      </c>
      <c r="D141" s="110" t="s">
        <v>69</v>
      </c>
      <c r="E141" s="267" t="s">
        <v>70</v>
      </c>
      <c r="F141" s="115" t="s">
        <v>68</v>
      </c>
      <c r="G141" s="124">
        <v>2.54</v>
      </c>
      <c r="H141" s="94" t="s">
        <v>472</v>
      </c>
      <c r="I141" s="94">
        <v>1.1999999999999999E-3</v>
      </c>
      <c r="J141" s="99" t="s">
        <v>1110</v>
      </c>
      <c r="K141" s="103"/>
      <c r="L141" s="104"/>
      <c r="M141" s="104"/>
      <c r="O141" s="39"/>
    </row>
    <row r="142" spans="1:15" customFormat="1" ht="28.8" x14ac:dyDescent="0.3">
      <c r="A142" s="34"/>
      <c r="B142" s="485"/>
      <c r="C142" s="488"/>
      <c r="D142" s="110" t="s">
        <v>71</v>
      </c>
      <c r="E142" s="267" t="s">
        <v>70</v>
      </c>
      <c r="F142" s="115" t="s">
        <v>68</v>
      </c>
      <c r="G142" s="124">
        <v>2.1518303071422826</v>
      </c>
      <c r="H142" s="94" t="s">
        <v>472</v>
      </c>
      <c r="I142" s="94">
        <v>1.1999999999999999E-3</v>
      </c>
      <c r="J142" s="99" t="s">
        <v>958</v>
      </c>
      <c r="K142" s="103"/>
      <c r="L142" s="104"/>
      <c r="M142" s="104"/>
      <c r="O142" s="39"/>
    </row>
    <row r="143" spans="1:15" customFormat="1" ht="45" x14ac:dyDescent="0.3">
      <c r="A143" s="34"/>
      <c r="B143" s="511" t="s">
        <v>24</v>
      </c>
      <c r="C143" s="514" t="s">
        <v>413</v>
      </c>
      <c r="D143" s="116" t="s">
        <v>393</v>
      </c>
      <c r="E143" s="271" t="s">
        <v>67</v>
      </c>
      <c r="F143" s="102" t="s">
        <v>66</v>
      </c>
      <c r="G143" s="117">
        <v>2.52</v>
      </c>
      <c r="H143" s="94" t="s">
        <v>472</v>
      </c>
      <c r="I143" s="117">
        <v>2.3616922773361266E-3</v>
      </c>
      <c r="J143" s="95" t="s">
        <v>959</v>
      </c>
      <c r="K143" s="103"/>
      <c r="L143" s="104"/>
      <c r="M143" s="104"/>
      <c r="O143" s="39"/>
    </row>
    <row r="144" spans="1:15" customFormat="1" ht="45" x14ac:dyDescent="0.3">
      <c r="A144" s="34"/>
      <c r="B144" s="512"/>
      <c r="C144" s="515"/>
      <c r="D144" s="116" t="s">
        <v>402</v>
      </c>
      <c r="E144" s="271" t="s">
        <v>67</v>
      </c>
      <c r="F144" s="102" t="s">
        <v>66</v>
      </c>
      <c r="G144" s="117">
        <v>2.52</v>
      </c>
      <c r="H144" s="94" t="s">
        <v>237</v>
      </c>
      <c r="I144" s="117">
        <v>4.2236199953391926E-3</v>
      </c>
      <c r="J144" s="95" t="s">
        <v>960</v>
      </c>
      <c r="K144" s="103"/>
      <c r="L144" s="104"/>
      <c r="M144" s="104"/>
      <c r="O144" s="39"/>
    </row>
    <row r="145" spans="1:15" customFormat="1" ht="45" x14ac:dyDescent="0.3">
      <c r="A145" s="34"/>
      <c r="B145" s="512"/>
      <c r="C145" s="515"/>
      <c r="D145" s="116" t="s">
        <v>392</v>
      </c>
      <c r="E145" s="271" t="s">
        <v>67</v>
      </c>
      <c r="F145" s="102" t="s">
        <v>66</v>
      </c>
      <c r="G145" s="117">
        <v>2.52</v>
      </c>
      <c r="H145" s="94" t="s">
        <v>237</v>
      </c>
      <c r="I145" s="117">
        <v>7.5086577694918914E-3</v>
      </c>
      <c r="J145" s="95" t="s">
        <v>961</v>
      </c>
      <c r="K145" s="103"/>
      <c r="L145" s="104"/>
      <c r="M145" s="104"/>
      <c r="O145" s="39"/>
    </row>
    <row r="146" spans="1:15" customFormat="1" ht="45" x14ac:dyDescent="0.3">
      <c r="A146" s="34"/>
      <c r="B146" s="512"/>
      <c r="C146" s="515"/>
      <c r="D146" s="116" t="s">
        <v>401</v>
      </c>
      <c r="E146" s="271" t="s">
        <v>67</v>
      </c>
      <c r="F146" s="102" t="s">
        <v>66</v>
      </c>
      <c r="G146" s="117">
        <v>2.52</v>
      </c>
      <c r="H146" s="94" t="s">
        <v>237</v>
      </c>
      <c r="I146" s="117">
        <v>1.1165471618270428E-2</v>
      </c>
      <c r="J146" s="95" t="s">
        <v>962</v>
      </c>
      <c r="K146" s="103"/>
      <c r="L146" s="104"/>
      <c r="M146" s="104"/>
      <c r="O146" s="39"/>
    </row>
    <row r="147" spans="1:15" customFormat="1" ht="45" x14ac:dyDescent="0.3">
      <c r="A147" s="34"/>
      <c r="B147" s="512"/>
      <c r="C147" s="515"/>
      <c r="D147" s="116" t="s">
        <v>400</v>
      </c>
      <c r="E147" s="271" t="s">
        <v>67</v>
      </c>
      <c r="F147" s="102" t="s">
        <v>66</v>
      </c>
      <c r="G147" s="117">
        <v>2.52</v>
      </c>
      <c r="H147" s="94" t="s">
        <v>237</v>
      </c>
      <c r="I147" s="117">
        <v>2.0481204898033695E-2</v>
      </c>
      <c r="J147" s="95" t="s">
        <v>963</v>
      </c>
      <c r="K147" s="103"/>
      <c r="L147" s="104"/>
      <c r="M147" s="104"/>
      <c r="O147" s="39"/>
    </row>
    <row r="148" spans="1:15" customFormat="1" ht="45" x14ac:dyDescent="0.3">
      <c r="A148" s="34"/>
      <c r="B148" s="512"/>
      <c r="C148" s="515"/>
      <c r="D148" s="116" t="s">
        <v>399</v>
      </c>
      <c r="E148" s="271" t="s">
        <v>67</v>
      </c>
      <c r="F148" s="102" t="s">
        <v>66</v>
      </c>
      <c r="G148" s="117">
        <v>2.52</v>
      </c>
      <c r="H148" s="94" t="s">
        <v>237</v>
      </c>
      <c r="I148" s="117">
        <v>4.4661886473081711E-2</v>
      </c>
      <c r="J148" s="95" t="s">
        <v>964</v>
      </c>
      <c r="K148" s="103"/>
      <c r="L148" s="104"/>
      <c r="M148" s="104"/>
      <c r="O148" s="39"/>
    </row>
    <row r="149" spans="1:15" customFormat="1" ht="45" x14ac:dyDescent="0.3">
      <c r="A149" s="34"/>
      <c r="B149" s="512"/>
      <c r="C149" s="515"/>
      <c r="D149" s="116" t="s">
        <v>398</v>
      </c>
      <c r="E149" s="271" t="s">
        <v>67</v>
      </c>
      <c r="F149" s="102" t="s">
        <v>66</v>
      </c>
      <c r="G149" s="117">
        <v>2.52</v>
      </c>
      <c r="H149" s="94" t="s">
        <v>237</v>
      </c>
      <c r="I149" s="117">
        <v>7.4355214925163171E-2</v>
      </c>
      <c r="J149" s="95" t="s">
        <v>965</v>
      </c>
      <c r="K149" s="103"/>
      <c r="L149" s="104"/>
      <c r="M149" s="104"/>
      <c r="O149" s="39"/>
    </row>
    <row r="150" spans="1:15" customFormat="1" ht="45" x14ac:dyDescent="0.3">
      <c r="A150" s="34"/>
      <c r="B150" s="512"/>
      <c r="C150" s="515"/>
      <c r="D150" s="116" t="s">
        <v>397</v>
      </c>
      <c r="E150" s="271" t="s">
        <v>67</v>
      </c>
      <c r="F150" s="102" t="s">
        <v>66</v>
      </c>
      <c r="G150" s="117">
        <v>2.52</v>
      </c>
      <c r="H150" s="94" t="s">
        <v>237</v>
      </c>
      <c r="I150" s="117">
        <v>0.11618002332056755</v>
      </c>
      <c r="J150" s="95" t="s">
        <v>966</v>
      </c>
      <c r="K150" s="103"/>
      <c r="L150" s="104"/>
      <c r="M150" s="104"/>
      <c r="O150" s="39"/>
    </row>
    <row r="151" spans="1:15" customFormat="1" ht="45" x14ac:dyDescent="0.3">
      <c r="A151" s="34"/>
      <c r="B151" s="512"/>
      <c r="C151" s="516"/>
      <c r="D151" s="116" t="s">
        <v>396</v>
      </c>
      <c r="E151" s="271" t="s">
        <v>67</v>
      </c>
      <c r="F151" s="102" t="s">
        <v>66</v>
      </c>
      <c r="G151" s="117">
        <v>2.52</v>
      </c>
      <c r="H151" s="94" t="s">
        <v>237</v>
      </c>
      <c r="I151" s="117">
        <v>0.16729923358161752</v>
      </c>
      <c r="J151" s="95" t="s">
        <v>967</v>
      </c>
      <c r="K151" s="103"/>
      <c r="L151" s="104"/>
      <c r="M151" s="104"/>
      <c r="O151" s="39"/>
    </row>
    <row r="152" spans="1:15" customFormat="1" ht="45" x14ac:dyDescent="0.3">
      <c r="A152" s="34"/>
      <c r="B152" s="512"/>
      <c r="C152" s="514" t="s">
        <v>412</v>
      </c>
      <c r="D152" s="116" t="s">
        <v>393</v>
      </c>
      <c r="E152" s="271" t="s">
        <v>67</v>
      </c>
      <c r="F152" s="102" t="s">
        <v>66</v>
      </c>
      <c r="G152" s="117">
        <v>3.23</v>
      </c>
      <c r="H152" s="94" t="s">
        <v>472</v>
      </c>
      <c r="I152" s="117">
        <v>3.1651545984917161E-3</v>
      </c>
      <c r="J152" s="95" t="s">
        <v>968</v>
      </c>
      <c r="K152" s="103"/>
      <c r="L152" s="104"/>
      <c r="M152" s="104"/>
      <c r="O152" s="39"/>
    </row>
    <row r="153" spans="1:15" customFormat="1" ht="45" x14ac:dyDescent="0.3">
      <c r="A153" s="34"/>
      <c r="B153" s="512"/>
      <c r="C153" s="515"/>
      <c r="D153" s="116" t="s">
        <v>402</v>
      </c>
      <c r="E153" s="271" t="s">
        <v>67</v>
      </c>
      <c r="F153" s="102" t="s">
        <v>66</v>
      </c>
      <c r="G153" s="117">
        <v>3.23</v>
      </c>
      <c r="H153" s="94" t="s">
        <v>237</v>
      </c>
      <c r="I153" s="117">
        <v>5.6605216432380938E-3</v>
      </c>
      <c r="J153" s="95" t="s">
        <v>969</v>
      </c>
      <c r="K153" s="103"/>
      <c r="L153" s="104"/>
      <c r="M153" s="104"/>
      <c r="O153" s="39"/>
    </row>
    <row r="154" spans="1:15" customFormat="1" ht="45" x14ac:dyDescent="0.3">
      <c r="A154" s="34"/>
      <c r="B154" s="512"/>
      <c r="C154" s="515"/>
      <c r="D154" s="116" t="s">
        <v>392</v>
      </c>
      <c r="E154" s="271" t="s">
        <v>67</v>
      </c>
      <c r="F154" s="102" t="s">
        <v>66</v>
      </c>
      <c r="G154" s="117">
        <v>3.23</v>
      </c>
      <c r="H154" s="94" t="s">
        <v>237</v>
      </c>
      <c r="I154" s="117">
        <v>1.0063149587978824E-2</v>
      </c>
      <c r="J154" s="95" t="s">
        <v>970</v>
      </c>
      <c r="K154" s="103"/>
      <c r="L154" s="104"/>
      <c r="M154" s="104"/>
      <c r="O154" s="39"/>
    </row>
    <row r="155" spans="1:15" customFormat="1" ht="45" x14ac:dyDescent="0.3">
      <c r="A155" s="34"/>
      <c r="B155" s="512"/>
      <c r="C155" s="515"/>
      <c r="D155" s="116" t="s">
        <v>401</v>
      </c>
      <c r="E155" s="271" t="s">
        <v>67</v>
      </c>
      <c r="F155" s="102" t="s">
        <v>66</v>
      </c>
      <c r="G155" s="117">
        <v>3.23</v>
      </c>
      <c r="H155" s="94" t="s">
        <v>237</v>
      </c>
      <c r="I155" s="117">
        <v>1.4964034127578924E-2</v>
      </c>
      <c r="J155" s="95" t="s">
        <v>971</v>
      </c>
      <c r="K155" s="34"/>
      <c r="O155" s="39"/>
    </row>
    <row r="156" spans="1:15" customFormat="1" ht="45" x14ac:dyDescent="0.3">
      <c r="A156" s="34"/>
      <c r="B156" s="512"/>
      <c r="C156" s="515"/>
      <c r="D156" s="116" t="s">
        <v>400</v>
      </c>
      <c r="E156" s="271" t="s">
        <v>67</v>
      </c>
      <c r="F156" s="102" t="s">
        <v>66</v>
      </c>
      <c r="G156" s="117">
        <v>3.23</v>
      </c>
      <c r="H156" s="94" t="s">
        <v>237</v>
      </c>
      <c r="I156" s="117">
        <v>2.7449037492210105E-2</v>
      </c>
      <c r="J156" s="95" t="s">
        <v>972</v>
      </c>
      <c r="K156" s="34"/>
      <c r="O156" s="39"/>
    </row>
    <row r="157" spans="1:15" customFormat="1" ht="45" x14ac:dyDescent="0.3">
      <c r="A157" s="34"/>
      <c r="B157" s="512"/>
      <c r="C157" s="515"/>
      <c r="D157" s="116" t="s">
        <v>399</v>
      </c>
      <c r="E157" s="271" t="s">
        <v>67</v>
      </c>
      <c r="F157" s="102" t="s">
        <v>66</v>
      </c>
      <c r="G157" s="117">
        <v>3.23</v>
      </c>
      <c r="H157" s="94" t="s">
        <v>237</v>
      </c>
      <c r="I157" s="117">
        <v>5.9856136510315697E-2</v>
      </c>
      <c r="J157" s="95" t="s">
        <v>973</v>
      </c>
      <c r="K157" s="34"/>
      <c r="O157" s="39"/>
    </row>
    <row r="158" spans="1:15" customFormat="1" ht="45" x14ac:dyDescent="0.3">
      <c r="A158" s="34"/>
      <c r="B158" s="512"/>
      <c r="C158" s="515"/>
      <c r="D158" s="116" t="s">
        <v>398</v>
      </c>
      <c r="E158" s="271" t="s">
        <v>67</v>
      </c>
      <c r="F158" s="102" t="s">
        <v>66</v>
      </c>
      <c r="G158" s="117">
        <v>3.23</v>
      </c>
      <c r="H158" s="94" t="s">
        <v>237</v>
      </c>
      <c r="I158" s="117">
        <v>9.9651318971868172E-2</v>
      </c>
      <c r="J158" s="95" t="s">
        <v>974</v>
      </c>
      <c r="K158" s="34"/>
      <c r="O158" s="39"/>
    </row>
    <row r="159" spans="1:15" customFormat="1" ht="45" x14ac:dyDescent="0.3">
      <c r="A159" s="34"/>
      <c r="B159" s="512"/>
      <c r="C159" s="515"/>
      <c r="D159" s="116" t="s">
        <v>397</v>
      </c>
      <c r="E159" s="271" t="s">
        <v>67</v>
      </c>
      <c r="F159" s="102" t="s">
        <v>66</v>
      </c>
      <c r="G159" s="117">
        <v>3.23</v>
      </c>
      <c r="H159" s="94" t="s">
        <v>237</v>
      </c>
      <c r="I159" s="117">
        <v>0.15570518589354415</v>
      </c>
      <c r="J159" s="95" t="s">
        <v>975</v>
      </c>
      <c r="K159" s="34"/>
      <c r="O159" s="39"/>
    </row>
    <row r="160" spans="1:15" customFormat="1" ht="43.2" x14ac:dyDescent="0.3">
      <c r="A160" s="34"/>
      <c r="B160" s="512"/>
      <c r="C160" s="516"/>
      <c r="D160" s="116" t="s">
        <v>396</v>
      </c>
      <c r="E160" s="271" t="s">
        <v>67</v>
      </c>
      <c r="F160" s="102" t="s">
        <v>66</v>
      </c>
      <c r="G160" s="117">
        <v>3.23</v>
      </c>
      <c r="H160" s="94" t="s">
        <v>237</v>
      </c>
      <c r="I160" s="117">
        <v>0.22421546768670392</v>
      </c>
      <c r="J160" s="95" t="s">
        <v>976</v>
      </c>
      <c r="K160" s="34"/>
      <c r="O160" s="39"/>
    </row>
    <row r="161" spans="1:15" customFormat="1" ht="47.25" customHeight="1" x14ac:dyDescent="0.3">
      <c r="A161" s="34"/>
      <c r="B161" s="512"/>
      <c r="C161" s="514" t="s">
        <v>411</v>
      </c>
      <c r="D161" s="116" t="s">
        <v>393</v>
      </c>
      <c r="E161" s="271" t="s">
        <v>67</v>
      </c>
      <c r="F161" s="102" t="s">
        <v>66</v>
      </c>
      <c r="G161" s="117">
        <v>4.49</v>
      </c>
      <c r="H161" s="94" t="s">
        <v>472</v>
      </c>
      <c r="I161" s="117">
        <v>2.3032586539793562E-3</v>
      </c>
      <c r="J161" s="95" t="s">
        <v>977</v>
      </c>
      <c r="K161" s="34"/>
      <c r="O161" s="39"/>
    </row>
    <row r="162" spans="1:15" customFormat="1" ht="43.2" x14ac:dyDescent="0.3">
      <c r="A162" s="34"/>
      <c r="B162" s="512"/>
      <c r="C162" s="515"/>
      <c r="D162" s="116" t="s">
        <v>402</v>
      </c>
      <c r="E162" s="271" t="s">
        <v>67</v>
      </c>
      <c r="F162" s="102" t="s">
        <v>66</v>
      </c>
      <c r="G162" s="117">
        <v>4.49</v>
      </c>
      <c r="H162" s="94" t="s">
        <v>237</v>
      </c>
      <c r="I162" s="117">
        <v>4.1191180573101815E-3</v>
      </c>
      <c r="J162" s="95" t="s">
        <v>978</v>
      </c>
      <c r="K162" s="34"/>
      <c r="O162" s="39"/>
    </row>
    <row r="163" spans="1:15" customFormat="1" ht="45" x14ac:dyDescent="0.3">
      <c r="A163" s="34"/>
      <c r="B163" s="512"/>
      <c r="C163" s="515"/>
      <c r="D163" s="116" t="s">
        <v>392</v>
      </c>
      <c r="E163" s="271" t="s">
        <v>67</v>
      </c>
      <c r="F163" s="102" t="s">
        <v>66</v>
      </c>
      <c r="G163" s="117">
        <v>4.49</v>
      </c>
      <c r="H163" s="94" t="s">
        <v>237</v>
      </c>
      <c r="I163" s="117">
        <v>7.3228765463292057E-3</v>
      </c>
      <c r="J163" s="95" t="s">
        <v>979</v>
      </c>
      <c r="K163" s="34"/>
      <c r="O163" s="39"/>
    </row>
    <row r="164" spans="1:15" customFormat="1" ht="45" x14ac:dyDescent="0.3">
      <c r="A164" s="34"/>
      <c r="B164" s="512"/>
      <c r="C164" s="515"/>
      <c r="D164" s="116" t="s">
        <v>401</v>
      </c>
      <c r="E164" s="271" t="s">
        <v>67</v>
      </c>
      <c r="F164" s="102" t="s">
        <v>66</v>
      </c>
      <c r="G164" s="117">
        <v>4.49</v>
      </c>
      <c r="H164" s="94" t="s">
        <v>237</v>
      </c>
      <c r="I164" s="117">
        <v>1.0889212526684355E-2</v>
      </c>
      <c r="J164" s="95" t="s">
        <v>980</v>
      </c>
      <c r="K164" s="34"/>
      <c r="O164" s="39"/>
    </row>
    <row r="165" spans="1:15" customFormat="1" ht="45" x14ac:dyDescent="0.3">
      <c r="A165" s="34"/>
      <c r="B165" s="512"/>
      <c r="C165" s="515"/>
      <c r="D165" s="116" t="s">
        <v>400</v>
      </c>
      <c r="E165" s="271" t="s">
        <v>67</v>
      </c>
      <c r="F165" s="102" t="s">
        <v>66</v>
      </c>
      <c r="G165" s="117">
        <v>4.49</v>
      </c>
      <c r="H165" s="94" t="s">
        <v>237</v>
      </c>
      <c r="I165" s="117">
        <v>1.9974453436639044E-2</v>
      </c>
      <c r="J165" s="95" t="s">
        <v>981</v>
      </c>
      <c r="K165" s="34"/>
      <c r="O165" s="39"/>
    </row>
    <row r="166" spans="1:15" customFormat="1" ht="45" x14ac:dyDescent="0.3">
      <c r="A166" s="34"/>
      <c r="B166" s="512"/>
      <c r="C166" s="515"/>
      <c r="D166" s="116" t="s">
        <v>399</v>
      </c>
      <c r="E166" s="271" t="s">
        <v>67</v>
      </c>
      <c r="F166" s="102" t="s">
        <v>66</v>
      </c>
      <c r="G166" s="117">
        <v>4.49</v>
      </c>
      <c r="H166" s="94" t="s">
        <v>237</v>
      </c>
      <c r="I166" s="117">
        <v>4.3556850106737419E-2</v>
      </c>
      <c r="J166" s="95" t="s">
        <v>982</v>
      </c>
      <c r="K166" s="34"/>
      <c r="O166" s="39"/>
    </row>
    <row r="167" spans="1:15" customFormat="1" ht="45" x14ac:dyDescent="0.3">
      <c r="A167" s="34"/>
      <c r="B167" s="512"/>
      <c r="C167" s="515"/>
      <c r="D167" s="116" t="s">
        <v>398</v>
      </c>
      <c r="E167" s="271" t="s">
        <v>67</v>
      </c>
      <c r="F167" s="102" t="s">
        <v>66</v>
      </c>
      <c r="G167" s="117">
        <v>4.49</v>
      </c>
      <c r="H167" s="94" t="s">
        <v>237</v>
      </c>
      <c r="I167" s="117">
        <v>7.2515498267220979E-2</v>
      </c>
      <c r="J167" s="95" t="s">
        <v>983</v>
      </c>
      <c r="K167" s="34"/>
      <c r="O167" s="39"/>
    </row>
    <row r="168" spans="1:15" customFormat="1" ht="45" x14ac:dyDescent="0.3">
      <c r="A168" s="34"/>
      <c r="B168" s="512"/>
      <c r="C168" s="515"/>
      <c r="D168" s="116" t="s">
        <v>397</v>
      </c>
      <c r="E168" s="271" t="s">
        <v>67</v>
      </c>
      <c r="F168" s="102" t="s">
        <v>66</v>
      </c>
      <c r="G168" s="117">
        <v>4.49</v>
      </c>
      <c r="H168" s="94" t="s">
        <v>237</v>
      </c>
      <c r="I168" s="117">
        <v>0.11330546604253289</v>
      </c>
      <c r="J168" s="95" t="s">
        <v>984</v>
      </c>
      <c r="K168" s="34"/>
      <c r="O168" s="39"/>
    </row>
    <row r="169" spans="1:15" customFormat="1" ht="45" x14ac:dyDescent="0.3">
      <c r="A169" s="34"/>
      <c r="B169" s="512"/>
      <c r="C169" s="516"/>
      <c r="D169" s="116" t="s">
        <v>396</v>
      </c>
      <c r="E169" s="271" t="s">
        <v>67</v>
      </c>
      <c r="F169" s="102" t="s">
        <v>66</v>
      </c>
      <c r="G169" s="117">
        <v>4.49</v>
      </c>
      <c r="H169" s="94" t="s">
        <v>237</v>
      </c>
      <c r="I169" s="117">
        <v>0.16315987110124761</v>
      </c>
      <c r="J169" s="95" t="s">
        <v>985</v>
      </c>
      <c r="K169" s="34"/>
      <c r="O169" s="39"/>
    </row>
    <row r="170" spans="1:15" customFormat="1" ht="28.8" x14ac:dyDescent="0.3">
      <c r="A170" s="34"/>
      <c r="B170" s="512"/>
      <c r="C170" s="514" t="s">
        <v>410</v>
      </c>
      <c r="D170" s="116" t="s">
        <v>393</v>
      </c>
      <c r="E170" s="271" t="s">
        <v>67</v>
      </c>
      <c r="F170" s="102" t="s">
        <v>72</v>
      </c>
      <c r="G170" s="117">
        <v>0.5</v>
      </c>
      <c r="H170" s="94" t="s">
        <v>472</v>
      </c>
      <c r="I170" s="109">
        <v>1.7500000000000002E-2</v>
      </c>
      <c r="J170" s="95" t="s">
        <v>1091</v>
      </c>
      <c r="K170" s="34"/>
      <c r="O170" s="39"/>
    </row>
    <row r="171" spans="1:15" customFormat="1" ht="28.8" x14ac:dyDescent="0.3">
      <c r="A171" s="34"/>
      <c r="B171" s="512"/>
      <c r="C171" s="515"/>
      <c r="D171" s="116" t="s">
        <v>402</v>
      </c>
      <c r="E171" s="271" t="s">
        <v>67</v>
      </c>
      <c r="F171" s="102" t="s">
        <v>72</v>
      </c>
      <c r="G171" s="117">
        <v>0.5</v>
      </c>
      <c r="H171" s="94" t="s">
        <v>237</v>
      </c>
      <c r="I171" s="109">
        <v>3.4000000000000002E-2</v>
      </c>
      <c r="J171" s="95" t="s">
        <v>1091</v>
      </c>
      <c r="K171" s="34"/>
      <c r="O171" s="39"/>
    </row>
    <row r="172" spans="1:15" customFormat="1" ht="28.8" x14ac:dyDescent="0.3">
      <c r="A172" s="34"/>
      <c r="B172" s="512"/>
      <c r="C172" s="516"/>
      <c r="D172" s="116" t="s">
        <v>392</v>
      </c>
      <c r="E172" s="271" t="s">
        <v>67</v>
      </c>
      <c r="F172" s="102" t="s">
        <v>72</v>
      </c>
      <c r="G172" s="117">
        <v>0.5</v>
      </c>
      <c r="H172" s="94" t="s">
        <v>237</v>
      </c>
      <c r="I172" s="109">
        <v>7.2999999999999995E-2</v>
      </c>
      <c r="J172" s="95" t="s">
        <v>1091</v>
      </c>
      <c r="K172" s="34"/>
      <c r="O172" s="39"/>
    </row>
    <row r="173" spans="1:15" customFormat="1" ht="48.75" customHeight="1" x14ac:dyDescent="0.3">
      <c r="A173" s="34"/>
      <c r="B173" s="512"/>
      <c r="C173" s="514" t="s">
        <v>409</v>
      </c>
      <c r="D173" s="116" t="s">
        <v>402</v>
      </c>
      <c r="E173" s="271" t="s">
        <v>67</v>
      </c>
      <c r="F173" s="102" t="s">
        <v>62</v>
      </c>
      <c r="G173" s="117">
        <v>0.13843227036315769</v>
      </c>
      <c r="H173" s="94" t="s">
        <v>472</v>
      </c>
      <c r="I173" s="109">
        <v>8.7999999999999995E-2</v>
      </c>
      <c r="J173" s="95" t="s">
        <v>986</v>
      </c>
      <c r="K173" s="34"/>
      <c r="O173" s="39"/>
    </row>
    <row r="174" spans="1:15" customFormat="1" ht="47.1" customHeight="1" x14ac:dyDescent="0.3">
      <c r="A174" s="34"/>
      <c r="B174" s="512"/>
      <c r="C174" s="515"/>
      <c r="D174" s="116" t="s">
        <v>392</v>
      </c>
      <c r="E174" s="271" t="s">
        <v>67</v>
      </c>
      <c r="F174" s="102" t="s">
        <v>62</v>
      </c>
      <c r="G174" s="117">
        <v>0.13843227036315769</v>
      </c>
      <c r="H174" s="94" t="s">
        <v>237</v>
      </c>
      <c r="I174" s="109">
        <v>0.128</v>
      </c>
      <c r="J174" s="95" t="s">
        <v>986</v>
      </c>
      <c r="K174" s="34"/>
      <c r="O174" s="39"/>
    </row>
    <row r="175" spans="1:15" customFormat="1" ht="47.85" customHeight="1" x14ac:dyDescent="0.3">
      <c r="A175" s="34"/>
      <c r="B175" s="512"/>
      <c r="C175" s="515"/>
      <c r="D175" s="116" t="s">
        <v>401</v>
      </c>
      <c r="E175" s="271" t="s">
        <v>67</v>
      </c>
      <c r="F175" s="102" t="s">
        <v>62</v>
      </c>
      <c r="G175" s="117">
        <v>0.13843227036315769</v>
      </c>
      <c r="H175" s="94" t="s">
        <v>237</v>
      </c>
      <c r="I175" s="109">
        <v>0.28799999999999998</v>
      </c>
      <c r="J175" s="95" t="s">
        <v>986</v>
      </c>
      <c r="K175" s="103"/>
      <c r="L175" s="104"/>
      <c r="M175" s="104"/>
      <c r="O175" s="39"/>
    </row>
    <row r="176" spans="1:15" customFormat="1" ht="41.1" customHeight="1" x14ac:dyDescent="0.3">
      <c r="A176" s="34"/>
      <c r="B176" s="512"/>
      <c r="C176" s="515"/>
      <c r="D176" s="116" t="s">
        <v>400</v>
      </c>
      <c r="E176" s="271" t="s">
        <v>67</v>
      </c>
      <c r="F176" s="102" t="s">
        <v>62</v>
      </c>
      <c r="G176" s="117">
        <v>0.13843227036315769</v>
      </c>
      <c r="H176" s="94" t="s">
        <v>237</v>
      </c>
      <c r="I176" s="109">
        <v>0.48799999999999999</v>
      </c>
      <c r="J176" s="95" t="s">
        <v>986</v>
      </c>
      <c r="K176" s="34"/>
      <c r="O176" s="39"/>
    </row>
    <row r="177" spans="1:15" customFormat="1" ht="48" customHeight="1" x14ac:dyDescent="0.3">
      <c r="A177" s="34"/>
      <c r="B177" s="512"/>
      <c r="C177" s="515"/>
      <c r="D177" s="116" t="s">
        <v>399</v>
      </c>
      <c r="E177" s="271" t="s">
        <v>67</v>
      </c>
      <c r="F177" s="102" t="s">
        <v>62</v>
      </c>
      <c r="G177" s="117">
        <v>0.13843227036315769</v>
      </c>
      <c r="H177" s="94" t="s">
        <v>237</v>
      </c>
      <c r="I177" s="109">
        <v>0.88800000000000001</v>
      </c>
      <c r="J177" s="95" t="s">
        <v>986</v>
      </c>
      <c r="K177" s="34"/>
      <c r="O177" s="39"/>
    </row>
    <row r="178" spans="1:15" customFormat="1" ht="48" customHeight="1" x14ac:dyDescent="0.3">
      <c r="A178" s="34"/>
      <c r="B178" s="512"/>
      <c r="C178" s="515"/>
      <c r="D178" s="116" t="s">
        <v>398</v>
      </c>
      <c r="E178" s="271" t="s">
        <v>67</v>
      </c>
      <c r="F178" s="102" t="s">
        <v>62</v>
      </c>
      <c r="G178" s="117">
        <v>0.13843227036315769</v>
      </c>
      <c r="H178" s="94" t="s">
        <v>237</v>
      </c>
      <c r="I178" s="109">
        <v>1.4039999999999999</v>
      </c>
      <c r="J178" s="95" t="s">
        <v>986</v>
      </c>
      <c r="K178" s="34"/>
      <c r="O178" s="39"/>
    </row>
    <row r="179" spans="1:15" customFormat="1" ht="46.35" customHeight="1" x14ac:dyDescent="0.3">
      <c r="A179" s="34"/>
      <c r="B179" s="512"/>
      <c r="C179" s="515"/>
      <c r="D179" s="116" t="s">
        <v>397</v>
      </c>
      <c r="E179" s="271" t="s">
        <v>67</v>
      </c>
      <c r="F179" s="102" t="s">
        <v>62</v>
      </c>
      <c r="G179" s="117">
        <v>0.13843227036315769</v>
      </c>
      <c r="H179" s="94" t="s">
        <v>237</v>
      </c>
      <c r="I179" s="109">
        <v>1.796</v>
      </c>
      <c r="J179" s="95" t="s">
        <v>986</v>
      </c>
      <c r="K179" s="34"/>
      <c r="O179" s="39"/>
    </row>
    <row r="180" spans="1:15" customFormat="1" ht="53.85" customHeight="1" x14ac:dyDescent="0.3">
      <c r="A180" s="34"/>
      <c r="B180" s="512"/>
      <c r="C180" s="515"/>
      <c r="D180" s="116" t="s">
        <v>396</v>
      </c>
      <c r="E180" s="271" t="s">
        <v>67</v>
      </c>
      <c r="F180" s="102" t="s">
        <v>62</v>
      </c>
      <c r="G180" s="117">
        <v>0.13843227036315769</v>
      </c>
      <c r="H180" s="94" t="s">
        <v>237</v>
      </c>
      <c r="I180" s="109">
        <v>2.86</v>
      </c>
      <c r="J180" s="95" t="s">
        <v>986</v>
      </c>
      <c r="K180" s="34"/>
      <c r="O180" s="39"/>
    </row>
    <row r="181" spans="1:15" customFormat="1" ht="46.35" customHeight="1" x14ac:dyDescent="0.3">
      <c r="A181" s="34"/>
      <c r="B181" s="512"/>
      <c r="C181" s="515"/>
      <c r="D181" s="116" t="s">
        <v>408</v>
      </c>
      <c r="E181" s="271" t="s">
        <v>67</v>
      </c>
      <c r="F181" s="102" t="s">
        <v>62</v>
      </c>
      <c r="G181" s="117">
        <v>0.13843227036315769</v>
      </c>
      <c r="H181" s="94" t="s">
        <v>237</v>
      </c>
      <c r="I181" s="109">
        <v>3.448</v>
      </c>
      <c r="J181" s="95" t="s">
        <v>986</v>
      </c>
      <c r="K181" s="34"/>
      <c r="O181" s="39"/>
    </row>
    <row r="182" spans="1:15" customFormat="1" ht="45.75" customHeight="1" x14ac:dyDescent="0.3">
      <c r="A182" s="34"/>
      <c r="B182" s="512"/>
      <c r="C182" s="516"/>
      <c r="D182" s="116" t="s">
        <v>395</v>
      </c>
      <c r="E182" s="271" t="s">
        <v>67</v>
      </c>
      <c r="F182" s="102" t="s">
        <v>62</v>
      </c>
      <c r="G182" s="117">
        <v>0.13843227036315769</v>
      </c>
      <c r="H182" s="94" t="s">
        <v>237</v>
      </c>
      <c r="I182" s="109">
        <v>3.8730000000000002</v>
      </c>
      <c r="J182" s="95" t="s">
        <v>986</v>
      </c>
      <c r="K182" s="34"/>
      <c r="O182" s="39"/>
    </row>
    <row r="183" spans="1:15" customFormat="1" x14ac:dyDescent="0.3">
      <c r="A183" s="34"/>
      <c r="B183" s="512"/>
      <c r="C183" s="296" t="s">
        <v>407</v>
      </c>
      <c r="D183" s="116" t="s">
        <v>406</v>
      </c>
      <c r="E183" s="271" t="s">
        <v>67</v>
      </c>
      <c r="F183" s="504" t="s">
        <v>522</v>
      </c>
      <c r="G183" s="352"/>
      <c r="H183" s="352"/>
      <c r="I183" s="352"/>
      <c r="J183" s="353"/>
      <c r="K183" s="34"/>
      <c r="O183" s="39"/>
    </row>
    <row r="184" spans="1:15" customFormat="1" ht="28.8" x14ac:dyDescent="0.3">
      <c r="A184" s="34"/>
      <c r="B184" s="512"/>
      <c r="C184" s="514" t="s">
        <v>686</v>
      </c>
      <c r="D184" s="116" t="s">
        <v>392</v>
      </c>
      <c r="E184" s="271" t="s">
        <v>67</v>
      </c>
      <c r="F184" s="98" t="s">
        <v>61</v>
      </c>
      <c r="G184" s="117">
        <v>2.5099999999999998</v>
      </c>
      <c r="H184" s="94" t="s">
        <v>472</v>
      </c>
      <c r="I184" s="109">
        <v>1.4E-2</v>
      </c>
      <c r="J184" s="95" t="s">
        <v>1092</v>
      </c>
      <c r="K184" s="34"/>
      <c r="O184" s="39"/>
    </row>
    <row r="185" spans="1:15" customFormat="1" ht="28.8" x14ac:dyDescent="0.3">
      <c r="A185" s="34"/>
      <c r="B185" s="512"/>
      <c r="C185" s="515"/>
      <c r="D185" s="116" t="s">
        <v>401</v>
      </c>
      <c r="E185" s="271" t="s">
        <v>67</v>
      </c>
      <c r="F185" s="98" t="s">
        <v>61</v>
      </c>
      <c r="G185" s="117">
        <v>2.5099999999999998</v>
      </c>
      <c r="H185" s="94" t="s">
        <v>237</v>
      </c>
      <c r="I185" s="109">
        <v>2.1000000000000001E-2</v>
      </c>
      <c r="J185" s="95" t="s">
        <v>1092</v>
      </c>
      <c r="K185" s="34"/>
      <c r="O185" s="39"/>
    </row>
    <row r="186" spans="1:15" customFormat="1" ht="28.8" x14ac:dyDescent="0.3">
      <c r="A186" s="34"/>
      <c r="B186" s="512"/>
      <c r="C186" s="515"/>
      <c r="D186" s="116" t="s">
        <v>400</v>
      </c>
      <c r="E186" s="271" t="s">
        <v>67</v>
      </c>
      <c r="F186" s="98" t="s">
        <v>61</v>
      </c>
      <c r="G186" s="117">
        <v>2.5099999999999998</v>
      </c>
      <c r="H186" s="94" t="s">
        <v>237</v>
      </c>
      <c r="I186" s="109">
        <v>3.2000000000000001E-2</v>
      </c>
      <c r="J186" s="95" t="s">
        <v>1092</v>
      </c>
      <c r="K186" s="34"/>
      <c r="O186" s="39"/>
    </row>
    <row r="187" spans="1:15" customFormat="1" ht="28.8" x14ac:dyDescent="0.3">
      <c r="A187" s="34"/>
      <c r="B187" s="512"/>
      <c r="C187" s="515"/>
      <c r="D187" s="116" t="s">
        <v>399</v>
      </c>
      <c r="E187" s="271" t="s">
        <v>67</v>
      </c>
      <c r="F187" s="98" t="s">
        <v>61</v>
      </c>
      <c r="G187" s="117">
        <v>2.5099999999999998</v>
      </c>
      <c r="H187" s="94" t="s">
        <v>237</v>
      </c>
      <c r="I187" s="109">
        <v>6.6000000000000003E-2</v>
      </c>
      <c r="J187" s="95" t="s">
        <v>1092</v>
      </c>
      <c r="K187" s="34"/>
      <c r="O187" s="39"/>
    </row>
    <row r="188" spans="1:15" customFormat="1" ht="28.8" x14ac:dyDescent="0.3">
      <c r="A188" s="34"/>
      <c r="B188" s="512"/>
      <c r="C188" s="515"/>
      <c r="D188" s="116" t="s">
        <v>398</v>
      </c>
      <c r="E188" s="271" t="s">
        <v>67</v>
      </c>
      <c r="F188" s="98" t="s">
        <v>61</v>
      </c>
      <c r="G188" s="117">
        <v>2.5099999999999998</v>
      </c>
      <c r="H188" s="94" t="s">
        <v>237</v>
      </c>
      <c r="I188" s="109">
        <v>8.8999999999999996E-2</v>
      </c>
      <c r="J188" s="95" t="s">
        <v>1092</v>
      </c>
      <c r="K188" s="34"/>
      <c r="O188" s="39"/>
    </row>
    <row r="189" spans="1:15" customFormat="1" ht="28.8" x14ac:dyDescent="0.3">
      <c r="A189" s="34"/>
      <c r="B189" s="512"/>
      <c r="C189" s="515"/>
      <c r="D189" s="116" t="s">
        <v>397</v>
      </c>
      <c r="E189" s="271" t="s">
        <v>67</v>
      </c>
      <c r="F189" s="98" t="s">
        <v>61</v>
      </c>
      <c r="G189" s="117">
        <v>2.5099999999999998</v>
      </c>
      <c r="H189" s="94" t="s">
        <v>237</v>
      </c>
      <c r="I189" s="109">
        <v>0.113</v>
      </c>
      <c r="J189" s="95" t="s">
        <v>1092</v>
      </c>
      <c r="K189" s="34"/>
      <c r="O189" s="39"/>
    </row>
    <row r="190" spans="1:15" customFormat="1" ht="28.8" x14ac:dyDescent="0.3">
      <c r="A190" s="34"/>
      <c r="B190" s="512"/>
      <c r="C190" s="515"/>
      <c r="D190" s="116" t="s">
        <v>396</v>
      </c>
      <c r="E190" s="271" t="s">
        <v>67</v>
      </c>
      <c r="F190" s="98" t="s">
        <v>61</v>
      </c>
      <c r="G190" s="117">
        <v>2.5099999999999998</v>
      </c>
      <c r="H190" s="94" t="s">
        <v>237</v>
      </c>
      <c r="I190" s="109">
        <v>0.13500000000000001</v>
      </c>
      <c r="J190" s="95" t="s">
        <v>1092</v>
      </c>
      <c r="K190" s="34"/>
      <c r="O190" s="39"/>
    </row>
    <row r="191" spans="1:15" customFormat="1" ht="28.8" x14ac:dyDescent="0.3">
      <c r="A191" s="34"/>
      <c r="B191" s="512"/>
      <c r="C191" s="515"/>
      <c r="D191" s="116" t="s">
        <v>395</v>
      </c>
      <c r="E191" s="271" t="s">
        <v>67</v>
      </c>
      <c r="F191" s="98" t="s">
        <v>61</v>
      </c>
      <c r="G191" s="117">
        <v>2.5099999999999998</v>
      </c>
      <c r="H191" s="94" t="s">
        <v>237</v>
      </c>
      <c r="I191" s="109">
        <v>0.17899999999999999</v>
      </c>
      <c r="J191" s="95" t="s">
        <v>1092</v>
      </c>
      <c r="K191" s="34"/>
      <c r="O191" s="39"/>
    </row>
    <row r="192" spans="1:15" customFormat="1" ht="28.8" x14ac:dyDescent="0.3">
      <c r="A192" s="34"/>
      <c r="B192" s="512"/>
      <c r="C192" s="515"/>
      <c r="D192" s="116" t="s">
        <v>405</v>
      </c>
      <c r="E192" s="271" t="s">
        <v>67</v>
      </c>
      <c r="F192" s="98" t="s">
        <v>61</v>
      </c>
      <c r="G192" s="117">
        <v>2.5099999999999998</v>
      </c>
      <c r="H192" s="94" t="s">
        <v>237</v>
      </c>
      <c r="I192" s="109">
        <v>0.28799999999999998</v>
      </c>
      <c r="J192" s="95" t="s">
        <v>1092</v>
      </c>
      <c r="K192" s="34"/>
      <c r="O192" s="39"/>
    </row>
    <row r="193" spans="1:15" customFormat="1" ht="28.8" x14ac:dyDescent="0.3">
      <c r="A193" s="34"/>
      <c r="B193" s="512"/>
      <c r="C193" s="516"/>
      <c r="D193" s="116" t="s">
        <v>404</v>
      </c>
      <c r="E193" s="271" t="s">
        <v>67</v>
      </c>
      <c r="F193" s="98" t="s">
        <v>61</v>
      </c>
      <c r="G193" s="117">
        <v>2.5099999999999998</v>
      </c>
      <c r="H193" s="94" t="s">
        <v>237</v>
      </c>
      <c r="I193" s="109">
        <v>0.371</v>
      </c>
      <c r="J193" s="95" t="s">
        <v>1092</v>
      </c>
      <c r="K193" s="34"/>
      <c r="O193" s="39"/>
    </row>
    <row r="194" spans="1:15" customFormat="1" ht="28.8" x14ac:dyDescent="0.3">
      <c r="A194" s="34"/>
      <c r="B194" s="512"/>
      <c r="C194" s="514" t="s">
        <v>403</v>
      </c>
      <c r="D194" s="116" t="s">
        <v>393</v>
      </c>
      <c r="E194" s="271" t="s">
        <v>67</v>
      </c>
      <c r="F194" s="98" t="s">
        <v>66</v>
      </c>
      <c r="G194" s="117">
        <v>8.1</v>
      </c>
      <c r="H194" s="94" t="s">
        <v>687</v>
      </c>
      <c r="I194" s="109">
        <v>4.0000000000000001E-3</v>
      </c>
      <c r="J194" s="95" t="s">
        <v>987</v>
      </c>
      <c r="K194" s="34"/>
      <c r="O194" s="39"/>
    </row>
    <row r="195" spans="1:15" customFormat="1" ht="28.8" x14ac:dyDescent="0.3">
      <c r="A195" s="34"/>
      <c r="B195" s="512"/>
      <c r="C195" s="515"/>
      <c r="D195" s="116" t="s">
        <v>402</v>
      </c>
      <c r="E195" s="271" t="s">
        <v>67</v>
      </c>
      <c r="F195" s="98" t="s">
        <v>66</v>
      </c>
      <c r="G195" s="117">
        <v>8.1</v>
      </c>
      <c r="H195" s="94" t="s">
        <v>687</v>
      </c>
      <c r="I195" s="109">
        <v>6.0000000000000001E-3</v>
      </c>
      <c r="J195" s="95" t="s">
        <v>987</v>
      </c>
      <c r="K195" s="34"/>
      <c r="O195" s="39"/>
    </row>
    <row r="196" spans="1:15" customFormat="1" ht="28.8" x14ac:dyDescent="0.3">
      <c r="A196" s="34"/>
      <c r="B196" s="512"/>
      <c r="C196" s="515"/>
      <c r="D196" s="116" t="s">
        <v>392</v>
      </c>
      <c r="E196" s="271" t="s">
        <v>67</v>
      </c>
      <c r="F196" s="98" t="s">
        <v>66</v>
      </c>
      <c r="G196" s="117">
        <v>8.1</v>
      </c>
      <c r="H196" s="94" t="s">
        <v>687</v>
      </c>
      <c r="I196" s="109">
        <v>8.0000000000000002E-3</v>
      </c>
      <c r="J196" s="95" t="s">
        <v>987</v>
      </c>
      <c r="K196" s="34"/>
      <c r="O196" s="39"/>
    </row>
    <row r="197" spans="1:15" customFormat="1" ht="28.8" x14ac:dyDescent="0.3">
      <c r="A197" s="34"/>
      <c r="B197" s="512"/>
      <c r="C197" s="515"/>
      <c r="D197" s="116" t="s">
        <v>401</v>
      </c>
      <c r="E197" s="271" t="s">
        <v>67</v>
      </c>
      <c r="F197" s="98" t="s">
        <v>66</v>
      </c>
      <c r="G197" s="117">
        <v>8.1</v>
      </c>
      <c r="H197" s="94" t="s">
        <v>687</v>
      </c>
      <c r="I197" s="109">
        <v>1.4E-2</v>
      </c>
      <c r="J197" s="95" t="s">
        <v>987</v>
      </c>
      <c r="K197" s="34"/>
      <c r="O197" s="39"/>
    </row>
    <row r="198" spans="1:15" customFormat="1" ht="28.8" x14ac:dyDescent="0.3">
      <c r="A198" s="34"/>
      <c r="B198" s="512"/>
      <c r="C198" s="515"/>
      <c r="D198" s="116" t="s">
        <v>400</v>
      </c>
      <c r="E198" s="271" t="s">
        <v>67</v>
      </c>
      <c r="F198" s="98" t="s">
        <v>66</v>
      </c>
      <c r="G198" s="117">
        <v>8.1</v>
      </c>
      <c r="H198" s="94" t="s">
        <v>687</v>
      </c>
      <c r="I198" s="109">
        <v>2.3E-2</v>
      </c>
      <c r="J198" s="95" t="s">
        <v>987</v>
      </c>
      <c r="K198" s="34"/>
      <c r="O198" s="39"/>
    </row>
    <row r="199" spans="1:15" customFormat="1" ht="28.8" x14ac:dyDescent="0.3">
      <c r="A199" s="34"/>
      <c r="B199" s="512"/>
      <c r="C199" s="515"/>
      <c r="D199" s="116" t="s">
        <v>399</v>
      </c>
      <c r="E199" s="271" t="s">
        <v>67</v>
      </c>
      <c r="F199" s="98" t="s">
        <v>66</v>
      </c>
      <c r="G199" s="117">
        <v>8.1</v>
      </c>
      <c r="H199" s="94" t="s">
        <v>687</v>
      </c>
      <c r="I199" s="109">
        <v>0.05</v>
      </c>
      <c r="J199" s="95" t="s">
        <v>987</v>
      </c>
      <c r="K199" s="34"/>
      <c r="O199" s="39"/>
    </row>
    <row r="200" spans="1:15" customFormat="1" ht="28.8" x14ac:dyDescent="0.3">
      <c r="A200" s="34"/>
      <c r="B200" s="512"/>
      <c r="C200" s="515"/>
      <c r="D200" s="116" t="s">
        <v>398</v>
      </c>
      <c r="E200" s="271" t="s">
        <v>67</v>
      </c>
      <c r="F200" s="98" t="s">
        <v>66</v>
      </c>
      <c r="G200" s="117">
        <v>8.1</v>
      </c>
      <c r="H200" s="94" t="s">
        <v>687</v>
      </c>
      <c r="I200" s="109">
        <v>8.5999999999999993E-2</v>
      </c>
      <c r="J200" s="95" t="s">
        <v>987</v>
      </c>
      <c r="K200" s="34"/>
      <c r="O200" s="39"/>
    </row>
    <row r="201" spans="1:15" customFormat="1" ht="28.8" x14ac:dyDescent="0.3">
      <c r="A201" s="34"/>
      <c r="B201" s="512"/>
      <c r="C201" s="515"/>
      <c r="D201" s="116" t="s">
        <v>397</v>
      </c>
      <c r="E201" s="271" t="s">
        <v>67</v>
      </c>
      <c r="F201" s="98" t="s">
        <v>66</v>
      </c>
      <c r="G201" s="117">
        <v>8.1</v>
      </c>
      <c r="H201" s="94" t="s">
        <v>687</v>
      </c>
      <c r="I201" s="109">
        <v>0.13200000000000001</v>
      </c>
      <c r="J201" s="95" t="s">
        <v>987</v>
      </c>
      <c r="K201" s="34"/>
      <c r="O201" s="39"/>
    </row>
    <row r="202" spans="1:15" customFormat="1" ht="28.8" x14ac:dyDescent="0.3">
      <c r="A202" s="34"/>
      <c r="B202" s="512"/>
      <c r="C202" s="515"/>
      <c r="D202" s="116" t="s">
        <v>396</v>
      </c>
      <c r="E202" s="271" t="s">
        <v>67</v>
      </c>
      <c r="F202" s="98" t="s">
        <v>66</v>
      </c>
      <c r="G202" s="117">
        <v>8.1</v>
      </c>
      <c r="H202" s="94" t="s">
        <v>687</v>
      </c>
      <c r="I202" s="109">
        <v>0.188</v>
      </c>
      <c r="J202" s="95" t="s">
        <v>987</v>
      </c>
      <c r="K202" s="34"/>
      <c r="O202" s="39"/>
    </row>
    <row r="203" spans="1:15" customFormat="1" ht="28.8" x14ac:dyDescent="0.3">
      <c r="A203" s="34"/>
      <c r="B203" s="512"/>
      <c r="C203" s="516"/>
      <c r="D203" s="116" t="s">
        <v>395</v>
      </c>
      <c r="E203" s="271" t="s">
        <v>67</v>
      </c>
      <c r="F203" s="98" t="s">
        <v>66</v>
      </c>
      <c r="G203" s="117">
        <v>8.1</v>
      </c>
      <c r="H203" s="94" t="s">
        <v>687</v>
      </c>
      <c r="I203" s="109">
        <v>0.32900000000000001</v>
      </c>
      <c r="J203" s="95" t="s">
        <v>987</v>
      </c>
      <c r="K203" s="34"/>
      <c r="O203" s="39"/>
    </row>
    <row r="204" spans="1:15" customFormat="1" ht="15.6" x14ac:dyDescent="0.3">
      <c r="A204" s="34"/>
      <c r="B204" s="512"/>
      <c r="C204" s="514" t="s">
        <v>394</v>
      </c>
      <c r="D204" s="116" t="s">
        <v>393</v>
      </c>
      <c r="E204" s="271" t="s">
        <v>67</v>
      </c>
      <c r="F204" s="98" t="s">
        <v>988</v>
      </c>
      <c r="G204" s="117">
        <v>2.0322399999999998</v>
      </c>
      <c r="H204" s="94" t="s">
        <v>472</v>
      </c>
      <c r="I204" s="109">
        <v>1.406E-2</v>
      </c>
      <c r="J204" s="95" t="s">
        <v>989</v>
      </c>
      <c r="K204" s="34"/>
      <c r="O204" s="39"/>
    </row>
    <row r="205" spans="1:15" customFormat="1" x14ac:dyDescent="0.3">
      <c r="A205" s="34"/>
      <c r="B205" s="512"/>
      <c r="C205" s="515"/>
      <c r="D205" s="116" t="s">
        <v>392</v>
      </c>
      <c r="E205" s="271" t="s">
        <v>67</v>
      </c>
      <c r="F205" s="98" t="s">
        <v>988</v>
      </c>
      <c r="G205" s="117">
        <v>2.0322399999999998</v>
      </c>
      <c r="H205" s="94" t="s">
        <v>237</v>
      </c>
      <c r="I205" s="109">
        <v>4.3229999999999998E-2</v>
      </c>
      <c r="J205" s="95" t="s">
        <v>989</v>
      </c>
      <c r="K205" s="34"/>
      <c r="O205" s="39"/>
    </row>
    <row r="206" spans="1:15" customFormat="1" ht="30" customHeight="1" x14ac:dyDescent="0.3">
      <c r="A206" s="34"/>
      <c r="B206" s="512"/>
      <c r="C206" s="516"/>
      <c r="D206" s="116" t="s">
        <v>391</v>
      </c>
      <c r="E206" s="271" t="s">
        <v>67</v>
      </c>
      <c r="F206" s="98" t="s">
        <v>988</v>
      </c>
      <c r="G206" s="117">
        <v>2.0322399999999998</v>
      </c>
      <c r="H206" s="94" t="s">
        <v>237</v>
      </c>
      <c r="I206" s="109">
        <v>0.06</v>
      </c>
      <c r="J206" s="95" t="s">
        <v>989</v>
      </c>
      <c r="K206" s="34"/>
      <c r="O206" s="39"/>
    </row>
    <row r="207" spans="1:15" customFormat="1" ht="30" customHeight="1" x14ac:dyDescent="0.3">
      <c r="A207" s="34"/>
      <c r="B207" s="512"/>
      <c r="C207" s="271" t="s">
        <v>390</v>
      </c>
      <c r="D207" s="116" t="s">
        <v>523</v>
      </c>
      <c r="E207" s="118" t="s">
        <v>92</v>
      </c>
      <c r="F207" s="119" t="s">
        <v>524</v>
      </c>
      <c r="G207" s="303">
        <v>0.20130000000000001</v>
      </c>
      <c r="H207" s="94" t="s">
        <v>472</v>
      </c>
      <c r="I207" s="120">
        <v>2.5834349999999998E-3</v>
      </c>
      <c r="J207" s="95" t="s">
        <v>990</v>
      </c>
      <c r="K207" s="34"/>
      <c r="O207" s="39"/>
    </row>
    <row r="208" spans="1:15" customFormat="1" ht="30" customHeight="1" x14ac:dyDescent="0.3">
      <c r="A208" s="34"/>
      <c r="B208" s="512"/>
      <c r="C208" s="271" t="s">
        <v>389</v>
      </c>
      <c r="D208" s="116" t="s">
        <v>388</v>
      </c>
      <c r="E208" s="271"/>
      <c r="F208" s="454" t="s">
        <v>521</v>
      </c>
      <c r="G208" s="455"/>
      <c r="H208" s="455"/>
      <c r="I208" s="455"/>
      <c r="J208" s="456"/>
      <c r="K208" s="34"/>
      <c r="O208" s="39"/>
    </row>
    <row r="209" spans="1:15" customFormat="1" ht="86.4" x14ac:dyDescent="0.3">
      <c r="A209" s="34"/>
      <c r="B209" s="512"/>
      <c r="C209" s="514" t="s">
        <v>387</v>
      </c>
      <c r="D209" s="116" t="s">
        <v>386</v>
      </c>
      <c r="E209" s="271" t="s">
        <v>92</v>
      </c>
      <c r="F209" s="102" t="s">
        <v>62</v>
      </c>
      <c r="G209" s="117">
        <v>0.27300000000000002</v>
      </c>
      <c r="H209" s="94" t="s">
        <v>472</v>
      </c>
      <c r="I209" s="109">
        <v>1.9450000000000001</v>
      </c>
      <c r="J209" s="95" t="s">
        <v>1093</v>
      </c>
      <c r="K209" s="34"/>
      <c r="O209" s="39"/>
    </row>
    <row r="210" spans="1:15" customFormat="1" ht="86.4" x14ac:dyDescent="0.3">
      <c r="A210" s="34"/>
      <c r="B210" s="512"/>
      <c r="C210" s="515"/>
      <c r="D210" s="116" t="s">
        <v>385</v>
      </c>
      <c r="E210" s="271" t="s">
        <v>92</v>
      </c>
      <c r="F210" s="102" t="s">
        <v>62</v>
      </c>
      <c r="G210" s="117">
        <v>0.22815841584158414</v>
      </c>
      <c r="H210" s="94" t="s">
        <v>472</v>
      </c>
      <c r="I210" s="109">
        <v>3.5350000000000001</v>
      </c>
      <c r="J210" s="95" t="s">
        <v>1093</v>
      </c>
      <c r="K210" s="34"/>
      <c r="O210" s="39"/>
    </row>
    <row r="211" spans="1:15" customFormat="1" ht="86.4" x14ac:dyDescent="0.3">
      <c r="A211" s="34"/>
      <c r="B211" s="512"/>
      <c r="C211" s="515"/>
      <c r="D211" s="116" t="s">
        <v>384</v>
      </c>
      <c r="E211" s="271" t="s">
        <v>92</v>
      </c>
      <c r="F211" s="102" t="s">
        <v>62</v>
      </c>
      <c r="G211" s="117">
        <v>0.25099399999999999</v>
      </c>
      <c r="H211" s="94" t="s">
        <v>472</v>
      </c>
      <c r="I211" s="109">
        <v>2.5</v>
      </c>
      <c r="J211" s="95" t="s">
        <v>1093</v>
      </c>
      <c r="K211" s="34"/>
      <c r="O211" s="39"/>
    </row>
    <row r="212" spans="1:15" customFormat="1" ht="86.4" x14ac:dyDescent="0.3">
      <c r="A212" s="34"/>
      <c r="B212" s="512"/>
      <c r="C212" s="515"/>
      <c r="D212" s="116" t="s">
        <v>383</v>
      </c>
      <c r="E212" s="271" t="s">
        <v>92</v>
      </c>
      <c r="F212" s="102" t="s">
        <v>62</v>
      </c>
      <c r="G212" s="117">
        <v>0.21511339092872567</v>
      </c>
      <c r="H212" s="94" t="s">
        <v>472</v>
      </c>
      <c r="I212" s="109">
        <v>4.63</v>
      </c>
      <c r="J212" s="95" t="s">
        <v>1093</v>
      </c>
      <c r="K212" s="34"/>
      <c r="O212" s="39"/>
    </row>
    <row r="213" spans="1:15" customFormat="1" ht="86.4" x14ac:dyDescent="0.3">
      <c r="A213" s="34"/>
      <c r="B213" s="512"/>
      <c r="C213" s="515"/>
      <c r="D213" s="116" t="s">
        <v>382</v>
      </c>
      <c r="E213" s="271" t="s">
        <v>92</v>
      </c>
      <c r="F213" s="102" t="s">
        <v>62</v>
      </c>
      <c r="G213" s="117">
        <v>0.23355434782608694</v>
      </c>
      <c r="H213" s="94" t="s">
        <v>472</v>
      </c>
      <c r="I213" s="109">
        <v>3.22</v>
      </c>
      <c r="J213" s="95" t="s">
        <v>1093</v>
      </c>
      <c r="K213" s="34"/>
      <c r="O213" s="39"/>
    </row>
    <row r="214" spans="1:15" customFormat="1" ht="86.4" x14ac:dyDescent="0.3">
      <c r="A214" s="34"/>
      <c r="B214" s="512"/>
      <c r="C214" s="515"/>
      <c r="D214" s="116" t="s">
        <v>381</v>
      </c>
      <c r="E214" s="271" t="s">
        <v>92</v>
      </c>
      <c r="F214" s="102" t="s">
        <v>62</v>
      </c>
      <c r="G214" s="117">
        <v>0.20577058823529407</v>
      </c>
      <c r="H214" s="94" t="s">
        <v>472</v>
      </c>
      <c r="I214" s="109">
        <v>5.95</v>
      </c>
      <c r="J214" s="95" t="s">
        <v>1093</v>
      </c>
      <c r="K214" s="34"/>
      <c r="O214" s="39"/>
    </row>
    <row r="215" spans="1:15" customFormat="1" ht="86.4" x14ac:dyDescent="0.3">
      <c r="A215" s="34"/>
      <c r="B215" s="512"/>
      <c r="C215" s="515"/>
      <c r="D215" s="116" t="s">
        <v>380</v>
      </c>
      <c r="E215" s="271" t="s">
        <v>92</v>
      </c>
      <c r="F215" s="102" t="s">
        <v>62</v>
      </c>
      <c r="G215" s="117">
        <v>0.21271181262729122</v>
      </c>
      <c r="H215" s="94" t="s">
        <v>472</v>
      </c>
      <c r="I215" s="109">
        <v>4.91</v>
      </c>
      <c r="J215" s="95" t="s">
        <v>1093</v>
      </c>
      <c r="K215" s="34"/>
      <c r="O215" s="39"/>
    </row>
    <row r="216" spans="1:15" customFormat="1" ht="86.4" x14ac:dyDescent="0.3">
      <c r="A216" s="34"/>
      <c r="B216" s="512"/>
      <c r="C216" s="515"/>
      <c r="D216" s="116" t="s">
        <v>379</v>
      </c>
      <c r="E216" s="271" t="s">
        <v>92</v>
      </c>
      <c r="F216" s="102" t="s">
        <v>62</v>
      </c>
      <c r="G216" s="117">
        <v>0.1949084269662921</v>
      </c>
      <c r="H216" s="94" t="s">
        <v>472</v>
      </c>
      <c r="I216" s="109">
        <v>8.9</v>
      </c>
      <c r="J216" s="95" t="s">
        <v>1093</v>
      </c>
      <c r="K216" s="34"/>
      <c r="O216" s="39"/>
    </row>
    <row r="217" spans="1:15" customFormat="1" ht="86.4" x14ac:dyDescent="0.3">
      <c r="A217" s="34"/>
      <c r="B217" s="512"/>
      <c r="C217" s="515"/>
      <c r="D217" s="116" t="s">
        <v>378</v>
      </c>
      <c r="E217" s="271" t="s">
        <v>92</v>
      </c>
      <c r="F217" s="102" t="s">
        <v>62</v>
      </c>
      <c r="G217" s="117">
        <v>0.20245392749244712</v>
      </c>
      <c r="H217" s="94" t="s">
        <v>472</v>
      </c>
      <c r="I217" s="109">
        <v>6.62</v>
      </c>
      <c r="J217" s="95" t="s">
        <v>1093</v>
      </c>
      <c r="K217" s="34"/>
      <c r="O217" s="39"/>
    </row>
    <row r="218" spans="1:15" customFormat="1" ht="86.4" x14ac:dyDescent="0.3">
      <c r="A218" s="34"/>
      <c r="B218" s="512"/>
      <c r="C218" s="515"/>
      <c r="D218" s="116" t="s">
        <v>377</v>
      </c>
      <c r="E218" s="271" t="s">
        <v>92</v>
      </c>
      <c r="F218" s="102" t="s">
        <v>62</v>
      </c>
      <c r="G218" s="117">
        <v>0.18938529411764704</v>
      </c>
      <c r="H218" s="94" t="s">
        <v>472</v>
      </c>
      <c r="I218" s="109">
        <v>11.9</v>
      </c>
      <c r="J218" s="95" t="s">
        <v>1094</v>
      </c>
      <c r="K218" s="34"/>
      <c r="O218" s="39"/>
    </row>
    <row r="219" spans="1:15" customFormat="1" ht="86.4" x14ac:dyDescent="0.3">
      <c r="A219" s="34"/>
      <c r="B219" s="512"/>
      <c r="C219" s="515"/>
      <c r="D219" s="116" t="s">
        <v>376</v>
      </c>
      <c r="E219" s="271" t="s">
        <v>92</v>
      </c>
      <c r="F219" s="102" t="s">
        <v>62</v>
      </c>
      <c r="G219" s="117">
        <v>0.19117194780987884</v>
      </c>
      <c r="H219" s="94" t="s">
        <v>472</v>
      </c>
      <c r="I219" s="109">
        <v>10.73</v>
      </c>
      <c r="J219" s="95" t="s">
        <v>1093</v>
      </c>
      <c r="K219" s="34"/>
      <c r="O219" s="39"/>
    </row>
    <row r="220" spans="1:15" customFormat="1" ht="86.4" x14ac:dyDescent="0.3">
      <c r="A220" s="34"/>
      <c r="B220" s="512"/>
      <c r="C220" s="515"/>
      <c r="D220" s="116" t="s">
        <v>375</v>
      </c>
      <c r="E220" s="271" t="s">
        <v>92</v>
      </c>
      <c r="F220" s="102" t="s">
        <v>62</v>
      </c>
      <c r="G220" s="117">
        <v>0.18328944591029023</v>
      </c>
      <c r="H220" s="94" t="s">
        <v>472</v>
      </c>
      <c r="I220" s="109">
        <v>18.95</v>
      </c>
      <c r="J220" s="95" t="s">
        <v>1093</v>
      </c>
      <c r="K220" s="34"/>
      <c r="O220" s="39"/>
    </row>
    <row r="221" spans="1:15" customFormat="1" ht="86.4" x14ac:dyDescent="0.3">
      <c r="A221" s="34"/>
      <c r="B221" s="512"/>
      <c r="C221" s="515"/>
      <c r="D221" s="116" t="s">
        <v>374</v>
      </c>
      <c r="E221" s="271" t="s">
        <v>92</v>
      </c>
      <c r="F221" s="102" t="s">
        <v>62</v>
      </c>
      <c r="G221" s="117">
        <v>0.18436276223776224</v>
      </c>
      <c r="H221" s="94" t="s">
        <v>472</v>
      </c>
      <c r="I221" s="109">
        <v>17.16</v>
      </c>
      <c r="J221" s="95" t="s">
        <v>1093</v>
      </c>
      <c r="K221" s="34"/>
      <c r="O221" s="39"/>
    </row>
    <row r="222" spans="1:15" customFormat="1" ht="86.4" x14ac:dyDescent="0.3">
      <c r="A222" s="34"/>
      <c r="B222" s="512"/>
      <c r="C222" s="515"/>
      <c r="D222" s="116" t="s">
        <v>373</v>
      </c>
      <c r="E222" s="271" t="s">
        <v>92</v>
      </c>
      <c r="F222" s="102" t="s">
        <v>62</v>
      </c>
      <c r="G222" s="117">
        <v>0.17959178498985798</v>
      </c>
      <c r="H222" s="94" t="s">
        <v>472</v>
      </c>
      <c r="I222" s="109">
        <v>29.58</v>
      </c>
      <c r="J222" s="95" t="s">
        <v>1093</v>
      </c>
      <c r="K222" s="34"/>
      <c r="O222" s="39"/>
    </row>
    <row r="223" spans="1:15" customFormat="1" ht="86.4" x14ac:dyDescent="0.3">
      <c r="A223" s="34"/>
      <c r="B223" s="512"/>
      <c r="C223" s="515"/>
      <c r="D223" s="116" t="s">
        <v>372</v>
      </c>
      <c r="E223" s="271" t="s">
        <v>92</v>
      </c>
      <c r="F223" s="102" t="s">
        <v>62</v>
      </c>
      <c r="G223" s="117">
        <v>0.1796729979466119</v>
      </c>
      <c r="H223" s="94" t="s">
        <v>472</v>
      </c>
      <c r="I223" s="109">
        <v>29.22</v>
      </c>
      <c r="J223" s="95" t="s">
        <v>1093</v>
      </c>
      <c r="K223" s="34"/>
      <c r="O223" s="39"/>
    </row>
    <row r="224" spans="1:15" customFormat="1" ht="86.4" x14ac:dyDescent="0.3">
      <c r="B224" s="512"/>
      <c r="C224" s="516"/>
      <c r="D224" s="116" t="s">
        <v>371</v>
      </c>
      <c r="E224" s="271" t="s">
        <v>92</v>
      </c>
      <c r="F224" s="102" t="s">
        <v>62</v>
      </c>
      <c r="G224" s="117">
        <v>0.17703695652173912</v>
      </c>
      <c r="H224" s="94" t="s">
        <v>472</v>
      </c>
      <c r="I224" s="109">
        <v>48.3</v>
      </c>
      <c r="J224" s="287" t="s">
        <v>1093</v>
      </c>
      <c r="K224" s="34"/>
      <c r="O224" s="39"/>
    </row>
    <row r="225" spans="1:15" customFormat="1" ht="57.6" x14ac:dyDescent="0.3">
      <c r="B225" s="512"/>
      <c r="C225" s="514" t="s">
        <v>370</v>
      </c>
      <c r="D225" s="116" t="s">
        <v>365</v>
      </c>
      <c r="E225" s="271" t="s">
        <v>92</v>
      </c>
      <c r="F225" s="102" t="s">
        <v>62</v>
      </c>
      <c r="G225" s="117">
        <v>0.27503296703296698</v>
      </c>
      <c r="H225" s="94" t="s">
        <v>472</v>
      </c>
      <c r="I225" s="109">
        <v>0.36399999999999999</v>
      </c>
      <c r="J225" s="95" t="s">
        <v>991</v>
      </c>
      <c r="O225" s="39"/>
    </row>
    <row r="226" spans="1:15" customFormat="1" ht="57.6" x14ac:dyDescent="0.3">
      <c r="B226" s="512"/>
      <c r="C226" s="515"/>
      <c r="D226" s="116" t="s">
        <v>369</v>
      </c>
      <c r="E226" s="271" t="s">
        <v>92</v>
      </c>
      <c r="F226" s="102" t="s">
        <v>62</v>
      </c>
      <c r="G226" s="117">
        <v>0.23979856115107911</v>
      </c>
      <c r="H226" s="94" t="s">
        <v>472</v>
      </c>
      <c r="I226" s="109">
        <v>0.55600000000000005</v>
      </c>
      <c r="J226" s="95" t="s">
        <v>991</v>
      </c>
      <c r="O226" s="39"/>
    </row>
    <row r="227" spans="1:15" customFormat="1" ht="57.6" x14ac:dyDescent="0.3">
      <c r="B227" s="512"/>
      <c r="C227" s="516"/>
      <c r="D227" s="116" t="s">
        <v>368</v>
      </c>
      <c r="E227" s="271" t="s">
        <v>92</v>
      </c>
      <c r="F227" s="102" t="s">
        <v>62</v>
      </c>
      <c r="G227" s="117">
        <v>0.19418653736451794</v>
      </c>
      <c r="H227" s="94" t="s">
        <v>472</v>
      </c>
      <c r="I227" s="109">
        <v>1.7530000000000001</v>
      </c>
      <c r="J227" s="95" t="s">
        <v>991</v>
      </c>
      <c r="O227" s="39"/>
    </row>
    <row r="228" spans="1:15" customFormat="1" ht="100.8" x14ac:dyDescent="0.3">
      <c r="B228" s="512"/>
      <c r="C228" s="514" t="s">
        <v>367</v>
      </c>
      <c r="D228" s="116" t="s">
        <v>366</v>
      </c>
      <c r="E228" s="271" t="s">
        <v>92</v>
      </c>
      <c r="F228" s="102" t="s">
        <v>61</v>
      </c>
      <c r="G228" s="117">
        <v>3.0663888888888886</v>
      </c>
      <c r="H228" s="94" t="s">
        <v>472</v>
      </c>
      <c r="I228" s="109">
        <v>3.456E-2</v>
      </c>
      <c r="J228" s="95" t="s">
        <v>992</v>
      </c>
      <c r="O228" s="39"/>
    </row>
    <row r="229" spans="1:15" customFormat="1" ht="100.8" x14ac:dyDescent="0.3">
      <c r="B229" s="512"/>
      <c r="C229" s="515"/>
      <c r="D229" s="116" t="s">
        <v>365</v>
      </c>
      <c r="E229" s="271" t="s">
        <v>92</v>
      </c>
      <c r="F229" s="102" t="s">
        <v>66</v>
      </c>
      <c r="G229" s="117">
        <v>4.2296825396825399</v>
      </c>
      <c r="H229" s="94" t="s">
        <v>237</v>
      </c>
      <c r="I229" s="109">
        <v>0.189</v>
      </c>
      <c r="J229" s="95" t="s">
        <v>992</v>
      </c>
      <c r="O229" s="39"/>
    </row>
    <row r="230" spans="1:15" customFormat="1" ht="100.8" x14ac:dyDescent="0.3">
      <c r="B230" s="512"/>
      <c r="C230" s="516"/>
      <c r="D230" s="116" t="s">
        <v>364</v>
      </c>
      <c r="E230" s="271" t="s">
        <v>92</v>
      </c>
      <c r="F230" s="102" t="s">
        <v>66</v>
      </c>
      <c r="G230" s="117">
        <v>4.3389407430150442</v>
      </c>
      <c r="H230" s="94" t="s">
        <v>237</v>
      </c>
      <c r="I230" s="109">
        <v>0.32569999999999999</v>
      </c>
      <c r="J230" s="95" t="s">
        <v>992</v>
      </c>
      <c r="O230" s="39"/>
    </row>
    <row r="231" spans="1:15" customFormat="1" ht="95.85" customHeight="1" x14ac:dyDescent="0.3">
      <c r="B231" s="512"/>
      <c r="C231" s="514" t="s">
        <v>74</v>
      </c>
      <c r="D231" s="116" t="s">
        <v>363</v>
      </c>
      <c r="E231" s="271" t="s">
        <v>92</v>
      </c>
      <c r="F231" s="102" t="s">
        <v>66</v>
      </c>
      <c r="G231" s="124">
        <v>2.5952830188679243</v>
      </c>
      <c r="H231" s="94" t="s">
        <v>237</v>
      </c>
      <c r="I231" s="109">
        <v>2.12E-2</v>
      </c>
      <c r="J231" s="95" t="s">
        <v>993</v>
      </c>
      <c r="O231" s="39"/>
    </row>
    <row r="232" spans="1:15" customFormat="1" ht="89.85" customHeight="1" x14ac:dyDescent="0.3">
      <c r="B232" s="512"/>
      <c r="C232" s="515"/>
      <c r="D232" s="116" t="s">
        <v>362</v>
      </c>
      <c r="E232" s="271" t="s">
        <v>92</v>
      </c>
      <c r="F232" s="102" t="s">
        <v>66</v>
      </c>
      <c r="G232" s="124">
        <v>2.2959808612440189</v>
      </c>
      <c r="H232" s="94" t="s">
        <v>237</v>
      </c>
      <c r="I232" s="109">
        <v>2.0899999999999998E-2</v>
      </c>
      <c r="J232" s="95" t="s">
        <v>994</v>
      </c>
      <c r="O232" s="39"/>
    </row>
    <row r="233" spans="1:15" s="34" customFormat="1" ht="86.4" x14ac:dyDescent="0.3">
      <c r="A233"/>
      <c r="B233" s="512"/>
      <c r="C233" s="515"/>
      <c r="D233" s="116" t="s">
        <v>361</v>
      </c>
      <c r="E233" s="271" t="s">
        <v>92</v>
      </c>
      <c r="F233" s="102" t="s">
        <v>66</v>
      </c>
      <c r="G233" s="124">
        <v>3.3129665071770336</v>
      </c>
      <c r="H233" s="94" t="s">
        <v>237</v>
      </c>
      <c r="I233" s="109">
        <v>2.0899999999999998E-2</v>
      </c>
      <c r="J233" s="95" t="s">
        <v>995</v>
      </c>
      <c r="O233" s="39"/>
    </row>
    <row r="234" spans="1:15" s="34" customFormat="1" ht="91.35" customHeight="1" x14ac:dyDescent="0.3">
      <c r="A234"/>
      <c r="B234" s="512"/>
      <c r="C234" s="516"/>
      <c r="D234" s="116" t="s">
        <v>688</v>
      </c>
      <c r="E234" s="271" t="s">
        <v>92</v>
      </c>
      <c r="F234" s="38" t="s">
        <v>62</v>
      </c>
      <c r="G234" s="124">
        <v>0.17899999999999999</v>
      </c>
      <c r="H234" s="94" t="s">
        <v>237</v>
      </c>
      <c r="I234" s="109">
        <v>0.46500000000000002</v>
      </c>
      <c r="J234" s="95" t="s">
        <v>1095</v>
      </c>
      <c r="O234" s="39"/>
    </row>
    <row r="235" spans="1:15" s="34" customFormat="1" ht="87.75" customHeight="1" x14ac:dyDescent="0.3">
      <c r="A235"/>
      <c r="B235" s="512"/>
      <c r="C235" s="514" t="s">
        <v>76</v>
      </c>
      <c r="D235" s="116" t="s">
        <v>360</v>
      </c>
      <c r="E235" s="271" t="s">
        <v>67</v>
      </c>
      <c r="F235" s="98" t="s">
        <v>61</v>
      </c>
      <c r="G235" s="117">
        <v>3.3719999999999999</v>
      </c>
      <c r="H235" s="94" t="s">
        <v>237</v>
      </c>
      <c r="I235" s="109">
        <v>2.1999999999999999E-2</v>
      </c>
      <c r="J235" s="95" t="s">
        <v>996</v>
      </c>
      <c r="O235" s="39"/>
    </row>
    <row r="236" spans="1:15" customFormat="1" ht="77.099999999999994" customHeight="1" x14ac:dyDescent="0.3">
      <c r="A236" s="34"/>
      <c r="B236" s="512"/>
      <c r="C236" s="516"/>
      <c r="D236" s="116" t="s">
        <v>359</v>
      </c>
      <c r="E236" s="271" t="s">
        <v>67</v>
      </c>
      <c r="F236" s="98" t="s">
        <v>62</v>
      </c>
      <c r="G236" s="117">
        <v>0.29699999999999999</v>
      </c>
      <c r="H236" s="94" t="s">
        <v>237</v>
      </c>
      <c r="I236" s="109">
        <v>0.15</v>
      </c>
      <c r="J236" s="95" t="s">
        <v>1096</v>
      </c>
      <c r="K236" s="34"/>
      <c r="O236" s="39"/>
    </row>
    <row r="237" spans="1:15" customFormat="1" ht="30" customHeight="1" x14ac:dyDescent="0.3">
      <c r="A237" s="34"/>
      <c r="B237" s="512"/>
      <c r="C237" s="514" t="s">
        <v>77</v>
      </c>
      <c r="D237" s="116" t="s">
        <v>523</v>
      </c>
      <c r="E237" s="118" t="s">
        <v>92</v>
      </c>
      <c r="F237" s="119" t="s">
        <v>524</v>
      </c>
      <c r="G237" s="303">
        <v>0.20130000000000001</v>
      </c>
      <c r="H237" s="94" t="s">
        <v>472</v>
      </c>
      <c r="I237" s="120">
        <v>2.5834349999999998E-3</v>
      </c>
      <c r="J237" s="95" t="s">
        <v>997</v>
      </c>
      <c r="K237" s="34"/>
      <c r="O237" s="39"/>
    </row>
    <row r="238" spans="1:15" customFormat="1" ht="15" customHeight="1" x14ac:dyDescent="0.3">
      <c r="A238" s="34"/>
      <c r="B238" s="512"/>
      <c r="C238" s="516"/>
      <c r="D238" s="116" t="s">
        <v>78</v>
      </c>
      <c r="E238" s="271"/>
      <c r="F238" s="454" t="s">
        <v>621</v>
      </c>
      <c r="G238" s="455"/>
      <c r="H238" s="455"/>
      <c r="I238" s="455"/>
      <c r="J238" s="456"/>
      <c r="K238" s="34"/>
      <c r="O238" s="39"/>
    </row>
    <row r="239" spans="1:15" customFormat="1" ht="43.2" x14ac:dyDescent="0.3">
      <c r="A239" s="34"/>
      <c r="B239" s="512"/>
      <c r="C239" s="514" t="s">
        <v>79</v>
      </c>
      <c r="D239" s="116" t="s">
        <v>358</v>
      </c>
      <c r="E239" s="271" t="s">
        <v>92</v>
      </c>
      <c r="F239" s="98" t="s">
        <v>66</v>
      </c>
      <c r="G239" s="117">
        <v>2.54</v>
      </c>
      <c r="H239" s="94" t="s">
        <v>472</v>
      </c>
      <c r="I239" s="109">
        <v>0.5</v>
      </c>
      <c r="J239" s="95" t="s">
        <v>1097</v>
      </c>
      <c r="K239" s="34"/>
      <c r="O239" s="39"/>
    </row>
    <row r="240" spans="1:15" customFormat="1" ht="43.2" x14ac:dyDescent="0.3">
      <c r="A240" s="34"/>
      <c r="B240" s="512"/>
      <c r="C240" s="516"/>
      <c r="D240" s="116" t="s">
        <v>73</v>
      </c>
      <c r="E240" s="271" t="s">
        <v>92</v>
      </c>
      <c r="F240" s="98" t="s">
        <v>66</v>
      </c>
      <c r="G240" s="117">
        <v>8.1</v>
      </c>
      <c r="H240" s="94" t="s">
        <v>472</v>
      </c>
      <c r="I240" s="109">
        <v>0.5</v>
      </c>
      <c r="J240" s="95" t="s">
        <v>689</v>
      </c>
      <c r="K240" s="34"/>
      <c r="O240" s="39"/>
    </row>
    <row r="241" spans="1:15" customFormat="1" ht="42.75" customHeight="1" x14ac:dyDescent="0.3">
      <c r="A241" s="34"/>
      <c r="B241" s="513"/>
      <c r="C241" s="271" t="s">
        <v>357</v>
      </c>
      <c r="D241" s="116" t="s">
        <v>356</v>
      </c>
      <c r="E241" s="271" t="s">
        <v>507</v>
      </c>
      <c r="F241" s="102" t="s">
        <v>66</v>
      </c>
      <c r="G241" s="117">
        <v>2.54</v>
      </c>
      <c r="H241" s="94" t="s">
        <v>472</v>
      </c>
      <c r="I241" s="109">
        <v>9.5E-4</v>
      </c>
      <c r="J241" s="95" t="s">
        <v>998</v>
      </c>
      <c r="K241" s="34"/>
      <c r="O241" s="39"/>
    </row>
    <row r="242" spans="1:15" customFormat="1" ht="30" customHeight="1" x14ac:dyDescent="0.3">
      <c r="A242" s="34"/>
      <c r="B242" s="489" t="s">
        <v>26</v>
      </c>
      <c r="C242" s="492" t="s">
        <v>594</v>
      </c>
      <c r="D242" s="101" t="s">
        <v>722</v>
      </c>
      <c r="E242" s="268" t="s">
        <v>59</v>
      </c>
      <c r="F242" s="98" t="s">
        <v>85</v>
      </c>
      <c r="G242" s="124">
        <v>0.19086</v>
      </c>
      <c r="H242" s="94" t="s">
        <v>472</v>
      </c>
      <c r="I242" s="94">
        <v>1</v>
      </c>
      <c r="J242" s="95" t="s">
        <v>999</v>
      </c>
      <c r="K242" s="34"/>
      <c r="O242" s="39"/>
    </row>
    <row r="243" spans="1:15" customFormat="1" ht="30" customHeight="1" x14ac:dyDescent="0.3">
      <c r="A243" s="34"/>
      <c r="B243" s="490"/>
      <c r="C243" s="494"/>
      <c r="D243" s="101" t="s">
        <v>724</v>
      </c>
      <c r="E243" s="101" t="s">
        <v>59</v>
      </c>
      <c r="F243" s="277" t="s">
        <v>85</v>
      </c>
      <c r="G243" s="124">
        <v>0.221666</v>
      </c>
      <c r="H243" s="93" t="s">
        <v>237</v>
      </c>
      <c r="I243" s="93">
        <v>1</v>
      </c>
      <c r="J243" s="277" t="s">
        <v>1000</v>
      </c>
      <c r="K243" s="34"/>
      <c r="O243" s="39"/>
    </row>
    <row r="244" spans="1:15" customFormat="1" ht="28.8" x14ac:dyDescent="0.3">
      <c r="A244" s="34"/>
      <c r="B244" s="490"/>
      <c r="C244" s="494"/>
      <c r="D244" s="101" t="s">
        <v>725</v>
      </c>
      <c r="E244" s="101" t="s">
        <v>59</v>
      </c>
      <c r="F244" s="277" t="s">
        <v>85</v>
      </c>
      <c r="G244" s="124">
        <v>0</v>
      </c>
      <c r="H244" s="93" t="s">
        <v>237</v>
      </c>
      <c r="I244" s="93">
        <v>1</v>
      </c>
      <c r="J244" s="277" t="s">
        <v>726</v>
      </c>
      <c r="K244" s="34"/>
      <c r="O244" s="39"/>
    </row>
    <row r="245" spans="1:15" customFormat="1" ht="30" x14ac:dyDescent="0.3">
      <c r="A245" s="34"/>
      <c r="B245" s="490"/>
      <c r="C245" s="493"/>
      <c r="D245" s="101" t="s">
        <v>525</v>
      </c>
      <c r="E245" s="268" t="s">
        <v>59</v>
      </c>
      <c r="F245" s="102" t="s">
        <v>66</v>
      </c>
      <c r="G245" s="124">
        <v>5.7</v>
      </c>
      <c r="H245" s="94" t="s">
        <v>687</v>
      </c>
      <c r="I245" s="94">
        <v>1</v>
      </c>
      <c r="J245" s="95" t="s">
        <v>1109</v>
      </c>
      <c r="K245" s="34"/>
      <c r="O245" s="39"/>
    </row>
    <row r="246" spans="1:15" customFormat="1" ht="28.8" x14ac:dyDescent="0.3">
      <c r="A246" s="34"/>
      <c r="B246" s="490"/>
      <c r="C246" s="517" t="s">
        <v>87</v>
      </c>
      <c r="D246" s="101" t="s">
        <v>352</v>
      </c>
      <c r="E246" s="268" t="s">
        <v>67</v>
      </c>
      <c r="F246" s="102" t="s">
        <v>62</v>
      </c>
      <c r="G246" s="124">
        <v>0.12288693976537292</v>
      </c>
      <c r="H246" s="94" t="s">
        <v>472</v>
      </c>
      <c r="I246" s="94">
        <v>4.3099999999999999E-2</v>
      </c>
      <c r="J246" s="95" t="s">
        <v>1001</v>
      </c>
      <c r="K246" s="34"/>
      <c r="O246" s="39"/>
    </row>
    <row r="247" spans="1:15" customFormat="1" ht="28.8" x14ac:dyDescent="0.3">
      <c r="A247" s="34"/>
      <c r="B247" s="490"/>
      <c r="C247" s="518"/>
      <c r="D247" s="101" t="s">
        <v>351</v>
      </c>
      <c r="E247" s="268" t="s">
        <v>67</v>
      </c>
      <c r="F247" s="102" t="s">
        <v>62</v>
      </c>
      <c r="G247" s="124">
        <v>0.12288693976537292</v>
      </c>
      <c r="H247" s="94" t="s">
        <v>472</v>
      </c>
      <c r="I247" s="94">
        <v>7.3300000000000004E-2</v>
      </c>
      <c r="J247" s="95" t="s">
        <v>1001</v>
      </c>
      <c r="K247" s="34"/>
      <c r="O247" s="39"/>
    </row>
    <row r="248" spans="1:15" customFormat="1" ht="45" customHeight="1" x14ac:dyDescent="0.3">
      <c r="A248" s="34"/>
      <c r="B248" s="490"/>
      <c r="C248" s="519"/>
      <c r="D248" s="101" t="s">
        <v>350</v>
      </c>
      <c r="E248" s="268" t="s">
        <v>67</v>
      </c>
      <c r="F248" s="102" t="s">
        <v>62</v>
      </c>
      <c r="G248" s="124">
        <v>0.12288693976537292</v>
      </c>
      <c r="H248" s="94" t="s">
        <v>472</v>
      </c>
      <c r="I248" s="94">
        <v>8.77E-2</v>
      </c>
      <c r="J248" s="95" t="s">
        <v>1001</v>
      </c>
      <c r="K248" s="34"/>
      <c r="O248" s="39"/>
    </row>
    <row r="249" spans="1:15" customFormat="1" ht="45" customHeight="1" x14ac:dyDescent="0.3">
      <c r="A249" s="34"/>
      <c r="B249" s="491"/>
      <c r="C249" s="268" t="s">
        <v>88</v>
      </c>
      <c r="D249" s="101" t="s">
        <v>89</v>
      </c>
      <c r="E249" s="268" t="s">
        <v>59</v>
      </c>
      <c r="F249" s="102" t="s">
        <v>66</v>
      </c>
      <c r="G249" s="124">
        <v>5.7</v>
      </c>
      <c r="H249" s="94" t="s">
        <v>687</v>
      </c>
      <c r="I249" s="94">
        <v>1</v>
      </c>
      <c r="J249" s="95" t="s">
        <v>1108</v>
      </c>
      <c r="K249" s="34"/>
      <c r="O249" s="39"/>
    </row>
    <row r="250" spans="1:15" customFormat="1" ht="32.25" customHeight="1" x14ac:dyDescent="0.3">
      <c r="A250" s="34"/>
      <c r="B250" s="475" t="s">
        <v>27</v>
      </c>
      <c r="C250" s="478" t="s">
        <v>90</v>
      </c>
      <c r="D250" s="121" t="s">
        <v>91</v>
      </c>
      <c r="E250" s="272" t="s">
        <v>526</v>
      </c>
      <c r="F250" s="122" t="s">
        <v>64</v>
      </c>
      <c r="G250" s="124">
        <v>6.668717530534737</v>
      </c>
      <c r="H250" s="94" t="s">
        <v>472</v>
      </c>
      <c r="I250" s="94">
        <v>0.05</v>
      </c>
      <c r="J250" s="95" t="s">
        <v>1002</v>
      </c>
      <c r="K250" s="34"/>
      <c r="O250" s="39"/>
    </row>
    <row r="251" spans="1:15" customFormat="1" ht="30.6" x14ac:dyDescent="0.3">
      <c r="A251" s="34"/>
      <c r="B251" s="476"/>
      <c r="C251" s="479"/>
      <c r="D251" s="121" t="s">
        <v>61</v>
      </c>
      <c r="E251" s="272" t="s">
        <v>526</v>
      </c>
      <c r="F251" s="102" t="s">
        <v>61</v>
      </c>
      <c r="G251" s="124">
        <v>2.62</v>
      </c>
      <c r="H251" s="94" t="s">
        <v>472</v>
      </c>
      <c r="I251" s="94">
        <v>0.05</v>
      </c>
      <c r="J251" s="95" t="s">
        <v>1003</v>
      </c>
      <c r="K251" s="34"/>
      <c r="O251" s="39"/>
    </row>
    <row r="252" spans="1:15" customFormat="1" ht="56.85" customHeight="1" x14ac:dyDescent="0.3">
      <c r="A252" s="34"/>
      <c r="B252" s="476"/>
      <c r="C252" s="478" t="s">
        <v>349</v>
      </c>
      <c r="D252" s="121" t="s">
        <v>348</v>
      </c>
      <c r="E252" s="272" t="s">
        <v>92</v>
      </c>
      <c r="F252" s="119" t="s">
        <v>527</v>
      </c>
      <c r="G252" s="124">
        <v>4.5940000000000003</v>
      </c>
      <c r="H252" s="94" t="s">
        <v>472</v>
      </c>
      <c r="I252" s="94">
        <v>0.72499999999999998</v>
      </c>
      <c r="J252" s="95" t="s">
        <v>1004</v>
      </c>
      <c r="K252" s="34"/>
      <c r="O252" s="39"/>
    </row>
    <row r="253" spans="1:15" customFormat="1" ht="62.1" customHeight="1" x14ac:dyDescent="0.3">
      <c r="A253" s="34"/>
      <c r="B253" s="476"/>
      <c r="C253" s="479"/>
      <c r="D253" s="121" t="s">
        <v>347</v>
      </c>
      <c r="E253" s="272" t="s">
        <v>92</v>
      </c>
      <c r="F253" s="119" t="s">
        <v>527</v>
      </c>
      <c r="G253" s="124">
        <v>4.5940000000000003</v>
      </c>
      <c r="H253" s="94" t="s">
        <v>472</v>
      </c>
      <c r="I253" s="94">
        <v>9.9999999999999992E-2</v>
      </c>
      <c r="J253" s="95" t="s">
        <v>1004</v>
      </c>
      <c r="K253" s="34"/>
      <c r="O253" s="39"/>
    </row>
    <row r="254" spans="1:15" customFormat="1" ht="28.8" x14ac:dyDescent="0.3">
      <c r="A254" s="34"/>
      <c r="B254" s="476"/>
      <c r="C254" s="478" t="s">
        <v>528</v>
      </c>
      <c r="D254" s="121" t="s">
        <v>346</v>
      </c>
      <c r="E254" s="123" t="s">
        <v>92</v>
      </c>
      <c r="F254" s="119" t="s">
        <v>64</v>
      </c>
      <c r="G254" s="124">
        <v>6.668717530534737</v>
      </c>
      <c r="H254" s="94" t="s">
        <v>472</v>
      </c>
      <c r="I254" s="94">
        <v>1.2E-2</v>
      </c>
      <c r="J254" s="95" t="s">
        <v>1005</v>
      </c>
      <c r="K254" s="34"/>
      <c r="O254" s="39"/>
    </row>
    <row r="255" spans="1:15" customFormat="1" ht="47.85" customHeight="1" x14ac:dyDescent="0.3">
      <c r="A255" s="34"/>
      <c r="B255" s="476"/>
      <c r="C255" s="480"/>
      <c r="D255" s="121" t="s">
        <v>345</v>
      </c>
      <c r="E255" s="123" t="s">
        <v>92</v>
      </c>
      <c r="F255" s="119" t="s">
        <v>61</v>
      </c>
      <c r="G255" s="124">
        <v>2.62</v>
      </c>
      <c r="H255" s="94" t="s">
        <v>472</v>
      </c>
      <c r="I255" s="94">
        <v>0.13200000000000001</v>
      </c>
      <c r="J255" s="95" t="s">
        <v>1006</v>
      </c>
      <c r="K255" s="34"/>
      <c r="O255" s="39"/>
    </row>
    <row r="256" spans="1:15" customFormat="1" ht="43.2" x14ac:dyDescent="0.3">
      <c r="A256" s="34"/>
      <c r="B256" s="476"/>
      <c r="C256" s="480"/>
      <c r="D256" s="121" t="s">
        <v>344</v>
      </c>
      <c r="E256" s="123" t="s">
        <v>92</v>
      </c>
      <c r="F256" s="119" t="s">
        <v>61</v>
      </c>
      <c r="G256" s="124">
        <v>2.62</v>
      </c>
      <c r="H256" s="94" t="s">
        <v>472</v>
      </c>
      <c r="I256" s="94">
        <v>0.189</v>
      </c>
      <c r="J256" s="95" t="s">
        <v>1007</v>
      </c>
      <c r="K256" s="34"/>
      <c r="O256" s="39"/>
    </row>
    <row r="257" spans="1:15" customFormat="1" ht="43.2" x14ac:dyDescent="0.3">
      <c r="A257" s="34"/>
      <c r="B257" s="476"/>
      <c r="C257" s="480"/>
      <c r="D257" s="121" t="s">
        <v>343</v>
      </c>
      <c r="E257" s="123" t="s">
        <v>92</v>
      </c>
      <c r="F257" s="119" t="s">
        <v>61</v>
      </c>
      <c r="G257" s="124">
        <v>2.62</v>
      </c>
      <c r="H257" s="94" t="s">
        <v>472</v>
      </c>
      <c r="I257" s="94">
        <v>0.28799999999999998</v>
      </c>
      <c r="J257" s="95" t="s">
        <v>1008</v>
      </c>
      <c r="K257" s="34"/>
      <c r="O257" s="39"/>
    </row>
    <row r="258" spans="1:15" customFormat="1" ht="43.2" x14ac:dyDescent="0.3">
      <c r="A258" s="34"/>
      <c r="B258" s="476"/>
      <c r="C258" s="480"/>
      <c r="D258" s="121" t="s">
        <v>342</v>
      </c>
      <c r="E258" s="123" t="s">
        <v>92</v>
      </c>
      <c r="F258" s="119" t="s">
        <v>64</v>
      </c>
      <c r="G258" s="124">
        <v>6.6687175305347397</v>
      </c>
      <c r="H258" s="94" t="s">
        <v>472</v>
      </c>
      <c r="I258" s="94">
        <v>0.1</v>
      </c>
      <c r="J258" s="95" t="s">
        <v>1009</v>
      </c>
      <c r="K258" s="34"/>
      <c r="O258" s="39"/>
    </row>
    <row r="259" spans="1:15" customFormat="1" ht="43.2" x14ac:dyDescent="0.3">
      <c r="A259" s="34"/>
      <c r="B259" s="476"/>
      <c r="C259" s="480"/>
      <c r="D259" s="121" t="s">
        <v>341</v>
      </c>
      <c r="E259" s="272" t="s">
        <v>92</v>
      </c>
      <c r="F259" s="119" t="s">
        <v>64</v>
      </c>
      <c r="G259" s="124">
        <v>6.6687175305347397</v>
      </c>
      <c r="H259" s="94" t="s">
        <v>472</v>
      </c>
      <c r="I259" s="94">
        <v>0.14199999999999999</v>
      </c>
      <c r="J259" s="95" t="s">
        <v>1010</v>
      </c>
      <c r="K259" s="34"/>
      <c r="O259" s="39"/>
    </row>
    <row r="260" spans="1:15" customFormat="1" ht="43.2" x14ac:dyDescent="0.3">
      <c r="A260" s="34"/>
      <c r="B260" s="476"/>
      <c r="C260" s="479"/>
      <c r="D260" s="121" t="s">
        <v>340</v>
      </c>
      <c r="E260" s="123" t="s">
        <v>92</v>
      </c>
      <c r="F260" s="119" t="s">
        <v>64</v>
      </c>
      <c r="G260" s="124">
        <v>6.6687175305347397</v>
      </c>
      <c r="H260" s="94" t="s">
        <v>472</v>
      </c>
      <c r="I260" s="94">
        <v>0.20499999999999999</v>
      </c>
      <c r="J260" s="95" t="s">
        <v>1011</v>
      </c>
      <c r="K260" s="34"/>
      <c r="O260" s="39"/>
    </row>
    <row r="261" spans="1:15" customFormat="1" ht="57.6" x14ac:dyDescent="0.3">
      <c r="A261" s="34"/>
      <c r="B261" s="476"/>
      <c r="C261" s="478" t="s">
        <v>339</v>
      </c>
      <c r="D261" s="121" t="s">
        <v>338</v>
      </c>
      <c r="E261" s="272" t="s">
        <v>67</v>
      </c>
      <c r="F261" s="119" t="s">
        <v>527</v>
      </c>
      <c r="G261" s="124">
        <v>2.726666666666667</v>
      </c>
      <c r="H261" s="94" t="s">
        <v>472</v>
      </c>
      <c r="I261" s="94">
        <v>7.3999999999999999E-4</v>
      </c>
      <c r="J261" s="95" t="s">
        <v>1098</v>
      </c>
      <c r="K261" s="34"/>
      <c r="O261" s="39"/>
    </row>
    <row r="262" spans="1:15" customFormat="1" ht="57.6" x14ac:dyDescent="0.3">
      <c r="A262" s="34"/>
      <c r="B262" s="476"/>
      <c r="C262" s="479"/>
      <c r="D262" s="121" t="s">
        <v>93</v>
      </c>
      <c r="E262" s="272" t="s">
        <v>67</v>
      </c>
      <c r="F262" s="119" t="s">
        <v>527</v>
      </c>
      <c r="G262" s="124">
        <v>2.726666666666667</v>
      </c>
      <c r="H262" s="94" t="s">
        <v>472</v>
      </c>
      <c r="I262" s="94">
        <v>4.2499999999999998E-4</v>
      </c>
      <c r="J262" s="95" t="s">
        <v>1099</v>
      </c>
      <c r="K262" s="34"/>
      <c r="O262" s="39"/>
    </row>
    <row r="263" spans="1:15" customFormat="1" ht="45" x14ac:dyDescent="0.3">
      <c r="A263" s="34"/>
      <c r="B263" s="476"/>
      <c r="C263" s="481" t="s">
        <v>529</v>
      </c>
      <c r="D263" s="121" t="s">
        <v>530</v>
      </c>
      <c r="E263" s="272" t="s">
        <v>67</v>
      </c>
      <c r="F263" s="102" t="s">
        <v>66</v>
      </c>
      <c r="G263" s="117">
        <v>2.52</v>
      </c>
      <c r="H263" s="94" t="s">
        <v>472</v>
      </c>
      <c r="I263" s="124">
        <v>3.9996401471015068E-4</v>
      </c>
      <c r="J263" s="95" t="s">
        <v>1012</v>
      </c>
      <c r="K263" s="34"/>
      <c r="O263" s="39"/>
    </row>
    <row r="264" spans="1:15" customFormat="1" ht="45" x14ac:dyDescent="0.3">
      <c r="A264" s="34"/>
      <c r="B264" s="476"/>
      <c r="C264" s="482"/>
      <c r="D264" s="125" t="s">
        <v>393</v>
      </c>
      <c r="E264" s="123" t="s">
        <v>67</v>
      </c>
      <c r="F264" s="102" t="s">
        <v>66</v>
      </c>
      <c r="G264" s="117">
        <v>2.52</v>
      </c>
      <c r="H264" s="94" t="s">
        <v>472</v>
      </c>
      <c r="I264" s="117">
        <v>2.3616922773361266E-3</v>
      </c>
      <c r="J264" s="95" t="s">
        <v>1013</v>
      </c>
      <c r="K264" s="34"/>
      <c r="O264" s="39"/>
    </row>
    <row r="265" spans="1:15" customFormat="1" ht="28.8" x14ac:dyDescent="0.3">
      <c r="A265" s="34"/>
      <c r="B265" s="476"/>
      <c r="C265" s="291" t="s">
        <v>233</v>
      </c>
      <c r="D265" s="121" t="s">
        <v>723</v>
      </c>
      <c r="E265" s="272" t="s">
        <v>92</v>
      </c>
      <c r="F265" s="119" t="s">
        <v>61</v>
      </c>
      <c r="G265" s="124">
        <v>2.62</v>
      </c>
      <c r="H265" s="94" t="s">
        <v>472</v>
      </c>
      <c r="I265" s="94">
        <v>0.2</v>
      </c>
      <c r="J265" s="95" t="s">
        <v>1014</v>
      </c>
      <c r="K265" s="34"/>
      <c r="O265" s="39"/>
    </row>
    <row r="266" spans="1:15" customFormat="1" ht="28.8" x14ac:dyDescent="0.3">
      <c r="A266" s="34"/>
      <c r="B266" s="476"/>
      <c r="C266" s="478" t="s">
        <v>94</v>
      </c>
      <c r="D266" s="121" t="s">
        <v>531</v>
      </c>
      <c r="E266" s="272" t="s">
        <v>92</v>
      </c>
      <c r="F266" s="114" t="s">
        <v>61</v>
      </c>
      <c r="G266" s="124">
        <v>2.62</v>
      </c>
      <c r="H266" s="94" t="s">
        <v>472</v>
      </c>
      <c r="I266" s="94">
        <v>1.0960000000000001</v>
      </c>
      <c r="J266" s="95" t="s">
        <v>1015</v>
      </c>
      <c r="K266" s="34"/>
      <c r="O266" s="39"/>
    </row>
    <row r="267" spans="1:15" s="34" customFormat="1" ht="43.2" x14ac:dyDescent="0.3">
      <c r="B267" s="476"/>
      <c r="C267" s="479"/>
      <c r="D267" s="121" t="s">
        <v>337</v>
      </c>
      <c r="E267" s="272" t="s">
        <v>92</v>
      </c>
      <c r="F267" s="119" t="s">
        <v>527</v>
      </c>
      <c r="G267" s="124">
        <v>3.1949999999999998</v>
      </c>
      <c r="H267" s="94" t="s">
        <v>532</v>
      </c>
      <c r="I267" s="94">
        <v>2.5000000000000001E-2</v>
      </c>
      <c r="J267" s="95" t="s">
        <v>1016</v>
      </c>
      <c r="O267" s="39"/>
    </row>
    <row r="268" spans="1:15" s="34" customFormat="1" ht="28.8" x14ac:dyDescent="0.3">
      <c r="A268"/>
      <c r="B268" s="476"/>
      <c r="C268" s="478" t="s">
        <v>533</v>
      </c>
      <c r="D268" s="121" t="s">
        <v>336</v>
      </c>
      <c r="E268" s="272" t="s">
        <v>92</v>
      </c>
      <c r="F268" s="122" t="s">
        <v>64</v>
      </c>
      <c r="G268" s="124">
        <v>6.67</v>
      </c>
      <c r="H268" s="94" t="s">
        <v>472</v>
      </c>
      <c r="I268" s="94">
        <v>0.01</v>
      </c>
      <c r="J268" s="95" t="s">
        <v>1017</v>
      </c>
      <c r="O268" s="39"/>
    </row>
    <row r="269" spans="1:15" s="34" customFormat="1" ht="43.2" x14ac:dyDescent="0.3">
      <c r="A269"/>
      <c r="B269" s="476"/>
      <c r="C269" s="479"/>
      <c r="D269" s="121" t="s">
        <v>335</v>
      </c>
      <c r="E269" s="272" t="s">
        <v>92</v>
      </c>
      <c r="F269" s="114" t="s">
        <v>66</v>
      </c>
      <c r="G269" s="124">
        <v>3.31</v>
      </c>
      <c r="H269" s="94" t="s">
        <v>532</v>
      </c>
      <c r="I269" s="124">
        <v>1.63E-4</v>
      </c>
      <c r="J269" s="95" t="s">
        <v>1018</v>
      </c>
      <c r="O269" s="39"/>
    </row>
    <row r="270" spans="1:15" customFormat="1" ht="32.85" customHeight="1" x14ac:dyDescent="0.3">
      <c r="A270" s="34"/>
      <c r="B270" s="476"/>
      <c r="C270" s="272" t="s">
        <v>96</v>
      </c>
      <c r="D270" s="121" t="s">
        <v>97</v>
      </c>
      <c r="E270" s="272" t="s">
        <v>92</v>
      </c>
      <c r="F270" s="114" t="s">
        <v>66</v>
      </c>
      <c r="G270" s="124">
        <v>3.31</v>
      </c>
      <c r="H270" s="94" t="s">
        <v>532</v>
      </c>
      <c r="I270" s="94">
        <v>5.0000000000000002E-5</v>
      </c>
      <c r="J270" s="95" t="s">
        <v>1019</v>
      </c>
      <c r="K270" s="34"/>
      <c r="O270" s="39"/>
    </row>
    <row r="271" spans="1:15" customFormat="1" ht="30" customHeight="1" x14ac:dyDescent="0.3">
      <c r="A271" s="34"/>
      <c r="B271" s="477"/>
      <c r="C271" s="272" t="s">
        <v>534</v>
      </c>
      <c r="D271" s="121" t="s">
        <v>535</v>
      </c>
      <c r="E271" s="272" t="s">
        <v>59</v>
      </c>
      <c r="F271" s="114" t="s">
        <v>61</v>
      </c>
      <c r="G271" s="124">
        <v>2.62</v>
      </c>
      <c r="H271" s="94" t="s">
        <v>472</v>
      </c>
      <c r="I271" s="94">
        <v>1</v>
      </c>
      <c r="J271" s="95" t="s">
        <v>1020</v>
      </c>
      <c r="K271" s="34"/>
      <c r="O271" s="39"/>
    </row>
    <row r="272" spans="1:15" customFormat="1" ht="18" customHeight="1" x14ac:dyDescent="0.3">
      <c r="A272" s="34"/>
      <c r="B272" s="521" t="s">
        <v>28</v>
      </c>
      <c r="C272" s="524" t="s">
        <v>334</v>
      </c>
      <c r="D272" s="126" t="s">
        <v>230</v>
      </c>
      <c r="E272" s="127" t="s">
        <v>118</v>
      </c>
      <c r="F272" s="114" t="s">
        <v>60</v>
      </c>
      <c r="G272" s="303">
        <v>0.68146428598875564</v>
      </c>
      <c r="H272" s="94" t="s">
        <v>472</v>
      </c>
      <c r="I272" s="120">
        <v>0.54</v>
      </c>
      <c r="J272" s="95" t="s">
        <v>1021</v>
      </c>
      <c r="K272" s="34"/>
      <c r="O272" s="39"/>
    </row>
    <row r="273" spans="1:15" customFormat="1" ht="41.1" customHeight="1" x14ac:dyDescent="0.3">
      <c r="A273" s="34"/>
      <c r="B273" s="522"/>
      <c r="C273" s="525"/>
      <c r="D273" s="126" t="s">
        <v>721</v>
      </c>
      <c r="E273" s="127" t="s">
        <v>118</v>
      </c>
      <c r="F273" s="114" t="s">
        <v>60</v>
      </c>
      <c r="G273" s="303">
        <v>0.26259445783377083</v>
      </c>
      <c r="H273" s="94" t="s">
        <v>472</v>
      </c>
      <c r="I273" s="120">
        <v>0.5</v>
      </c>
      <c r="J273" s="95" t="s">
        <v>1022</v>
      </c>
      <c r="K273" s="34"/>
      <c r="O273" s="39"/>
    </row>
    <row r="274" spans="1:15" ht="16.2" x14ac:dyDescent="0.3">
      <c r="B274" s="522"/>
      <c r="C274" s="525"/>
      <c r="D274" s="126" t="s">
        <v>109</v>
      </c>
      <c r="E274" s="127" t="s">
        <v>118</v>
      </c>
      <c r="F274" s="114" t="s">
        <v>60</v>
      </c>
      <c r="G274" s="303">
        <v>0.66426594282792939</v>
      </c>
      <c r="H274" s="94" t="s">
        <v>472</v>
      </c>
      <c r="I274" s="120">
        <v>0.75</v>
      </c>
      <c r="J274" s="95" t="s">
        <v>1023</v>
      </c>
    </row>
    <row r="275" spans="1:15" ht="15.6" x14ac:dyDescent="0.3">
      <c r="B275" s="522"/>
      <c r="C275" s="526"/>
      <c r="D275" s="128" t="s">
        <v>536</v>
      </c>
      <c r="E275" s="127" t="s">
        <v>59</v>
      </c>
      <c r="F275" s="114" t="s">
        <v>66</v>
      </c>
      <c r="G275" s="303">
        <v>2.52</v>
      </c>
      <c r="H275" s="94" t="s">
        <v>472</v>
      </c>
      <c r="I275" s="120">
        <v>1</v>
      </c>
      <c r="J275" s="95" t="s">
        <v>1024</v>
      </c>
    </row>
    <row r="276" spans="1:15" ht="15.6" x14ac:dyDescent="0.3">
      <c r="B276" s="522"/>
      <c r="C276" s="457" t="s">
        <v>98</v>
      </c>
      <c r="D276" s="129" t="s">
        <v>99</v>
      </c>
      <c r="E276" s="127" t="s">
        <v>59</v>
      </c>
      <c r="F276" s="114" t="s">
        <v>61</v>
      </c>
      <c r="G276" s="124">
        <v>2.62</v>
      </c>
      <c r="H276" s="94" t="s">
        <v>472</v>
      </c>
      <c r="I276" s="94">
        <v>1</v>
      </c>
      <c r="J276" s="95" t="s">
        <v>1020</v>
      </c>
    </row>
    <row r="277" spans="1:15" ht="36" customHeight="1" x14ac:dyDescent="0.3">
      <c r="B277" s="522"/>
      <c r="C277" s="458"/>
      <c r="D277" s="129" t="s">
        <v>100</v>
      </c>
      <c r="E277" s="127" t="s">
        <v>59</v>
      </c>
      <c r="F277" s="114" t="s">
        <v>62</v>
      </c>
      <c r="G277" s="124">
        <v>0.23577719722910626</v>
      </c>
      <c r="H277" s="94" t="s">
        <v>472</v>
      </c>
      <c r="I277" s="94">
        <v>1</v>
      </c>
      <c r="J277" s="95" t="s">
        <v>1025</v>
      </c>
    </row>
    <row r="278" spans="1:15" ht="15" customHeight="1" x14ac:dyDescent="0.3">
      <c r="B278" s="522"/>
      <c r="C278" s="459"/>
      <c r="D278" s="129" t="s">
        <v>537</v>
      </c>
      <c r="E278" s="127" t="s">
        <v>59</v>
      </c>
      <c r="F278" s="454" t="s">
        <v>521</v>
      </c>
      <c r="G278" s="455"/>
      <c r="H278" s="455"/>
      <c r="I278" s="455"/>
      <c r="J278" s="456"/>
    </row>
    <row r="279" spans="1:15" ht="15.6" x14ac:dyDescent="0.3">
      <c r="B279" s="522"/>
      <c r="C279" s="457" t="s">
        <v>101</v>
      </c>
      <c r="D279" s="129" t="s">
        <v>333</v>
      </c>
      <c r="E279" s="127" t="s">
        <v>59</v>
      </c>
      <c r="F279" s="114" t="s">
        <v>61</v>
      </c>
      <c r="G279" s="124">
        <v>2.62</v>
      </c>
      <c r="H279" s="94" t="s">
        <v>472</v>
      </c>
      <c r="I279" s="94">
        <v>1</v>
      </c>
      <c r="J279" s="95" t="s">
        <v>1020</v>
      </c>
    </row>
    <row r="280" spans="1:15" ht="15.6" x14ac:dyDescent="0.3">
      <c r="B280" s="522"/>
      <c r="C280" s="458"/>
      <c r="D280" s="129" t="s">
        <v>332</v>
      </c>
      <c r="E280" s="127" t="s">
        <v>59</v>
      </c>
      <c r="F280" s="114" t="s">
        <v>66</v>
      </c>
      <c r="G280" s="124">
        <v>3.1</v>
      </c>
      <c r="H280" s="94" t="s">
        <v>472</v>
      </c>
      <c r="I280" s="94">
        <v>1</v>
      </c>
      <c r="J280" s="95" t="s">
        <v>1100</v>
      </c>
    </row>
    <row r="281" spans="1:15" ht="28.8" x14ac:dyDescent="0.3">
      <c r="B281" s="522"/>
      <c r="C281" s="459"/>
      <c r="D281" s="129" t="s">
        <v>538</v>
      </c>
      <c r="E281" s="127" t="s">
        <v>59</v>
      </c>
      <c r="F281" s="114" t="s">
        <v>72</v>
      </c>
      <c r="G281" s="303">
        <v>8.5224327018943183E-2</v>
      </c>
      <c r="H281" s="94" t="s">
        <v>472</v>
      </c>
      <c r="I281" s="120">
        <v>1.0029999999999999</v>
      </c>
      <c r="J281" s="95" t="s">
        <v>1026</v>
      </c>
    </row>
    <row r="282" spans="1:15" ht="28.8" x14ac:dyDescent="0.3">
      <c r="B282" s="522"/>
      <c r="C282" s="457" t="s">
        <v>95</v>
      </c>
      <c r="D282" s="129" t="s">
        <v>539</v>
      </c>
      <c r="E282" s="127" t="s">
        <v>92</v>
      </c>
      <c r="F282" s="36" t="s">
        <v>61</v>
      </c>
      <c r="G282" s="124">
        <v>2.62</v>
      </c>
      <c r="H282" s="94" t="s">
        <v>472</v>
      </c>
      <c r="I282" s="37">
        <v>5</v>
      </c>
      <c r="J282" s="95" t="s">
        <v>1027</v>
      </c>
    </row>
    <row r="283" spans="1:15" ht="28.8" x14ac:dyDescent="0.3">
      <c r="B283" s="522"/>
      <c r="C283" s="458"/>
      <c r="D283" s="129" t="s">
        <v>540</v>
      </c>
      <c r="E283" s="127" t="s">
        <v>92</v>
      </c>
      <c r="F283" s="36" t="s">
        <v>61</v>
      </c>
      <c r="G283" s="124">
        <v>2.62</v>
      </c>
      <c r="H283" s="94" t="s">
        <v>472</v>
      </c>
      <c r="I283" s="37">
        <v>8</v>
      </c>
      <c r="J283" s="95" t="s">
        <v>1028</v>
      </c>
    </row>
    <row r="284" spans="1:15" ht="28.8" x14ac:dyDescent="0.3">
      <c r="B284" s="522"/>
      <c r="C284" s="458"/>
      <c r="D284" s="129" t="s">
        <v>541</v>
      </c>
      <c r="E284" s="127" t="s">
        <v>92</v>
      </c>
      <c r="F284" s="36" t="s">
        <v>61</v>
      </c>
      <c r="G284" s="124">
        <v>2.62</v>
      </c>
      <c r="H284" s="94" t="s">
        <v>472</v>
      </c>
      <c r="I284" s="94">
        <v>11.5</v>
      </c>
      <c r="J284" s="95" t="s">
        <v>1029</v>
      </c>
    </row>
    <row r="285" spans="1:15" ht="28.8" x14ac:dyDescent="0.3">
      <c r="B285" s="522"/>
      <c r="C285" s="458"/>
      <c r="D285" s="129" t="s">
        <v>542</v>
      </c>
      <c r="E285" s="127" t="s">
        <v>92</v>
      </c>
      <c r="F285" s="119" t="s">
        <v>61</v>
      </c>
      <c r="G285" s="124">
        <v>2.62</v>
      </c>
      <c r="H285" s="94" t="s">
        <v>472</v>
      </c>
      <c r="I285" s="94">
        <v>21.5</v>
      </c>
      <c r="J285" s="95" t="s">
        <v>1030</v>
      </c>
    </row>
    <row r="286" spans="1:15" ht="28.8" x14ac:dyDescent="0.3">
      <c r="B286" s="522"/>
      <c r="C286" s="458"/>
      <c r="D286" s="129" t="s">
        <v>543</v>
      </c>
      <c r="E286" s="127" t="s">
        <v>92</v>
      </c>
      <c r="F286" s="119" t="s">
        <v>61</v>
      </c>
      <c r="G286" s="124">
        <v>2.62</v>
      </c>
      <c r="H286" s="94" t="s">
        <v>472</v>
      </c>
      <c r="I286" s="94">
        <v>22</v>
      </c>
      <c r="J286" s="95" t="s">
        <v>1031</v>
      </c>
    </row>
    <row r="287" spans="1:15" ht="28.8" x14ac:dyDescent="0.3">
      <c r="B287" s="522"/>
      <c r="C287" s="458"/>
      <c r="D287" s="129" t="s">
        <v>544</v>
      </c>
      <c r="E287" s="127" t="s">
        <v>92</v>
      </c>
      <c r="F287" s="119" t="s">
        <v>61</v>
      </c>
      <c r="G287" s="124">
        <v>2.62</v>
      </c>
      <c r="H287" s="94" t="s">
        <v>472</v>
      </c>
      <c r="I287" s="94">
        <v>25</v>
      </c>
      <c r="J287" s="95" t="s">
        <v>1032</v>
      </c>
    </row>
    <row r="288" spans="1:15" ht="28.8" x14ac:dyDescent="0.3">
      <c r="B288" s="522"/>
      <c r="C288" s="458"/>
      <c r="D288" s="129" t="s">
        <v>545</v>
      </c>
      <c r="E288" s="127" t="s">
        <v>92</v>
      </c>
      <c r="F288" s="119" t="s">
        <v>61</v>
      </c>
      <c r="G288" s="124">
        <v>2.62</v>
      </c>
      <c r="H288" s="94" t="s">
        <v>472</v>
      </c>
      <c r="I288" s="94">
        <v>40</v>
      </c>
      <c r="J288" s="95" t="s">
        <v>1033</v>
      </c>
    </row>
    <row r="289" spans="2:10" ht="28.8" x14ac:dyDescent="0.3">
      <c r="B289" s="522"/>
      <c r="C289" s="459"/>
      <c r="D289" s="129" t="s">
        <v>546</v>
      </c>
      <c r="E289" s="127" t="s">
        <v>92</v>
      </c>
      <c r="F289" s="119" t="s">
        <v>61</v>
      </c>
      <c r="G289" s="124">
        <v>2.62</v>
      </c>
      <c r="H289" s="94" t="s">
        <v>472</v>
      </c>
      <c r="I289" s="94">
        <v>85</v>
      </c>
      <c r="J289" s="95" t="s">
        <v>1034</v>
      </c>
    </row>
    <row r="290" spans="2:10" ht="28.8" x14ac:dyDescent="0.3">
      <c r="B290" s="522"/>
      <c r="C290" s="288" t="s">
        <v>68</v>
      </c>
      <c r="D290" s="130" t="s">
        <v>547</v>
      </c>
      <c r="E290" s="127" t="s">
        <v>70</v>
      </c>
      <c r="F290" s="115" t="s">
        <v>68</v>
      </c>
      <c r="G290" s="124">
        <v>3.76</v>
      </c>
      <c r="H290" s="94" t="s">
        <v>472</v>
      </c>
      <c r="I290" s="94">
        <v>1.1999999999999999E-3</v>
      </c>
      <c r="J290" s="99" t="s">
        <v>1035</v>
      </c>
    </row>
    <row r="291" spans="2:10" ht="15.6" x14ac:dyDescent="0.3">
      <c r="B291" s="522"/>
      <c r="C291" s="457" t="s">
        <v>102</v>
      </c>
      <c r="D291" s="129" t="s">
        <v>103</v>
      </c>
      <c r="E291" s="127" t="s">
        <v>59</v>
      </c>
      <c r="F291" s="114" t="s">
        <v>61</v>
      </c>
      <c r="G291" s="124">
        <v>1.61</v>
      </c>
      <c r="H291" s="94" t="s">
        <v>472</v>
      </c>
      <c r="I291" s="94">
        <v>1</v>
      </c>
      <c r="J291" s="95" t="s">
        <v>1036</v>
      </c>
    </row>
    <row r="292" spans="2:10" ht="15.6" x14ac:dyDescent="0.3">
      <c r="B292" s="522"/>
      <c r="C292" s="459"/>
      <c r="D292" s="129" t="s">
        <v>535</v>
      </c>
      <c r="E292" s="127" t="s">
        <v>59</v>
      </c>
      <c r="F292" s="114" t="s">
        <v>61</v>
      </c>
      <c r="G292" s="124">
        <v>2.62</v>
      </c>
      <c r="H292" s="94" t="s">
        <v>472</v>
      </c>
      <c r="I292" s="94">
        <v>1</v>
      </c>
      <c r="J292" s="95" t="s">
        <v>1020</v>
      </c>
    </row>
    <row r="293" spans="2:10" ht="28.8" x14ac:dyDescent="0.3">
      <c r="B293" s="522"/>
      <c r="C293" s="457" t="s">
        <v>105</v>
      </c>
      <c r="D293" s="129" t="s">
        <v>106</v>
      </c>
      <c r="E293" s="127" t="s">
        <v>59</v>
      </c>
      <c r="F293" s="114" t="s">
        <v>62</v>
      </c>
      <c r="G293" s="124">
        <v>0.1384782103840336</v>
      </c>
      <c r="H293" s="94" t="s">
        <v>472</v>
      </c>
      <c r="I293" s="94">
        <v>1</v>
      </c>
      <c r="J293" s="95" t="s">
        <v>1037</v>
      </c>
    </row>
    <row r="294" spans="2:10" ht="28.8" x14ac:dyDescent="0.3">
      <c r="B294" s="522"/>
      <c r="C294" s="459"/>
      <c r="D294" s="129" t="s">
        <v>104</v>
      </c>
      <c r="E294" s="127" t="s">
        <v>59</v>
      </c>
      <c r="F294" s="114" t="s">
        <v>62</v>
      </c>
      <c r="G294" s="124">
        <v>0.17297090494319498</v>
      </c>
      <c r="H294" s="94" t="s">
        <v>472</v>
      </c>
      <c r="I294" s="94">
        <v>1</v>
      </c>
      <c r="J294" s="95" t="s">
        <v>1038</v>
      </c>
    </row>
    <row r="295" spans="2:10" ht="28.8" x14ac:dyDescent="0.3">
      <c r="B295" s="522"/>
      <c r="C295" s="520" t="s">
        <v>107</v>
      </c>
      <c r="D295" s="128" t="s">
        <v>548</v>
      </c>
      <c r="E295" s="127" t="s">
        <v>92</v>
      </c>
      <c r="F295" s="119" t="s">
        <v>524</v>
      </c>
      <c r="G295" s="303">
        <v>9.5890413949029363E-2</v>
      </c>
      <c r="H295" s="94" t="s">
        <v>472</v>
      </c>
      <c r="I295" s="276">
        <v>1.6797400000000001E-2</v>
      </c>
      <c r="J295" s="95" t="s">
        <v>1101</v>
      </c>
    </row>
    <row r="296" spans="2:10" ht="33" customHeight="1" x14ac:dyDescent="0.3">
      <c r="B296" s="522"/>
      <c r="C296" s="520"/>
      <c r="D296" s="128" t="s">
        <v>549</v>
      </c>
      <c r="E296" s="127" t="s">
        <v>92</v>
      </c>
      <c r="F296" s="119" t="s">
        <v>524</v>
      </c>
      <c r="G296" s="303">
        <v>0.20556929366201815</v>
      </c>
      <c r="H296" s="94" t="s">
        <v>472</v>
      </c>
      <c r="I296" s="120">
        <v>2.5834349999999998E-3</v>
      </c>
      <c r="J296" s="95" t="s">
        <v>997</v>
      </c>
    </row>
    <row r="297" spans="2:10" ht="33" customHeight="1" x14ac:dyDescent="0.3">
      <c r="B297" s="523"/>
      <c r="C297" s="304" t="s">
        <v>550</v>
      </c>
      <c r="D297" s="126" t="s">
        <v>108</v>
      </c>
      <c r="E297" s="127" t="s">
        <v>59</v>
      </c>
      <c r="F297" s="114" t="s">
        <v>72</v>
      </c>
      <c r="G297" s="305">
        <v>7.9000000000000001E-2</v>
      </c>
      <c r="H297" s="94" t="s">
        <v>472</v>
      </c>
      <c r="I297" s="120">
        <v>1</v>
      </c>
      <c r="J297" s="95" t="s">
        <v>1102</v>
      </c>
    </row>
    <row r="298" spans="2:10" ht="28.8" x14ac:dyDescent="0.3">
      <c r="B298" s="466" t="s">
        <v>551</v>
      </c>
      <c r="C298" s="469" t="s">
        <v>552</v>
      </c>
      <c r="D298" s="131" t="s">
        <v>110</v>
      </c>
      <c r="E298" s="132" t="s">
        <v>111</v>
      </c>
      <c r="F298" s="275" t="s">
        <v>490</v>
      </c>
      <c r="G298" s="305">
        <v>0.27522000000000002</v>
      </c>
      <c r="H298" s="100" t="s">
        <v>553</v>
      </c>
      <c r="I298" s="159">
        <v>1E-3</v>
      </c>
      <c r="J298" s="95" t="s">
        <v>1103</v>
      </c>
    </row>
    <row r="299" spans="2:10" ht="43.2" x14ac:dyDescent="0.3">
      <c r="B299" s="467"/>
      <c r="C299" s="470"/>
      <c r="D299" s="134" t="s">
        <v>112</v>
      </c>
      <c r="E299" s="133" t="s">
        <v>111</v>
      </c>
      <c r="F299" s="275" t="s">
        <v>490</v>
      </c>
      <c r="G299" s="305">
        <v>0.21311000000000002</v>
      </c>
      <c r="H299" s="100" t="s">
        <v>553</v>
      </c>
      <c r="I299" s="159">
        <v>1E-3</v>
      </c>
      <c r="J299" s="95" t="s">
        <v>1039</v>
      </c>
    </row>
    <row r="300" spans="2:10" ht="28.8" x14ac:dyDescent="0.3">
      <c r="B300" s="467"/>
      <c r="C300" s="470"/>
      <c r="D300" s="134" t="s">
        <v>554</v>
      </c>
      <c r="E300" s="133" t="s">
        <v>555</v>
      </c>
      <c r="F300" s="275" t="s">
        <v>490</v>
      </c>
      <c r="G300" s="305">
        <v>3.2886537699999998</v>
      </c>
      <c r="H300" s="100" t="s">
        <v>556</v>
      </c>
      <c r="I300" s="94">
        <v>1E-3</v>
      </c>
      <c r="J300" s="95" t="s">
        <v>1104</v>
      </c>
    </row>
    <row r="301" spans="2:10" ht="28.8" x14ac:dyDescent="0.3">
      <c r="B301" s="467"/>
      <c r="C301" s="470"/>
      <c r="D301" s="134" t="s">
        <v>557</v>
      </c>
      <c r="E301" s="133" t="s">
        <v>70</v>
      </c>
      <c r="F301" s="275" t="s">
        <v>490</v>
      </c>
      <c r="G301" s="305">
        <v>3.3820600000000001</v>
      </c>
      <c r="H301" s="100" t="s">
        <v>559</v>
      </c>
      <c r="I301" s="94">
        <v>1E-3</v>
      </c>
      <c r="J301" s="95" t="s">
        <v>1040</v>
      </c>
    </row>
    <row r="302" spans="2:10" ht="43.2" x14ac:dyDescent="0.3">
      <c r="B302" s="467"/>
      <c r="C302" s="470"/>
      <c r="D302" s="134" t="s">
        <v>113</v>
      </c>
      <c r="E302" s="133" t="s">
        <v>70</v>
      </c>
      <c r="F302" s="275" t="s">
        <v>490</v>
      </c>
      <c r="G302" s="305">
        <v>2.66534</v>
      </c>
      <c r="H302" s="100" t="s">
        <v>559</v>
      </c>
      <c r="I302" s="94">
        <v>1E-3</v>
      </c>
      <c r="J302" s="95" t="s">
        <v>1041</v>
      </c>
    </row>
    <row r="303" spans="2:10" ht="43.2" x14ac:dyDescent="0.3">
      <c r="B303" s="467"/>
      <c r="C303" s="470"/>
      <c r="D303" s="134" t="s">
        <v>114</v>
      </c>
      <c r="E303" s="133" t="s">
        <v>70</v>
      </c>
      <c r="F303" s="275" t="s">
        <v>490</v>
      </c>
      <c r="G303" s="305">
        <v>3.1238000000000001</v>
      </c>
      <c r="H303" s="100" t="s">
        <v>559</v>
      </c>
      <c r="I303" s="94">
        <v>1E-3</v>
      </c>
      <c r="J303" s="287" t="s">
        <v>1042</v>
      </c>
    </row>
    <row r="304" spans="2:10" ht="28.8" x14ac:dyDescent="0.3">
      <c r="B304" s="467"/>
      <c r="C304" s="470"/>
      <c r="D304" s="134" t="s">
        <v>115</v>
      </c>
      <c r="E304" s="133" t="s">
        <v>70</v>
      </c>
      <c r="F304" s="275" t="s">
        <v>490</v>
      </c>
      <c r="G304" s="305">
        <v>0.64854000000000001</v>
      </c>
      <c r="H304" s="100" t="s">
        <v>559</v>
      </c>
      <c r="I304" s="94">
        <v>1E-3</v>
      </c>
      <c r="J304" s="95" t="s">
        <v>1043</v>
      </c>
    </row>
    <row r="305" spans="2:10" ht="28.8" x14ac:dyDescent="0.3">
      <c r="B305" s="467"/>
      <c r="C305" s="470"/>
      <c r="D305" s="134" t="s">
        <v>747</v>
      </c>
      <c r="E305" s="133" t="s">
        <v>70</v>
      </c>
      <c r="F305" s="275" t="s">
        <v>490</v>
      </c>
      <c r="G305" s="305">
        <v>0.59458000000000011</v>
      </c>
      <c r="H305" s="100" t="s">
        <v>559</v>
      </c>
      <c r="I305" s="94">
        <v>1E-3</v>
      </c>
      <c r="J305" s="95" t="s">
        <v>1044</v>
      </c>
    </row>
    <row r="306" spans="2:10" ht="28.8" x14ac:dyDescent="0.3">
      <c r="B306" s="467"/>
      <c r="C306" s="470"/>
      <c r="D306" s="134" t="s">
        <v>748</v>
      </c>
      <c r="E306" s="133" t="s">
        <v>70</v>
      </c>
      <c r="F306" s="275" t="s">
        <v>490</v>
      </c>
      <c r="G306" s="305">
        <v>0.52806999999999993</v>
      </c>
      <c r="H306" s="100" t="s">
        <v>559</v>
      </c>
      <c r="I306" s="94">
        <v>1E-3</v>
      </c>
      <c r="J306" s="95" t="s">
        <v>1045</v>
      </c>
    </row>
    <row r="307" spans="2:10" ht="28.8" x14ac:dyDescent="0.3">
      <c r="B307" s="467"/>
      <c r="C307" s="470"/>
      <c r="D307" s="134" t="s">
        <v>765</v>
      </c>
      <c r="E307" s="133" t="s">
        <v>70</v>
      </c>
      <c r="F307" s="275" t="s">
        <v>490</v>
      </c>
      <c r="G307" s="305">
        <v>0.21861</v>
      </c>
      <c r="H307" s="100" t="s">
        <v>559</v>
      </c>
      <c r="I307" s="94">
        <v>1E-3</v>
      </c>
      <c r="J307" s="95" t="s">
        <v>1046</v>
      </c>
    </row>
    <row r="308" spans="2:10" ht="43.2" x14ac:dyDescent="0.3">
      <c r="B308" s="467"/>
      <c r="C308" s="470"/>
      <c r="D308" s="134" t="s">
        <v>749</v>
      </c>
      <c r="E308" s="133" t="s">
        <v>555</v>
      </c>
      <c r="F308" s="275" t="s">
        <v>490</v>
      </c>
      <c r="G308" s="306">
        <v>0.6452500000000001</v>
      </c>
      <c r="H308" s="100" t="s">
        <v>763</v>
      </c>
      <c r="I308" s="94">
        <v>1E-3</v>
      </c>
      <c r="J308" s="95" t="s">
        <v>1047</v>
      </c>
    </row>
    <row r="309" spans="2:10" ht="28.8" x14ac:dyDescent="0.3">
      <c r="B309" s="467"/>
      <c r="C309" s="470"/>
      <c r="D309" s="134" t="s">
        <v>750</v>
      </c>
      <c r="E309" s="133" t="s">
        <v>555</v>
      </c>
      <c r="F309" s="275" t="s">
        <v>490</v>
      </c>
      <c r="G309" s="306">
        <v>0.52510000000000001</v>
      </c>
      <c r="H309" s="100" t="s">
        <v>763</v>
      </c>
      <c r="I309" s="94">
        <v>1E-3</v>
      </c>
      <c r="J309" s="95" t="s">
        <v>1048</v>
      </c>
    </row>
    <row r="310" spans="2:10" ht="28.8" x14ac:dyDescent="0.3">
      <c r="B310" s="467"/>
      <c r="C310" s="470"/>
      <c r="D310" s="134" t="s">
        <v>764</v>
      </c>
      <c r="E310" s="133" t="s">
        <v>70</v>
      </c>
      <c r="F310" s="275" t="s">
        <v>490</v>
      </c>
      <c r="G310" s="305">
        <v>0.59761999999999993</v>
      </c>
      <c r="H310" s="100" t="s">
        <v>559</v>
      </c>
      <c r="I310" s="94">
        <v>1E-3</v>
      </c>
      <c r="J310" s="95" t="s">
        <v>1049</v>
      </c>
    </row>
    <row r="311" spans="2:10" ht="28.8" x14ac:dyDescent="0.3">
      <c r="B311" s="467"/>
      <c r="C311" s="470"/>
      <c r="D311" s="134" t="s">
        <v>116</v>
      </c>
      <c r="E311" s="133" t="s">
        <v>70</v>
      </c>
      <c r="F311" s="275" t="s">
        <v>490</v>
      </c>
      <c r="G311" s="305">
        <v>3.8703199999999995</v>
      </c>
      <c r="H311" s="100" t="s">
        <v>559</v>
      </c>
      <c r="I311" s="94">
        <v>1E-3</v>
      </c>
      <c r="J311" s="95" t="s">
        <v>1050</v>
      </c>
    </row>
    <row r="312" spans="2:10" ht="28.8" x14ac:dyDescent="0.3">
      <c r="B312" s="467"/>
      <c r="C312" s="471"/>
      <c r="D312" s="134" t="s">
        <v>117</v>
      </c>
      <c r="E312" s="133" t="s">
        <v>70</v>
      </c>
      <c r="F312" s="275" t="s">
        <v>490</v>
      </c>
      <c r="G312" s="305">
        <v>3.0709300000000002</v>
      </c>
      <c r="H312" s="100" t="s">
        <v>559</v>
      </c>
      <c r="I312" s="94">
        <v>1E-3</v>
      </c>
      <c r="J312" s="95" t="s">
        <v>1051</v>
      </c>
    </row>
    <row r="313" spans="2:10" ht="15.6" x14ac:dyDescent="0.3">
      <c r="B313" s="467"/>
      <c r="C313" s="469" t="s">
        <v>331</v>
      </c>
      <c r="D313" s="135" t="s">
        <v>558</v>
      </c>
      <c r="E313" s="290" t="s">
        <v>70</v>
      </c>
      <c r="F313" s="119" t="s">
        <v>490</v>
      </c>
      <c r="G313" s="305">
        <v>1.5311E-4</v>
      </c>
      <c r="H313" s="100" t="s">
        <v>559</v>
      </c>
      <c r="I313" s="159">
        <v>1E-3</v>
      </c>
      <c r="J313" s="95" t="s">
        <v>1052</v>
      </c>
    </row>
    <row r="314" spans="2:10" ht="30" customHeight="1" x14ac:dyDescent="0.3">
      <c r="B314" s="467"/>
      <c r="C314" s="470"/>
      <c r="D314" s="135" t="s">
        <v>560</v>
      </c>
      <c r="E314" s="290" t="s">
        <v>70</v>
      </c>
      <c r="F314" s="275" t="s">
        <v>490</v>
      </c>
      <c r="G314" s="305">
        <v>0</v>
      </c>
      <c r="H314" s="100" t="s">
        <v>559</v>
      </c>
      <c r="I314" s="159">
        <v>1</v>
      </c>
      <c r="J314" s="99" t="s">
        <v>561</v>
      </c>
    </row>
    <row r="315" spans="2:10" ht="30" customHeight="1" x14ac:dyDescent="0.3">
      <c r="B315" s="468"/>
      <c r="C315" s="471"/>
      <c r="D315" s="135" t="s">
        <v>562</v>
      </c>
      <c r="E315" s="290" t="s">
        <v>70</v>
      </c>
      <c r="F315" s="119" t="s">
        <v>490</v>
      </c>
      <c r="G315" s="305">
        <v>1.5311E-4</v>
      </c>
      <c r="H315" s="100" t="s">
        <v>559</v>
      </c>
      <c r="I315" s="94">
        <v>1E-3</v>
      </c>
      <c r="J315" s="95" t="s">
        <v>1052</v>
      </c>
    </row>
    <row r="316" spans="2:10" ht="45" customHeight="1" x14ac:dyDescent="0.3">
      <c r="B316" s="460" t="s">
        <v>330</v>
      </c>
      <c r="C316" s="463" t="s">
        <v>563</v>
      </c>
      <c r="D316" s="136" t="s">
        <v>564</v>
      </c>
      <c r="E316" s="137" t="s">
        <v>6</v>
      </c>
      <c r="F316" s="114" t="s">
        <v>317</v>
      </c>
      <c r="G316" s="305">
        <v>0.21129999999999999</v>
      </c>
      <c r="H316" s="94" t="s">
        <v>479</v>
      </c>
      <c r="I316" s="159">
        <v>1E-3</v>
      </c>
      <c r="J316" s="95" t="s">
        <v>1053</v>
      </c>
    </row>
    <row r="317" spans="2:10" ht="43.2" x14ac:dyDescent="0.3">
      <c r="B317" s="461"/>
      <c r="C317" s="464"/>
      <c r="D317" s="136" t="s">
        <v>565</v>
      </c>
      <c r="E317" s="137" t="s">
        <v>6</v>
      </c>
      <c r="F317" s="114" t="s">
        <v>317</v>
      </c>
      <c r="G317" s="305">
        <v>0.13495000000000001</v>
      </c>
      <c r="H317" s="94" t="s">
        <v>479</v>
      </c>
      <c r="I317" s="159">
        <v>1E-3</v>
      </c>
      <c r="J317" s="95" t="s">
        <v>1105</v>
      </c>
    </row>
    <row r="318" spans="2:10" ht="43.2" x14ac:dyDescent="0.3">
      <c r="B318" s="461"/>
      <c r="C318" s="465"/>
      <c r="D318" s="136" t="s">
        <v>329</v>
      </c>
      <c r="E318" s="137" t="s">
        <v>6</v>
      </c>
      <c r="F318" s="114" t="s">
        <v>317</v>
      </c>
      <c r="G318" s="305">
        <v>4.4429999999999997E-2</v>
      </c>
      <c r="H318" s="94" t="s">
        <v>479</v>
      </c>
      <c r="I318" s="159">
        <v>1E-3</v>
      </c>
      <c r="J318" s="95" t="s">
        <v>1054</v>
      </c>
    </row>
    <row r="319" spans="2:10" ht="43.2" x14ac:dyDescent="0.3">
      <c r="B319" s="461"/>
      <c r="C319" s="463" t="s">
        <v>566</v>
      </c>
      <c r="D319" s="136" t="s">
        <v>564</v>
      </c>
      <c r="E319" s="137" t="s">
        <v>6</v>
      </c>
      <c r="F319" s="114" t="s">
        <v>317</v>
      </c>
      <c r="G319" s="305">
        <v>0.21129999999999999</v>
      </c>
      <c r="H319" s="94" t="s">
        <v>479</v>
      </c>
      <c r="I319" s="159">
        <v>1E-3</v>
      </c>
      <c r="J319" s="95" t="s">
        <v>1055</v>
      </c>
    </row>
    <row r="320" spans="2:10" ht="43.2" x14ac:dyDescent="0.3">
      <c r="B320" s="461"/>
      <c r="C320" s="464"/>
      <c r="D320" s="136" t="s">
        <v>565</v>
      </c>
      <c r="E320" s="137" t="s">
        <v>6</v>
      </c>
      <c r="F320" s="114" t="s">
        <v>317</v>
      </c>
      <c r="G320" s="305">
        <v>0.13495000000000001</v>
      </c>
      <c r="H320" s="94" t="s">
        <v>479</v>
      </c>
      <c r="I320" s="159">
        <v>1E-3</v>
      </c>
      <c r="J320" s="95" t="s">
        <v>1106</v>
      </c>
    </row>
    <row r="321" spans="2:10" ht="43.2" x14ac:dyDescent="0.3">
      <c r="B321" s="461"/>
      <c r="C321" s="465"/>
      <c r="D321" s="138" t="s">
        <v>329</v>
      </c>
      <c r="E321" s="289" t="s">
        <v>6</v>
      </c>
      <c r="F321" s="114" t="s">
        <v>317</v>
      </c>
      <c r="G321" s="305">
        <v>4.4429999999999997E-2</v>
      </c>
      <c r="H321" s="94" t="s">
        <v>479</v>
      </c>
      <c r="I321" s="159">
        <v>1E-3</v>
      </c>
      <c r="J321" s="95" t="s">
        <v>1054</v>
      </c>
    </row>
    <row r="322" spans="2:10" ht="43.2" x14ac:dyDescent="0.3">
      <c r="B322" s="461"/>
      <c r="C322" s="463" t="s">
        <v>733</v>
      </c>
      <c r="D322" s="138" t="s">
        <v>734</v>
      </c>
      <c r="E322" s="289" t="s">
        <v>6</v>
      </c>
      <c r="F322" s="114" t="s">
        <v>317</v>
      </c>
      <c r="G322" s="305">
        <v>0.79919000000000007</v>
      </c>
      <c r="H322" s="94" t="s">
        <v>479</v>
      </c>
      <c r="I322" s="159">
        <v>1E-3</v>
      </c>
      <c r="J322" s="95" t="s">
        <v>1056</v>
      </c>
    </row>
    <row r="323" spans="2:10" ht="43.2" x14ac:dyDescent="0.3">
      <c r="B323" s="461"/>
      <c r="C323" s="464"/>
      <c r="D323" s="138" t="s">
        <v>735</v>
      </c>
      <c r="E323" s="289" t="s">
        <v>6</v>
      </c>
      <c r="F323" s="114" t="s">
        <v>317</v>
      </c>
      <c r="G323" s="305">
        <v>1.0845</v>
      </c>
      <c r="H323" s="94" t="s">
        <v>479</v>
      </c>
      <c r="I323" s="159">
        <v>1E-3</v>
      </c>
      <c r="J323" s="95" t="s">
        <v>1057</v>
      </c>
    </row>
    <row r="324" spans="2:10" ht="43.2" x14ac:dyDescent="0.3">
      <c r="B324" s="461"/>
      <c r="C324" s="464"/>
      <c r="D324" s="138" t="s">
        <v>736</v>
      </c>
      <c r="E324" s="289" t="s">
        <v>6</v>
      </c>
      <c r="F324" s="114" t="s">
        <v>317</v>
      </c>
      <c r="G324" s="305">
        <v>0.31064000000000003</v>
      </c>
      <c r="H324" s="94" t="s">
        <v>479</v>
      </c>
      <c r="I324" s="159">
        <v>1E-3</v>
      </c>
      <c r="J324" s="95" t="s">
        <v>1058</v>
      </c>
    </row>
    <row r="325" spans="2:10" ht="57.6" x14ac:dyDescent="0.3">
      <c r="B325" s="461"/>
      <c r="C325" s="464"/>
      <c r="D325" s="138" t="s">
        <v>737</v>
      </c>
      <c r="E325" s="289" t="s">
        <v>6</v>
      </c>
      <c r="F325" s="114" t="s">
        <v>317</v>
      </c>
      <c r="G325" s="305">
        <v>0.17604</v>
      </c>
      <c r="H325" s="94" t="s">
        <v>479</v>
      </c>
      <c r="I325" s="159">
        <v>1E-3</v>
      </c>
      <c r="J325" s="95" t="s">
        <v>1059</v>
      </c>
    </row>
    <row r="326" spans="2:10" ht="43.2" x14ac:dyDescent="0.3">
      <c r="B326" s="461"/>
      <c r="C326" s="464"/>
      <c r="D326" s="138" t="s">
        <v>738</v>
      </c>
      <c r="E326" s="289" t="s">
        <v>6</v>
      </c>
      <c r="F326" s="114" t="s">
        <v>317</v>
      </c>
      <c r="G326" s="305">
        <v>0.21129999999999999</v>
      </c>
      <c r="H326" s="94" t="s">
        <v>479</v>
      </c>
      <c r="I326" s="159">
        <v>1E-3</v>
      </c>
      <c r="J326" s="95" t="s">
        <v>1060</v>
      </c>
    </row>
    <row r="327" spans="2:10" ht="57.6" x14ac:dyDescent="0.3">
      <c r="B327" s="461"/>
      <c r="C327" s="464"/>
      <c r="D327" s="138" t="s">
        <v>739</v>
      </c>
      <c r="E327" s="289" t="s">
        <v>6</v>
      </c>
      <c r="F327" s="114" t="s">
        <v>317</v>
      </c>
      <c r="G327" s="305">
        <v>0.10538</v>
      </c>
      <c r="H327" s="94" t="s">
        <v>479</v>
      </c>
      <c r="I327" s="159">
        <v>1E-3</v>
      </c>
      <c r="J327" s="95" t="s">
        <v>1061</v>
      </c>
    </row>
    <row r="328" spans="2:10" ht="57.6" x14ac:dyDescent="0.3">
      <c r="B328" s="461"/>
      <c r="C328" s="464"/>
      <c r="D328" s="138" t="s">
        <v>752</v>
      </c>
      <c r="E328" s="289" t="s">
        <v>6</v>
      </c>
      <c r="F328" s="114" t="s">
        <v>317</v>
      </c>
      <c r="G328" s="305">
        <v>0.15279000000000001</v>
      </c>
      <c r="H328" s="94" t="s">
        <v>479</v>
      </c>
      <c r="I328" s="159">
        <v>1E-3</v>
      </c>
      <c r="J328" s="95" t="s">
        <v>1062</v>
      </c>
    </row>
    <row r="329" spans="2:10" ht="28.8" x14ac:dyDescent="0.3">
      <c r="B329" s="462"/>
      <c r="C329" s="465"/>
      <c r="D329" s="138" t="s">
        <v>751</v>
      </c>
      <c r="E329" s="289" t="s">
        <v>6</v>
      </c>
      <c r="F329" s="114" t="s">
        <v>317</v>
      </c>
      <c r="G329" s="305">
        <v>0.15921999999999997</v>
      </c>
      <c r="H329" s="94" t="s">
        <v>479</v>
      </c>
      <c r="I329" s="159">
        <v>1E-3</v>
      </c>
      <c r="J329" s="95" t="s">
        <v>1063</v>
      </c>
    </row>
    <row r="330" spans="2:10" ht="28.8" x14ac:dyDescent="0.3">
      <c r="B330" s="527" t="s">
        <v>29</v>
      </c>
      <c r="C330" s="528" t="s">
        <v>567</v>
      </c>
      <c r="D330" s="116" t="s">
        <v>80</v>
      </c>
      <c r="E330" s="118" t="s">
        <v>59</v>
      </c>
      <c r="F330" s="279" t="s">
        <v>29</v>
      </c>
      <c r="G330" s="307">
        <v>9.8485E-4</v>
      </c>
      <c r="H330" s="280" t="s">
        <v>472</v>
      </c>
      <c r="I330" s="94">
        <v>1</v>
      </c>
      <c r="J330" s="95" t="s">
        <v>1064</v>
      </c>
    </row>
    <row r="331" spans="2:10" ht="28.8" x14ac:dyDescent="0.3">
      <c r="B331" s="527"/>
      <c r="C331" s="528"/>
      <c r="D331" s="116" t="s">
        <v>122</v>
      </c>
      <c r="E331" s="118" t="s">
        <v>59</v>
      </c>
      <c r="F331" s="279" t="s">
        <v>29</v>
      </c>
      <c r="G331" s="307">
        <v>6.4106099999999997E-3</v>
      </c>
      <c r="H331" s="280" t="s">
        <v>472</v>
      </c>
      <c r="I331" s="94">
        <v>1</v>
      </c>
      <c r="J331" s="95" t="s">
        <v>1065</v>
      </c>
    </row>
    <row r="332" spans="2:10" ht="28.8" x14ac:dyDescent="0.3">
      <c r="B332" s="527"/>
      <c r="C332" s="528"/>
      <c r="D332" s="116" t="s">
        <v>81</v>
      </c>
      <c r="E332" s="118" t="s">
        <v>59</v>
      </c>
      <c r="F332" s="279" t="s">
        <v>29</v>
      </c>
      <c r="G332" s="308">
        <v>0.10300587400000001</v>
      </c>
      <c r="H332" s="280" t="s">
        <v>472</v>
      </c>
      <c r="I332" s="94">
        <v>1</v>
      </c>
      <c r="J332" s="95" t="s">
        <v>1065</v>
      </c>
    </row>
    <row r="333" spans="2:10" ht="28.8" x14ac:dyDescent="0.3">
      <c r="B333" s="527"/>
      <c r="C333" s="528" t="s">
        <v>568</v>
      </c>
      <c r="D333" s="139" t="s">
        <v>80</v>
      </c>
      <c r="E333" s="118" t="s">
        <v>59</v>
      </c>
      <c r="F333" s="279" t="s">
        <v>29</v>
      </c>
      <c r="G333" s="309">
        <v>6.4106099999999997E-3</v>
      </c>
      <c r="H333" s="280" t="s">
        <v>472</v>
      </c>
      <c r="I333" s="94">
        <v>1</v>
      </c>
      <c r="J333" s="95" t="s">
        <v>1066</v>
      </c>
    </row>
    <row r="334" spans="2:10" ht="28.8" x14ac:dyDescent="0.3">
      <c r="B334" s="527"/>
      <c r="C334" s="528"/>
      <c r="D334" s="116" t="s">
        <v>122</v>
      </c>
      <c r="E334" s="118" t="s">
        <v>59</v>
      </c>
      <c r="F334" s="279" t="s">
        <v>29</v>
      </c>
      <c r="G334" s="309">
        <v>6.4106099999999997E-3</v>
      </c>
      <c r="H334" s="280" t="s">
        <v>472</v>
      </c>
      <c r="I334" s="94">
        <v>1</v>
      </c>
      <c r="J334" s="95" t="s">
        <v>1066</v>
      </c>
    </row>
    <row r="335" spans="2:10" ht="28.8" x14ac:dyDescent="0.3">
      <c r="B335" s="527"/>
      <c r="C335" s="528"/>
      <c r="D335" s="139" t="s">
        <v>81</v>
      </c>
      <c r="E335" s="118" t="s">
        <v>59</v>
      </c>
      <c r="F335" s="279" t="s">
        <v>29</v>
      </c>
      <c r="G335" s="309">
        <v>0.52033419999999997</v>
      </c>
      <c r="H335" s="280" t="s">
        <v>472</v>
      </c>
      <c r="I335" s="94">
        <v>1</v>
      </c>
      <c r="J335" s="95" t="s">
        <v>1066</v>
      </c>
    </row>
    <row r="336" spans="2:10" ht="28.8" x14ac:dyDescent="0.3">
      <c r="B336" s="527"/>
      <c r="C336" s="529" t="s">
        <v>569</v>
      </c>
      <c r="D336" s="139" t="s">
        <v>122</v>
      </c>
      <c r="E336" s="118" t="s">
        <v>59</v>
      </c>
      <c r="F336" s="279" t="s">
        <v>29</v>
      </c>
      <c r="G336" s="309">
        <v>6.4106099999999997E-3</v>
      </c>
      <c r="H336" s="280" t="s">
        <v>472</v>
      </c>
      <c r="I336" s="94">
        <v>1</v>
      </c>
      <c r="J336" s="95" t="s">
        <v>1067</v>
      </c>
    </row>
    <row r="337" spans="2:10" ht="28.8" x14ac:dyDescent="0.3">
      <c r="B337" s="527"/>
      <c r="C337" s="529"/>
      <c r="D337" s="116" t="s">
        <v>123</v>
      </c>
      <c r="E337" s="118" t="s">
        <v>59</v>
      </c>
      <c r="F337" s="279" t="s">
        <v>29</v>
      </c>
      <c r="G337" s="309">
        <v>8.8838600000000004E-3</v>
      </c>
      <c r="H337" s="280" t="s">
        <v>472</v>
      </c>
      <c r="I337" s="94">
        <v>1</v>
      </c>
      <c r="J337" s="95" t="s">
        <v>1068</v>
      </c>
    </row>
    <row r="338" spans="2:10" ht="28.8" x14ac:dyDescent="0.3">
      <c r="B338" s="527"/>
      <c r="C338" s="529"/>
      <c r="D338" s="116" t="s">
        <v>81</v>
      </c>
      <c r="E338" s="118" t="s">
        <v>59</v>
      </c>
      <c r="F338" s="279" t="s">
        <v>29</v>
      </c>
      <c r="G338" s="309">
        <v>0.64660631999999996</v>
      </c>
      <c r="H338" s="280" t="s">
        <v>472</v>
      </c>
      <c r="I338" s="94">
        <v>1</v>
      </c>
      <c r="J338" s="95" t="s">
        <v>1069</v>
      </c>
    </row>
    <row r="339" spans="2:10" ht="28.8" x14ac:dyDescent="0.3">
      <c r="B339" s="527"/>
      <c r="C339" s="528" t="s">
        <v>124</v>
      </c>
      <c r="D339" s="116" t="s">
        <v>80</v>
      </c>
      <c r="E339" s="118" t="s">
        <v>59</v>
      </c>
      <c r="F339" s="279" t="s">
        <v>29</v>
      </c>
      <c r="G339" s="309">
        <v>6.4106099999999997E-3</v>
      </c>
      <c r="H339" s="280" t="s">
        <v>472</v>
      </c>
      <c r="I339" s="94">
        <v>1</v>
      </c>
      <c r="J339" s="95" t="s">
        <v>1070</v>
      </c>
    </row>
    <row r="340" spans="2:10" ht="28.8" x14ac:dyDescent="0.3">
      <c r="B340" s="527"/>
      <c r="C340" s="528"/>
      <c r="D340" s="116" t="s">
        <v>122</v>
      </c>
      <c r="E340" s="118" t="s">
        <v>59</v>
      </c>
      <c r="F340" s="279" t="s">
        <v>29</v>
      </c>
      <c r="G340" s="309">
        <v>6.4106099999999997E-3</v>
      </c>
      <c r="H340" s="280" t="s">
        <v>472</v>
      </c>
      <c r="I340" s="94">
        <v>1</v>
      </c>
      <c r="J340" s="95" t="s">
        <v>1070</v>
      </c>
    </row>
    <row r="341" spans="2:10" ht="28.8" x14ac:dyDescent="0.3">
      <c r="B341" s="527"/>
      <c r="C341" s="528"/>
      <c r="D341" s="116" t="s">
        <v>81</v>
      </c>
      <c r="E341" s="118" t="s">
        <v>59</v>
      </c>
      <c r="F341" s="279" t="s">
        <v>29</v>
      </c>
      <c r="G341" s="309">
        <v>8.8838600000000004E-3</v>
      </c>
      <c r="H341" s="280" t="s">
        <v>472</v>
      </c>
      <c r="I341" s="94">
        <v>1</v>
      </c>
      <c r="J341" s="95" t="s">
        <v>1070</v>
      </c>
    </row>
    <row r="342" spans="2:10" ht="28.8" x14ac:dyDescent="0.3">
      <c r="B342" s="527"/>
      <c r="C342" s="528" t="s">
        <v>65</v>
      </c>
      <c r="D342" s="116" t="s">
        <v>80</v>
      </c>
      <c r="E342" s="118" t="s">
        <v>59</v>
      </c>
      <c r="F342" s="279" t="s">
        <v>29</v>
      </c>
      <c r="G342" s="309">
        <v>6.4106099999999997E-3</v>
      </c>
      <c r="H342" s="280" t="s">
        <v>472</v>
      </c>
      <c r="I342" s="94">
        <v>1</v>
      </c>
      <c r="J342" s="95" t="s">
        <v>1071</v>
      </c>
    </row>
    <row r="343" spans="2:10" ht="28.8" x14ac:dyDescent="0.3">
      <c r="B343" s="527"/>
      <c r="C343" s="528"/>
      <c r="D343" s="116" t="s">
        <v>122</v>
      </c>
      <c r="E343" s="118" t="s">
        <v>59</v>
      </c>
      <c r="F343" s="279" t="s">
        <v>29</v>
      </c>
      <c r="G343" s="309">
        <v>6.4106099999999997E-3</v>
      </c>
      <c r="H343" s="280" t="s">
        <v>472</v>
      </c>
      <c r="I343" s="94">
        <v>1</v>
      </c>
      <c r="J343" s="95" t="s">
        <v>1071</v>
      </c>
    </row>
    <row r="344" spans="2:10" ht="28.8" x14ac:dyDescent="0.3">
      <c r="B344" s="527"/>
      <c r="C344" s="528"/>
      <c r="D344" s="116" t="s">
        <v>81</v>
      </c>
      <c r="E344" s="118" t="s">
        <v>59</v>
      </c>
      <c r="F344" s="279" t="s">
        <v>29</v>
      </c>
      <c r="G344" s="309">
        <v>8.8838600000000004E-3</v>
      </c>
      <c r="H344" s="280" t="s">
        <v>472</v>
      </c>
      <c r="I344" s="94">
        <v>1</v>
      </c>
      <c r="J344" s="95" t="s">
        <v>1071</v>
      </c>
    </row>
    <row r="345" spans="2:10" ht="28.8" x14ac:dyDescent="0.3">
      <c r="B345" s="527"/>
      <c r="C345" s="528" t="s">
        <v>119</v>
      </c>
      <c r="D345" s="116" t="s">
        <v>80</v>
      </c>
      <c r="E345" s="118" t="s">
        <v>59</v>
      </c>
      <c r="F345" s="279" t="s">
        <v>29</v>
      </c>
      <c r="G345" s="309">
        <v>9.8485E-4</v>
      </c>
      <c r="H345" s="280" t="s">
        <v>472</v>
      </c>
      <c r="I345" s="94">
        <v>1</v>
      </c>
      <c r="J345" s="95" t="s">
        <v>1072</v>
      </c>
    </row>
    <row r="346" spans="2:10" ht="28.8" x14ac:dyDescent="0.3">
      <c r="B346" s="527"/>
      <c r="C346" s="528"/>
      <c r="D346" s="116" t="s">
        <v>120</v>
      </c>
      <c r="E346" s="118" t="s">
        <v>59</v>
      </c>
      <c r="F346" s="279" t="s">
        <v>29</v>
      </c>
      <c r="G346" s="309">
        <v>0</v>
      </c>
      <c r="H346" s="280" t="s">
        <v>472</v>
      </c>
      <c r="I346" s="94">
        <v>1</v>
      </c>
      <c r="J346" s="95" t="s">
        <v>729</v>
      </c>
    </row>
    <row r="347" spans="2:10" ht="28.8" x14ac:dyDescent="0.3">
      <c r="B347" s="527"/>
      <c r="C347" s="528"/>
      <c r="D347" s="116" t="s">
        <v>81</v>
      </c>
      <c r="E347" s="118" t="s">
        <v>59</v>
      </c>
      <c r="F347" s="279" t="s">
        <v>29</v>
      </c>
      <c r="G347" s="309">
        <v>1.2339300000000001E-3</v>
      </c>
      <c r="H347" s="280" t="s">
        <v>472</v>
      </c>
      <c r="I347" s="94">
        <v>1</v>
      </c>
      <c r="J347" s="95" t="s">
        <v>1072</v>
      </c>
    </row>
    <row r="348" spans="2:10" ht="28.8" x14ac:dyDescent="0.3">
      <c r="B348" s="527"/>
      <c r="C348" s="528" t="s">
        <v>570</v>
      </c>
      <c r="D348" s="116" t="s">
        <v>80</v>
      </c>
      <c r="E348" s="118" t="s">
        <v>59</v>
      </c>
      <c r="F348" s="279" t="s">
        <v>29</v>
      </c>
      <c r="G348" s="309">
        <v>6.4106099999999997E-3</v>
      </c>
      <c r="H348" s="280" t="s">
        <v>472</v>
      </c>
      <c r="I348" s="94">
        <v>1</v>
      </c>
      <c r="J348" s="95" t="s">
        <v>1073</v>
      </c>
    </row>
    <row r="349" spans="2:10" ht="28.8" x14ac:dyDescent="0.3">
      <c r="B349" s="527"/>
      <c r="C349" s="528"/>
      <c r="D349" s="116" t="s">
        <v>120</v>
      </c>
      <c r="E349" s="118" t="s">
        <v>59</v>
      </c>
      <c r="F349" s="279" t="s">
        <v>29</v>
      </c>
      <c r="G349" s="309">
        <v>0</v>
      </c>
      <c r="H349" s="280" t="s">
        <v>472</v>
      </c>
      <c r="I349" s="94">
        <v>1</v>
      </c>
      <c r="J349" s="95" t="s">
        <v>729</v>
      </c>
    </row>
    <row r="350" spans="2:10" ht="28.8" x14ac:dyDescent="0.3">
      <c r="B350" s="527"/>
      <c r="C350" s="528"/>
      <c r="D350" s="116" t="s">
        <v>122</v>
      </c>
      <c r="E350" s="118" t="s">
        <v>59</v>
      </c>
      <c r="F350" s="279" t="s">
        <v>29</v>
      </c>
      <c r="G350" s="309">
        <v>6.4106099999999997E-3</v>
      </c>
      <c r="H350" s="280" t="s">
        <v>472</v>
      </c>
      <c r="I350" s="94">
        <v>1</v>
      </c>
      <c r="J350" s="95" t="s">
        <v>1073</v>
      </c>
    </row>
    <row r="351" spans="2:10" ht="28.8" x14ac:dyDescent="0.3">
      <c r="B351" s="527"/>
      <c r="C351" s="528"/>
      <c r="D351" s="116" t="s">
        <v>123</v>
      </c>
      <c r="E351" s="118" t="s">
        <v>59</v>
      </c>
      <c r="F351" s="279" t="s">
        <v>29</v>
      </c>
      <c r="G351" s="309">
        <v>8.8838600000000004E-3</v>
      </c>
      <c r="H351" s="280" t="s">
        <v>472</v>
      </c>
      <c r="I351" s="94">
        <v>1</v>
      </c>
      <c r="J351" s="95" t="s">
        <v>1073</v>
      </c>
    </row>
    <row r="352" spans="2:10" ht="28.8" x14ac:dyDescent="0.3">
      <c r="B352" s="527"/>
      <c r="C352" s="528"/>
      <c r="D352" s="116" t="s">
        <v>81</v>
      </c>
      <c r="E352" s="118" t="s">
        <v>59</v>
      </c>
      <c r="F352" s="279" t="s">
        <v>29</v>
      </c>
      <c r="G352" s="309">
        <v>0.92524423</v>
      </c>
      <c r="H352" s="280" t="s">
        <v>472</v>
      </c>
      <c r="I352" s="94">
        <v>1</v>
      </c>
      <c r="J352" s="95" t="s">
        <v>1073</v>
      </c>
    </row>
    <row r="353" spans="2:10" ht="28.8" x14ac:dyDescent="0.3">
      <c r="B353" s="527"/>
      <c r="C353" s="528" t="s">
        <v>125</v>
      </c>
      <c r="D353" s="116" t="s">
        <v>80</v>
      </c>
      <c r="E353" s="118" t="s">
        <v>59</v>
      </c>
      <c r="F353" s="279" t="s">
        <v>29</v>
      </c>
      <c r="G353" s="309">
        <v>9.8485E-4</v>
      </c>
      <c r="H353" s="280" t="s">
        <v>472</v>
      </c>
      <c r="I353" s="94">
        <v>1</v>
      </c>
      <c r="J353" s="95" t="s">
        <v>1074</v>
      </c>
    </row>
    <row r="354" spans="2:10" ht="28.8" x14ac:dyDescent="0.3">
      <c r="B354" s="527"/>
      <c r="C354" s="528"/>
      <c r="D354" s="116" t="s">
        <v>120</v>
      </c>
      <c r="E354" s="118" t="s">
        <v>59</v>
      </c>
      <c r="F354" s="279" t="s">
        <v>29</v>
      </c>
      <c r="G354" s="309">
        <v>0</v>
      </c>
      <c r="H354" s="280" t="s">
        <v>472</v>
      </c>
      <c r="I354" s="94">
        <v>1</v>
      </c>
      <c r="J354" s="95" t="s">
        <v>729</v>
      </c>
    </row>
    <row r="355" spans="2:10" ht="28.8" x14ac:dyDescent="0.3">
      <c r="B355" s="527"/>
      <c r="C355" s="528"/>
      <c r="D355" s="116" t="s">
        <v>81</v>
      </c>
      <c r="E355" s="118" t="s">
        <v>59</v>
      </c>
      <c r="F355" s="279" t="s">
        <v>29</v>
      </c>
      <c r="G355" s="309">
        <v>1.2339300000000001E-3</v>
      </c>
      <c r="H355" s="280" t="s">
        <v>472</v>
      </c>
      <c r="I355" s="94">
        <v>1</v>
      </c>
      <c r="J355" s="95" t="s">
        <v>1074</v>
      </c>
    </row>
    <row r="356" spans="2:10" ht="34.35" customHeight="1" x14ac:dyDescent="0.3">
      <c r="B356" s="527"/>
      <c r="C356" s="528" t="s">
        <v>126</v>
      </c>
      <c r="D356" s="116" t="s">
        <v>80</v>
      </c>
      <c r="E356" s="118" t="s">
        <v>59</v>
      </c>
      <c r="F356" s="279" t="s">
        <v>29</v>
      </c>
      <c r="G356" s="309">
        <v>9.8485E-4</v>
      </c>
      <c r="H356" s="280" t="s">
        <v>472</v>
      </c>
      <c r="I356" s="94">
        <v>1</v>
      </c>
      <c r="J356" s="95" t="s">
        <v>1075</v>
      </c>
    </row>
    <row r="357" spans="2:10" ht="26.85" customHeight="1" x14ac:dyDescent="0.3">
      <c r="B357" s="527"/>
      <c r="C357" s="528"/>
      <c r="D357" s="116" t="s">
        <v>122</v>
      </c>
      <c r="E357" s="118" t="s">
        <v>59</v>
      </c>
      <c r="F357" s="279" t="s">
        <v>29</v>
      </c>
      <c r="G357" s="305">
        <v>6.4106099999999997E-3</v>
      </c>
      <c r="H357" s="280" t="s">
        <v>472</v>
      </c>
      <c r="I357" s="94">
        <v>1</v>
      </c>
      <c r="J357" s="95" t="s">
        <v>1075</v>
      </c>
    </row>
    <row r="358" spans="2:10" ht="32.1" customHeight="1" x14ac:dyDescent="0.3">
      <c r="B358" s="527"/>
      <c r="C358" s="528"/>
      <c r="D358" s="116" t="s">
        <v>81</v>
      </c>
      <c r="E358" s="118" t="s">
        <v>59</v>
      </c>
      <c r="F358" s="279" t="s">
        <v>29</v>
      </c>
      <c r="G358" s="309">
        <v>1.26435E-3</v>
      </c>
      <c r="H358" s="280" t="s">
        <v>472</v>
      </c>
      <c r="I358" s="94">
        <v>1</v>
      </c>
      <c r="J358" s="95" t="s">
        <v>1075</v>
      </c>
    </row>
    <row r="359" spans="2:10" ht="28.8" x14ac:dyDescent="0.3">
      <c r="B359" s="527"/>
      <c r="C359" s="528" t="s">
        <v>127</v>
      </c>
      <c r="D359" s="116" t="s">
        <v>80</v>
      </c>
      <c r="E359" s="118" t="s">
        <v>59</v>
      </c>
      <c r="F359" s="279" t="s">
        <v>29</v>
      </c>
      <c r="G359" s="309">
        <v>6.4106099999999997E-3</v>
      </c>
      <c r="H359" s="280" t="s">
        <v>472</v>
      </c>
      <c r="I359" s="94">
        <v>1</v>
      </c>
      <c r="J359" s="95" t="s">
        <v>1076</v>
      </c>
    </row>
    <row r="360" spans="2:10" ht="28.8" x14ac:dyDescent="0.3">
      <c r="B360" s="527"/>
      <c r="C360" s="528"/>
      <c r="D360" s="116" t="s">
        <v>122</v>
      </c>
      <c r="E360" s="118" t="s">
        <v>59</v>
      </c>
      <c r="F360" s="279" t="s">
        <v>29</v>
      </c>
      <c r="G360" s="309">
        <v>6.4106099999999997E-3</v>
      </c>
      <c r="H360" s="280" t="s">
        <v>472</v>
      </c>
      <c r="I360" s="94">
        <v>1</v>
      </c>
      <c r="J360" s="95" t="s">
        <v>1076</v>
      </c>
    </row>
    <row r="361" spans="2:10" ht="28.8" x14ac:dyDescent="0.3">
      <c r="B361" s="527"/>
      <c r="C361" s="528"/>
      <c r="D361" s="116" t="s">
        <v>81</v>
      </c>
      <c r="E361" s="118" t="s">
        <v>59</v>
      </c>
      <c r="F361" s="279" t="s">
        <v>29</v>
      </c>
      <c r="G361" s="309">
        <v>8.8838600000000004E-3</v>
      </c>
      <c r="H361" s="280" t="s">
        <v>472</v>
      </c>
      <c r="I361" s="94">
        <v>1</v>
      </c>
      <c r="J361" s="95" t="s">
        <v>1076</v>
      </c>
    </row>
    <row r="362" spans="2:10" ht="28.8" x14ac:dyDescent="0.3">
      <c r="B362" s="527"/>
      <c r="C362" s="528" t="s">
        <v>128</v>
      </c>
      <c r="D362" s="116" t="s">
        <v>80</v>
      </c>
      <c r="E362" s="118" t="s">
        <v>59</v>
      </c>
      <c r="F362" s="279" t="s">
        <v>29</v>
      </c>
      <c r="G362" s="309">
        <v>6.4106099999999997E-3</v>
      </c>
      <c r="H362" s="280" t="s">
        <v>472</v>
      </c>
      <c r="I362" s="94">
        <v>1</v>
      </c>
      <c r="J362" s="95" t="s">
        <v>1077</v>
      </c>
    </row>
    <row r="363" spans="2:10" ht="28.8" x14ac:dyDescent="0.3">
      <c r="B363" s="527"/>
      <c r="C363" s="528"/>
      <c r="D363" s="116" t="s">
        <v>122</v>
      </c>
      <c r="E363" s="118" t="s">
        <v>59</v>
      </c>
      <c r="F363" s="279" t="s">
        <v>29</v>
      </c>
      <c r="G363" s="309">
        <v>6.4106099999999997E-3</v>
      </c>
      <c r="H363" s="280" t="s">
        <v>472</v>
      </c>
      <c r="I363" s="94">
        <v>1</v>
      </c>
      <c r="J363" s="95" t="s">
        <v>1077</v>
      </c>
    </row>
    <row r="364" spans="2:10" ht="28.8" x14ac:dyDescent="0.3">
      <c r="B364" s="527"/>
      <c r="C364" s="528"/>
      <c r="D364" s="116" t="s">
        <v>81</v>
      </c>
      <c r="E364" s="118" t="s">
        <v>59</v>
      </c>
      <c r="F364" s="279" t="s">
        <v>29</v>
      </c>
      <c r="G364" s="309">
        <v>1.16439015</v>
      </c>
      <c r="H364" s="280" t="s">
        <v>472</v>
      </c>
      <c r="I364" s="94">
        <v>1</v>
      </c>
      <c r="J364" s="95" t="s">
        <v>1077</v>
      </c>
    </row>
    <row r="365" spans="2:10" ht="28.8" x14ac:dyDescent="0.3">
      <c r="B365" s="527"/>
      <c r="C365" s="528" t="s">
        <v>571</v>
      </c>
      <c r="D365" s="140" t="s">
        <v>80</v>
      </c>
      <c r="E365" s="118" t="s">
        <v>59</v>
      </c>
      <c r="F365" s="279" t="s">
        <v>29</v>
      </c>
      <c r="G365" s="305">
        <v>9.8485E-4</v>
      </c>
      <c r="H365" s="280" t="s">
        <v>472</v>
      </c>
      <c r="I365" s="94">
        <v>1</v>
      </c>
      <c r="J365" s="95" t="s">
        <v>1078</v>
      </c>
    </row>
    <row r="366" spans="2:10" ht="28.8" x14ac:dyDescent="0.3">
      <c r="B366" s="527"/>
      <c r="C366" s="528"/>
      <c r="D366" s="140" t="s">
        <v>572</v>
      </c>
      <c r="E366" s="118" t="s">
        <v>59</v>
      </c>
      <c r="F366" s="279" t="s">
        <v>29</v>
      </c>
      <c r="G366" s="305">
        <v>0</v>
      </c>
      <c r="H366" s="280" t="s">
        <v>472</v>
      </c>
      <c r="I366" s="94">
        <v>1</v>
      </c>
      <c r="J366" s="95" t="s">
        <v>729</v>
      </c>
    </row>
    <row r="367" spans="2:10" ht="28.8" x14ac:dyDescent="0.3">
      <c r="B367" s="527"/>
      <c r="C367" s="528"/>
      <c r="D367" s="139" t="s">
        <v>81</v>
      </c>
      <c r="E367" s="118" t="s">
        <v>59</v>
      </c>
      <c r="F367" s="279" t="s">
        <v>29</v>
      </c>
      <c r="G367" s="305">
        <v>1.2339300000000001E-3</v>
      </c>
      <c r="H367" s="280" t="s">
        <v>472</v>
      </c>
      <c r="I367" s="94">
        <v>1</v>
      </c>
      <c r="J367" s="95" t="s">
        <v>1078</v>
      </c>
    </row>
    <row r="368" spans="2:10" ht="28.8" x14ac:dyDescent="0.3">
      <c r="B368" s="527"/>
      <c r="C368" s="528" t="s">
        <v>573</v>
      </c>
      <c r="D368" s="139" t="s">
        <v>80</v>
      </c>
      <c r="E368" s="118" t="s">
        <v>59</v>
      </c>
      <c r="F368" s="279" t="s">
        <v>29</v>
      </c>
      <c r="G368" s="305">
        <v>6.4106099999999997E-3</v>
      </c>
      <c r="H368" s="280" t="s">
        <v>472</v>
      </c>
      <c r="I368" s="94">
        <v>1</v>
      </c>
      <c r="J368" s="95" t="s">
        <v>1079</v>
      </c>
    </row>
    <row r="369" spans="2:10" ht="28.8" x14ac:dyDescent="0.3">
      <c r="B369" s="527"/>
      <c r="C369" s="528"/>
      <c r="D369" s="116" t="s">
        <v>122</v>
      </c>
      <c r="E369" s="118" t="s">
        <v>59</v>
      </c>
      <c r="F369" s="279" t="s">
        <v>29</v>
      </c>
      <c r="G369" s="305">
        <v>6.4106099999999997E-3</v>
      </c>
      <c r="H369" s="280" t="s">
        <v>472</v>
      </c>
      <c r="I369" s="94">
        <v>1</v>
      </c>
      <c r="J369" s="95" t="s">
        <v>1080</v>
      </c>
    </row>
    <row r="370" spans="2:10" ht="28.8" x14ac:dyDescent="0.3">
      <c r="B370" s="527"/>
      <c r="C370" s="528" t="s">
        <v>574</v>
      </c>
      <c r="D370" s="116" t="s">
        <v>122</v>
      </c>
      <c r="E370" s="118" t="s">
        <v>59</v>
      </c>
      <c r="F370" s="279" t="s">
        <v>29</v>
      </c>
      <c r="G370" s="305">
        <v>6.4106099999999997E-3</v>
      </c>
      <c r="H370" s="280" t="s">
        <v>472</v>
      </c>
      <c r="I370" s="94">
        <v>1</v>
      </c>
      <c r="J370" s="95" t="s">
        <v>1081</v>
      </c>
    </row>
    <row r="371" spans="2:10" ht="28.8" x14ac:dyDescent="0.3">
      <c r="B371" s="527"/>
      <c r="C371" s="528"/>
      <c r="D371" s="116" t="s">
        <v>81</v>
      </c>
      <c r="E371" s="118" t="s">
        <v>59</v>
      </c>
      <c r="F371" s="279" t="s">
        <v>29</v>
      </c>
      <c r="G371" s="305">
        <v>8.8838600000000004E-3</v>
      </c>
      <c r="H371" s="280" t="s">
        <v>472</v>
      </c>
      <c r="I371" s="94">
        <v>1</v>
      </c>
      <c r="J371" s="95" t="s">
        <v>1082</v>
      </c>
    </row>
    <row r="372" spans="2:10" ht="26.1" customHeight="1" x14ac:dyDescent="0.3">
      <c r="B372" s="527"/>
      <c r="C372" s="271" t="s">
        <v>740</v>
      </c>
      <c r="D372" s="116" t="s">
        <v>741</v>
      </c>
      <c r="E372" s="118" t="s">
        <v>70</v>
      </c>
      <c r="F372" s="279" t="s">
        <v>490</v>
      </c>
      <c r="G372" s="305">
        <v>1.8573999999999999E-4</v>
      </c>
      <c r="H372" s="280" t="s">
        <v>742</v>
      </c>
      <c r="I372" s="94">
        <v>1E-3</v>
      </c>
      <c r="J372" s="95" t="s">
        <v>1083</v>
      </c>
    </row>
    <row r="373" spans="2:10" ht="28.8" x14ac:dyDescent="0.3">
      <c r="B373" s="527"/>
      <c r="C373" s="528" t="s">
        <v>639</v>
      </c>
      <c r="D373" s="116" t="s">
        <v>80</v>
      </c>
      <c r="E373" s="118" t="s">
        <v>59</v>
      </c>
      <c r="F373" s="279" t="s">
        <v>29</v>
      </c>
      <c r="G373" s="305">
        <v>9.8485E-4</v>
      </c>
      <c r="H373" s="280" t="s">
        <v>472</v>
      </c>
      <c r="I373" s="94">
        <v>1</v>
      </c>
      <c r="J373" s="95" t="s">
        <v>1064</v>
      </c>
    </row>
    <row r="374" spans="2:10" ht="28.8" x14ac:dyDescent="0.3">
      <c r="B374" s="527"/>
      <c r="C374" s="528"/>
      <c r="D374" s="116" t="s">
        <v>122</v>
      </c>
      <c r="E374" s="118" t="s">
        <v>59</v>
      </c>
      <c r="F374" s="279" t="s">
        <v>29</v>
      </c>
      <c r="G374" s="305">
        <v>6.4106099999999997E-3</v>
      </c>
      <c r="H374" s="280" t="s">
        <v>472</v>
      </c>
      <c r="I374" s="94">
        <v>1</v>
      </c>
      <c r="J374" s="95" t="s">
        <v>1065</v>
      </c>
    </row>
    <row r="375" spans="2:10" ht="28.8" x14ac:dyDescent="0.3">
      <c r="B375" s="527"/>
      <c r="C375" s="528"/>
      <c r="D375" s="116" t="s">
        <v>81</v>
      </c>
      <c r="E375" s="118" t="s">
        <v>59</v>
      </c>
      <c r="F375" s="279" t="s">
        <v>29</v>
      </c>
      <c r="G375" s="310">
        <v>0.10300587400000001</v>
      </c>
      <c r="H375" s="280" t="s">
        <v>472</v>
      </c>
      <c r="I375" s="94">
        <v>1</v>
      </c>
      <c r="J375" s="95" t="s">
        <v>1065</v>
      </c>
    </row>
    <row r="383" spans="2:10" hidden="1" x14ac:dyDescent="0.3">
      <c r="G383" s="314"/>
    </row>
    <row r="384" spans="2:10" hidden="1" x14ac:dyDescent="0.3">
      <c r="G384" s="314"/>
    </row>
    <row r="385" spans="4:10" hidden="1" x14ac:dyDescent="0.3">
      <c r="G385" s="314"/>
    </row>
    <row r="386" spans="4:10" hidden="1" x14ac:dyDescent="0.3">
      <c r="G386" s="314"/>
    </row>
    <row r="387" spans="4:10" hidden="1" x14ac:dyDescent="0.3">
      <c r="D387" s="59"/>
      <c r="F387" s="59"/>
      <c r="G387" s="315"/>
      <c r="H387" s="59"/>
      <c r="I387" s="59"/>
      <c r="J387" s="59"/>
    </row>
    <row r="388" spans="4:10" hidden="1" x14ac:dyDescent="0.3">
      <c r="D388" s="59"/>
      <c r="F388" s="59"/>
      <c r="G388" s="315"/>
      <c r="H388" s="59"/>
      <c r="I388" s="59"/>
      <c r="J388" s="59"/>
    </row>
    <row r="389" spans="4:10" hidden="1" x14ac:dyDescent="0.3">
      <c r="D389" s="59"/>
      <c r="F389" s="59"/>
      <c r="G389" s="315"/>
      <c r="H389" s="59"/>
      <c r="I389" s="59"/>
      <c r="J389" s="59"/>
    </row>
    <row r="390" spans="4:10" hidden="1" x14ac:dyDescent="0.3">
      <c r="D390" s="59"/>
      <c r="F390" s="59"/>
      <c r="G390" s="315"/>
      <c r="H390" s="59"/>
      <c r="I390" s="59"/>
      <c r="J390" s="59"/>
    </row>
    <row r="391" spans="4:10" hidden="1" x14ac:dyDescent="0.3">
      <c r="D391" s="59"/>
      <c r="F391" s="59"/>
      <c r="G391" s="315"/>
      <c r="H391" s="59"/>
      <c r="I391" s="59"/>
      <c r="J391" s="59"/>
    </row>
    <row r="392" spans="4:10" hidden="1" x14ac:dyDescent="0.3">
      <c r="D392" s="59"/>
      <c r="F392" s="59"/>
      <c r="G392" s="315"/>
      <c r="H392" s="59"/>
      <c r="I392" s="59"/>
      <c r="J392" s="59"/>
    </row>
    <row r="393" spans="4:10" hidden="1" x14ac:dyDescent="0.3">
      <c r="D393" s="59"/>
      <c r="F393" s="59"/>
      <c r="G393" s="315"/>
      <c r="H393" s="59"/>
      <c r="I393" s="59"/>
      <c r="J393" s="59"/>
    </row>
    <row r="394" spans="4:10" hidden="1" x14ac:dyDescent="0.3">
      <c r="D394" s="59"/>
      <c r="F394" s="59"/>
      <c r="G394" s="315"/>
      <c r="H394" s="59"/>
      <c r="I394" s="59"/>
      <c r="J394" s="59"/>
    </row>
    <row r="395" spans="4:10" hidden="1" x14ac:dyDescent="0.3">
      <c r="D395" s="59"/>
      <c r="F395" s="59"/>
      <c r="G395" s="315"/>
      <c r="H395" s="59"/>
      <c r="I395" s="59"/>
      <c r="J395" s="59"/>
    </row>
    <row r="396" spans="4:10" hidden="1" x14ac:dyDescent="0.3">
      <c r="D396" s="59"/>
      <c r="F396" s="59"/>
      <c r="G396" s="315"/>
      <c r="H396" s="59"/>
      <c r="I396" s="59"/>
      <c r="J396" s="59"/>
    </row>
    <row r="397" spans="4:10" hidden="1" x14ac:dyDescent="0.3">
      <c r="D397" s="59"/>
      <c r="F397" s="59"/>
      <c r="G397" s="315"/>
      <c r="H397" s="59"/>
      <c r="I397" s="59"/>
      <c r="J397" s="59"/>
    </row>
    <row r="398" spans="4:10" hidden="1" x14ac:dyDescent="0.3">
      <c r="D398" s="59"/>
      <c r="F398" s="59"/>
      <c r="G398" s="315"/>
      <c r="H398" s="59"/>
      <c r="I398" s="59"/>
      <c r="J398" s="59"/>
    </row>
    <row r="399" spans="4:10" hidden="1" x14ac:dyDescent="0.3">
      <c r="D399" s="59"/>
      <c r="F399" s="59"/>
      <c r="G399" s="315"/>
      <c r="H399" s="59"/>
      <c r="I399" s="59"/>
      <c r="J399" s="59"/>
    </row>
    <row r="400" spans="4:10" hidden="1" x14ac:dyDescent="0.3">
      <c r="D400" s="59"/>
      <c r="F400" s="59"/>
      <c r="G400" s="315"/>
      <c r="H400" s="59"/>
      <c r="I400" s="59"/>
      <c r="J400" s="59"/>
    </row>
    <row r="401" spans="4:10" hidden="1" x14ac:dyDescent="0.3">
      <c r="D401" s="59"/>
      <c r="F401" s="59"/>
      <c r="G401" s="315"/>
      <c r="H401" s="59"/>
      <c r="I401" s="59"/>
      <c r="J401" s="59"/>
    </row>
    <row r="402" spans="4:10" hidden="1" x14ac:dyDescent="0.3">
      <c r="D402" s="59"/>
      <c r="F402" s="59"/>
      <c r="G402" s="315"/>
      <c r="H402" s="59"/>
      <c r="I402" s="59"/>
      <c r="J402" s="59"/>
    </row>
    <row r="403" spans="4:10" hidden="1" x14ac:dyDescent="0.3">
      <c r="D403" s="59"/>
      <c r="F403" s="59"/>
      <c r="G403" s="315"/>
      <c r="H403" s="59"/>
      <c r="I403" s="59"/>
      <c r="J403" s="59"/>
    </row>
    <row r="404" spans="4:10" hidden="1" x14ac:dyDescent="0.3">
      <c r="D404" s="59"/>
      <c r="F404" s="59"/>
      <c r="G404" s="315"/>
      <c r="H404" s="59"/>
      <c r="I404" s="59"/>
      <c r="J404" s="59"/>
    </row>
    <row r="405" spans="4:10" hidden="1" x14ac:dyDescent="0.3">
      <c r="D405" s="59"/>
      <c r="F405" s="59"/>
      <c r="G405" s="315"/>
      <c r="H405" s="59"/>
      <c r="I405" s="59"/>
      <c r="J405" s="59"/>
    </row>
    <row r="406" spans="4:10" hidden="1" x14ac:dyDescent="0.3">
      <c r="D406" s="59"/>
      <c r="F406" s="59"/>
      <c r="G406" s="315"/>
      <c r="H406" s="59"/>
      <c r="I406" s="59"/>
      <c r="J406" s="59"/>
    </row>
    <row r="407" spans="4:10" hidden="1" x14ac:dyDescent="0.3">
      <c r="D407" s="59"/>
      <c r="F407" s="59"/>
      <c r="G407" s="315"/>
      <c r="H407" s="59"/>
      <c r="I407" s="59"/>
      <c r="J407" s="59"/>
    </row>
    <row r="408" spans="4:10" hidden="1" x14ac:dyDescent="0.3">
      <c r="D408" s="59"/>
      <c r="F408" s="59"/>
      <c r="G408" s="315"/>
      <c r="H408" s="59"/>
      <c r="I408" s="59"/>
      <c r="J408" s="59"/>
    </row>
    <row r="409" spans="4:10" hidden="1" x14ac:dyDescent="0.3">
      <c r="D409" s="59"/>
      <c r="F409" s="59"/>
      <c r="G409" s="315"/>
      <c r="H409" s="59"/>
      <c r="I409" s="59"/>
      <c r="J409" s="59"/>
    </row>
    <row r="410" spans="4:10" hidden="1" x14ac:dyDescent="0.3">
      <c r="D410" s="59"/>
      <c r="F410" s="59"/>
      <c r="G410" s="315"/>
      <c r="H410" s="59"/>
      <c r="I410" s="59"/>
      <c r="J410" s="59"/>
    </row>
    <row r="411" spans="4:10" hidden="1" x14ac:dyDescent="0.3">
      <c r="D411" s="59"/>
      <c r="F411" s="59"/>
      <c r="G411" s="315"/>
      <c r="H411" s="59"/>
      <c r="I411" s="59"/>
      <c r="J411" s="59"/>
    </row>
    <row r="412" spans="4:10" hidden="1" x14ac:dyDescent="0.3">
      <c r="D412" s="59"/>
      <c r="F412" s="59"/>
      <c r="G412" s="315"/>
      <c r="H412" s="59"/>
      <c r="I412" s="59"/>
      <c r="J412" s="59"/>
    </row>
    <row r="413" spans="4:10" hidden="1" x14ac:dyDescent="0.3">
      <c r="D413" s="59"/>
      <c r="F413" s="59"/>
      <c r="G413" s="315"/>
      <c r="H413" s="59"/>
      <c r="I413" s="59"/>
      <c r="J413" s="59"/>
    </row>
    <row r="414" spans="4:10" hidden="1" x14ac:dyDescent="0.3">
      <c r="D414" s="59"/>
      <c r="F414" s="59"/>
      <c r="G414" s="315"/>
      <c r="H414" s="59"/>
      <c r="I414" s="59"/>
      <c r="J414" s="59"/>
    </row>
    <row r="415" spans="4:10" hidden="1" x14ac:dyDescent="0.3">
      <c r="D415" s="59"/>
      <c r="F415" s="59"/>
      <c r="G415" s="315"/>
      <c r="H415" s="59"/>
      <c r="I415" s="59"/>
      <c r="J415" s="59"/>
    </row>
    <row r="416" spans="4:10" x14ac:dyDescent="0.3">
      <c r="G416" s="314"/>
    </row>
    <row r="417" spans="7:7" x14ac:dyDescent="0.3">
      <c r="G417" s="314"/>
    </row>
  </sheetData>
  <sheetProtection algorithmName="SHA-512" hashValue="/V+SczCBPl9z+wE8ncO1Fmt/Lix5ApDyIaaztePokuYjSdkX5lV2tcQVCLfT1mmuu244xyACZcCzsQ/37SYl9w==" saltValue="4VZ9zCkiqYWBrW/t9BkZBQ==" spinCount="100000" sheet="1" objects="1" scenarios="1"/>
  <mergeCells count="88">
    <mergeCell ref="B330:B375"/>
    <mergeCell ref="C330:C332"/>
    <mergeCell ref="C333:C335"/>
    <mergeCell ref="C336:C338"/>
    <mergeCell ref="C339:C341"/>
    <mergeCell ref="C342:C344"/>
    <mergeCell ref="C345:C347"/>
    <mergeCell ref="C348:C352"/>
    <mergeCell ref="C353:C355"/>
    <mergeCell ref="C356:C358"/>
    <mergeCell ref="C359:C361"/>
    <mergeCell ref="C362:C364"/>
    <mergeCell ref="C365:C367"/>
    <mergeCell ref="C368:C369"/>
    <mergeCell ref="C370:C371"/>
    <mergeCell ref="C373:C375"/>
    <mergeCell ref="B242:B249"/>
    <mergeCell ref="C242:C245"/>
    <mergeCell ref="C246:C248"/>
    <mergeCell ref="C293:C294"/>
    <mergeCell ref="C295:C296"/>
    <mergeCell ref="B272:B297"/>
    <mergeCell ref="C272:C275"/>
    <mergeCell ref="C276:C278"/>
    <mergeCell ref="C235:C236"/>
    <mergeCell ref="C237:C238"/>
    <mergeCell ref="F238:J238"/>
    <mergeCell ref="C239:C240"/>
    <mergeCell ref="C231:C234"/>
    <mergeCell ref="F140:J140"/>
    <mergeCell ref="C141:C142"/>
    <mergeCell ref="B143:B241"/>
    <mergeCell ref="C143:C151"/>
    <mergeCell ref="C152:C160"/>
    <mergeCell ref="C161:C169"/>
    <mergeCell ref="C170:C172"/>
    <mergeCell ref="C173:C182"/>
    <mergeCell ref="F183:J183"/>
    <mergeCell ref="C184:C193"/>
    <mergeCell ref="C194:C203"/>
    <mergeCell ref="C204:C206"/>
    <mergeCell ref="F208:J208"/>
    <mergeCell ref="C209:C224"/>
    <mergeCell ref="C225:C227"/>
    <mergeCell ref="C228:C230"/>
    <mergeCell ref="B113:B120"/>
    <mergeCell ref="C113:C114"/>
    <mergeCell ref="C116:C119"/>
    <mergeCell ref="AC1:AE1"/>
    <mergeCell ref="AN1:AP1"/>
    <mergeCell ref="B4:J4"/>
    <mergeCell ref="B3:F3"/>
    <mergeCell ref="B6:B13"/>
    <mergeCell ref="C6:C9"/>
    <mergeCell ref="C10:C13"/>
    <mergeCell ref="F116:J116"/>
    <mergeCell ref="C75:C96"/>
    <mergeCell ref="C14:C74"/>
    <mergeCell ref="B14:B112"/>
    <mergeCell ref="C98:C100"/>
    <mergeCell ref="C101:C111"/>
    <mergeCell ref="J125:J127"/>
    <mergeCell ref="J128:J130"/>
    <mergeCell ref="J131:J133"/>
    <mergeCell ref="J134:J136"/>
    <mergeCell ref="B250:B271"/>
    <mergeCell ref="C250:C251"/>
    <mergeCell ref="C252:C253"/>
    <mergeCell ref="C254:C260"/>
    <mergeCell ref="C261:C262"/>
    <mergeCell ref="C263:C264"/>
    <mergeCell ref="C266:C267"/>
    <mergeCell ref="C268:C269"/>
    <mergeCell ref="B121:B142"/>
    <mergeCell ref="C121:C124"/>
    <mergeCell ref="C125:C136"/>
    <mergeCell ref="C137:C140"/>
    <mergeCell ref="F278:J278"/>
    <mergeCell ref="C279:C281"/>
    <mergeCell ref="C282:C289"/>
    <mergeCell ref="C291:C292"/>
    <mergeCell ref="B316:B329"/>
    <mergeCell ref="C316:C318"/>
    <mergeCell ref="C319:C321"/>
    <mergeCell ref="C322:C329"/>
    <mergeCell ref="B298:B315"/>
    <mergeCell ref="C298:C312"/>
    <mergeCell ref="C313:C315"/>
  </mergeCells>
  <pageMargins left="0.7" right="0.7" top="0.75" bottom="0.75" header="0.3" footer="0.3"/>
  <pageSetup paperSize="9" scale="60" fitToHeight="0" orientation="landscape"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0453" r:id="rId4" name="activate_home_page">
              <controlPr defaultSize="0" print="0" autoFill="0" autoPict="0" macro="[0]!thisworkbook.activate_home_page">
                <anchor>
                  <from>
                    <xdr:col>2</xdr:col>
                    <xdr:colOff>1211580</xdr:colOff>
                    <xdr:row>0</xdr:row>
                    <xdr:rowOff>144780</xdr:rowOff>
                  </from>
                  <to>
                    <xdr:col>3</xdr:col>
                    <xdr:colOff>944880</xdr:colOff>
                    <xdr:row>0</xdr:row>
                    <xdr:rowOff>373380</xdr:rowOff>
                  </to>
                </anchor>
              </controlPr>
            </control>
          </mc:Choice>
        </mc:AlternateContent>
        <mc:AlternateContent xmlns:mc="http://schemas.openxmlformats.org/markup-compatibility/2006">
          <mc:Choice Requires="x14">
            <control shapeId="530454" r:id="rId5" name="activate_guidance">
              <controlPr defaultSize="0" print="0" autoFill="0" autoPict="0" macro="[0]!thisworkbook.activate_guidance">
                <anchor>
                  <from>
                    <xdr:col>3</xdr:col>
                    <xdr:colOff>982980</xdr:colOff>
                    <xdr:row>0</xdr:row>
                    <xdr:rowOff>144780</xdr:rowOff>
                  </from>
                  <to>
                    <xdr:col>4</xdr:col>
                    <xdr:colOff>114300</xdr:colOff>
                    <xdr:row>0</xdr:row>
                    <xdr:rowOff>373380</xdr:rowOff>
                  </to>
                </anchor>
              </controlPr>
            </control>
          </mc:Choice>
        </mc:AlternateContent>
        <mc:AlternateContent xmlns:mc="http://schemas.openxmlformats.org/markup-compatibility/2006">
          <mc:Choice Requires="x14">
            <control shapeId="530455" r:id="rId6" name="activate_summary_report">
              <controlPr defaultSize="0" print="0" autoFill="0" autoPict="0" macro="[0]!thisworkbook.activate_summary_report">
                <anchor>
                  <from>
                    <xdr:col>4</xdr:col>
                    <xdr:colOff>144780</xdr:colOff>
                    <xdr:row>0</xdr:row>
                    <xdr:rowOff>144780</xdr:rowOff>
                  </from>
                  <to>
                    <xdr:col>5</xdr:col>
                    <xdr:colOff>914400</xdr:colOff>
                    <xdr:row>0</xdr:row>
                    <xdr:rowOff>373380</xdr:rowOff>
                  </to>
                </anchor>
              </controlPr>
            </control>
          </mc:Choice>
        </mc:AlternateContent>
        <mc:AlternateContent xmlns:mc="http://schemas.openxmlformats.org/markup-compatibility/2006">
          <mc:Choice Requires="x14">
            <control shapeId="530456" r:id="rId7" name="activate_outputs">
              <controlPr defaultSize="0" print="0" autoFill="0" autoPict="0" macro="[0]!thisworkbook.activate_outputs">
                <anchor>
                  <from>
                    <xdr:col>5</xdr:col>
                    <xdr:colOff>944880</xdr:colOff>
                    <xdr:row>0</xdr:row>
                    <xdr:rowOff>144780</xdr:rowOff>
                  </from>
                  <to>
                    <xdr:col>7</xdr:col>
                    <xdr:colOff>640080</xdr:colOff>
                    <xdr:row>0</xdr:row>
                    <xdr:rowOff>373380</xdr:rowOff>
                  </to>
                </anchor>
              </controlPr>
            </control>
          </mc:Choice>
        </mc:AlternateContent>
        <mc:AlternateContent xmlns:mc="http://schemas.openxmlformats.org/markup-compatibility/2006">
          <mc:Choice Requires="x14">
            <control shapeId="530457" r:id="rId8" name="activate_emissions_factors">
              <controlPr defaultSize="0" print="0" autoFill="0" autoPict="0" macro="[0]!thisworkbook.activate_emissions_factors">
                <anchor>
                  <from>
                    <xdr:col>7</xdr:col>
                    <xdr:colOff>678180</xdr:colOff>
                    <xdr:row>0</xdr:row>
                    <xdr:rowOff>144780</xdr:rowOff>
                  </from>
                  <to>
                    <xdr:col>9</xdr:col>
                    <xdr:colOff>533400</xdr:colOff>
                    <xdr:row>0</xdr:row>
                    <xdr:rowOff>373380</xdr:rowOff>
                  </to>
                </anchor>
              </controlPr>
            </control>
          </mc:Choice>
        </mc:AlternateContent>
        <mc:AlternateContent xmlns:mc="http://schemas.openxmlformats.org/markup-compatibility/2006">
          <mc:Choice Requires="x14">
            <control shapeId="530458" r:id="rId9" name="activate_material_density">
              <controlPr defaultSize="0" print="0" autoFill="0" autoPict="0" macro="[0]!thisworkbook.activate_material_density">
                <anchor>
                  <from>
                    <xdr:col>9</xdr:col>
                    <xdr:colOff>563880</xdr:colOff>
                    <xdr:row>0</xdr:row>
                    <xdr:rowOff>144780</xdr:rowOff>
                  </from>
                  <to>
                    <xdr:col>9</xdr:col>
                    <xdr:colOff>1943100</xdr:colOff>
                    <xdr:row>0</xdr:row>
                    <xdr:rowOff>373380</xdr:rowOff>
                  </to>
                </anchor>
              </controlPr>
            </control>
          </mc:Choice>
        </mc:AlternateContent>
        <mc:AlternateContent xmlns:mc="http://schemas.openxmlformats.org/markup-compatibility/2006">
          <mc:Choice Requires="x14">
            <control shapeId="530459" r:id="rId10" name="activate_notes">
              <controlPr defaultSize="0" print="0" autoFill="0" autoPict="0" macro="[0]!thisworkbook.activate_notes">
                <anchor>
                  <from>
                    <xdr:col>9</xdr:col>
                    <xdr:colOff>1973580</xdr:colOff>
                    <xdr:row>0</xdr:row>
                    <xdr:rowOff>144780</xdr:rowOff>
                  </from>
                  <to>
                    <xdr:col>9</xdr:col>
                    <xdr:colOff>3345180</xdr:colOff>
                    <xdr:row>0</xdr:row>
                    <xdr:rowOff>373380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V373"/>
  <sheetViews>
    <sheetView zoomScaleNormal="100" workbookViewId="0">
      <selection activeCell="C21" sqref="C21"/>
    </sheetView>
  </sheetViews>
  <sheetFormatPr defaultRowHeight="14.4" x14ac:dyDescent="0.3"/>
  <cols>
    <col min="1" max="1" width="2" bestFit="1" customWidth="1"/>
    <col min="2" max="2" width="21.6640625" customWidth="1"/>
    <col min="3" max="3" width="40.33203125" bestFit="1" customWidth="1"/>
    <col min="4" max="4" width="68.33203125" bestFit="1" customWidth="1"/>
    <col min="7" max="7" width="39.5546875" bestFit="1" customWidth="1"/>
    <col min="8" max="8" width="38.6640625" bestFit="1" customWidth="1"/>
    <col min="9" max="9" width="64.33203125" customWidth="1"/>
    <col min="10" max="10" width="30.6640625" customWidth="1"/>
    <col min="11" max="11" width="9.6640625" bestFit="1" customWidth="1"/>
    <col min="12" max="12" width="19.6640625" bestFit="1" customWidth="1"/>
    <col min="13" max="13" width="13.33203125" bestFit="1" customWidth="1"/>
    <col min="14" max="14" width="18.33203125" bestFit="1" customWidth="1"/>
    <col min="15" max="15" width="17" bestFit="1" customWidth="1"/>
    <col min="16" max="16" width="128.33203125" customWidth="1"/>
    <col min="18" max="18" width="36.5546875" customWidth="1"/>
    <col min="20" max="20" width="11.33203125" customWidth="1"/>
    <col min="21" max="21" width="24.5546875" bestFit="1" customWidth="1"/>
    <col min="22" max="22" width="23.5546875" bestFit="1" customWidth="1"/>
    <col min="23" max="23" width="22.5546875" bestFit="1" customWidth="1"/>
    <col min="24" max="24" width="18.6640625" bestFit="1" customWidth="1"/>
    <col min="25" max="25" width="26.6640625" bestFit="1" customWidth="1"/>
    <col min="26" max="26" width="18" bestFit="1" customWidth="1"/>
    <col min="27" max="27" width="33.5546875" bestFit="1" customWidth="1"/>
    <col min="28" max="32" width="26.33203125" bestFit="1" customWidth="1"/>
    <col min="33" max="33" width="23.6640625" bestFit="1" customWidth="1"/>
    <col min="34" max="34" width="19.6640625" bestFit="1" customWidth="1"/>
    <col min="35" max="35" width="19" bestFit="1" customWidth="1"/>
    <col min="36" max="36" width="13.33203125" bestFit="1" customWidth="1"/>
    <col min="37" max="37" width="37.33203125" bestFit="1" customWidth="1"/>
    <col min="38" max="38" width="5.5546875" customWidth="1"/>
    <col min="39" max="39" width="16.33203125" bestFit="1" customWidth="1"/>
    <col min="40" max="40" width="24" bestFit="1" customWidth="1"/>
    <col min="41" max="41" width="6.5546875" customWidth="1"/>
    <col min="42" max="42" width="6.33203125" customWidth="1"/>
    <col min="43" max="43" width="7" customWidth="1"/>
    <col min="44" max="44" width="27.33203125" bestFit="1" customWidth="1"/>
    <col min="45" max="45" width="13.33203125" bestFit="1" customWidth="1"/>
    <col min="46" max="46" width="10.33203125" bestFit="1" customWidth="1"/>
    <col min="47" max="47" width="33" bestFit="1" customWidth="1"/>
    <col min="48" max="48" width="7.5546875" customWidth="1"/>
    <col min="49" max="49" width="8.6640625" customWidth="1"/>
    <col min="50" max="50" width="10.6640625" bestFit="1" customWidth="1"/>
    <col min="51" max="51" width="11.5546875" bestFit="1" customWidth="1"/>
    <col min="52" max="52" width="33" bestFit="1" customWidth="1"/>
    <col min="53" max="53" width="7.5546875" customWidth="1"/>
    <col min="54" max="54" width="8.6640625" customWidth="1"/>
    <col min="55" max="55" width="13.33203125" bestFit="1" customWidth="1"/>
    <col min="56" max="57" width="11.33203125" bestFit="1" customWidth="1"/>
  </cols>
  <sheetData>
    <row r="1" spans="1:22" x14ac:dyDescent="0.3">
      <c r="A1">
        <f>'Emissions Factors'!A3</f>
        <v>0</v>
      </c>
      <c r="B1" t="str">
        <f>'Emissions Factors'!B3</f>
        <v>Emissions and Conversion Factors</v>
      </c>
      <c r="C1">
        <f>'Emissions Factors'!C3</f>
        <v>0</v>
      </c>
      <c r="D1">
        <f>'Emissions Factors'!D3</f>
        <v>0</v>
      </c>
      <c r="K1" t="str">
        <f>IF('Emissions Factors'!E3="","",'Emissions Factors'!E3)</f>
        <v/>
      </c>
      <c r="L1" t="str">
        <f>IF('Emissions Factors'!F3="","",'Emissions Factors'!F3)</f>
        <v/>
      </c>
      <c r="M1" t="str">
        <f>IF('Emissions Factors'!G3="","",'Emissions Factors'!G3)</f>
        <v/>
      </c>
      <c r="N1" t="str">
        <f>IF('Emissions Factors'!H3="","",'Emissions Factors'!H3)</f>
        <v/>
      </c>
      <c r="P1" t="str">
        <f>IF('Emissions Factors'!J3="","",'Emissions Factors'!J3)</f>
        <v/>
      </c>
      <c r="R1" t="str">
        <f>IF('Emissions Factors'!K3="","",'Emissions Factors'!K3)</f>
        <v/>
      </c>
    </row>
    <row r="2" spans="1:22" x14ac:dyDescent="0.3">
      <c r="A2">
        <f>'Emissions Factors'!A4</f>
        <v>0</v>
      </c>
      <c r="B2" t="str">
        <f>'Emissions Factors'!B4</f>
        <v>Materials emissions factors have been taken from the Inventory of Carbon and Energy (ICE) version 4 (please note that some of the emissions factors in version 4 are the same as version 2). Energy, waste and transport emissions factors have been taken from the UK Government emission conversion factors for greenhouse gas company reporting 2024 (Department for Energy Security and Net Zero and Department for Business, Energy &amp; Industrial Strategy). Where an input unit is not required as a weight, such as a number (no.) of products or metres of product, a conversion factor has been  applied. This is based upon the weight of a product calculated using suppliers specifications and technical drawings. When a product contains multiple materials a weighted average carbon factor has been calculated using multiple factors from the ICE V4. ICE carbon factors used within this tool include the embodied carbon within the raw materials but do not account for the carbon associated with the manufacture or processing of the raw materials into a product prior to their purchase by the reporting contractor. Well to tank emissions, also known as upstream or indirect emissions, is an average of all the GHG emissions released into the atmosphere from the production, processing and delivery of a fuel. Well to tank emissions have been included for fuels and electricity directly used on site, for fuels used by third parties transporting materials and people to and from the site.</v>
      </c>
      <c r="C2">
        <f>'Emissions Factors'!C4</f>
        <v>0</v>
      </c>
      <c r="D2">
        <f>'Emissions Factors'!D4</f>
        <v>0</v>
      </c>
      <c r="K2" t="str">
        <f>IF('Emissions Factors'!E4="","",'Emissions Factors'!E4)</f>
        <v/>
      </c>
      <c r="L2" t="str">
        <f>IF('Emissions Factors'!F4="","",'Emissions Factors'!F4)</f>
        <v/>
      </c>
      <c r="M2" t="str">
        <f>IF('Emissions Factors'!G4="","",'Emissions Factors'!G4)</f>
        <v/>
      </c>
      <c r="N2" t="str">
        <f>IF('Emissions Factors'!H4="","",'Emissions Factors'!H4)</f>
        <v/>
      </c>
      <c r="O2" t="str">
        <f>IF('Emissions Factors'!I4="","",'Emissions Factors'!I4)</f>
        <v/>
      </c>
      <c r="P2" t="str">
        <f>IF('Emissions Factors'!J4="","",'Emissions Factors'!J4)</f>
        <v/>
      </c>
      <c r="R2" t="str">
        <f>IF('Emissions Factors'!K4="","",'Emissions Factors'!K4)</f>
        <v/>
      </c>
    </row>
    <row r="3" spans="1:22" x14ac:dyDescent="0.3">
      <c r="A3">
        <f>'Emissions Factors'!A5</f>
        <v>0</v>
      </c>
      <c r="B3" t="str">
        <f>'Emissions Factors'!B5</f>
        <v>Category</v>
      </c>
      <c r="C3" t="str">
        <f>'Emissions Factors'!C5</f>
        <v>Item</v>
      </c>
      <c r="D3" t="str">
        <f>'Emissions Factors'!D5</f>
        <v>Material/Product</v>
      </c>
      <c r="G3" t="str">
        <f t="shared" ref="G3" si="0">IF(B3=0,G2,B3)</f>
        <v>Category</v>
      </c>
      <c r="H3" t="str">
        <f t="shared" ref="H3" si="1">IF(C3=0,H2,C3)</f>
        <v>Item</v>
      </c>
      <c r="I3" t="str">
        <f t="shared" ref="I3" si="2">IF(D3=0,I2,D3)</f>
        <v>Material/Product</v>
      </c>
      <c r="K3" t="str">
        <f>IF('Emissions Factors'!E5="","",'Emissions Factors'!E5)</f>
        <v>Input Unit</v>
      </c>
      <c r="L3" t="str">
        <f>IF('Emissions Factors'!F5="","",'Emissions Factors'!F5)</f>
        <v>Material Type</v>
      </c>
      <c r="M3" t="str">
        <f>IF('Emissions Factors'!G5="","",'Emissions Factors'!G5)</f>
        <v/>
      </c>
      <c r="N3" t="str">
        <f>IF('Emissions Factors'!H5="","",'Emissions Factors'!H5)</f>
        <v>Carbon Factor Units</v>
      </c>
      <c r="O3" t="str">
        <f>IF('Emissions Factors'!I5="","",'Emissions Factors'!I5)</f>
        <v>Conversion Factor</v>
      </c>
      <c r="P3" t="str">
        <f>IF('Emissions Factors'!J5="","",'Emissions Factors'!J5)</f>
        <v>Methodology</v>
      </c>
      <c r="R3" t="s">
        <v>743</v>
      </c>
    </row>
    <row r="4" spans="1:22" x14ac:dyDescent="0.3">
      <c r="A4">
        <f>'Emissions Factors'!A6</f>
        <v>0</v>
      </c>
      <c r="B4" t="str">
        <f>'Emissions Factors'!B6</f>
        <v xml:space="preserve">Transport factors </v>
      </c>
      <c r="C4" t="str">
        <f>'Emissions Factors'!C6</f>
        <v>Laden</v>
      </c>
      <c r="D4" t="str">
        <f>'Emissions Factors'!D6</f>
        <v>Van</v>
      </c>
      <c r="G4" t="str">
        <f t="shared" ref="G4" si="3">IF(B4=0,G3,B4)</f>
        <v xml:space="preserve">Transport factors </v>
      </c>
      <c r="H4" t="str">
        <f t="shared" ref="H4" si="4">IF(C4=0,H3,C4)</f>
        <v>Laden</v>
      </c>
      <c r="I4" t="str">
        <f t="shared" ref="I4" si="5">IF(D4=0,I3,D4)</f>
        <v>Van</v>
      </c>
      <c r="J4" t="str">
        <f>H4&amp;I4</f>
        <v>LadenVan</v>
      </c>
      <c r="K4" t="str">
        <f>IF('Emissions Factors'!E6="","",'Emissions Factors'!E6)</f>
        <v>km</v>
      </c>
      <c r="L4" t="str">
        <f>IF('Emissions Factors'!F6="","",'Emissions Factors'!F6)</f>
        <v>Energy and Fuel</v>
      </c>
      <c r="M4">
        <f>IF('Emissions Factors'!G6="","",'Emissions Factors'!G6)</f>
        <v>7.6738000000000002E-4</v>
      </c>
      <c r="N4" t="str">
        <f>IF('Emissions Factors'!H6="","",'Emissions Factors'!H6)</f>
        <v>tCO2e/t.km</v>
      </c>
      <c r="O4">
        <v>1</v>
      </c>
      <c r="P4" t="str">
        <f>IF('Emissions Factors'!J6="",'Emissions Factors'!F6,'Emissions Factors'!J6)</f>
        <v xml:space="preserve">Carbon factor taken directly from Government Carbon Factors 2024:  Freighting Goods &gt; Average van &gt; Diesel &gt;  tonne/km. Includes all well to tank emissions: WTT - delivery vehicles and freight &gt; Average van &gt; Diesel &gt;  tonne/km.  </v>
      </c>
      <c r="R4">
        <v>1</v>
      </c>
      <c r="U4">
        <f>LEN(H4)</f>
        <v>5</v>
      </c>
      <c r="V4">
        <f>LEN(I4)</f>
        <v>3</v>
      </c>
    </row>
    <row r="5" spans="1:22" x14ac:dyDescent="0.3">
      <c r="A5">
        <f>'Emissions Factors'!A7</f>
        <v>0</v>
      </c>
      <c r="B5">
        <f>'Emissions Factors'!B7</f>
        <v>0</v>
      </c>
      <c r="C5">
        <f>'Emissions Factors'!C7</f>
        <v>0</v>
      </c>
      <c r="D5" t="str">
        <f>'Emissions Factors'!D7</f>
        <v>HGV</v>
      </c>
      <c r="G5" t="str">
        <f t="shared" ref="G5:G68" si="6">IF(B5=0,G4,B5)</f>
        <v xml:space="preserve">Transport factors </v>
      </c>
      <c r="H5" t="str">
        <f t="shared" ref="H5:H68" si="7">IF(C5=0,H4,C5)</f>
        <v>Laden</v>
      </c>
      <c r="I5" t="str">
        <f t="shared" ref="I5:I68" si="8">IF(D5=0,I4,D5)</f>
        <v>HGV</v>
      </c>
      <c r="J5" t="str">
        <f t="shared" ref="J5:J68" si="9">H5&amp;I5</f>
        <v>LadenHGV</v>
      </c>
      <c r="K5" t="str">
        <f>IF('Emissions Factors'!E7="","",'Emissions Factors'!E7)</f>
        <v>km</v>
      </c>
      <c r="L5" t="str">
        <f>IF('Emissions Factors'!F7="","",'Emissions Factors'!F7)</f>
        <v>Energy and Fuel</v>
      </c>
      <c r="M5">
        <f>IF('Emissions Factors'!G7="","",'Emissions Factors'!G7)</f>
        <v>1.2111E-4</v>
      </c>
      <c r="N5" t="str">
        <f>IF('Emissions Factors'!H7="","",'Emissions Factors'!H7)</f>
        <v>tCO2e/t.km</v>
      </c>
      <c r="O5">
        <v>1</v>
      </c>
      <c r="P5" t="str">
        <f>IF('Emissions Factors'!J7="",'Emissions Factors'!F7,'Emissions Factors'!J7)</f>
        <v>Carbon factor taken directly from Government Carbon Factors 2024:  Freighting Goods &gt; Average HGV &gt;  Average laden &gt; tonne/km. Includes all well to tank emissions: WTT - delivery vehicles and freight &gt; Average HGV &gt;  Average laden &gt; tonne/km.</v>
      </c>
      <c r="R5">
        <v>1</v>
      </c>
      <c r="U5">
        <f t="shared" ref="U5:U68" si="10">LEN(H5)</f>
        <v>5</v>
      </c>
      <c r="V5">
        <f t="shared" ref="V5:V68" si="11">LEN(I5)</f>
        <v>3</v>
      </c>
    </row>
    <row r="6" spans="1:22" x14ac:dyDescent="0.3">
      <c r="A6">
        <f>'Emissions Factors'!A8</f>
        <v>0</v>
      </c>
      <c r="B6">
        <f>'Emissions Factors'!B8</f>
        <v>0</v>
      </c>
      <c r="C6">
        <f>'Emissions Factors'!C8</f>
        <v>0</v>
      </c>
      <c r="D6" t="str">
        <f>'Emissions Factors'!D8</f>
        <v>Rail</v>
      </c>
      <c r="G6" t="str">
        <f t="shared" si="6"/>
        <v xml:space="preserve">Transport factors </v>
      </c>
      <c r="H6" t="str">
        <f t="shared" si="7"/>
        <v>Laden</v>
      </c>
      <c r="I6" t="str">
        <f t="shared" si="8"/>
        <v>Rail</v>
      </c>
      <c r="J6" t="str">
        <f t="shared" si="9"/>
        <v>LadenRail</v>
      </c>
      <c r="K6" t="str">
        <f>IF('Emissions Factors'!E8="","",'Emissions Factors'!E8)</f>
        <v>km</v>
      </c>
      <c r="L6" t="str">
        <f>IF('Emissions Factors'!F8="","",'Emissions Factors'!F8)</f>
        <v>Energy and Fuel</v>
      </c>
      <c r="M6">
        <f>IF('Emissions Factors'!G8="","",'Emissions Factors'!G8)</f>
        <v>3.4700000000000003E-5</v>
      </c>
      <c r="N6" t="str">
        <f>IF('Emissions Factors'!H8="","",'Emissions Factors'!H8)</f>
        <v>tCO2e/t.km</v>
      </c>
      <c r="O6">
        <v>1</v>
      </c>
      <c r="P6" t="str">
        <f>IF('Emissions Factors'!J8="",'Emissions Factors'!F8,'Emissions Factors'!J8)</f>
        <v>Carbon factor taken directly from Government Carbon Factors 2024: Freighting Goods &gt; Rail &gt; tonne/km. Includes all well to tank emissions: WTT - delivery vehicles and freight &gt; Rail &gt; tonne/km</v>
      </c>
      <c r="R6">
        <v>1</v>
      </c>
      <c r="U6">
        <f t="shared" si="10"/>
        <v>5</v>
      </c>
      <c r="V6">
        <f t="shared" si="11"/>
        <v>4</v>
      </c>
    </row>
    <row r="7" spans="1:22" x14ac:dyDescent="0.3">
      <c r="A7">
        <f>'Emissions Factors'!A9</f>
        <v>0</v>
      </c>
      <c r="B7">
        <f>'Emissions Factors'!B9</f>
        <v>0</v>
      </c>
      <c r="C7">
        <f>'Emissions Factors'!C9</f>
        <v>0</v>
      </c>
      <c r="D7" t="str">
        <f>'Emissions Factors'!D9</f>
        <v>Ship</v>
      </c>
      <c r="G7" t="str">
        <f t="shared" si="6"/>
        <v xml:space="preserve">Transport factors </v>
      </c>
      <c r="H7" t="str">
        <f t="shared" si="7"/>
        <v>Laden</v>
      </c>
      <c r="I7" t="str">
        <f t="shared" si="8"/>
        <v>Ship</v>
      </c>
      <c r="J7" t="str">
        <f t="shared" si="9"/>
        <v>LadenShip</v>
      </c>
      <c r="K7" t="str">
        <f>IF('Emissions Factors'!E9="","",'Emissions Factors'!E9)</f>
        <v>km</v>
      </c>
      <c r="L7" t="str">
        <f>IF('Emissions Factors'!F9="","",'Emissions Factors'!F9)</f>
        <v>Energy and Fuel</v>
      </c>
      <c r="M7">
        <f>IF('Emissions Factors'!G9="","",'Emissions Factors'!G9)</f>
        <v>1.6209999999999999E-5</v>
      </c>
      <c r="N7" t="str">
        <f>IF('Emissions Factors'!H9="","",'Emissions Factors'!H9)</f>
        <v>tCO2e/t.km</v>
      </c>
      <c r="O7">
        <v>1</v>
      </c>
      <c r="P7" t="str">
        <f>IF('Emissions Factors'!J9="",'Emissions Factors'!F9,'Emissions Factors'!J9)</f>
        <v>Carbon factor taken directly from Government Carbon Factors 2024:  Freighting Goods &gt; Cargo Ship &gt; General Cargo &gt; Average &gt; tonne/km. Includes all well to tank emissions: WTT - delivery vehicles and freight &gt; Cargo Ship &gt; General Cargo &gt; Average &gt; tonne/km</v>
      </c>
      <c r="R7">
        <v>1</v>
      </c>
      <c r="U7">
        <f t="shared" si="10"/>
        <v>5</v>
      </c>
      <c r="V7">
        <f t="shared" si="11"/>
        <v>4</v>
      </c>
    </row>
    <row r="8" spans="1:22" x14ac:dyDescent="0.3">
      <c r="A8">
        <f>'Emissions Factors'!A10</f>
        <v>0</v>
      </c>
      <c r="B8">
        <f>'Emissions Factors'!B10</f>
        <v>0</v>
      </c>
      <c r="C8" t="str">
        <f>'Emissions Factors'!C10</f>
        <v>Unladen</v>
      </c>
      <c r="D8" t="str">
        <f>'Emissions Factors'!D10</f>
        <v>Van</v>
      </c>
      <c r="G8" t="str">
        <f t="shared" si="6"/>
        <v xml:space="preserve">Transport factors </v>
      </c>
      <c r="H8" t="str">
        <f t="shared" si="7"/>
        <v>Unladen</v>
      </c>
      <c r="I8" t="str">
        <f t="shared" si="8"/>
        <v>Van</v>
      </c>
      <c r="J8" t="str">
        <f t="shared" si="9"/>
        <v>UnladenVan</v>
      </c>
      <c r="K8" t="str">
        <f>IF('Emissions Factors'!E10="","",'Emissions Factors'!E10)</f>
        <v>km</v>
      </c>
      <c r="L8" t="str">
        <f>IF('Emissions Factors'!F10="","",'Emissions Factors'!F10)</f>
        <v>Energy and Fuel</v>
      </c>
      <c r="M8">
        <f>IF('Emissions Factors'!G10="","",'Emissions Factors'!G10)</f>
        <v>3.1150999999999998E-4</v>
      </c>
      <c r="N8" t="str">
        <f>IF('Emissions Factors'!H10="","",'Emissions Factors'!H10)</f>
        <v>tCO2e/km</v>
      </c>
      <c r="O8">
        <v>1</v>
      </c>
      <c r="P8" t="str">
        <f>IF('Emissions Factors'!J10="",'Emissions Factors'!F10,'Emissions Factors'!J10)</f>
        <v>Carbon factor taken from Government Carbon Factors 2024:  Freighting Goods &gt; Average van &gt; Diesel &gt; km.  Assumed average load is 1 tonnes to calculate number of return journeys. Includes all well to tank emissions: WTT - delivery vehicles and freight &gt; Average van &gt; Diesel &gt; km</v>
      </c>
      <c r="R8">
        <v>2</v>
      </c>
      <c r="U8">
        <f t="shared" si="10"/>
        <v>7</v>
      </c>
      <c r="V8">
        <f t="shared" si="11"/>
        <v>3</v>
      </c>
    </row>
    <row r="9" spans="1:22" x14ac:dyDescent="0.3">
      <c r="A9">
        <f>'Emissions Factors'!A11</f>
        <v>0</v>
      </c>
      <c r="B9">
        <f>'Emissions Factors'!B11</f>
        <v>0</v>
      </c>
      <c r="C9">
        <f>'Emissions Factors'!C11</f>
        <v>0</v>
      </c>
      <c r="D9" t="str">
        <f>'Emissions Factors'!D11</f>
        <v>HGV</v>
      </c>
      <c r="G9" t="str">
        <f t="shared" si="6"/>
        <v xml:space="preserve">Transport factors </v>
      </c>
      <c r="H9" t="str">
        <f t="shared" si="7"/>
        <v>Unladen</v>
      </c>
      <c r="I9" t="str">
        <f t="shared" si="8"/>
        <v>HGV</v>
      </c>
      <c r="J9" t="str">
        <f t="shared" si="9"/>
        <v>UnladenHGV</v>
      </c>
      <c r="K9" t="str">
        <f>IF('Emissions Factors'!E11="","",'Emissions Factors'!E11)</f>
        <v>km</v>
      </c>
      <c r="L9" t="str">
        <f>IF('Emissions Factors'!F11="","",'Emissions Factors'!F11)</f>
        <v>Energy and Fuel</v>
      </c>
      <c r="M9">
        <f>IF('Emissions Factors'!G11="","",'Emissions Factors'!G11)</f>
        <v>1.0655866666666667E-4</v>
      </c>
      <c r="N9" t="str">
        <f>IF('Emissions Factors'!H11="","",'Emissions Factors'!H11)</f>
        <v>tCO2e/km</v>
      </c>
      <c r="O9">
        <v>1</v>
      </c>
      <c r="P9" t="str">
        <f>IF('Emissions Factors'!J11="",'Emissions Factors'!F11,'Emissions Factors'!J11)</f>
        <v>Carbon factor taken from Government Carbon Factors 2024:  Freighting Goods &gt; Average HGV &gt;  0% laden &gt; km. Assumed average load is 7.5 tonnes to calculate number of return journeys. Includes all well to tank emissions: WTT - delivery vehicles and freight  &gt; Average HGV &gt;  0% laden &gt; km</v>
      </c>
      <c r="R9">
        <v>3</v>
      </c>
      <c r="U9">
        <f t="shared" si="10"/>
        <v>7</v>
      </c>
      <c r="V9">
        <f t="shared" si="11"/>
        <v>3</v>
      </c>
    </row>
    <row r="10" spans="1:22" x14ac:dyDescent="0.3">
      <c r="A10">
        <f>'Emissions Factors'!A12</f>
        <v>0</v>
      </c>
      <c r="B10">
        <f>'Emissions Factors'!B12</f>
        <v>0</v>
      </c>
      <c r="C10">
        <f>'Emissions Factors'!C12</f>
        <v>0</v>
      </c>
      <c r="D10" t="str">
        <f>'Emissions Factors'!D12</f>
        <v>Rail</v>
      </c>
      <c r="G10" t="str">
        <f t="shared" si="6"/>
        <v xml:space="preserve">Transport factors </v>
      </c>
      <c r="H10" t="str">
        <f t="shared" si="7"/>
        <v>Unladen</v>
      </c>
      <c r="I10" t="str">
        <f t="shared" si="8"/>
        <v>Rail</v>
      </c>
      <c r="J10" t="str">
        <f t="shared" si="9"/>
        <v>UnladenRail</v>
      </c>
      <c r="K10" t="str">
        <f>IF('Emissions Factors'!E12="","",'Emissions Factors'!E12)</f>
        <v>km</v>
      </c>
      <c r="L10" t="str">
        <f>IF('Emissions Factors'!F12="","",'Emissions Factors'!F12)</f>
        <v>Energy and Fuel</v>
      </c>
      <c r="M10">
        <f>IF('Emissions Factors'!G12="","",'Emissions Factors'!G12)</f>
        <v>0</v>
      </c>
      <c r="N10" t="str">
        <f>IF('Emissions Factors'!H12="","",'Emissions Factors'!H12)</f>
        <v>tCO2e/t.km</v>
      </c>
      <c r="O10">
        <v>1</v>
      </c>
      <c r="P10" t="str">
        <f>IF('Emissions Factors'!J12="",'Emissions Factors'!F12,'Emissions Factors'!J12)</f>
        <v>Assumed rail transport returns laden for purposes not related to the reporting contract and thus a zero carbon factor is applied.</v>
      </c>
      <c r="R10">
        <v>1</v>
      </c>
    </row>
    <row r="11" spans="1:22" x14ac:dyDescent="0.3">
      <c r="A11">
        <f>'Emissions Factors'!A13</f>
        <v>0</v>
      </c>
      <c r="B11">
        <f>'Emissions Factors'!B13</f>
        <v>0</v>
      </c>
      <c r="C11">
        <f>'Emissions Factors'!C13</f>
        <v>0</v>
      </c>
      <c r="D11" t="str">
        <f>'Emissions Factors'!D13</f>
        <v>Ship</v>
      </c>
      <c r="G11" t="str">
        <f t="shared" si="6"/>
        <v xml:space="preserve">Transport factors </v>
      </c>
      <c r="H11" t="str">
        <f t="shared" si="7"/>
        <v>Unladen</v>
      </c>
      <c r="I11" t="str">
        <f t="shared" si="8"/>
        <v>Ship</v>
      </c>
      <c r="J11" t="str">
        <f t="shared" si="9"/>
        <v>UnladenShip</v>
      </c>
      <c r="K11" t="str">
        <f>IF('Emissions Factors'!E13="","",'Emissions Factors'!E13)</f>
        <v>km</v>
      </c>
      <c r="L11" t="str">
        <f>IF('Emissions Factors'!F13="","",'Emissions Factors'!F13)</f>
        <v>Energy and Fuel</v>
      </c>
      <c r="M11">
        <f>IF('Emissions Factors'!G13="","",'Emissions Factors'!G13)</f>
        <v>0</v>
      </c>
      <c r="N11" t="str">
        <f>IF('Emissions Factors'!H13="","",'Emissions Factors'!H13)</f>
        <v>tCO2e/t.km</v>
      </c>
      <c r="O11">
        <v>1</v>
      </c>
      <c r="P11" t="str">
        <f>IF('Emissions Factors'!J13="",'Emissions Factors'!F13,'Emissions Factors'!J13)</f>
        <v>Assumed ship transport returns laden for purposes not related to the reporting contract and thus  a zero carbon factor is applied.</v>
      </c>
      <c r="R11">
        <v>1</v>
      </c>
    </row>
    <row r="12" spans="1:22" x14ac:dyDescent="0.3">
      <c r="A12">
        <f>'Emissions Factors'!A14</f>
        <v>0</v>
      </c>
      <c r="B12" t="str">
        <f>'Emissions Factors'!B14</f>
        <v>Bulk Materials</v>
      </c>
      <c r="C12" t="str">
        <f>'Emissions Factors'!C14</f>
        <v xml:space="preserve">Ready mix concrete </v>
      </c>
      <c r="D12" t="str">
        <f>'Emissions Factors'!D14</f>
        <v xml:space="preserve">General </v>
      </c>
      <c r="G12" t="str">
        <f t="shared" si="6"/>
        <v>Bulk Materials</v>
      </c>
      <c r="H12" t="str">
        <f t="shared" si="7"/>
        <v xml:space="preserve">Ready mix concrete </v>
      </c>
      <c r="I12" t="str">
        <f t="shared" si="8"/>
        <v xml:space="preserve">General </v>
      </c>
      <c r="J12" t="str">
        <f t="shared" si="9"/>
        <v xml:space="preserve">Ready mix concrete General </v>
      </c>
      <c r="K12" t="str">
        <f>IF('Emissions Factors'!E14="","",'Emissions Factors'!E14)</f>
        <v>m3</v>
      </c>
      <c r="L12" t="str">
        <f>IF('Emissions Factors'!F14="","",'Emissions Factors'!F14)</f>
        <v>Concrete</v>
      </c>
      <c r="M12">
        <f>IF('Emissions Factors'!G14="","",'Emissions Factors'!G14)</f>
        <v>0.10336134453781512</v>
      </c>
      <c r="N12" t="str">
        <f>IF('Emissions Factors'!H14="","",'Emissions Factors'!H14)</f>
        <v>tCO2e/t</v>
      </c>
      <c r="O12">
        <f>IF('[1]Emissions Factors'!I14="","",'[1]Emissions Factors'!I14)</f>
        <v>2.4</v>
      </c>
      <c r="P12" t="str">
        <f>IF('Emissions Factors'!J14="",'Emissions Factors'!F14,'Emissions Factors'!J14)</f>
        <v>Carbon factor taken directly from the ICE V4: Concrete &gt; General. Please note that ICE strongly recommend to avoid selecting a 'general' value for concrete. Selecting data for a specific cement content in the concrete type will give much greater accuracy. Please either specify cement content used by selecting the appropriate option from the tool or enter a custom carbon factor if an appropriate option is not available. If additional cement is added to ready mix concrete this should be added separately in the cement item.</v>
      </c>
      <c r="R12">
        <v>1</v>
      </c>
      <c r="U12">
        <f t="shared" si="10"/>
        <v>19</v>
      </c>
      <c r="V12">
        <f t="shared" si="11"/>
        <v>8</v>
      </c>
    </row>
    <row r="13" spans="1:22" x14ac:dyDescent="0.3">
      <c r="A13">
        <f>'Emissions Factors'!A15</f>
        <v>0</v>
      </c>
      <c r="B13">
        <f>'Emissions Factors'!B15</f>
        <v>0</v>
      </c>
      <c r="C13">
        <f>'Emissions Factors'!C15</f>
        <v>0</v>
      </c>
      <c r="D13" t="str">
        <f>'Emissions Factors'!D15</f>
        <v>General - C6/8 (Gen 0)</v>
      </c>
      <c r="G13" t="str">
        <f t="shared" si="6"/>
        <v>Bulk Materials</v>
      </c>
      <c r="H13" t="str">
        <f t="shared" si="7"/>
        <v xml:space="preserve">Ready mix concrete </v>
      </c>
      <c r="I13" t="str">
        <f t="shared" si="8"/>
        <v>General - C6/8 (Gen 0)</v>
      </c>
      <c r="J13" t="str">
        <f t="shared" si="9"/>
        <v>Ready mix concrete General - C6/8 (Gen 0)</v>
      </c>
      <c r="K13" t="str">
        <f>IF('Emissions Factors'!E15="","",'Emissions Factors'!E15)</f>
        <v>m3</v>
      </c>
      <c r="L13" t="str">
        <f>IF('Emissions Factors'!F15="","",'Emissions Factors'!F15)</f>
        <v>Concrete</v>
      </c>
      <c r="M13">
        <f>IF('Emissions Factors'!G15="","",'Emissions Factors'!G15)</f>
        <v>6.3373117689006345E-2</v>
      </c>
      <c r="N13" t="str">
        <f>IF('Emissions Factors'!H15="","",'Emissions Factors'!H15)</f>
        <v>tCO2e/t</v>
      </c>
      <c r="O13">
        <f>IF('[1]Emissions Factors'!I15="","",'[1]Emissions Factors'!I15)</f>
        <v>2.4</v>
      </c>
      <c r="P13" t="str">
        <f>IF('Emissions Factors'!J15="",'Emissions Factors'!F15,'Emissions Factors'!J15)</f>
        <v>Carbon factor taken directly from the ICE V4: Concrete &gt; Gen 0</v>
      </c>
      <c r="R13">
        <v>1</v>
      </c>
      <c r="U13">
        <f t="shared" si="10"/>
        <v>19</v>
      </c>
      <c r="V13">
        <f t="shared" si="11"/>
        <v>22</v>
      </c>
    </row>
    <row r="14" spans="1:22" x14ac:dyDescent="0.3">
      <c r="A14">
        <f>'Emissions Factors'!A16</f>
        <v>0</v>
      </c>
      <c r="B14">
        <f>'Emissions Factors'!B16</f>
        <v>0</v>
      </c>
      <c r="C14">
        <f>'Emissions Factors'!C16</f>
        <v>0</v>
      </c>
      <c r="D14" t="str">
        <f>'Emissions Factors'!D16</f>
        <v>General - C8/10 (Gen 1)</v>
      </c>
      <c r="G14" t="str">
        <f t="shared" si="6"/>
        <v>Bulk Materials</v>
      </c>
      <c r="H14" t="str">
        <f t="shared" si="7"/>
        <v xml:space="preserve">Ready mix concrete </v>
      </c>
      <c r="I14" t="str">
        <f t="shared" si="8"/>
        <v>General - C8/10 (Gen 1)</v>
      </c>
      <c r="J14" t="str">
        <f t="shared" si="9"/>
        <v>Ready mix concrete General - C8/10 (Gen 1)</v>
      </c>
      <c r="K14" t="str">
        <f>IF('Emissions Factors'!E16="","",'Emissions Factors'!E16)</f>
        <v>m3</v>
      </c>
      <c r="L14" t="str">
        <f>IF('Emissions Factors'!F16="","",'Emissions Factors'!F16)</f>
        <v>Concrete</v>
      </c>
      <c r="M14">
        <f>IF('Emissions Factors'!G16="","",'Emissions Factors'!G16)</f>
        <v>8.7148437655235431E-2</v>
      </c>
      <c r="N14" t="str">
        <f>IF('Emissions Factors'!H16="","",'Emissions Factors'!H16)</f>
        <v>tCO2e/t</v>
      </c>
      <c r="O14">
        <f>IF('[1]Emissions Factors'!I16="","",'[1]Emissions Factors'!I16)</f>
        <v>2.4</v>
      </c>
      <c r="P14" t="str">
        <f>IF('Emissions Factors'!J16="",'Emissions Factors'!F16,'Emissions Factors'!J16)</f>
        <v>Carbon factor taken directly from the ICE V4: Concrete &gt; Gen 1</v>
      </c>
      <c r="R14">
        <v>1</v>
      </c>
      <c r="U14">
        <f t="shared" si="10"/>
        <v>19</v>
      </c>
      <c r="V14">
        <f t="shared" si="11"/>
        <v>23</v>
      </c>
    </row>
    <row r="15" spans="1:22" x14ac:dyDescent="0.3">
      <c r="A15">
        <f>'Emissions Factors'!A17</f>
        <v>0</v>
      </c>
      <c r="B15">
        <f>'Emissions Factors'!B17</f>
        <v>0</v>
      </c>
      <c r="C15">
        <f>'Emissions Factors'!C17</f>
        <v>0</v>
      </c>
      <c r="D15" t="str">
        <f>'Emissions Factors'!D17</f>
        <v>General - C12/15 (Gen 2)</v>
      </c>
      <c r="G15" t="str">
        <f t="shared" si="6"/>
        <v>Bulk Materials</v>
      </c>
      <c r="H15" t="str">
        <f t="shared" si="7"/>
        <v xml:space="preserve">Ready mix concrete </v>
      </c>
      <c r="I15" t="str">
        <f t="shared" si="8"/>
        <v>General - C12/15 (Gen 2)</v>
      </c>
      <c r="J15" t="str">
        <f t="shared" si="9"/>
        <v>Ready mix concrete General - C12/15 (Gen 2)</v>
      </c>
      <c r="K15" t="str">
        <f>IF('Emissions Factors'!E17="","",'Emissions Factors'!E17)</f>
        <v>m3</v>
      </c>
      <c r="L15" t="str">
        <f>IF('Emissions Factors'!F17="","",'Emissions Factors'!F17)</f>
        <v>Concrete</v>
      </c>
      <c r="M15">
        <f>IF('Emissions Factors'!G17="","",'Emissions Factors'!G17)</f>
        <v>9.4176448798983056E-2</v>
      </c>
      <c r="N15" t="str">
        <f>IF('Emissions Factors'!H17="","",'Emissions Factors'!H17)</f>
        <v>tCO2e/t</v>
      </c>
      <c r="O15">
        <f>IF('[1]Emissions Factors'!I17="","",'[1]Emissions Factors'!I17)</f>
        <v>2.4</v>
      </c>
      <c r="P15" t="str">
        <f>IF('Emissions Factors'!J17="",'Emissions Factors'!F17,'Emissions Factors'!J17)</f>
        <v xml:space="preserve">Carbon factor taken directly from the ICE V4: Concrete &gt; Gen 2 </v>
      </c>
      <c r="R15">
        <v>1</v>
      </c>
      <c r="U15">
        <f t="shared" si="10"/>
        <v>19</v>
      </c>
      <c r="V15">
        <f t="shared" si="11"/>
        <v>24</v>
      </c>
    </row>
    <row r="16" spans="1:22" x14ac:dyDescent="0.3">
      <c r="A16">
        <f>'Emissions Factors'!A18</f>
        <v>0</v>
      </c>
      <c r="B16">
        <f>'Emissions Factors'!B18</f>
        <v>0</v>
      </c>
      <c r="C16">
        <f>'Emissions Factors'!C18</f>
        <v>0</v>
      </c>
      <c r="D16" t="str">
        <f>'Emissions Factors'!D18</f>
        <v>General - C16/20 (Gen 3)</v>
      </c>
      <c r="G16" t="str">
        <f t="shared" si="6"/>
        <v>Bulk Materials</v>
      </c>
      <c r="H16" t="str">
        <f t="shared" si="7"/>
        <v xml:space="preserve">Ready mix concrete </v>
      </c>
      <c r="I16" t="str">
        <f t="shared" si="8"/>
        <v>General - C16/20 (Gen 3)</v>
      </c>
      <c r="J16" t="str">
        <f t="shared" si="9"/>
        <v>Ready mix concrete General - C16/20 (Gen 3)</v>
      </c>
      <c r="K16" t="str">
        <f>IF('Emissions Factors'!E18="","",'Emissions Factors'!E18)</f>
        <v>m3</v>
      </c>
      <c r="L16" t="str">
        <f>IF('Emissions Factors'!F18="","",'Emissions Factors'!F18)</f>
        <v>Concrete</v>
      </c>
      <c r="M16">
        <f>IF('Emissions Factors'!G18="","",'Emissions Factors'!G18)</f>
        <v>0.10106203384050846</v>
      </c>
      <c r="N16" t="str">
        <f>IF('Emissions Factors'!H18="","",'Emissions Factors'!H18)</f>
        <v>tCO2e/t</v>
      </c>
      <c r="O16">
        <f>IF('[1]Emissions Factors'!I18="","",'[1]Emissions Factors'!I18)</f>
        <v>2.4</v>
      </c>
      <c r="P16" t="str">
        <f>IF('Emissions Factors'!J18="",'Emissions Factors'!F18,'Emissions Factors'!J18)</f>
        <v>Carbon factor taken directly from the ICE V4: Concrete &gt; Gen 3</v>
      </c>
      <c r="R16">
        <v>1</v>
      </c>
      <c r="U16">
        <f t="shared" si="10"/>
        <v>19</v>
      </c>
      <c r="V16">
        <f t="shared" si="11"/>
        <v>24</v>
      </c>
    </row>
    <row r="17" spans="1:22" x14ac:dyDescent="0.3">
      <c r="A17">
        <f>'Emissions Factors'!A19</f>
        <v>0</v>
      </c>
      <c r="B17">
        <f>'Emissions Factors'!B19</f>
        <v>0</v>
      </c>
      <c r="C17">
        <f>'Emissions Factors'!C19</f>
        <v>0</v>
      </c>
      <c r="D17" t="str">
        <f>'Emissions Factors'!D19</f>
        <v xml:space="preserve">General - C20/25 </v>
      </c>
      <c r="G17" t="str">
        <f t="shared" si="6"/>
        <v>Bulk Materials</v>
      </c>
      <c r="H17" t="str">
        <f t="shared" si="7"/>
        <v xml:space="preserve">Ready mix concrete </v>
      </c>
      <c r="I17" t="str">
        <f t="shared" si="8"/>
        <v xml:space="preserve">General - C20/25 </v>
      </c>
      <c r="J17" t="str">
        <f t="shared" si="9"/>
        <v xml:space="preserve">Ready mix concrete General - C20/25 </v>
      </c>
      <c r="K17" t="str">
        <f>IF('Emissions Factors'!E19="","",'Emissions Factors'!E19)</f>
        <v>m3</v>
      </c>
      <c r="L17" t="str">
        <f>IF('Emissions Factors'!F19="","",'Emissions Factors'!F19)</f>
        <v>Concrete</v>
      </c>
      <c r="M17">
        <f>IF('Emissions Factors'!G19="","",'Emissions Factors'!G19)</f>
        <v>0.10868251073949689</v>
      </c>
      <c r="N17" t="str">
        <f>IF('Emissions Factors'!H19="","",'Emissions Factors'!H19)</f>
        <v>tCO2e/t</v>
      </c>
      <c r="O17">
        <f>IF('[1]Emissions Factors'!I19="","",'[1]Emissions Factors'!I19)</f>
        <v>2.4</v>
      </c>
      <c r="P17" t="str">
        <f>IF('Emissions Factors'!J19="",'Emissions Factors'!F19,'Emissions Factors'!J19)</f>
        <v>Carbon factor taken directly from the ICE V4: Concrete &gt; 20/25 mpa.</v>
      </c>
      <c r="R17">
        <v>1</v>
      </c>
      <c r="U17">
        <f t="shared" si="10"/>
        <v>19</v>
      </c>
      <c r="V17">
        <f t="shared" si="11"/>
        <v>17</v>
      </c>
    </row>
    <row r="18" spans="1:22" x14ac:dyDescent="0.3">
      <c r="A18">
        <f>'Emissions Factors'!A20</f>
        <v>0</v>
      </c>
      <c r="B18">
        <f>'Emissions Factors'!B20</f>
        <v>0</v>
      </c>
      <c r="C18">
        <f>'Emissions Factors'!C20</f>
        <v>0</v>
      </c>
      <c r="D18" t="str">
        <f>'Emissions Factors'!D20</f>
        <v xml:space="preserve">General - C25/30 </v>
      </c>
      <c r="G18" t="str">
        <f t="shared" si="6"/>
        <v>Bulk Materials</v>
      </c>
      <c r="H18" t="str">
        <f t="shared" si="7"/>
        <v xml:space="preserve">Ready mix concrete </v>
      </c>
      <c r="I18" t="str">
        <f t="shared" si="8"/>
        <v xml:space="preserve">General - C25/30 </v>
      </c>
      <c r="J18" t="str">
        <f t="shared" si="9"/>
        <v xml:space="preserve">Ready mix concrete General - C25/30 </v>
      </c>
      <c r="K18" t="str">
        <f>IF('Emissions Factors'!E20="","",'Emissions Factors'!E20)</f>
        <v>m3</v>
      </c>
      <c r="L18" t="str">
        <f>IF('Emissions Factors'!F20="","",'Emissions Factors'!F20)</f>
        <v>Concrete</v>
      </c>
      <c r="M18">
        <f>IF('Emissions Factors'!G20="","",'Emissions Factors'!G20)</f>
        <v>0.11548180315078208</v>
      </c>
      <c r="N18" t="str">
        <f>IF('Emissions Factors'!H20="","",'Emissions Factors'!H20)</f>
        <v>tCO2e/t</v>
      </c>
      <c r="O18">
        <f>IF('[1]Emissions Factors'!I20="","",'[1]Emissions Factors'!I20)</f>
        <v>2.4</v>
      </c>
      <c r="P18" t="str">
        <f>IF('Emissions Factors'!J20="",'Emissions Factors'!F20,'Emissions Factors'!J20)</f>
        <v>Carbon factor taken directly from the ICE V4: Concrete &gt; 25/30 mpa.</v>
      </c>
      <c r="R18">
        <v>1</v>
      </c>
      <c r="U18">
        <f t="shared" si="10"/>
        <v>19</v>
      </c>
      <c r="V18">
        <f t="shared" si="11"/>
        <v>17</v>
      </c>
    </row>
    <row r="19" spans="1:22" x14ac:dyDescent="0.3">
      <c r="A19">
        <f>'Emissions Factors'!A21</f>
        <v>0</v>
      </c>
      <c r="B19">
        <f>'Emissions Factors'!B21</f>
        <v>0</v>
      </c>
      <c r="C19">
        <f>'Emissions Factors'!C21</f>
        <v>0</v>
      </c>
      <c r="D19" t="str">
        <f>'Emissions Factors'!D21</f>
        <v xml:space="preserve">General - C28/35 </v>
      </c>
      <c r="G19" t="str">
        <f t="shared" si="6"/>
        <v>Bulk Materials</v>
      </c>
      <c r="H19" t="str">
        <f t="shared" si="7"/>
        <v xml:space="preserve">Ready mix concrete </v>
      </c>
      <c r="I19" t="str">
        <f t="shared" si="8"/>
        <v xml:space="preserve">General - C28/35 </v>
      </c>
      <c r="J19" t="str">
        <f t="shared" si="9"/>
        <v xml:space="preserve">Ready mix concrete General - C28/35 </v>
      </c>
      <c r="K19" t="str">
        <f>IF('Emissions Factors'!E21="","",'Emissions Factors'!E21)</f>
        <v>m3</v>
      </c>
      <c r="L19" t="str">
        <f>IF('Emissions Factors'!F21="","",'Emissions Factors'!F21)</f>
        <v>Concrete</v>
      </c>
      <c r="M19">
        <f>IF('Emissions Factors'!G21="","",'Emissions Factors'!G21)</f>
        <v>0.12229033916473796</v>
      </c>
      <c r="N19" t="str">
        <f>IF('Emissions Factors'!H21="","",'Emissions Factors'!H21)</f>
        <v>tCO2e/t</v>
      </c>
      <c r="O19">
        <f>IF('[1]Emissions Factors'!I21="","",'[1]Emissions Factors'!I21)</f>
        <v>2.4</v>
      </c>
      <c r="P19" t="str">
        <f>IF('Emissions Factors'!J21="",'Emissions Factors'!F21,'Emissions Factors'!J21)</f>
        <v>Carbon factor taken directly from the ICE V4: Concrete &gt; 28/35 mpa.</v>
      </c>
      <c r="R19">
        <v>1</v>
      </c>
      <c r="U19">
        <f t="shared" si="10"/>
        <v>19</v>
      </c>
      <c r="V19">
        <f t="shared" si="11"/>
        <v>17</v>
      </c>
    </row>
    <row r="20" spans="1:22" x14ac:dyDescent="0.3">
      <c r="A20">
        <f>'Emissions Factors'!A22</f>
        <v>0</v>
      </c>
      <c r="B20">
        <f>'Emissions Factors'!B22</f>
        <v>0</v>
      </c>
      <c r="C20">
        <f>'Emissions Factors'!C22</f>
        <v>0</v>
      </c>
      <c r="D20" t="str">
        <f>'Emissions Factors'!D22</f>
        <v xml:space="preserve">General - C32/40 </v>
      </c>
      <c r="G20" t="str">
        <f t="shared" si="6"/>
        <v>Bulk Materials</v>
      </c>
      <c r="H20" t="str">
        <f t="shared" si="7"/>
        <v xml:space="preserve">Ready mix concrete </v>
      </c>
      <c r="I20" t="str">
        <f t="shared" si="8"/>
        <v xml:space="preserve">General - C32/40 </v>
      </c>
      <c r="J20" t="str">
        <f t="shared" si="9"/>
        <v xml:space="preserve">Ready mix concrete General - C32/40 </v>
      </c>
      <c r="K20" t="str">
        <f>IF('Emissions Factors'!E22="","",'Emissions Factors'!E22)</f>
        <v>m3</v>
      </c>
      <c r="L20" t="str">
        <f>IF('Emissions Factors'!F22="","",'Emissions Factors'!F22)</f>
        <v>Concrete</v>
      </c>
      <c r="M20">
        <f>IF('Emissions Factors'!G22="","",'Emissions Factors'!G22)</f>
        <v>0.13417238358255332</v>
      </c>
      <c r="N20" t="str">
        <f>IF('Emissions Factors'!H22="","",'Emissions Factors'!H22)</f>
        <v>tCO2e/t</v>
      </c>
      <c r="O20">
        <f>IF('[1]Emissions Factors'!I22="","",'[1]Emissions Factors'!I22)</f>
        <v>2.4</v>
      </c>
      <c r="P20" t="str">
        <f>IF('Emissions Factors'!J22="",'Emissions Factors'!F22,'Emissions Factors'!J22)</f>
        <v>Carbon factor taken directly from the ICE V4: Concrete &gt; 32/40 mpa.</v>
      </c>
      <c r="R20">
        <v>1</v>
      </c>
      <c r="U20">
        <f t="shared" si="10"/>
        <v>19</v>
      </c>
      <c r="V20">
        <f t="shared" si="11"/>
        <v>17</v>
      </c>
    </row>
    <row r="21" spans="1:22" x14ac:dyDescent="0.3">
      <c r="A21">
        <f>'Emissions Factors'!A23</f>
        <v>0</v>
      </c>
      <c r="B21">
        <f>'Emissions Factors'!B23</f>
        <v>0</v>
      </c>
      <c r="C21">
        <f>'Emissions Factors'!C23</f>
        <v>0</v>
      </c>
      <c r="D21" t="str">
        <f>'Emissions Factors'!D23</f>
        <v>General - C35/45</v>
      </c>
      <c r="G21" t="str">
        <f t="shared" si="6"/>
        <v>Bulk Materials</v>
      </c>
      <c r="H21" t="str">
        <f t="shared" si="7"/>
        <v xml:space="preserve">Ready mix concrete </v>
      </c>
      <c r="I21" t="str">
        <f t="shared" si="8"/>
        <v>General - C35/45</v>
      </c>
      <c r="J21" t="str">
        <f t="shared" si="9"/>
        <v>Ready mix concrete General - C35/45</v>
      </c>
      <c r="K21" t="str">
        <f>IF('Emissions Factors'!E23="","",'Emissions Factors'!E23)</f>
        <v>m3</v>
      </c>
      <c r="L21" t="str">
        <f>IF('Emissions Factors'!F23="","",'Emissions Factors'!F23)</f>
        <v>Concrete</v>
      </c>
      <c r="M21">
        <f>IF('Emissions Factors'!G23="","",'Emissions Factors'!G23)</f>
        <v>0.14433624526231445</v>
      </c>
      <c r="N21" t="str">
        <f>IF('Emissions Factors'!H23="","",'Emissions Factors'!H23)</f>
        <v>tCO2e/t</v>
      </c>
      <c r="O21">
        <f>IF('[1]Emissions Factors'!I23="","",'[1]Emissions Factors'!I23)</f>
        <v>2.4</v>
      </c>
      <c r="P21" t="str">
        <f>IF('Emissions Factors'!J23="",'Emissions Factors'!F23,'Emissions Factors'!J23)</f>
        <v>Carbon factor taken directly from the ICE V4: Concrete &gt; 35/45 mpa.</v>
      </c>
      <c r="R21">
        <v>1</v>
      </c>
      <c r="U21">
        <f t="shared" si="10"/>
        <v>19</v>
      </c>
      <c r="V21">
        <f t="shared" si="11"/>
        <v>16</v>
      </c>
    </row>
    <row r="22" spans="1:22" x14ac:dyDescent="0.3">
      <c r="A22">
        <f>'Emissions Factors'!A24</f>
        <v>0</v>
      </c>
      <c r="B22">
        <f>'Emissions Factors'!B24</f>
        <v>0</v>
      </c>
      <c r="C22">
        <f>'Emissions Factors'!C24</f>
        <v>0</v>
      </c>
      <c r="D22" t="str">
        <f>'Emissions Factors'!D24</f>
        <v xml:space="preserve">General - C40/50 </v>
      </c>
      <c r="G22" t="str">
        <f t="shared" si="6"/>
        <v>Bulk Materials</v>
      </c>
      <c r="H22" t="str">
        <f t="shared" si="7"/>
        <v xml:space="preserve">Ready mix concrete </v>
      </c>
      <c r="I22" t="str">
        <f t="shared" si="8"/>
        <v xml:space="preserve">General - C40/50 </v>
      </c>
      <c r="J22" t="str">
        <f t="shared" si="9"/>
        <v xml:space="preserve">Ready mix concrete General - C40/50 </v>
      </c>
      <c r="K22" t="str">
        <f>IF('Emissions Factors'!E24="","",'Emissions Factors'!E24)</f>
        <v>m3</v>
      </c>
      <c r="L22" t="str">
        <f>IF('Emissions Factors'!F24="","",'Emissions Factors'!F24)</f>
        <v>Concrete</v>
      </c>
      <c r="M22">
        <f>IF('Emissions Factors'!G24="","",'Emissions Factors'!G24)</f>
        <v>0.15447090494319499</v>
      </c>
      <c r="N22" t="str">
        <f>IF('Emissions Factors'!H24="","",'Emissions Factors'!H24)</f>
        <v>tCO2e/t</v>
      </c>
      <c r="O22">
        <f>IF('[1]Emissions Factors'!I24="","",'[1]Emissions Factors'!I24)</f>
        <v>2.4</v>
      </c>
      <c r="P22" t="str">
        <f>IF('Emissions Factors'!J24="",'Emissions Factors'!F24,'Emissions Factors'!J24)</f>
        <v>Carbon factor taken directly from the ICE V4: Concrete &gt; 40/50 mpa.</v>
      </c>
      <c r="R22">
        <v>1</v>
      </c>
      <c r="U22">
        <f t="shared" si="10"/>
        <v>19</v>
      </c>
      <c r="V22">
        <f t="shared" si="11"/>
        <v>17</v>
      </c>
    </row>
    <row r="23" spans="1:22" x14ac:dyDescent="0.3">
      <c r="A23">
        <f>'Emissions Factors'!A25</f>
        <v>0</v>
      </c>
      <c r="B23">
        <f>'Emissions Factors'!B25</f>
        <v>0</v>
      </c>
      <c r="C23">
        <f>'Emissions Factors'!C25</f>
        <v>0</v>
      </c>
      <c r="D23" t="str">
        <f>'Emissions Factors'!D25</f>
        <v>100% CEM I - C6/8 (Gen 0)</v>
      </c>
      <c r="G23" t="str">
        <f t="shared" si="6"/>
        <v>Bulk Materials</v>
      </c>
      <c r="H23" t="str">
        <f t="shared" si="7"/>
        <v xml:space="preserve">Ready mix concrete </v>
      </c>
      <c r="I23" t="str">
        <f t="shared" si="8"/>
        <v>100% CEM I - C6/8 (Gen 0)</v>
      </c>
      <c r="J23" t="str">
        <f t="shared" si="9"/>
        <v>Ready mix concrete 100% CEM I - C6/8 (Gen 0)</v>
      </c>
      <c r="K23" t="str">
        <f>IF('Emissions Factors'!E25="","",'Emissions Factors'!E25)</f>
        <v>m3</v>
      </c>
      <c r="L23" t="str">
        <f>IF('Emissions Factors'!F25="","",'Emissions Factors'!F25)</f>
        <v>Concrete</v>
      </c>
      <c r="M23">
        <f>IF('Emissions Factors'!G25="","",'Emissions Factors'!G25)</f>
        <v>6.5253811774683548E-2</v>
      </c>
      <c r="N23" t="str">
        <f>IF('Emissions Factors'!H25="","",'Emissions Factors'!H25)</f>
        <v>tCO2e/t</v>
      </c>
      <c r="O23">
        <f>IF('[1]Emissions Factors'!I25="","",'[1]Emissions Factors'!I25)</f>
        <v>2.4</v>
      </c>
      <c r="P23" t="str">
        <f>IF('Emissions Factors'!J25="",'Emissions Factors'!F25,'Emissions Factors'!J25)</f>
        <v>Carbon factor taken directly from the ICE V4: Concrete &gt; CEM I &gt; Gen 0</v>
      </c>
      <c r="R23">
        <v>1</v>
      </c>
      <c r="U23">
        <f t="shared" si="10"/>
        <v>19</v>
      </c>
      <c r="V23">
        <f t="shared" si="11"/>
        <v>25</v>
      </c>
    </row>
    <row r="24" spans="1:22" x14ac:dyDescent="0.3">
      <c r="A24">
        <f>'Emissions Factors'!A26</f>
        <v>0</v>
      </c>
      <c r="B24">
        <f>'Emissions Factors'!B26</f>
        <v>0</v>
      </c>
      <c r="C24">
        <f>'Emissions Factors'!C26</f>
        <v>0</v>
      </c>
      <c r="D24" t="str">
        <f>'Emissions Factors'!D26</f>
        <v>100% CEM I - C8/10 (Gen 1)</v>
      </c>
      <c r="G24" t="str">
        <f t="shared" si="6"/>
        <v>Bulk Materials</v>
      </c>
      <c r="H24" t="str">
        <f t="shared" si="7"/>
        <v xml:space="preserve">Ready mix concrete </v>
      </c>
      <c r="I24" t="str">
        <f t="shared" si="8"/>
        <v>100% CEM I - C8/10 (Gen 1)</v>
      </c>
      <c r="J24" t="str">
        <f t="shared" si="9"/>
        <v>Ready mix concrete 100% CEM I - C8/10 (Gen 1)</v>
      </c>
      <c r="K24" t="str">
        <f>IF('Emissions Factors'!E26="","",'Emissions Factors'!E26)</f>
        <v>m3</v>
      </c>
      <c r="L24" t="str">
        <f>IF('Emissions Factors'!F26="","",'Emissions Factors'!F26)</f>
        <v>Concrete</v>
      </c>
      <c r="M24">
        <f>IF('Emissions Factors'!G26="","",'Emissions Factors'!G26)</f>
        <v>8.9863537242822103E-2</v>
      </c>
      <c r="N24" t="str">
        <f>IF('Emissions Factors'!H26="","",'Emissions Factors'!H26)</f>
        <v>tCO2e/t</v>
      </c>
      <c r="O24">
        <f>IF('[1]Emissions Factors'!I26="","",'[1]Emissions Factors'!I26)</f>
        <v>2.4</v>
      </c>
      <c r="P24" t="str">
        <f>IF('Emissions Factors'!J26="",'Emissions Factors'!F26,'Emissions Factors'!J26)</f>
        <v>Carbon factor taken directly from the ICE V4: Concrete &gt; CEM I &gt; Gen 1</v>
      </c>
      <c r="R24">
        <v>1</v>
      </c>
      <c r="U24">
        <f t="shared" si="10"/>
        <v>19</v>
      </c>
      <c r="V24">
        <f t="shared" si="11"/>
        <v>26</v>
      </c>
    </row>
    <row r="25" spans="1:22" x14ac:dyDescent="0.3">
      <c r="A25">
        <f>'Emissions Factors'!A27</f>
        <v>0</v>
      </c>
      <c r="B25">
        <f>'Emissions Factors'!B27</f>
        <v>0</v>
      </c>
      <c r="C25">
        <f>'Emissions Factors'!C27</f>
        <v>0</v>
      </c>
      <c r="D25" t="str">
        <f>'Emissions Factors'!D27</f>
        <v>100% CEM I - C12/15 (Gen 2)</v>
      </c>
      <c r="G25" t="str">
        <f t="shared" si="6"/>
        <v>Bulk Materials</v>
      </c>
      <c r="H25" t="str">
        <f t="shared" si="7"/>
        <v xml:space="preserve">Ready mix concrete </v>
      </c>
      <c r="I25" t="str">
        <f t="shared" si="8"/>
        <v>100% CEM I - C12/15 (Gen 2)</v>
      </c>
      <c r="J25" t="str">
        <f t="shared" si="9"/>
        <v>Ready mix concrete 100% CEM I - C12/15 (Gen 2)</v>
      </c>
      <c r="K25" t="str">
        <f>IF('Emissions Factors'!E27="","",'Emissions Factors'!E27)</f>
        <v>m3</v>
      </c>
      <c r="L25" t="str">
        <f>IF('Emissions Factors'!F27="","",'Emissions Factors'!F27)</f>
        <v>Concrete</v>
      </c>
      <c r="M25">
        <f>IF('Emissions Factors'!G27="","",'Emissions Factors'!G27)</f>
        <v>9.7012842995443035E-2</v>
      </c>
      <c r="N25" t="str">
        <f>IF('Emissions Factors'!H27="","",'Emissions Factors'!H27)</f>
        <v>tCO2e/t</v>
      </c>
      <c r="O25">
        <f>IF('[1]Emissions Factors'!I27="","",'[1]Emissions Factors'!I27)</f>
        <v>2.4</v>
      </c>
      <c r="P25" t="str">
        <f>IF('Emissions Factors'!J27="",'Emissions Factors'!F27,'Emissions Factors'!J27)</f>
        <v xml:space="preserve">Carbon factor taken directly from the ICE V4: Concrete &gt; CEM I &gt; Gen 2 </v>
      </c>
      <c r="R25">
        <v>1</v>
      </c>
      <c r="U25">
        <f t="shared" si="10"/>
        <v>19</v>
      </c>
      <c r="V25">
        <f t="shared" si="11"/>
        <v>27</v>
      </c>
    </row>
    <row r="26" spans="1:22" x14ac:dyDescent="0.3">
      <c r="A26">
        <f>'Emissions Factors'!A28</f>
        <v>0</v>
      </c>
      <c r="B26">
        <f>'Emissions Factors'!B28</f>
        <v>0</v>
      </c>
      <c r="C26">
        <f>'Emissions Factors'!C28</f>
        <v>0</v>
      </c>
      <c r="D26" t="str">
        <f>'Emissions Factors'!D28</f>
        <v>100% CEM I - C16/20 (Gen 3)</v>
      </c>
      <c r="G26" t="str">
        <f t="shared" si="6"/>
        <v>Bulk Materials</v>
      </c>
      <c r="H26" t="str">
        <f t="shared" si="7"/>
        <v xml:space="preserve">Ready mix concrete </v>
      </c>
      <c r="I26" t="str">
        <f t="shared" si="8"/>
        <v>100% CEM I - C16/20 (Gen 3)</v>
      </c>
      <c r="J26" t="str">
        <f t="shared" si="9"/>
        <v>Ready mix concrete 100% CEM I - C16/20 (Gen 3)</v>
      </c>
      <c r="K26" t="str">
        <f>IF('Emissions Factors'!E28="","",'Emissions Factors'!E28)</f>
        <v>m3</v>
      </c>
      <c r="L26" t="str">
        <f>IF('Emissions Factors'!F28="","",'Emissions Factors'!F28)</f>
        <v>Concrete</v>
      </c>
      <c r="M26">
        <f>IF('Emissions Factors'!G28="","",'Emissions Factors'!G28)</f>
        <v>0.10410197846396624</v>
      </c>
      <c r="N26" t="str">
        <f>IF('Emissions Factors'!H28="","",'Emissions Factors'!H28)</f>
        <v>tCO2e/t</v>
      </c>
      <c r="O26">
        <f>IF('[1]Emissions Factors'!I28="","",'[1]Emissions Factors'!I28)</f>
        <v>2.4</v>
      </c>
      <c r="P26" t="str">
        <f>IF('Emissions Factors'!J28="",'Emissions Factors'!F28,'Emissions Factors'!J28)</f>
        <v>Carbon factor taken directly from the ICE V4: Concrete &gt; CEM I &gt; Gen 3</v>
      </c>
      <c r="R26">
        <v>1</v>
      </c>
      <c r="U26">
        <f t="shared" si="10"/>
        <v>19</v>
      </c>
      <c r="V26">
        <f t="shared" si="11"/>
        <v>27</v>
      </c>
    </row>
    <row r="27" spans="1:22" x14ac:dyDescent="0.3">
      <c r="A27">
        <f>'Emissions Factors'!A29</f>
        <v>0</v>
      </c>
      <c r="B27">
        <f>'Emissions Factors'!B29</f>
        <v>0</v>
      </c>
      <c r="C27">
        <f>'Emissions Factors'!C29</f>
        <v>0</v>
      </c>
      <c r="D27" t="str">
        <f>'Emissions Factors'!D29</f>
        <v xml:space="preserve">100% CEM I - C20/25 </v>
      </c>
      <c r="G27" t="str">
        <f t="shared" si="6"/>
        <v>Bulk Materials</v>
      </c>
      <c r="H27" t="str">
        <f t="shared" si="7"/>
        <v xml:space="preserve">Ready mix concrete </v>
      </c>
      <c r="I27" t="str">
        <f t="shared" si="8"/>
        <v xml:space="preserve">100% CEM I - C20/25 </v>
      </c>
      <c r="J27" t="str">
        <f t="shared" si="9"/>
        <v xml:space="preserve">Ready mix concrete 100% CEM I - C20/25 </v>
      </c>
      <c r="K27" t="str">
        <f>IF('Emissions Factors'!E29="","",'Emissions Factors'!E29)</f>
        <v>m3</v>
      </c>
      <c r="L27" t="str">
        <f>IF('Emissions Factors'!F29="","",'Emissions Factors'!F29)</f>
        <v>Concrete</v>
      </c>
      <c r="M27">
        <f>IF('Emissions Factors'!G29="","",'Emissions Factors'!G29)</f>
        <v>0.11170667452850003</v>
      </c>
      <c r="N27" t="str">
        <f>IF('Emissions Factors'!H29="","",'Emissions Factors'!H29)</f>
        <v>tCO2e/t</v>
      </c>
      <c r="O27">
        <f>IF('[1]Emissions Factors'!I29="","",'[1]Emissions Factors'!I29)</f>
        <v>2.4</v>
      </c>
      <c r="P27" t="str">
        <f>IF('Emissions Factors'!J29="",'Emissions Factors'!F29,'Emissions Factors'!J29)</f>
        <v>Carbon factor taken directly from the ICE V4: Concrete &gt; CEM I &gt; 20/25 mpa.</v>
      </c>
      <c r="R27">
        <v>1</v>
      </c>
      <c r="U27">
        <f t="shared" si="10"/>
        <v>19</v>
      </c>
      <c r="V27">
        <f t="shared" si="11"/>
        <v>20</v>
      </c>
    </row>
    <row r="28" spans="1:22" x14ac:dyDescent="0.3">
      <c r="A28">
        <f>'Emissions Factors'!A30</f>
        <v>0</v>
      </c>
      <c r="B28">
        <f>'Emissions Factors'!B30</f>
        <v>0</v>
      </c>
      <c r="C28">
        <f>'Emissions Factors'!C30</f>
        <v>0</v>
      </c>
      <c r="D28" t="str">
        <f>'Emissions Factors'!D30</f>
        <v xml:space="preserve">100% CEM I - C25/30 </v>
      </c>
      <c r="G28" t="str">
        <f t="shared" si="6"/>
        <v>Bulk Materials</v>
      </c>
      <c r="H28" t="str">
        <f t="shared" si="7"/>
        <v xml:space="preserve">Ready mix concrete </v>
      </c>
      <c r="I28" t="str">
        <f t="shared" si="8"/>
        <v xml:space="preserve">100% CEM I - C25/30 </v>
      </c>
      <c r="J28" t="str">
        <f t="shared" si="9"/>
        <v xml:space="preserve">Ready mix concrete 100% CEM I - C25/30 </v>
      </c>
      <c r="K28" t="str">
        <f>IF('Emissions Factors'!E30="","",'Emissions Factors'!E30)</f>
        <v>m3</v>
      </c>
      <c r="L28" t="str">
        <f>IF('Emissions Factors'!F30="","",'Emissions Factors'!F30)</f>
        <v>Concrete</v>
      </c>
      <c r="M28">
        <f>IF('Emissions Factors'!G30="","",'Emissions Factors'!G30)</f>
        <v>0.11874165604416667</v>
      </c>
      <c r="N28" t="str">
        <f>IF('Emissions Factors'!H30="","",'Emissions Factors'!H30)</f>
        <v>tCO2e/t</v>
      </c>
      <c r="O28">
        <f>IF('[1]Emissions Factors'!I30="","",'[1]Emissions Factors'!I30)</f>
        <v>2.4</v>
      </c>
      <c r="P28" t="str">
        <f>IF('Emissions Factors'!J30="",'Emissions Factors'!F30,'Emissions Factors'!J30)</f>
        <v>Carbon factor taken directly from the ICE V4: Concrete &gt; CEM I &gt; 25/30 mpa.</v>
      </c>
      <c r="R28">
        <v>1</v>
      </c>
      <c r="U28">
        <f t="shared" si="10"/>
        <v>19</v>
      </c>
      <c r="V28">
        <f t="shared" si="11"/>
        <v>20</v>
      </c>
    </row>
    <row r="29" spans="1:22" x14ac:dyDescent="0.3">
      <c r="A29">
        <f>'Emissions Factors'!A31</f>
        <v>0</v>
      </c>
      <c r="B29">
        <f>'Emissions Factors'!B31</f>
        <v>0</v>
      </c>
      <c r="C29">
        <f>'Emissions Factors'!C31</f>
        <v>0</v>
      </c>
      <c r="D29" t="str">
        <f>'Emissions Factors'!D31</f>
        <v xml:space="preserve">100% CEM I - C28/35 </v>
      </c>
      <c r="G29" t="str">
        <f t="shared" si="6"/>
        <v>Bulk Materials</v>
      </c>
      <c r="H29" t="str">
        <f t="shared" si="7"/>
        <v xml:space="preserve">Ready mix concrete </v>
      </c>
      <c r="I29" t="str">
        <f t="shared" si="8"/>
        <v xml:space="preserve">100% CEM I - C28/35 </v>
      </c>
      <c r="J29" t="str">
        <f t="shared" si="9"/>
        <v xml:space="preserve">Ready mix concrete 100% CEM I - C28/35 </v>
      </c>
      <c r="K29" t="str">
        <f>IF('Emissions Factors'!E31="","",'Emissions Factors'!E31)</f>
        <v>m3</v>
      </c>
      <c r="L29" t="str">
        <f>IF('Emissions Factors'!F31="","",'Emissions Factors'!F31)</f>
        <v>Concrete</v>
      </c>
      <c r="M29">
        <f>IF('Emissions Factors'!G31="","",'Emissions Factors'!G31)</f>
        <v>0.12574710021083335</v>
      </c>
      <c r="N29" t="str">
        <f>IF('Emissions Factors'!H31="","",'Emissions Factors'!H31)</f>
        <v>tCO2e/t</v>
      </c>
      <c r="O29">
        <f>IF('[1]Emissions Factors'!I31="","",'[1]Emissions Factors'!I31)</f>
        <v>2.4</v>
      </c>
      <c r="P29" t="str">
        <f>IF('Emissions Factors'!J31="",'Emissions Factors'!F31,'Emissions Factors'!J31)</f>
        <v>Carbon factor taken directly from the ICE V4: Concrete &gt; CEM I &gt; 28/35 mpa.</v>
      </c>
      <c r="R29">
        <v>1</v>
      </c>
      <c r="U29">
        <f t="shared" si="10"/>
        <v>19</v>
      </c>
      <c r="V29">
        <f t="shared" si="11"/>
        <v>20</v>
      </c>
    </row>
    <row r="30" spans="1:22" x14ac:dyDescent="0.3">
      <c r="A30">
        <f>'Emissions Factors'!A32</f>
        <v>0</v>
      </c>
      <c r="B30">
        <f>'Emissions Factors'!B32</f>
        <v>0</v>
      </c>
      <c r="C30">
        <f>'Emissions Factors'!C32</f>
        <v>0</v>
      </c>
      <c r="D30" t="str">
        <f>'Emissions Factors'!D32</f>
        <v xml:space="preserve">100% CEM I - C32/40 </v>
      </c>
      <c r="G30" t="str">
        <f t="shared" si="6"/>
        <v>Bulk Materials</v>
      </c>
      <c r="H30" t="str">
        <f t="shared" si="7"/>
        <v xml:space="preserve">Ready mix concrete </v>
      </c>
      <c r="I30" t="str">
        <f t="shared" si="8"/>
        <v xml:space="preserve">100% CEM I - C32/40 </v>
      </c>
      <c r="J30" t="str">
        <f t="shared" si="9"/>
        <v xml:space="preserve">Ready mix concrete 100% CEM I - C32/40 </v>
      </c>
      <c r="K30" t="str">
        <f>IF('Emissions Factors'!E32="","",'Emissions Factors'!E32)</f>
        <v>m3</v>
      </c>
      <c r="L30" t="str">
        <f>IF('Emissions Factors'!F32="","",'Emissions Factors'!F32)</f>
        <v>Concrete</v>
      </c>
      <c r="M30">
        <f>IF('Emissions Factors'!G32="","",'Emissions Factors'!G32)</f>
        <v>0.13798201304499999</v>
      </c>
      <c r="N30" t="str">
        <f>IF('Emissions Factors'!H32="","",'Emissions Factors'!H32)</f>
        <v>tCO2e/t</v>
      </c>
      <c r="O30">
        <f>IF('[1]Emissions Factors'!I32="","",'[1]Emissions Factors'!I32)</f>
        <v>2.4</v>
      </c>
      <c r="P30" t="str">
        <f>IF('Emissions Factors'!J32="",'Emissions Factors'!F32,'Emissions Factors'!J32)</f>
        <v>Carbon factor taken directly from the ICE V4: Concrete &gt; CEM I &gt; 32/40 mpa.</v>
      </c>
      <c r="R30">
        <v>1</v>
      </c>
      <c r="U30">
        <f t="shared" si="10"/>
        <v>19</v>
      </c>
      <c r="V30">
        <f t="shared" si="11"/>
        <v>20</v>
      </c>
    </row>
    <row r="31" spans="1:22" x14ac:dyDescent="0.3">
      <c r="A31">
        <f>'Emissions Factors'!A33</f>
        <v>0</v>
      </c>
      <c r="B31">
        <f>'Emissions Factors'!B33</f>
        <v>0</v>
      </c>
      <c r="C31">
        <f>'Emissions Factors'!C33</f>
        <v>0</v>
      </c>
      <c r="D31" t="str">
        <f>'Emissions Factors'!D33</f>
        <v>100% CEM I - C35/45</v>
      </c>
      <c r="G31" t="str">
        <f t="shared" si="6"/>
        <v>Bulk Materials</v>
      </c>
      <c r="H31" t="str">
        <f t="shared" si="7"/>
        <v xml:space="preserve">Ready mix concrete </v>
      </c>
      <c r="I31" t="str">
        <f t="shared" si="8"/>
        <v>100% CEM I - C35/45</v>
      </c>
      <c r="J31" t="str">
        <f t="shared" si="9"/>
        <v>Ready mix concrete 100% CEM I - C35/45</v>
      </c>
      <c r="K31" t="str">
        <f>IF('Emissions Factors'!E33="","",'Emissions Factors'!E33)</f>
        <v>m3</v>
      </c>
      <c r="L31" t="str">
        <f>IF('Emissions Factors'!F33="","",'Emissions Factors'!F33)</f>
        <v>Concrete</v>
      </c>
      <c r="M31">
        <f>IF('Emissions Factors'!G33="","",'Emissions Factors'!G33)</f>
        <v>0.14846310339175001</v>
      </c>
      <c r="N31" t="str">
        <f>IF('Emissions Factors'!H33="","",'Emissions Factors'!H33)</f>
        <v>tCO2e/t</v>
      </c>
      <c r="O31">
        <f>IF('[1]Emissions Factors'!I33="","",'[1]Emissions Factors'!I33)</f>
        <v>2.4</v>
      </c>
      <c r="P31" t="str">
        <f>IF('Emissions Factors'!J33="",'Emissions Factors'!F33,'Emissions Factors'!J33)</f>
        <v>Carbon factor taken directly from the ICE V4: Concrete &gt; CEM I &gt; 35/45 mpa.</v>
      </c>
      <c r="R31">
        <v>1</v>
      </c>
      <c r="U31">
        <f t="shared" si="10"/>
        <v>19</v>
      </c>
      <c r="V31">
        <f t="shared" si="11"/>
        <v>19</v>
      </c>
    </row>
    <row r="32" spans="1:22" x14ac:dyDescent="0.3">
      <c r="A32">
        <f>'Emissions Factors'!A34</f>
        <v>0</v>
      </c>
      <c r="B32">
        <f>'Emissions Factors'!B34</f>
        <v>0</v>
      </c>
      <c r="C32">
        <f>'Emissions Factors'!C34</f>
        <v>0</v>
      </c>
      <c r="D32" t="str">
        <f>'Emissions Factors'!D34</f>
        <v xml:space="preserve">100% CEM I - C40/50 </v>
      </c>
      <c r="G32" t="str">
        <f t="shared" si="6"/>
        <v>Bulk Materials</v>
      </c>
      <c r="H32" t="str">
        <f t="shared" si="7"/>
        <v xml:space="preserve">Ready mix concrete </v>
      </c>
      <c r="I32" t="str">
        <f t="shared" si="8"/>
        <v xml:space="preserve">100% CEM I - C40/50 </v>
      </c>
      <c r="J32" t="str">
        <f t="shared" si="9"/>
        <v xml:space="preserve">Ready mix concrete 100% CEM I - C40/50 </v>
      </c>
      <c r="K32" t="str">
        <f>IF('Emissions Factors'!E34="","",'Emissions Factors'!E34)</f>
        <v>m3</v>
      </c>
      <c r="L32" t="str">
        <f>IF('Emissions Factors'!F34="","",'Emissions Factors'!F34)</f>
        <v>Concrete</v>
      </c>
      <c r="M32">
        <f>IF('Emissions Factors'!G34="","",'Emissions Factors'!G34)</f>
        <v>0.15896683903940001</v>
      </c>
      <c r="N32" t="str">
        <f>IF('Emissions Factors'!H34="","",'Emissions Factors'!H34)</f>
        <v>tCO2e/t</v>
      </c>
      <c r="O32">
        <f>IF('[1]Emissions Factors'!I34="","",'[1]Emissions Factors'!I34)</f>
        <v>2.4</v>
      </c>
      <c r="P32" t="str">
        <f>IF('Emissions Factors'!J34="",'Emissions Factors'!F34,'Emissions Factors'!J34)</f>
        <v>Carbon factor taken directly from the ICE V4: Concrete &gt; CEM I &gt; 40/50 mpa.</v>
      </c>
      <c r="R32">
        <v>1</v>
      </c>
      <c r="U32">
        <f t="shared" si="10"/>
        <v>19</v>
      </c>
      <c r="V32">
        <f t="shared" si="11"/>
        <v>20</v>
      </c>
    </row>
    <row r="33" spans="1:22" x14ac:dyDescent="0.3">
      <c r="A33">
        <f>'Emissions Factors'!A35</f>
        <v>0</v>
      </c>
      <c r="B33">
        <f>'Emissions Factors'!B35</f>
        <v>0</v>
      </c>
      <c r="C33">
        <f>'Emissions Factors'!C35</f>
        <v>0</v>
      </c>
      <c r="D33" t="str">
        <f>'Emissions Factors'!D35</f>
        <v>14% Limestone replacement - C6/8 (Gen 0)</v>
      </c>
      <c r="G33" t="str">
        <f t="shared" si="6"/>
        <v>Bulk Materials</v>
      </c>
      <c r="H33" t="str">
        <f t="shared" si="7"/>
        <v xml:space="preserve">Ready mix concrete </v>
      </c>
      <c r="I33" t="str">
        <f t="shared" si="8"/>
        <v>14% Limestone replacement - C6/8 (Gen 0)</v>
      </c>
      <c r="J33" t="str">
        <f t="shared" si="9"/>
        <v>Ready mix concrete 14% Limestone replacement - C6/8 (Gen 0)</v>
      </c>
      <c r="K33" t="str">
        <f>IF('Emissions Factors'!E35="","",'Emissions Factors'!E35)</f>
        <v>m3</v>
      </c>
      <c r="L33" t="str">
        <f>IF('Emissions Factors'!F35="","",'Emissions Factors'!F35)</f>
        <v>Concrete</v>
      </c>
      <c r="M33">
        <f>IF('Emissions Factors'!G35="","",'Emissions Factors'!G35)</f>
        <v>5.6976097708405081E-2</v>
      </c>
      <c r="N33" t="str">
        <f>IF('Emissions Factors'!H35="","",'Emissions Factors'!H35)</f>
        <v>tCO2e/t</v>
      </c>
      <c r="O33">
        <f>IF('[1]Emissions Factors'!I35="","",'[1]Emissions Factors'!I35)</f>
        <v>2.4</v>
      </c>
      <c r="P33" t="str">
        <f>IF('Emissions Factors'!J35="",'Emissions Factors'!F35,'Emissions Factors'!J35)</f>
        <v>Carbon factor taken directly from the ICE V4: Concrete &gt; 14% Limestone &gt; Gen 0</v>
      </c>
      <c r="R33">
        <v>1</v>
      </c>
      <c r="U33">
        <f t="shared" si="10"/>
        <v>19</v>
      </c>
      <c r="V33">
        <f t="shared" si="11"/>
        <v>40</v>
      </c>
    </row>
    <row r="34" spans="1:22" x14ac:dyDescent="0.3">
      <c r="A34">
        <f>'Emissions Factors'!A36</f>
        <v>0</v>
      </c>
      <c r="B34">
        <f>'Emissions Factors'!B36</f>
        <v>0</v>
      </c>
      <c r="C34">
        <f>'Emissions Factors'!C36</f>
        <v>0</v>
      </c>
      <c r="D34" t="str">
        <f>'Emissions Factors'!D36</f>
        <v>14% Limestone replacement - C8/10 (Gen 1)</v>
      </c>
      <c r="G34" t="str">
        <f t="shared" si="6"/>
        <v>Bulk Materials</v>
      </c>
      <c r="H34" t="str">
        <f t="shared" si="7"/>
        <v xml:space="preserve">Ready mix concrete </v>
      </c>
      <c r="I34" t="str">
        <f t="shared" si="8"/>
        <v>14% Limestone replacement - C8/10 (Gen 1)</v>
      </c>
      <c r="J34" t="str">
        <f t="shared" si="9"/>
        <v>Ready mix concrete 14% Limestone replacement - C8/10 (Gen 1)</v>
      </c>
      <c r="K34" t="str">
        <f>IF('Emissions Factors'!E36="","",'Emissions Factors'!E36)</f>
        <v>m3</v>
      </c>
      <c r="L34" t="str">
        <f>IF('Emissions Factors'!F36="","",'Emissions Factors'!F36)</f>
        <v>Concrete</v>
      </c>
      <c r="M34">
        <f>IF('Emissions Factors'!G36="","",'Emissions Factors'!G36)</f>
        <v>7.7519340032489475E-2</v>
      </c>
      <c r="N34" t="str">
        <f>IF('Emissions Factors'!H36="","",'Emissions Factors'!H36)</f>
        <v>tCO2e/t</v>
      </c>
      <c r="O34">
        <f>IF('[1]Emissions Factors'!I36="","",'[1]Emissions Factors'!I36)</f>
        <v>2.4</v>
      </c>
      <c r="P34" t="str">
        <f>IF('Emissions Factors'!J36="",'Emissions Factors'!F36,'Emissions Factors'!J36)</f>
        <v>Carbon factor taken directly from the ICE V4: Concrete &gt; 14% Limestone &gt; Gen 1</v>
      </c>
      <c r="R34">
        <v>1</v>
      </c>
      <c r="U34">
        <f t="shared" si="10"/>
        <v>19</v>
      </c>
      <c r="V34">
        <f t="shared" si="11"/>
        <v>41</v>
      </c>
    </row>
    <row r="35" spans="1:22" x14ac:dyDescent="0.3">
      <c r="A35">
        <f>'Emissions Factors'!A37</f>
        <v>0</v>
      </c>
      <c r="B35">
        <f>'Emissions Factors'!B37</f>
        <v>0</v>
      </c>
      <c r="C35">
        <f>'Emissions Factors'!C37</f>
        <v>0</v>
      </c>
      <c r="D35" t="str">
        <f>'Emissions Factors'!D37</f>
        <v>14% Limestone replacement - C12/15 (Gen 2)</v>
      </c>
      <c r="G35" t="str">
        <f t="shared" si="6"/>
        <v>Bulk Materials</v>
      </c>
      <c r="H35" t="str">
        <f t="shared" si="7"/>
        <v xml:space="preserve">Ready mix concrete </v>
      </c>
      <c r="I35" t="str">
        <f t="shared" si="8"/>
        <v>14% Limestone replacement - C12/15 (Gen 2)</v>
      </c>
      <c r="J35" t="str">
        <f t="shared" si="9"/>
        <v>Ready mix concrete 14% Limestone replacement - C12/15 (Gen 2)</v>
      </c>
      <c r="K35" t="str">
        <f>IF('Emissions Factors'!E37="","",'Emissions Factors'!E37)</f>
        <v>m3</v>
      </c>
      <c r="L35" t="str">
        <f>IF('Emissions Factors'!F37="","",'Emissions Factors'!F37)</f>
        <v>Concrete</v>
      </c>
      <c r="M35">
        <f>IF('Emissions Factors'!G37="","",'Emissions Factors'!G37)</f>
        <v>8.3705088661670882E-2</v>
      </c>
      <c r="N35" t="str">
        <f>IF('Emissions Factors'!H37="","",'Emissions Factors'!H37)</f>
        <v>tCO2e/t</v>
      </c>
      <c r="O35">
        <f>IF('[1]Emissions Factors'!I37="","",'[1]Emissions Factors'!I37)</f>
        <v>2.4</v>
      </c>
      <c r="P35" t="str">
        <f>IF('Emissions Factors'!J37="",'Emissions Factors'!F37,'Emissions Factors'!J37)</f>
        <v xml:space="preserve">Carbon factor taken directly from the ICE V4: Concrete &gt; 14% Limestone &gt; Gen 2 </v>
      </c>
      <c r="R35">
        <v>1</v>
      </c>
      <c r="U35">
        <f t="shared" si="10"/>
        <v>19</v>
      </c>
      <c r="V35">
        <f t="shared" si="11"/>
        <v>42</v>
      </c>
    </row>
    <row r="36" spans="1:22" x14ac:dyDescent="0.3">
      <c r="A36">
        <f>'Emissions Factors'!A38</f>
        <v>0</v>
      </c>
      <c r="B36">
        <f>'Emissions Factors'!B38</f>
        <v>0</v>
      </c>
      <c r="C36">
        <f>'Emissions Factors'!C38</f>
        <v>0</v>
      </c>
      <c r="D36" t="str">
        <f>'Emissions Factors'!D38</f>
        <v>14% Limestone replacement - C16/20 (Gen 3)</v>
      </c>
      <c r="G36" t="str">
        <f t="shared" si="6"/>
        <v>Bulk Materials</v>
      </c>
      <c r="H36" t="str">
        <f t="shared" si="7"/>
        <v xml:space="preserve">Ready mix concrete </v>
      </c>
      <c r="I36" t="str">
        <f t="shared" si="8"/>
        <v>14% Limestone replacement - C16/20 (Gen 3)</v>
      </c>
      <c r="J36" t="str">
        <f t="shared" si="9"/>
        <v>Ready mix concrete 14% Limestone replacement - C16/20 (Gen 3)</v>
      </c>
      <c r="K36" t="str">
        <f>IF('Emissions Factors'!E38="","",'Emissions Factors'!E38)</f>
        <v>m3</v>
      </c>
      <c r="L36" t="str">
        <f>IF('Emissions Factors'!F38="","",'Emissions Factors'!F38)</f>
        <v>Concrete</v>
      </c>
      <c r="M36">
        <f>IF('Emissions Factors'!G38="","",'Emissions Factors'!G38)</f>
        <v>8.9360574335858825E-2</v>
      </c>
      <c r="N36" t="str">
        <f>IF('Emissions Factors'!H38="","",'Emissions Factors'!H38)</f>
        <v>tCO2e/t</v>
      </c>
      <c r="O36">
        <f>IF('[1]Emissions Factors'!I38="","",'[1]Emissions Factors'!I38)</f>
        <v>2.4</v>
      </c>
      <c r="P36" t="str">
        <f>IF('Emissions Factors'!J38="",'Emissions Factors'!F38,'Emissions Factors'!J38)</f>
        <v>Carbon factor taken directly from the ICE V4: Concrete &gt; 14% Limestone &gt; Gen 3</v>
      </c>
      <c r="R36">
        <v>1</v>
      </c>
      <c r="U36">
        <f t="shared" si="10"/>
        <v>19</v>
      </c>
      <c r="V36">
        <f t="shared" si="11"/>
        <v>42</v>
      </c>
    </row>
    <row r="37" spans="1:22" x14ac:dyDescent="0.3">
      <c r="A37">
        <f>'Emissions Factors'!A39</f>
        <v>0</v>
      </c>
      <c r="B37">
        <f>'Emissions Factors'!B39</f>
        <v>0</v>
      </c>
      <c r="C37">
        <f>'Emissions Factors'!C39</f>
        <v>0</v>
      </c>
      <c r="D37" t="str">
        <f>'Emissions Factors'!D39</f>
        <v xml:space="preserve">14% Limestone replacement - C20/25 </v>
      </c>
      <c r="G37" t="str">
        <f t="shared" si="6"/>
        <v>Bulk Materials</v>
      </c>
      <c r="H37" t="str">
        <f t="shared" si="7"/>
        <v xml:space="preserve">Ready mix concrete </v>
      </c>
      <c r="I37" t="str">
        <f t="shared" si="8"/>
        <v xml:space="preserve">14% Limestone replacement - C20/25 </v>
      </c>
      <c r="J37" t="str">
        <f t="shared" si="9"/>
        <v xml:space="preserve">Ready mix concrete 14% Limestone replacement - C20/25 </v>
      </c>
      <c r="K37" t="str">
        <f>IF('Emissions Factors'!E39="","",'Emissions Factors'!E39)</f>
        <v>m3</v>
      </c>
      <c r="L37" t="str">
        <f>IF('Emissions Factors'!F39="","",'Emissions Factors'!F39)</f>
        <v>Concrete</v>
      </c>
      <c r="M37">
        <f>IF('Emissions Factors'!G39="","",'Emissions Factors'!G39)</f>
        <v>9.6167195367179992E-2</v>
      </c>
      <c r="N37" t="str">
        <f>IF('Emissions Factors'!H39="","",'Emissions Factors'!H39)</f>
        <v>tCO2e/t</v>
      </c>
      <c r="O37">
        <f>IF('[1]Emissions Factors'!I39="","",'[1]Emissions Factors'!I39)</f>
        <v>2.4</v>
      </c>
      <c r="P37" t="str">
        <f>IF('Emissions Factors'!J39="",'Emissions Factors'!F39,'Emissions Factors'!J39)</f>
        <v>Carbon factor taken directly from the ICE V4: Concrete &gt; 14% Limestone &gt; 20/25 mpa.</v>
      </c>
      <c r="R37">
        <v>1</v>
      </c>
      <c r="U37">
        <f t="shared" si="10"/>
        <v>19</v>
      </c>
      <c r="V37">
        <f t="shared" si="11"/>
        <v>35</v>
      </c>
    </row>
    <row r="38" spans="1:22" x14ac:dyDescent="0.3">
      <c r="A38">
        <f>'Emissions Factors'!A40</f>
        <v>0</v>
      </c>
      <c r="B38">
        <f>'Emissions Factors'!B40</f>
        <v>0</v>
      </c>
      <c r="C38">
        <f>'Emissions Factors'!C40</f>
        <v>0</v>
      </c>
      <c r="D38" t="str">
        <f>'Emissions Factors'!D40</f>
        <v xml:space="preserve">14% Limestone replacement - C25/30 </v>
      </c>
      <c r="G38" t="str">
        <f t="shared" si="6"/>
        <v>Bulk Materials</v>
      </c>
      <c r="H38" t="str">
        <f t="shared" si="7"/>
        <v xml:space="preserve">Ready mix concrete </v>
      </c>
      <c r="I38" t="str">
        <f t="shared" si="8"/>
        <v xml:space="preserve">14% Limestone replacement - C25/30 </v>
      </c>
      <c r="J38" t="str">
        <f t="shared" si="9"/>
        <v xml:space="preserve">Ready mix concrete 14% Limestone replacement - C25/30 </v>
      </c>
      <c r="K38" t="str">
        <f>IF('Emissions Factors'!E40="","",'Emissions Factors'!E40)</f>
        <v>m3</v>
      </c>
      <c r="L38" t="str">
        <f>IF('Emissions Factors'!F40="","",'Emissions Factors'!F40)</f>
        <v>Concrete</v>
      </c>
      <c r="M38">
        <f>IF('Emissions Factors'!G40="","",'Emissions Factors'!G40)</f>
        <v>0.1024255647525</v>
      </c>
      <c r="N38" t="str">
        <f>IF('Emissions Factors'!H40="","",'Emissions Factors'!H40)</f>
        <v>tCO2e/t</v>
      </c>
      <c r="O38">
        <f>IF('[1]Emissions Factors'!I40="","",'[1]Emissions Factors'!I40)</f>
        <v>2.4</v>
      </c>
      <c r="P38" t="str">
        <f>IF('Emissions Factors'!J40="",'Emissions Factors'!F40,'Emissions Factors'!J40)</f>
        <v>Carbon factor taken directly from the ICE V4: Concrete &gt; 14% Limestone &gt; 25/30 mpa.</v>
      </c>
      <c r="R38">
        <v>1</v>
      </c>
      <c r="U38">
        <f t="shared" si="10"/>
        <v>19</v>
      </c>
      <c r="V38">
        <f t="shared" si="11"/>
        <v>35</v>
      </c>
    </row>
    <row r="39" spans="1:22" x14ac:dyDescent="0.3">
      <c r="A39">
        <f>'Emissions Factors'!A41</f>
        <v>0</v>
      </c>
      <c r="B39">
        <f>'Emissions Factors'!B41</f>
        <v>0</v>
      </c>
      <c r="C39">
        <f>'Emissions Factors'!C41</f>
        <v>0</v>
      </c>
      <c r="D39" t="str">
        <f>'Emissions Factors'!D41</f>
        <v xml:space="preserve">14% Limestone replacement - C28/35 </v>
      </c>
      <c r="G39" t="str">
        <f t="shared" si="6"/>
        <v>Bulk Materials</v>
      </c>
      <c r="H39" t="str">
        <f t="shared" si="7"/>
        <v xml:space="preserve">Ready mix concrete </v>
      </c>
      <c r="I39" t="str">
        <f t="shared" si="8"/>
        <v xml:space="preserve">14% Limestone replacement - C28/35 </v>
      </c>
      <c r="J39" t="str">
        <f t="shared" si="9"/>
        <v xml:space="preserve">Ready mix concrete 14% Limestone replacement - C28/35 </v>
      </c>
      <c r="K39" t="str">
        <f>IF('Emissions Factors'!E41="","",'Emissions Factors'!E41)</f>
        <v>m3</v>
      </c>
      <c r="L39" t="str">
        <f>IF('Emissions Factors'!F41="","",'Emissions Factors'!F41)</f>
        <v>Concrete</v>
      </c>
      <c r="M39">
        <f>IF('Emissions Factors'!G41="","",'Emissions Factors'!G41)</f>
        <v>0.10846002690249999</v>
      </c>
      <c r="N39" t="str">
        <f>IF('Emissions Factors'!H41="","",'Emissions Factors'!H41)</f>
        <v>tCO2e/t</v>
      </c>
      <c r="O39">
        <f>IF('[1]Emissions Factors'!I41="","",'[1]Emissions Factors'!I41)</f>
        <v>2.4</v>
      </c>
      <c r="P39" t="str">
        <f>IF('Emissions Factors'!J41="",'Emissions Factors'!F41,'Emissions Factors'!J41)</f>
        <v>Carbon factor taken directly from the ICE V4: Concrete &gt; 14% Limestone &gt; 28/35 mpa.</v>
      </c>
      <c r="R39">
        <v>1</v>
      </c>
      <c r="U39">
        <f t="shared" si="10"/>
        <v>19</v>
      </c>
      <c r="V39">
        <f t="shared" si="11"/>
        <v>35</v>
      </c>
    </row>
    <row r="40" spans="1:22" x14ac:dyDescent="0.3">
      <c r="A40">
        <f>'Emissions Factors'!A42</f>
        <v>0</v>
      </c>
      <c r="B40">
        <f>'Emissions Factors'!B42</f>
        <v>0</v>
      </c>
      <c r="C40">
        <f>'Emissions Factors'!C42</f>
        <v>0</v>
      </c>
      <c r="D40" t="str">
        <f>'Emissions Factors'!D42</f>
        <v xml:space="preserve">14% Limestone replacement - C32/40 </v>
      </c>
      <c r="G40" t="str">
        <f t="shared" si="6"/>
        <v>Bulk Materials</v>
      </c>
      <c r="H40" t="str">
        <f t="shared" si="7"/>
        <v xml:space="preserve">Ready mix concrete </v>
      </c>
      <c r="I40" t="str">
        <f t="shared" si="8"/>
        <v xml:space="preserve">14% Limestone replacement - C32/40 </v>
      </c>
      <c r="J40" t="str">
        <f t="shared" si="9"/>
        <v xml:space="preserve">Ready mix concrete 14% Limestone replacement - C32/40 </v>
      </c>
      <c r="K40" t="str">
        <f>IF('Emissions Factors'!E42="","",'Emissions Factors'!E42)</f>
        <v>m3</v>
      </c>
      <c r="L40" t="str">
        <f>IF('Emissions Factors'!F42="","",'Emissions Factors'!F42)</f>
        <v>Concrete</v>
      </c>
      <c r="M40">
        <f>IF('Emissions Factors'!G42="","",'Emissions Factors'!G42)</f>
        <v>0.11899572120750002</v>
      </c>
      <c r="N40" t="str">
        <f>IF('Emissions Factors'!H42="","",'Emissions Factors'!H42)</f>
        <v>tCO2e/t</v>
      </c>
      <c r="O40">
        <f>IF('[1]Emissions Factors'!I42="","",'[1]Emissions Factors'!I42)</f>
        <v>2.4</v>
      </c>
      <c r="P40" t="str">
        <f>IF('Emissions Factors'!J42="",'Emissions Factors'!F42,'Emissions Factors'!J42)</f>
        <v>Carbon factor taken directly from the ICE V4: Concrete &gt; 14% Limestone &gt; 32/40 mpa.</v>
      </c>
      <c r="R40">
        <v>1</v>
      </c>
      <c r="U40">
        <f t="shared" si="10"/>
        <v>19</v>
      </c>
      <c r="V40">
        <f t="shared" si="11"/>
        <v>35</v>
      </c>
    </row>
    <row r="41" spans="1:22" x14ac:dyDescent="0.3">
      <c r="A41">
        <f>'Emissions Factors'!A43</f>
        <v>0</v>
      </c>
      <c r="B41">
        <f>'Emissions Factors'!B43</f>
        <v>0</v>
      </c>
      <c r="C41">
        <f>'Emissions Factors'!C43</f>
        <v>0</v>
      </c>
      <c r="D41" t="str">
        <f>'Emissions Factors'!D43</f>
        <v>14% Limestone replacement - C35/45</v>
      </c>
      <c r="G41" t="str">
        <f t="shared" si="6"/>
        <v>Bulk Materials</v>
      </c>
      <c r="H41" t="str">
        <f t="shared" si="7"/>
        <v xml:space="preserve">Ready mix concrete </v>
      </c>
      <c r="I41" t="str">
        <f t="shared" si="8"/>
        <v>14% Limestone replacement - C35/45</v>
      </c>
      <c r="J41" t="str">
        <f t="shared" si="9"/>
        <v>Ready mix concrete 14% Limestone replacement - C35/45</v>
      </c>
      <c r="K41" t="str">
        <f>IF('Emissions Factors'!E43="","",'Emissions Factors'!E43)</f>
        <v>m3</v>
      </c>
      <c r="L41" t="str">
        <f>IF('Emissions Factors'!F43="","",'Emissions Factors'!F43)</f>
        <v>Concrete</v>
      </c>
      <c r="M41">
        <f>IF('Emissions Factors'!G43="","",'Emissions Factors'!G43)</f>
        <v>0.12952895406675</v>
      </c>
      <c r="N41" t="str">
        <f>IF('Emissions Factors'!H43="","",'Emissions Factors'!H43)</f>
        <v>tCO2e/t</v>
      </c>
      <c r="O41">
        <f>IF('[1]Emissions Factors'!I43="","",'[1]Emissions Factors'!I43)</f>
        <v>2.4</v>
      </c>
      <c r="P41" t="str">
        <f>IF('Emissions Factors'!J43="",'Emissions Factors'!F43,'Emissions Factors'!J43)</f>
        <v>Carbon factor taken directly from the ICE V4: Concrete &gt; 14% Limestone &gt; 35/45 mpa.</v>
      </c>
      <c r="R41">
        <v>1</v>
      </c>
      <c r="U41">
        <f t="shared" si="10"/>
        <v>19</v>
      </c>
      <c r="V41">
        <f t="shared" si="11"/>
        <v>34</v>
      </c>
    </row>
    <row r="42" spans="1:22" x14ac:dyDescent="0.3">
      <c r="A42">
        <f>'Emissions Factors'!A44</f>
        <v>0</v>
      </c>
      <c r="B42">
        <f>'Emissions Factors'!B44</f>
        <v>0</v>
      </c>
      <c r="C42">
        <f>'Emissions Factors'!C44</f>
        <v>0</v>
      </c>
      <c r="D42" t="str">
        <f>'Emissions Factors'!D44</f>
        <v xml:space="preserve">14% Limestone replacement - C40/50 </v>
      </c>
      <c r="G42" t="str">
        <f t="shared" si="6"/>
        <v>Bulk Materials</v>
      </c>
      <c r="H42" t="str">
        <f t="shared" si="7"/>
        <v xml:space="preserve">Ready mix concrete </v>
      </c>
      <c r="I42" t="str">
        <f t="shared" si="8"/>
        <v xml:space="preserve">14% Limestone replacement - C40/50 </v>
      </c>
      <c r="J42" t="str">
        <f t="shared" si="9"/>
        <v xml:space="preserve">Ready mix concrete 14% Limestone replacement - C40/50 </v>
      </c>
      <c r="K42" t="str">
        <f>IF('Emissions Factors'!E44="","",'Emissions Factors'!E44)</f>
        <v>m3</v>
      </c>
      <c r="L42" t="str">
        <f>IF('Emissions Factors'!F44="","",'Emissions Factors'!F44)</f>
        <v>Concrete</v>
      </c>
      <c r="M42">
        <f>IF('Emissions Factors'!G44="","",'Emissions Factors'!G44)</f>
        <v>0.141114412498374</v>
      </c>
      <c r="N42" t="str">
        <f>IF('Emissions Factors'!H44="","",'Emissions Factors'!H44)</f>
        <v>tCO2e/t</v>
      </c>
      <c r="O42">
        <f>IF('[1]Emissions Factors'!I44="","",'[1]Emissions Factors'!I44)</f>
        <v>2.4</v>
      </c>
      <c r="P42" t="str">
        <f>IF('Emissions Factors'!J44="",'Emissions Factors'!F44,'Emissions Factors'!J44)</f>
        <v>Carbon factor taken directly from the ICE V4: Concrete &gt; 14% Limestone &gt; 40/50 mpa.</v>
      </c>
      <c r="R42">
        <v>1</v>
      </c>
      <c r="U42">
        <f t="shared" si="10"/>
        <v>19</v>
      </c>
      <c r="V42">
        <f t="shared" si="11"/>
        <v>35</v>
      </c>
    </row>
    <row r="43" spans="1:22" x14ac:dyDescent="0.3">
      <c r="A43">
        <f>'Emissions Factors'!A45</f>
        <v>0</v>
      </c>
      <c r="B43">
        <f>'Emissions Factors'!B45</f>
        <v>0</v>
      </c>
      <c r="C43">
        <f>'Emissions Factors'!C45</f>
        <v>0</v>
      </c>
      <c r="D43" t="str">
        <f>'Emissions Factors'!D45</f>
        <v>35% natural pozzolanic ash replacement - C6/8 (Gen 0)</v>
      </c>
      <c r="G43" t="str">
        <f t="shared" si="6"/>
        <v>Bulk Materials</v>
      </c>
      <c r="H43" t="str">
        <f t="shared" si="7"/>
        <v xml:space="preserve">Ready mix concrete </v>
      </c>
      <c r="I43" t="str">
        <f t="shared" si="8"/>
        <v>35% natural pozzolanic ash replacement - C6/8 (Gen 0)</v>
      </c>
      <c r="J43" t="str">
        <f t="shared" si="9"/>
        <v>Ready mix concrete 35% natural pozzolanic ash replacement - C6/8 (Gen 0)</v>
      </c>
      <c r="K43" t="str">
        <f>IF('Emissions Factors'!E45="","",'Emissions Factors'!E45)</f>
        <v>m3</v>
      </c>
      <c r="L43" t="str">
        <f>IF('Emissions Factors'!F45="","",'Emissions Factors'!F45)</f>
        <v>Concrete</v>
      </c>
      <c r="M43">
        <f>IF('Emissions Factors'!G45="","",'Emissions Factors'!G45)</f>
        <v>5.1638866373037981E-2</v>
      </c>
      <c r="N43" t="str">
        <f>IF('Emissions Factors'!H45="","",'Emissions Factors'!H45)</f>
        <v>tCO2e/t</v>
      </c>
      <c r="O43">
        <f>IF('[1]Emissions Factors'!I45="","",'[1]Emissions Factors'!I45)</f>
        <v>2.4</v>
      </c>
      <c r="P43" t="str">
        <f>IF('Emissions Factors'!J45="",'Emissions Factors'!F45,'Emissions Factors'!J45)</f>
        <v>Carbon factor taken directly from the ICE V4: Concrete &gt; 35% NPA &gt; Gen 0</v>
      </c>
      <c r="R43">
        <v>1</v>
      </c>
      <c r="U43">
        <f t="shared" si="10"/>
        <v>19</v>
      </c>
      <c r="V43">
        <f t="shared" si="11"/>
        <v>53</v>
      </c>
    </row>
    <row r="44" spans="1:22" x14ac:dyDescent="0.3">
      <c r="A44">
        <f>'Emissions Factors'!A46</f>
        <v>0</v>
      </c>
      <c r="B44">
        <f>'Emissions Factors'!B46</f>
        <v>0</v>
      </c>
      <c r="C44">
        <f>'Emissions Factors'!C46</f>
        <v>0</v>
      </c>
      <c r="D44" t="str">
        <f>'Emissions Factors'!D46</f>
        <v>35% natural pozzolanic ash replacement - C8/10 (Gen 1)</v>
      </c>
      <c r="G44" t="str">
        <f t="shared" si="6"/>
        <v>Bulk Materials</v>
      </c>
      <c r="H44" t="str">
        <f t="shared" si="7"/>
        <v xml:space="preserve">Ready mix concrete </v>
      </c>
      <c r="I44" t="str">
        <f t="shared" si="8"/>
        <v>35% natural pozzolanic ash replacement - C8/10 (Gen 1)</v>
      </c>
      <c r="J44" t="str">
        <f t="shared" si="9"/>
        <v>Ready mix concrete 35% natural pozzolanic ash replacement - C8/10 (Gen 1)</v>
      </c>
      <c r="K44" t="str">
        <f>IF('Emissions Factors'!E46="","",'Emissions Factors'!E46)</f>
        <v>m3</v>
      </c>
      <c r="L44" t="str">
        <f>IF('Emissions Factors'!F46="","",'Emissions Factors'!F46)</f>
        <v>Concrete</v>
      </c>
      <c r="M44">
        <f>IF('Emissions Factors'!G46="","",'Emissions Factors'!G46)</f>
        <v>7.0050147460755885E-2</v>
      </c>
      <c r="N44" t="str">
        <f>IF('Emissions Factors'!H46="","",'Emissions Factors'!H46)</f>
        <v>tCO2e/t</v>
      </c>
      <c r="O44">
        <f>IF('[1]Emissions Factors'!I46="","",'[1]Emissions Factors'!I46)</f>
        <v>2.4</v>
      </c>
      <c r="P44" t="str">
        <f>IF('Emissions Factors'!J46="",'Emissions Factors'!F46,'Emissions Factors'!J46)</f>
        <v>Carbon factor taken directly from the ICE V4: Concrete &gt; 35% NPA &gt; Gen 1</v>
      </c>
      <c r="R44">
        <v>1</v>
      </c>
      <c r="U44">
        <f t="shared" si="10"/>
        <v>19</v>
      </c>
      <c r="V44">
        <f t="shared" si="11"/>
        <v>54</v>
      </c>
    </row>
    <row r="45" spans="1:22" x14ac:dyDescent="0.3">
      <c r="A45">
        <f>'Emissions Factors'!A47</f>
        <v>0</v>
      </c>
      <c r="B45">
        <f>'Emissions Factors'!B47</f>
        <v>0</v>
      </c>
      <c r="C45">
        <f>'Emissions Factors'!C47</f>
        <v>0</v>
      </c>
      <c r="D45" t="str">
        <f>'Emissions Factors'!D47</f>
        <v>35% natural pozzolanic ash replacement - C12/15 (Gen 2)</v>
      </c>
      <c r="G45" t="str">
        <f t="shared" si="6"/>
        <v>Bulk Materials</v>
      </c>
      <c r="H45" t="str">
        <f t="shared" si="7"/>
        <v xml:space="preserve">Ready mix concrete </v>
      </c>
      <c r="I45" t="str">
        <f t="shared" si="8"/>
        <v>35% natural pozzolanic ash replacement - C12/15 (Gen 2)</v>
      </c>
      <c r="J45" t="str">
        <f t="shared" si="9"/>
        <v>Ready mix concrete 35% natural pozzolanic ash replacement - C12/15 (Gen 2)</v>
      </c>
      <c r="K45" t="str">
        <f>IF('Emissions Factors'!E47="","",'Emissions Factors'!E47)</f>
        <v>m3</v>
      </c>
      <c r="L45" t="str">
        <f>IF('Emissions Factors'!F47="","",'Emissions Factors'!F47)</f>
        <v>Concrete</v>
      </c>
      <c r="M45">
        <f>IF('Emissions Factors'!G47="","",'Emissions Factors'!G47)</f>
        <v>7.5333619691037995E-2</v>
      </c>
      <c r="N45" t="str">
        <f>IF('Emissions Factors'!H47="","",'Emissions Factors'!H47)</f>
        <v>tCO2e/t</v>
      </c>
      <c r="O45">
        <f>IF('[1]Emissions Factors'!I47="","",'[1]Emissions Factors'!I47)</f>
        <v>2.4</v>
      </c>
      <c r="P45" t="str">
        <f>IF('Emissions Factors'!J47="",'Emissions Factors'!F47,'Emissions Factors'!J47)</f>
        <v xml:space="preserve">Carbon factor taken directly from the ICE V4: Concrete &gt; 35% NPA &gt; Gen 2 </v>
      </c>
      <c r="R45">
        <v>1</v>
      </c>
      <c r="U45">
        <f t="shared" si="10"/>
        <v>19</v>
      </c>
      <c r="V45">
        <f t="shared" si="11"/>
        <v>55</v>
      </c>
    </row>
    <row r="46" spans="1:22" x14ac:dyDescent="0.3">
      <c r="A46">
        <f>'Emissions Factors'!A48</f>
        <v>0</v>
      </c>
      <c r="B46">
        <f>'Emissions Factors'!B48</f>
        <v>0</v>
      </c>
      <c r="C46">
        <f>'Emissions Factors'!C48</f>
        <v>0</v>
      </c>
      <c r="D46" t="str">
        <f>'Emissions Factors'!D48</f>
        <v>35% natural pozzolanic ash replacement - C16/20 (Gen 3)</v>
      </c>
      <c r="G46" t="str">
        <f t="shared" si="6"/>
        <v>Bulk Materials</v>
      </c>
      <c r="H46" t="str">
        <f t="shared" si="7"/>
        <v xml:space="preserve">Ready mix concrete </v>
      </c>
      <c r="I46" t="str">
        <f t="shared" si="8"/>
        <v>35% natural pozzolanic ash replacement - C16/20 (Gen 3)</v>
      </c>
      <c r="J46" t="str">
        <f t="shared" si="9"/>
        <v>Ready mix concrete 35% natural pozzolanic ash replacement - C16/20 (Gen 3)</v>
      </c>
      <c r="K46" t="str">
        <f>IF('Emissions Factors'!E48="","",'Emissions Factors'!E48)</f>
        <v>m3</v>
      </c>
      <c r="L46" t="str">
        <f>IF('Emissions Factors'!F48="","",'Emissions Factors'!F48)</f>
        <v>Concrete</v>
      </c>
      <c r="M46">
        <f>IF('Emissions Factors'!G48="","",'Emissions Factors'!G48)</f>
        <v>8.0625874370362866E-2</v>
      </c>
      <c r="N46" t="str">
        <f>IF('Emissions Factors'!H48="","",'Emissions Factors'!H48)</f>
        <v>tCO2e/t</v>
      </c>
      <c r="O46">
        <f>IF('[1]Emissions Factors'!I48="","",'[1]Emissions Factors'!I48)</f>
        <v>2.4</v>
      </c>
      <c r="P46" t="str">
        <f>IF('Emissions Factors'!J48="",'Emissions Factors'!F48,'Emissions Factors'!J48)</f>
        <v>Carbon factor taken directly from the ICE V4: Concrete &gt; 35% NPA &gt; Gen 3</v>
      </c>
      <c r="R46">
        <v>1</v>
      </c>
      <c r="U46">
        <f t="shared" si="10"/>
        <v>19</v>
      </c>
      <c r="V46">
        <f t="shared" si="11"/>
        <v>55</v>
      </c>
    </row>
    <row r="47" spans="1:22" x14ac:dyDescent="0.3">
      <c r="A47">
        <f>'Emissions Factors'!A49</f>
        <v>0</v>
      </c>
      <c r="B47">
        <f>'Emissions Factors'!B49</f>
        <v>0</v>
      </c>
      <c r="C47">
        <f>'Emissions Factors'!C49</f>
        <v>0</v>
      </c>
      <c r="D47" t="str">
        <f>'Emissions Factors'!D49</f>
        <v xml:space="preserve">35% natural pozzolanic ash replacement - C20/25 </v>
      </c>
      <c r="G47" t="str">
        <f t="shared" si="6"/>
        <v>Bulk Materials</v>
      </c>
      <c r="H47" t="str">
        <f t="shared" si="7"/>
        <v xml:space="preserve">Ready mix concrete </v>
      </c>
      <c r="I47" t="str">
        <f t="shared" si="8"/>
        <v xml:space="preserve">35% natural pozzolanic ash replacement - C20/25 </v>
      </c>
      <c r="J47" t="str">
        <f t="shared" si="9"/>
        <v xml:space="preserve">Ready mix concrete 35% natural pozzolanic ash replacement - C20/25 </v>
      </c>
      <c r="K47" t="str">
        <f>IF('Emissions Factors'!E49="","",'Emissions Factors'!E49)</f>
        <v>m3</v>
      </c>
      <c r="L47" t="str">
        <f>IF('Emissions Factors'!F49="","",'Emissions Factors'!F49)</f>
        <v>Concrete</v>
      </c>
      <c r="M47">
        <f>IF('Emissions Factors'!G49="","",'Emissions Factors'!G49)</f>
        <v>8.7005152427962196E-2</v>
      </c>
      <c r="N47" t="str">
        <f>IF('Emissions Factors'!H49="","",'Emissions Factors'!H49)</f>
        <v>tCO2e/t</v>
      </c>
      <c r="O47">
        <f>IF('[1]Emissions Factors'!I49="","",'[1]Emissions Factors'!I49)</f>
        <v>2.4</v>
      </c>
      <c r="P47" t="str">
        <f>IF('Emissions Factors'!J49="",'Emissions Factors'!F49,'Emissions Factors'!J49)</f>
        <v>Carbon factor taken directly from the ICE V4: Concrete &gt; 35% NPA &gt; 20/25 mpa.</v>
      </c>
      <c r="R47">
        <v>1</v>
      </c>
      <c r="U47">
        <f t="shared" si="10"/>
        <v>19</v>
      </c>
      <c r="V47">
        <f t="shared" si="11"/>
        <v>48</v>
      </c>
    </row>
    <row r="48" spans="1:22" x14ac:dyDescent="0.3">
      <c r="A48">
        <f>'Emissions Factors'!A50</f>
        <v>0</v>
      </c>
      <c r="B48">
        <f>'Emissions Factors'!B50</f>
        <v>0</v>
      </c>
      <c r="C48">
        <f>'Emissions Factors'!C50</f>
        <v>0</v>
      </c>
      <c r="D48" t="str">
        <f>'Emissions Factors'!D50</f>
        <v xml:space="preserve">35% natural pozzolanic ash replacement - C25/30 </v>
      </c>
      <c r="G48" t="str">
        <f t="shared" si="6"/>
        <v>Bulk Materials</v>
      </c>
      <c r="H48" t="str">
        <f t="shared" si="7"/>
        <v xml:space="preserve">Ready mix concrete </v>
      </c>
      <c r="I48" t="str">
        <f t="shared" si="8"/>
        <v xml:space="preserve">35% natural pozzolanic ash replacement - C25/30 </v>
      </c>
      <c r="J48" t="str">
        <f t="shared" si="9"/>
        <v xml:space="preserve">Ready mix concrete 35% natural pozzolanic ash replacement - C25/30 </v>
      </c>
      <c r="K48" t="str">
        <f>IF('Emissions Factors'!E50="","",'Emissions Factors'!E50)</f>
        <v>m3</v>
      </c>
      <c r="L48" t="str">
        <f>IF('Emissions Factors'!F50="","",'Emissions Factors'!F50)</f>
        <v>Concrete</v>
      </c>
      <c r="M48">
        <f>IF('Emissions Factors'!G50="","",'Emissions Factors'!G50)</f>
        <v>9.2281169224327747E-2</v>
      </c>
      <c r="N48" t="str">
        <f>IF('Emissions Factors'!H50="","",'Emissions Factors'!H50)</f>
        <v>tCO2e/t</v>
      </c>
      <c r="O48">
        <f>IF('[1]Emissions Factors'!I50="","",'[1]Emissions Factors'!I50)</f>
        <v>2.4</v>
      </c>
      <c r="P48" t="str">
        <f>IF('Emissions Factors'!J50="",'Emissions Factors'!F50,'Emissions Factors'!J50)</f>
        <v>Carbon factor taken directly from the ICE V4: Concrete &gt; 35% NPA &gt; 25/30 mpa.</v>
      </c>
      <c r="R48">
        <v>1</v>
      </c>
      <c r="U48">
        <f t="shared" si="10"/>
        <v>19</v>
      </c>
      <c r="V48">
        <f t="shared" si="11"/>
        <v>48</v>
      </c>
    </row>
    <row r="49" spans="1:22" x14ac:dyDescent="0.3">
      <c r="A49">
        <f>'Emissions Factors'!A51</f>
        <v>0</v>
      </c>
      <c r="B49">
        <f>'Emissions Factors'!B51</f>
        <v>0</v>
      </c>
      <c r="C49">
        <f>'Emissions Factors'!C51</f>
        <v>0</v>
      </c>
      <c r="D49" t="str">
        <f>'Emissions Factors'!D51</f>
        <v xml:space="preserve">35% natural pozzolanic ash replacement - C28/35 </v>
      </c>
      <c r="G49" t="str">
        <f t="shared" si="6"/>
        <v>Bulk Materials</v>
      </c>
      <c r="H49" t="str">
        <f t="shared" si="7"/>
        <v xml:space="preserve">Ready mix concrete </v>
      </c>
      <c r="I49" t="str">
        <f t="shared" si="8"/>
        <v xml:space="preserve">35% natural pozzolanic ash replacement - C28/35 </v>
      </c>
      <c r="J49" t="str">
        <f t="shared" si="9"/>
        <v xml:space="preserve">Ready mix concrete 35% natural pozzolanic ash replacement - C28/35 </v>
      </c>
      <c r="K49" t="str">
        <f>IF('Emissions Factors'!E51="","",'Emissions Factors'!E51)</f>
        <v>m3</v>
      </c>
      <c r="L49" t="str">
        <f>IF('Emissions Factors'!F51="","",'Emissions Factors'!F51)</f>
        <v>Concrete</v>
      </c>
      <c r="M49">
        <f>IF('Emissions Factors'!G51="","",'Emissions Factors'!G51)</f>
        <v>9.7850839605882353E-2</v>
      </c>
      <c r="N49" t="str">
        <f>IF('Emissions Factors'!H51="","",'Emissions Factors'!H51)</f>
        <v>tCO2e/t</v>
      </c>
      <c r="O49">
        <f>IF('[1]Emissions Factors'!I51="","",'[1]Emissions Factors'!I51)</f>
        <v>2.4</v>
      </c>
      <c r="P49" t="str">
        <f>IF('Emissions Factors'!J51="",'Emissions Factors'!F51,'Emissions Factors'!J51)</f>
        <v>Carbon factor taken directly from the ICE V4: Concrete &gt; 35% NPA &gt; 28/35 mpa.</v>
      </c>
      <c r="R49">
        <v>1</v>
      </c>
      <c r="U49">
        <f t="shared" si="10"/>
        <v>19</v>
      </c>
      <c r="V49">
        <f t="shared" si="11"/>
        <v>48</v>
      </c>
    </row>
    <row r="50" spans="1:22" x14ac:dyDescent="0.3">
      <c r="A50">
        <f>'Emissions Factors'!A52</f>
        <v>0</v>
      </c>
      <c r="B50">
        <f>'Emissions Factors'!B52</f>
        <v>0</v>
      </c>
      <c r="C50">
        <f>'Emissions Factors'!C52</f>
        <v>0</v>
      </c>
      <c r="D50" t="str">
        <f>'Emissions Factors'!D52</f>
        <v xml:space="preserve">35% natural pozzolanic ash replacement - C32/40 </v>
      </c>
      <c r="G50" t="str">
        <f t="shared" si="6"/>
        <v>Bulk Materials</v>
      </c>
      <c r="H50" t="str">
        <f t="shared" si="7"/>
        <v xml:space="preserve">Ready mix concrete </v>
      </c>
      <c r="I50" t="str">
        <f t="shared" si="8"/>
        <v xml:space="preserve">35% natural pozzolanic ash replacement - C32/40 </v>
      </c>
      <c r="J50" t="str">
        <f t="shared" si="9"/>
        <v xml:space="preserve">Ready mix concrete 35% natural pozzolanic ash replacement - C32/40 </v>
      </c>
      <c r="K50" t="str">
        <f>IF('Emissions Factors'!E52="","",'Emissions Factors'!E52)</f>
        <v>m3</v>
      </c>
      <c r="L50" t="str">
        <f>IF('Emissions Factors'!F52="","",'Emissions Factors'!F52)</f>
        <v>Concrete</v>
      </c>
      <c r="M50">
        <f>IF('Emissions Factors'!G52="","",'Emissions Factors'!G52)</f>
        <v>0.10813692370336135</v>
      </c>
      <c r="N50" t="str">
        <f>IF('Emissions Factors'!H52="","",'Emissions Factors'!H52)</f>
        <v>tCO2e/t</v>
      </c>
      <c r="O50">
        <f>IF('[1]Emissions Factors'!I52="","",'[1]Emissions Factors'!I52)</f>
        <v>2.4</v>
      </c>
      <c r="P50" t="str">
        <f>IF('Emissions Factors'!J52="",'Emissions Factors'!F52,'Emissions Factors'!J52)</f>
        <v>Carbon factor taken directly from the ICE V4: Concrete &gt; 35% NPA &gt; 32/40 mpa.</v>
      </c>
      <c r="R50">
        <v>1</v>
      </c>
      <c r="U50">
        <f t="shared" si="10"/>
        <v>19</v>
      </c>
      <c r="V50">
        <f t="shared" si="11"/>
        <v>48</v>
      </c>
    </row>
    <row r="51" spans="1:22" x14ac:dyDescent="0.3">
      <c r="A51">
        <f>'Emissions Factors'!A53</f>
        <v>0</v>
      </c>
      <c r="B51">
        <f>'Emissions Factors'!B53</f>
        <v>0</v>
      </c>
      <c r="C51">
        <f>'Emissions Factors'!C53</f>
        <v>0</v>
      </c>
      <c r="D51" t="str">
        <f>'Emissions Factors'!D53</f>
        <v>35% natural pozzolanic ash replacement - C35/45</v>
      </c>
      <c r="G51" t="str">
        <f t="shared" si="6"/>
        <v>Bulk Materials</v>
      </c>
      <c r="H51" t="str">
        <f t="shared" si="7"/>
        <v xml:space="preserve">Ready mix concrete </v>
      </c>
      <c r="I51" t="str">
        <f t="shared" si="8"/>
        <v>35% natural pozzolanic ash replacement - C35/45</v>
      </c>
      <c r="J51" t="str">
        <f t="shared" si="9"/>
        <v>Ready mix concrete 35% natural pozzolanic ash replacement - C35/45</v>
      </c>
      <c r="K51" t="str">
        <f>IF('Emissions Factors'!E53="","",'Emissions Factors'!E53)</f>
        <v>m3</v>
      </c>
      <c r="L51" t="str">
        <f>IF('Emissions Factors'!F53="","",'Emissions Factors'!F53)</f>
        <v>Concrete</v>
      </c>
      <c r="M51">
        <f>IF('Emissions Factors'!G53="","",'Emissions Factors'!G53)</f>
        <v>0.11461794314826301</v>
      </c>
      <c r="N51" t="str">
        <f>IF('Emissions Factors'!H53="","",'Emissions Factors'!H53)</f>
        <v>tCO2e/t</v>
      </c>
      <c r="O51">
        <f>IF('[1]Emissions Factors'!I53="","",'[1]Emissions Factors'!I53)</f>
        <v>2.4</v>
      </c>
      <c r="P51" t="str">
        <f>IF('Emissions Factors'!J53="",'Emissions Factors'!F53,'Emissions Factors'!J53)</f>
        <v>Carbon factor taken directly from the ICE V4: Concrete &gt; 35% NPA &gt; 35/45 mpa.</v>
      </c>
      <c r="R51">
        <v>1</v>
      </c>
      <c r="U51">
        <f t="shared" si="10"/>
        <v>19</v>
      </c>
      <c r="V51">
        <f t="shared" si="11"/>
        <v>47</v>
      </c>
    </row>
    <row r="52" spans="1:22" x14ac:dyDescent="0.3">
      <c r="A52">
        <f>'Emissions Factors'!A54</f>
        <v>0</v>
      </c>
      <c r="B52">
        <f>'Emissions Factors'!B54</f>
        <v>0</v>
      </c>
      <c r="C52">
        <f>'Emissions Factors'!C54</f>
        <v>0</v>
      </c>
      <c r="D52" t="str">
        <f>'Emissions Factors'!D54</f>
        <v xml:space="preserve">35% natural pozzolanic ash replacement - C40/50 </v>
      </c>
      <c r="G52" t="str">
        <f t="shared" si="6"/>
        <v>Bulk Materials</v>
      </c>
      <c r="H52" t="str">
        <f t="shared" si="7"/>
        <v xml:space="preserve">Ready mix concrete </v>
      </c>
      <c r="I52" t="str">
        <f t="shared" si="8"/>
        <v xml:space="preserve">35% natural pozzolanic ash replacement - C40/50 </v>
      </c>
      <c r="J52" t="str">
        <f t="shared" si="9"/>
        <v xml:space="preserve">Ready mix concrete 35% natural pozzolanic ash replacement - C40/50 </v>
      </c>
      <c r="K52" t="str">
        <f>IF('Emissions Factors'!E54="","",'Emissions Factors'!E54)</f>
        <v>m3</v>
      </c>
      <c r="L52" t="str">
        <f>IF('Emissions Factors'!F54="","",'Emissions Factors'!F54)</f>
        <v>Concrete</v>
      </c>
      <c r="M52">
        <f>IF('Emissions Factors'!G54="","",'Emissions Factors'!G54)</f>
        <v>0.12245617649812941</v>
      </c>
      <c r="N52" t="str">
        <f>IF('Emissions Factors'!H54="","",'Emissions Factors'!H54)</f>
        <v>tCO2e/t</v>
      </c>
      <c r="O52">
        <f>IF('[1]Emissions Factors'!I54="","",'[1]Emissions Factors'!I54)</f>
        <v>2.4</v>
      </c>
      <c r="P52" t="str">
        <f>IF('Emissions Factors'!J54="",'Emissions Factors'!F54,'Emissions Factors'!J54)</f>
        <v>Carbon factor taken directly from the ICE V4: Concrete &gt; 35% NPA &gt; 40/50 mpa.</v>
      </c>
      <c r="R52">
        <v>1</v>
      </c>
      <c r="U52">
        <f t="shared" si="10"/>
        <v>19</v>
      </c>
      <c r="V52">
        <f t="shared" si="11"/>
        <v>48</v>
      </c>
    </row>
    <row r="53" spans="1:22" x14ac:dyDescent="0.3">
      <c r="A53">
        <f>'Emissions Factors'!A55</f>
        <v>0</v>
      </c>
      <c r="B53">
        <f>'Emissions Factors'!B55</f>
        <v>0</v>
      </c>
      <c r="C53">
        <f>'Emissions Factors'!C55</f>
        <v>0</v>
      </c>
      <c r="D53" t="str">
        <f>'Emissions Factors'!D55</f>
        <v>30% fly ash replacement - C6/8 (Gen 0)</v>
      </c>
      <c r="G53" t="str">
        <f t="shared" si="6"/>
        <v>Bulk Materials</v>
      </c>
      <c r="H53" t="str">
        <f t="shared" si="7"/>
        <v xml:space="preserve">Ready mix concrete </v>
      </c>
      <c r="I53" t="str">
        <f t="shared" si="8"/>
        <v>30% fly ash replacement - C6/8 (Gen 0)</v>
      </c>
      <c r="J53" t="str">
        <f t="shared" si="9"/>
        <v>Ready mix concrete 30% fly ash replacement - C6/8 (Gen 0)</v>
      </c>
      <c r="K53" t="str">
        <f>IF('Emissions Factors'!E55="","",'Emissions Factors'!E55)</f>
        <v>m3</v>
      </c>
      <c r="L53" t="str">
        <f>IF('Emissions Factors'!F55="","",'Emissions Factors'!F55)</f>
        <v>Concrete</v>
      </c>
      <c r="M53">
        <f>IF('Emissions Factors'!G55="","",'Emissions Factors'!G55)</f>
        <v>5.2510908033696208E-2</v>
      </c>
      <c r="N53" t="str">
        <f>IF('Emissions Factors'!H55="","",'Emissions Factors'!H55)</f>
        <v>tCO2e/t</v>
      </c>
      <c r="O53">
        <f>IF('[1]Emissions Factors'!I55="","",'[1]Emissions Factors'!I55)</f>
        <v>2.4</v>
      </c>
      <c r="P53" t="str">
        <f>IF('Emissions Factors'!J55="",'Emissions Factors'!F55,'Emissions Factors'!J55)</f>
        <v>Carbon factor taken directly from the ICE V4: Concrete &gt; 30% fly ash &gt; Gen 0</v>
      </c>
      <c r="R53">
        <v>1</v>
      </c>
      <c r="U53">
        <f t="shared" si="10"/>
        <v>19</v>
      </c>
      <c r="V53">
        <f t="shared" si="11"/>
        <v>38</v>
      </c>
    </row>
    <row r="54" spans="1:22" x14ac:dyDescent="0.3">
      <c r="A54">
        <f>'Emissions Factors'!A56</f>
        <v>0</v>
      </c>
      <c r="B54">
        <f>'Emissions Factors'!B56</f>
        <v>0</v>
      </c>
      <c r="C54">
        <f>'Emissions Factors'!C56</f>
        <v>0</v>
      </c>
      <c r="D54" t="str">
        <f>'Emissions Factors'!D56</f>
        <v>30% fly ash replacement - C8/10 (Gen 1)</v>
      </c>
      <c r="G54" t="str">
        <f t="shared" si="6"/>
        <v>Bulk Materials</v>
      </c>
      <c r="H54" t="str">
        <f t="shared" si="7"/>
        <v xml:space="preserve">Ready mix concrete </v>
      </c>
      <c r="I54" t="str">
        <f t="shared" si="8"/>
        <v>30% fly ash replacement - C8/10 (Gen 1)</v>
      </c>
      <c r="J54" t="str">
        <f t="shared" si="9"/>
        <v>Ready mix concrete 30% fly ash replacement - C8/10 (Gen 1)</v>
      </c>
      <c r="K54" t="str">
        <f>IF('Emissions Factors'!E56="","",'Emissions Factors'!E56)</f>
        <v>m3</v>
      </c>
      <c r="L54" t="str">
        <f>IF('Emissions Factors'!F56="","",'Emissions Factors'!F56)</f>
        <v>Concrete</v>
      </c>
      <c r="M54">
        <f>IF('Emissions Factors'!G56="","",'Emissions Factors'!G56)</f>
        <v>7.258674272536135E-2</v>
      </c>
      <c r="N54" t="str">
        <f>IF('Emissions Factors'!H56="","",'Emissions Factors'!H56)</f>
        <v>tCO2e/t</v>
      </c>
      <c r="O54">
        <f>IF('[1]Emissions Factors'!I56="","",'[1]Emissions Factors'!I56)</f>
        <v>2.4</v>
      </c>
      <c r="P54" t="str">
        <f>IF('Emissions Factors'!J56="",'Emissions Factors'!F56,'Emissions Factors'!J56)</f>
        <v>Carbon factor taken directly from the ICE V4: Concrete &gt; 30% fly ash &gt; Gen 1</v>
      </c>
      <c r="R54">
        <v>1</v>
      </c>
      <c r="U54">
        <f t="shared" si="10"/>
        <v>19</v>
      </c>
      <c r="V54">
        <f t="shared" si="11"/>
        <v>39</v>
      </c>
    </row>
    <row r="55" spans="1:22" x14ac:dyDescent="0.3">
      <c r="A55">
        <f>'Emissions Factors'!A57</f>
        <v>0</v>
      </c>
      <c r="B55">
        <f>'Emissions Factors'!B57</f>
        <v>0</v>
      </c>
      <c r="C55">
        <f>'Emissions Factors'!C57</f>
        <v>0</v>
      </c>
      <c r="D55" t="str">
        <f>'Emissions Factors'!D57</f>
        <v>30% fly ash replacement - C12/15 (Gen 2)</v>
      </c>
      <c r="G55" t="str">
        <f t="shared" si="6"/>
        <v>Bulk Materials</v>
      </c>
      <c r="H55" t="str">
        <f t="shared" si="7"/>
        <v xml:space="preserve">Ready mix concrete </v>
      </c>
      <c r="I55" t="str">
        <f t="shared" si="8"/>
        <v>30% fly ash replacement - C12/15 (Gen 2)</v>
      </c>
      <c r="J55" t="str">
        <f t="shared" si="9"/>
        <v>Ready mix concrete 30% fly ash replacement - C12/15 (Gen 2)</v>
      </c>
      <c r="K55" t="str">
        <f>IF('Emissions Factors'!E57="","",'Emissions Factors'!E57)</f>
        <v>m3</v>
      </c>
      <c r="L55" t="str">
        <f>IF('Emissions Factors'!F57="","",'Emissions Factors'!F57)</f>
        <v>Concrete</v>
      </c>
      <c r="M55">
        <f>IF('Emissions Factors'!G57="","",'Emissions Factors'!G57)</f>
        <v>7.9059197586207594E-2</v>
      </c>
      <c r="N55" t="str">
        <f>IF('Emissions Factors'!H57="","",'Emissions Factors'!H57)</f>
        <v>tCO2e/t</v>
      </c>
      <c r="O55">
        <f>IF('[1]Emissions Factors'!I57="","",'[1]Emissions Factors'!I57)</f>
        <v>2.4</v>
      </c>
      <c r="P55" t="str">
        <f>IF('Emissions Factors'!J57="",'Emissions Factors'!F57,'Emissions Factors'!J57)</f>
        <v xml:space="preserve">Carbon factor taken directly from the ICE V4: Concrete &gt; 30% fly ash &gt; Gen 2 </v>
      </c>
      <c r="R55">
        <v>1</v>
      </c>
      <c r="U55">
        <f t="shared" si="10"/>
        <v>19</v>
      </c>
      <c r="V55">
        <f t="shared" si="11"/>
        <v>40</v>
      </c>
    </row>
    <row r="56" spans="1:22" x14ac:dyDescent="0.3">
      <c r="A56">
        <f>'Emissions Factors'!A58</f>
        <v>0</v>
      </c>
      <c r="B56">
        <f>'Emissions Factors'!B58</f>
        <v>0</v>
      </c>
      <c r="C56">
        <f>'Emissions Factors'!C58</f>
        <v>0</v>
      </c>
      <c r="D56" t="str">
        <f>'Emissions Factors'!D58</f>
        <v>30% fly ash replacement - C16/20 (Gen 3)</v>
      </c>
      <c r="G56" t="str">
        <f t="shared" si="6"/>
        <v>Bulk Materials</v>
      </c>
      <c r="H56" t="str">
        <f t="shared" si="7"/>
        <v xml:space="preserve">Ready mix concrete </v>
      </c>
      <c r="I56" t="str">
        <f t="shared" si="8"/>
        <v>30% fly ash replacement - C16/20 (Gen 3)</v>
      </c>
      <c r="J56" t="str">
        <f t="shared" si="9"/>
        <v>Ready mix concrete 30% fly ash replacement - C16/20 (Gen 3)</v>
      </c>
      <c r="K56" t="str">
        <f>IF('Emissions Factors'!E58="","",'Emissions Factors'!E58)</f>
        <v>m3</v>
      </c>
      <c r="L56" t="str">
        <f>IF('Emissions Factors'!F58="","",'Emissions Factors'!F58)</f>
        <v>Concrete</v>
      </c>
      <c r="M56">
        <f>IF('Emissions Factors'!G58="","",'Emissions Factors'!G58)</f>
        <v>8.4660620936418546E-2</v>
      </c>
      <c r="N56" t="str">
        <f>IF('Emissions Factors'!H58="","",'Emissions Factors'!H58)</f>
        <v>tCO2e/t</v>
      </c>
      <c r="O56">
        <f>IF('[1]Emissions Factors'!I58="","",'[1]Emissions Factors'!I58)</f>
        <v>2.4</v>
      </c>
      <c r="P56" t="str">
        <f>IF('Emissions Factors'!J58="",'Emissions Factors'!F58,'Emissions Factors'!J58)</f>
        <v>Carbon factor taken directly from the ICE V4: Concrete &gt; 30% fly ash &gt; Gen 3</v>
      </c>
      <c r="R56">
        <v>1</v>
      </c>
      <c r="U56">
        <f t="shared" si="10"/>
        <v>19</v>
      </c>
      <c r="V56">
        <f t="shared" si="11"/>
        <v>40</v>
      </c>
    </row>
    <row r="57" spans="1:22" x14ac:dyDescent="0.3">
      <c r="A57">
        <f>'Emissions Factors'!A59</f>
        <v>0</v>
      </c>
      <c r="B57">
        <f>'Emissions Factors'!B59</f>
        <v>0</v>
      </c>
      <c r="C57">
        <f>'Emissions Factors'!C59</f>
        <v>0</v>
      </c>
      <c r="D57" t="str">
        <f>'Emissions Factors'!D59</f>
        <v xml:space="preserve">30% fly ash replacement - C20/25 </v>
      </c>
      <c r="G57" t="str">
        <f t="shared" si="6"/>
        <v>Bulk Materials</v>
      </c>
      <c r="H57" t="str">
        <f t="shared" si="7"/>
        <v xml:space="preserve">Ready mix concrete </v>
      </c>
      <c r="I57" t="str">
        <f t="shared" si="8"/>
        <v xml:space="preserve">30% fly ash replacement - C20/25 </v>
      </c>
      <c r="J57" t="str">
        <f t="shared" si="9"/>
        <v xml:space="preserve">Ready mix concrete 30% fly ash replacement - C20/25 </v>
      </c>
      <c r="K57" t="str">
        <f>IF('Emissions Factors'!E59="","",'Emissions Factors'!E59)</f>
        <v>m3</v>
      </c>
      <c r="L57" t="str">
        <f>IF('Emissions Factors'!F59="","",'Emissions Factors'!F59)</f>
        <v>Concrete</v>
      </c>
      <c r="M57">
        <f>IF('Emissions Factors'!G59="","",'Emissions Factors'!G59)</f>
        <v>9.1406442980634439E-2</v>
      </c>
      <c r="N57" t="str">
        <f>IF('Emissions Factors'!H59="","",'Emissions Factors'!H59)</f>
        <v>tCO2e/t</v>
      </c>
      <c r="O57">
        <f>IF('[1]Emissions Factors'!I59="","",'[1]Emissions Factors'!I59)</f>
        <v>2.4</v>
      </c>
      <c r="P57" t="str">
        <f>IF('Emissions Factors'!J59="",'Emissions Factors'!F59,'Emissions Factors'!J59)</f>
        <v>Carbon factor taken directly from the ICE V4: Concrete &gt; 30% fly ash &gt; 20/25 mpa.</v>
      </c>
      <c r="R57">
        <v>1</v>
      </c>
      <c r="U57">
        <f t="shared" si="10"/>
        <v>19</v>
      </c>
      <c r="V57">
        <f t="shared" si="11"/>
        <v>33</v>
      </c>
    </row>
    <row r="58" spans="1:22" x14ac:dyDescent="0.3">
      <c r="A58">
        <f>'Emissions Factors'!A60</f>
        <v>0</v>
      </c>
      <c r="B58">
        <f>'Emissions Factors'!B60</f>
        <v>0</v>
      </c>
      <c r="C58">
        <f>'Emissions Factors'!C60</f>
        <v>0</v>
      </c>
      <c r="D58" t="str">
        <f>'Emissions Factors'!D60</f>
        <v xml:space="preserve">30% fly ash replacement - C25/30 </v>
      </c>
      <c r="G58" t="str">
        <f t="shared" si="6"/>
        <v>Bulk Materials</v>
      </c>
      <c r="H58" t="str">
        <f t="shared" si="7"/>
        <v xml:space="preserve">Ready mix concrete </v>
      </c>
      <c r="I58" t="str">
        <f t="shared" si="8"/>
        <v xml:space="preserve">30% fly ash replacement - C25/30 </v>
      </c>
      <c r="J58" t="str">
        <f t="shared" si="9"/>
        <v xml:space="preserve">Ready mix concrete 30% fly ash replacement - C25/30 </v>
      </c>
      <c r="K58" t="str">
        <f>IF('Emissions Factors'!E60="","",'Emissions Factors'!E60)</f>
        <v>m3</v>
      </c>
      <c r="L58" t="str">
        <f>IF('Emissions Factors'!F60="","",'Emissions Factors'!F60)</f>
        <v>Concrete</v>
      </c>
      <c r="M58">
        <f>IF('Emissions Factors'!G60="","",'Emissions Factors'!G60)</f>
        <v>9.7075802526050414E-2</v>
      </c>
      <c r="N58" t="str">
        <f>IF('Emissions Factors'!H60="","",'Emissions Factors'!H60)</f>
        <v>tCO2e/t</v>
      </c>
      <c r="O58">
        <f>IF('[1]Emissions Factors'!I60="","",'[1]Emissions Factors'!I60)</f>
        <v>2.4</v>
      </c>
      <c r="P58" t="str">
        <f>IF('Emissions Factors'!J60="",'Emissions Factors'!F60,'Emissions Factors'!J60)</f>
        <v>Carbon factor taken directly from the ICE V4: Concrete &gt; 30% fly ash &gt; 25/30 mpa.</v>
      </c>
      <c r="R58">
        <v>1</v>
      </c>
      <c r="U58">
        <f t="shared" si="10"/>
        <v>19</v>
      </c>
      <c r="V58">
        <f t="shared" si="11"/>
        <v>33</v>
      </c>
    </row>
    <row r="59" spans="1:22" x14ac:dyDescent="0.3">
      <c r="A59">
        <f>'Emissions Factors'!A61</f>
        <v>0</v>
      </c>
      <c r="B59">
        <f>'Emissions Factors'!B61</f>
        <v>0</v>
      </c>
      <c r="C59">
        <f>'Emissions Factors'!C61</f>
        <v>0</v>
      </c>
      <c r="D59" t="str">
        <f>'Emissions Factors'!D61</f>
        <v xml:space="preserve">30% fly ash replacement - C28/35 </v>
      </c>
      <c r="G59" t="str">
        <f t="shared" si="6"/>
        <v>Bulk Materials</v>
      </c>
      <c r="H59" t="str">
        <f t="shared" si="7"/>
        <v xml:space="preserve">Ready mix concrete </v>
      </c>
      <c r="I59" t="str">
        <f t="shared" si="8"/>
        <v xml:space="preserve">30% fly ash replacement - C28/35 </v>
      </c>
      <c r="J59" t="str">
        <f t="shared" si="9"/>
        <v xml:space="preserve">Ready mix concrete 30% fly ash replacement - C28/35 </v>
      </c>
      <c r="K59" t="str">
        <f>IF('Emissions Factors'!E61="","",'Emissions Factors'!E61)</f>
        <v>m3</v>
      </c>
      <c r="L59" t="str">
        <f>IF('Emissions Factors'!F61="","",'Emissions Factors'!F61)</f>
        <v>Concrete</v>
      </c>
      <c r="M59">
        <f>IF('Emissions Factors'!G61="","",'Emissions Factors'!G61)</f>
        <v>0.1044800785764706</v>
      </c>
      <c r="N59" t="str">
        <f>IF('Emissions Factors'!H61="","",'Emissions Factors'!H61)</f>
        <v>tCO2e/t</v>
      </c>
      <c r="O59">
        <f>IF('[1]Emissions Factors'!I61="","",'[1]Emissions Factors'!I61)</f>
        <v>2.4</v>
      </c>
      <c r="P59" t="str">
        <f>IF('Emissions Factors'!J61="",'Emissions Factors'!F61,'Emissions Factors'!J61)</f>
        <v>Carbon factor taken directly from the ICE V4: Concrete &gt; 30% fly ash &gt; 28/35 mpa.</v>
      </c>
      <c r="R59">
        <v>1</v>
      </c>
      <c r="U59">
        <f t="shared" si="10"/>
        <v>19</v>
      </c>
      <c r="V59">
        <f t="shared" si="11"/>
        <v>33</v>
      </c>
    </row>
    <row r="60" spans="1:22" x14ac:dyDescent="0.3">
      <c r="A60">
        <f>'Emissions Factors'!A62</f>
        <v>0</v>
      </c>
      <c r="B60">
        <f>'Emissions Factors'!B62</f>
        <v>0</v>
      </c>
      <c r="C60">
        <f>'Emissions Factors'!C62</f>
        <v>0</v>
      </c>
      <c r="D60" t="str">
        <f>'Emissions Factors'!D62</f>
        <v xml:space="preserve">30% fly ash replacement - C32/40 </v>
      </c>
      <c r="G60" t="str">
        <f t="shared" si="6"/>
        <v>Bulk Materials</v>
      </c>
      <c r="H60" t="str">
        <f t="shared" si="7"/>
        <v xml:space="preserve">Ready mix concrete </v>
      </c>
      <c r="I60" t="str">
        <f t="shared" si="8"/>
        <v xml:space="preserve">30% fly ash replacement - C32/40 </v>
      </c>
      <c r="J60" t="str">
        <f t="shared" si="9"/>
        <v xml:space="preserve">Ready mix concrete 30% fly ash replacement - C32/40 </v>
      </c>
      <c r="K60" t="str">
        <f>IF('Emissions Factors'!E62="","",'Emissions Factors'!E62)</f>
        <v>m3</v>
      </c>
      <c r="L60" t="str">
        <f>IF('Emissions Factors'!F62="","",'Emissions Factors'!F62)</f>
        <v>Concrete</v>
      </c>
      <c r="M60">
        <f>IF('Emissions Factors'!G62="","",'Emissions Factors'!G62)</f>
        <v>0.11556167135042017</v>
      </c>
      <c r="N60" t="str">
        <f>IF('Emissions Factors'!H62="","",'Emissions Factors'!H62)</f>
        <v>tCO2e/t</v>
      </c>
      <c r="O60">
        <f>IF('[1]Emissions Factors'!I62="","",'[1]Emissions Factors'!I62)</f>
        <v>2.4</v>
      </c>
      <c r="P60" t="str">
        <f>IF('Emissions Factors'!J62="",'Emissions Factors'!F62,'Emissions Factors'!J62)</f>
        <v>Carbon factor taken directly from the ICE V4: Concrete &gt; 30% fly ash &gt; 32/40 mpa.</v>
      </c>
      <c r="R60">
        <v>1</v>
      </c>
      <c r="U60">
        <f t="shared" si="10"/>
        <v>19</v>
      </c>
      <c r="V60">
        <f t="shared" si="11"/>
        <v>33</v>
      </c>
    </row>
    <row r="61" spans="1:22" x14ac:dyDescent="0.3">
      <c r="A61">
        <f>'Emissions Factors'!A63</f>
        <v>0</v>
      </c>
      <c r="B61">
        <f>'Emissions Factors'!B63</f>
        <v>0</v>
      </c>
      <c r="C61">
        <f>'Emissions Factors'!C63</f>
        <v>0</v>
      </c>
      <c r="D61" t="str">
        <f>'Emissions Factors'!D63</f>
        <v>30% fly ash replacement - C35/45</v>
      </c>
      <c r="G61" t="str">
        <f t="shared" si="6"/>
        <v>Bulk Materials</v>
      </c>
      <c r="H61" t="str">
        <f t="shared" si="7"/>
        <v xml:space="preserve">Ready mix concrete </v>
      </c>
      <c r="I61" t="str">
        <f t="shared" si="8"/>
        <v>30% fly ash replacement - C35/45</v>
      </c>
      <c r="J61" t="str">
        <f t="shared" si="9"/>
        <v>Ready mix concrete 30% fly ash replacement - C35/45</v>
      </c>
      <c r="K61" t="str">
        <f>IF('Emissions Factors'!E63="","",'Emissions Factors'!E63)</f>
        <v>m3</v>
      </c>
      <c r="L61" t="str">
        <f>IF('Emissions Factors'!F63="","",'Emissions Factors'!F63)</f>
        <v>Concrete</v>
      </c>
      <c r="M61">
        <f>IF('Emissions Factors'!G63="","",'Emissions Factors'!G63)</f>
        <v>0.12254651295708655</v>
      </c>
      <c r="N61" t="str">
        <f>IF('Emissions Factors'!H63="","",'Emissions Factors'!H63)</f>
        <v>tCO2e/t</v>
      </c>
      <c r="O61">
        <f>IF('[1]Emissions Factors'!I63="","",'[1]Emissions Factors'!I63)</f>
        <v>2.4</v>
      </c>
      <c r="P61" t="str">
        <f>IF('Emissions Factors'!J63="",'Emissions Factors'!F63,'Emissions Factors'!J63)</f>
        <v>Carbon factor taken directly from the ICE V4: Concrete &gt; 30% fly ash &gt; 35/45 mpa.</v>
      </c>
      <c r="R61">
        <v>1</v>
      </c>
      <c r="U61">
        <f t="shared" si="10"/>
        <v>19</v>
      </c>
      <c r="V61">
        <f t="shared" si="11"/>
        <v>32</v>
      </c>
    </row>
    <row r="62" spans="1:22" x14ac:dyDescent="0.3">
      <c r="A62">
        <f>'Emissions Factors'!A64</f>
        <v>0</v>
      </c>
      <c r="B62">
        <f>'Emissions Factors'!B64</f>
        <v>0</v>
      </c>
      <c r="C62">
        <f>'Emissions Factors'!C64</f>
        <v>0</v>
      </c>
      <c r="D62" t="str">
        <f>'Emissions Factors'!D64</f>
        <v xml:space="preserve">30% fly ash replacement - C40/50 </v>
      </c>
      <c r="G62" t="str">
        <f t="shared" si="6"/>
        <v>Bulk Materials</v>
      </c>
      <c r="H62" t="str">
        <f t="shared" si="7"/>
        <v xml:space="preserve">Ready mix concrete </v>
      </c>
      <c r="I62" t="str">
        <f t="shared" si="8"/>
        <v xml:space="preserve">30% fly ash replacement - C40/50 </v>
      </c>
      <c r="J62" t="str">
        <f t="shared" si="9"/>
        <v xml:space="preserve">Ready mix concrete 30% fly ash replacement - C40/50 </v>
      </c>
      <c r="K62" t="str">
        <f>IF('Emissions Factors'!E64="","",'Emissions Factors'!E64)</f>
        <v>m3</v>
      </c>
      <c r="L62" t="str">
        <f>IF('Emissions Factors'!F64="","",'Emissions Factors'!F64)</f>
        <v>Concrete</v>
      </c>
      <c r="M62">
        <f>IF('Emissions Factors'!G64="","",'Emissions Factors'!G64)</f>
        <v>0.13099463629224706</v>
      </c>
      <c r="N62" t="str">
        <f>IF('Emissions Factors'!H64="","",'Emissions Factors'!H64)</f>
        <v>tCO2e/t</v>
      </c>
      <c r="O62">
        <f>IF('[1]Emissions Factors'!I64="","",'[1]Emissions Factors'!I64)</f>
        <v>2.4</v>
      </c>
      <c r="P62" t="str">
        <f>IF('Emissions Factors'!J64="",'Emissions Factors'!F64,'Emissions Factors'!J64)</f>
        <v>Carbon factor taken directly from the ICE V4: Concrete &gt; 30% fly ash &gt; 40/50 mpa.</v>
      </c>
      <c r="R62">
        <v>1</v>
      </c>
      <c r="U62">
        <f t="shared" si="10"/>
        <v>19</v>
      </c>
      <c r="V62">
        <f t="shared" si="11"/>
        <v>33</v>
      </c>
    </row>
    <row r="63" spans="1:22" x14ac:dyDescent="0.3">
      <c r="A63">
        <f>'Emissions Factors'!A65</f>
        <v>0</v>
      </c>
      <c r="B63">
        <f>'Emissions Factors'!B65</f>
        <v>0</v>
      </c>
      <c r="C63">
        <f>'Emissions Factors'!C65</f>
        <v>0</v>
      </c>
      <c r="D63" t="str">
        <f>'Emissions Factors'!D65</f>
        <v>25% GGBS replacement - C6/8 (Gen 0)</v>
      </c>
      <c r="G63" t="str">
        <f t="shared" si="6"/>
        <v>Bulk Materials</v>
      </c>
      <c r="H63" t="str">
        <f t="shared" si="7"/>
        <v xml:space="preserve">Ready mix concrete </v>
      </c>
      <c r="I63" t="str">
        <f t="shared" si="8"/>
        <v>25% GGBS replacement - C6/8 (Gen 0)</v>
      </c>
      <c r="J63" t="str">
        <f t="shared" si="9"/>
        <v>Ready mix concrete 25% GGBS replacement - C6/8 (Gen 0)</v>
      </c>
      <c r="K63" t="str">
        <f>IF('Emissions Factors'!E65="","",'Emissions Factors'!E65)</f>
        <v>m3</v>
      </c>
      <c r="L63" t="str">
        <f>IF('Emissions Factors'!F65="","",'Emissions Factors'!F65)</f>
        <v>Concrete</v>
      </c>
      <c r="M63">
        <f>IF('Emissions Factors'!G65="","",'Emissions Factors'!G65)</f>
        <v>5.175591329172622E-2</v>
      </c>
      <c r="N63" t="str">
        <f>IF('Emissions Factors'!H65="","",'Emissions Factors'!H65)</f>
        <v>tCO2e/t</v>
      </c>
      <c r="O63">
        <f>IF('[1]Emissions Factors'!I65="","",'[1]Emissions Factors'!I65)</f>
        <v>2.4</v>
      </c>
      <c r="P63" t="str">
        <f>IF('Emissions Factors'!J65="",'Emissions Factors'!F65,'Emissions Factors'!J65)</f>
        <v>Carbon factor taken directly from the ICE V4: Concrete &gt; 25% GGBS &gt; Gen 0</v>
      </c>
      <c r="R63">
        <v>1</v>
      </c>
      <c r="U63">
        <f t="shared" si="10"/>
        <v>19</v>
      </c>
      <c r="V63">
        <f t="shared" si="11"/>
        <v>35</v>
      </c>
    </row>
    <row r="64" spans="1:22" x14ac:dyDescent="0.3">
      <c r="A64">
        <f>'Emissions Factors'!A66</f>
        <v>0</v>
      </c>
      <c r="B64">
        <f>'Emissions Factors'!B66</f>
        <v>0</v>
      </c>
      <c r="C64">
        <f>'Emissions Factors'!C66</f>
        <v>0</v>
      </c>
      <c r="D64" t="str">
        <f>'Emissions Factors'!D66</f>
        <v>25% GGBS replacement - C8/10 (Gen 1)</v>
      </c>
      <c r="G64" t="str">
        <f t="shared" si="6"/>
        <v>Bulk Materials</v>
      </c>
      <c r="H64" t="str">
        <f t="shared" si="7"/>
        <v xml:space="preserve">Ready mix concrete </v>
      </c>
      <c r="I64" t="str">
        <f t="shared" si="8"/>
        <v>25% GGBS replacement - C8/10 (Gen 1)</v>
      </c>
      <c r="J64" t="str">
        <f t="shared" si="9"/>
        <v>Ready mix concrete 25% GGBS replacement - C8/10 (Gen 1)</v>
      </c>
      <c r="K64" t="str">
        <f>IF('Emissions Factors'!E66="","",'Emissions Factors'!E66)</f>
        <v>m3</v>
      </c>
      <c r="L64" t="str">
        <f>IF('Emissions Factors'!F66="","",'Emissions Factors'!F66)</f>
        <v>Concrete</v>
      </c>
      <c r="M64">
        <f>IF('Emissions Factors'!G66="","",'Emissions Factors'!G66)</f>
        <v>6.9424711699929267E-2</v>
      </c>
      <c r="N64" t="str">
        <f>IF('Emissions Factors'!H66="","",'Emissions Factors'!H66)</f>
        <v>tCO2e/t</v>
      </c>
      <c r="O64">
        <f>IF('[1]Emissions Factors'!I66="","",'[1]Emissions Factors'!I66)</f>
        <v>2.4</v>
      </c>
      <c r="P64" t="str">
        <f>IF('Emissions Factors'!J66="",'Emissions Factors'!F66,'Emissions Factors'!J66)</f>
        <v>Carbon factor taken directly from the ICE V4: Concrete &gt; 25% GGBS &gt; Gen 1</v>
      </c>
      <c r="R64">
        <v>1</v>
      </c>
      <c r="U64">
        <f t="shared" si="10"/>
        <v>19</v>
      </c>
      <c r="V64">
        <f t="shared" si="11"/>
        <v>36</v>
      </c>
    </row>
    <row r="65" spans="1:22" x14ac:dyDescent="0.3">
      <c r="A65">
        <f>'Emissions Factors'!A67</f>
        <v>0</v>
      </c>
      <c r="B65">
        <f>'Emissions Factors'!B67</f>
        <v>0</v>
      </c>
      <c r="C65">
        <f>'Emissions Factors'!C67</f>
        <v>0</v>
      </c>
      <c r="D65" t="str">
        <f>'Emissions Factors'!D67</f>
        <v>25% GGBS replacement - C12/15 (Gen 2, ST 3)</v>
      </c>
      <c r="G65" t="str">
        <f t="shared" si="6"/>
        <v>Bulk Materials</v>
      </c>
      <c r="H65" t="str">
        <f t="shared" si="7"/>
        <v xml:space="preserve">Ready mix concrete </v>
      </c>
      <c r="I65" t="str">
        <f t="shared" si="8"/>
        <v>25% GGBS replacement - C12/15 (Gen 2, ST 3)</v>
      </c>
      <c r="J65" t="str">
        <f t="shared" si="9"/>
        <v>Ready mix concrete 25% GGBS replacement - C12/15 (Gen 2, ST 3)</v>
      </c>
      <c r="K65" t="str">
        <f>IF('Emissions Factors'!E67="","",'Emissions Factors'!E67)</f>
        <v>m3</v>
      </c>
      <c r="L65" t="str">
        <f>IF('Emissions Factors'!F67="","",'Emissions Factors'!F67)</f>
        <v>Concrete</v>
      </c>
      <c r="M65">
        <f>IF('Emissions Factors'!G67="","",'Emissions Factors'!G67)</f>
        <v>7.6162830489915234E-2</v>
      </c>
      <c r="N65" t="str">
        <f>IF('Emissions Factors'!H67="","",'Emissions Factors'!H67)</f>
        <v>tCO2e/t</v>
      </c>
      <c r="O65">
        <f>IF('[1]Emissions Factors'!I67="","",'[1]Emissions Factors'!I67)</f>
        <v>2.4</v>
      </c>
      <c r="P65" t="str">
        <f>IF('Emissions Factors'!J67="",'Emissions Factors'!F67,'Emissions Factors'!J67)</f>
        <v xml:space="preserve">Carbon factor taken directly from the ICE V4: Concrete &gt; 25% GGBS &gt; Gen 2 </v>
      </c>
      <c r="R65">
        <v>1</v>
      </c>
      <c r="U65">
        <f t="shared" si="10"/>
        <v>19</v>
      </c>
      <c r="V65">
        <f t="shared" si="11"/>
        <v>43</v>
      </c>
    </row>
    <row r="66" spans="1:22" x14ac:dyDescent="0.3">
      <c r="A66">
        <f>'Emissions Factors'!A68</f>
        <v>0</v>
      </c>
      <c r="B66">
        <f>'Emissions Factors'!B68</f>
        <v>0</v>
      </c>
      <c r="C66">
        <f>'Emissions Factors'!C68</f>
        <v>0</v>
      </c>
      <c r="D66" t="str">
        <f>'Emissions Factors'!D68</f>
        <v>25% GGBS replacement - C16/20 (Gen 3)</v>
      </c>
      <c r="G66" t="str">
        <f t="shared" si="6"/>
        <v>Bulk Materials</v>
      </c>
      <c r="H66" t="str">
        <f t="shared" si="7"/>
        <v xml:space="preserve">Ready mix concrete </v>
      </c>
      <c r="I66" t="str">
        <f t="shared" si="8"/>
        <v>25% GGBS replacement - C16/20 (Gen 3)</v>
      </c>
      <c r="J66" t="str">
        <f t="shared" si="9"/>
        <v>Ready mix concrete 25% GGBS replacement - C16/20 (Gen 3)</v>
      </c>
      <c r="K66" t="str">
        <f>IF('Emissions Factors'!E68="","",'Emissions Factors'!E68)</f>
        <v>m3</v>
      </c>
      <c r="L66" t="str">
        <f>IF('Emissions Factors'!F68="","",'Emissions Factors'!F68)</f>
        <v>Concrete</v>
      </c>
      <c r="M66">
        <f>IF('Emissions Factors'!G68="","",'Emissions Factors'!G68)</f>
        <v>8.1544840086311438E-2</v>
      </c>
      <c r="N66" t="str">
        <f>IF('Emissions Factors'!H68="","",'Emissions Factors'!H68)</f>
        <v>tCO2e/t</v>
      </c>
      <c r="O66">
        <f>IF('[1]Emissions Factors'!I68="","",'[1]Emissions Factors'!I68)</f>
        <v>2.4</v>
      </c>
      <c r="P66" t="str">
        <f>IF('Emissions Factors'!J68="",'Emissions Factors'!F68,'Emissions Factors'!J68)</f>
        <v>Carbon factor taken directly from the ICE V4: Concrete &gt; 25% GGBS &gt; Gen 3</v>
      </c>
      <c r="R66">
        <v>1</v>
      </c>
      <c r="U66">
        <f t="shared" si="10"/>
        <v>19</v>
      </c>
      <c r="V66">
        <f t="shared" si="11"/>
        <v>37</v>
      </c>
    </row>
    <row r="67" spans="1:22" x14ac:dyDescent="0.3">
      <c r="A67">
        <f>'Emissions Factors'!A69</f>
        <v>0</v>
      </c>
      <c r="B67">
        <f>'Emissions Factors'!B69</f>
        <v>0</v>
      </c>
      <c r="C67">
        <f>'Emissions Factors'!C69</f>
        <v>0</v>
      </c>
      <c r="D67" t="str">
        <f>'Emissions Factors'!D69</f>
        <v xml:space="preserve">25% GGBS replacement - C20/25 </v>
      </c>
      <c r="G67" t="str">
        <f t="shared" si="6"/>
        <v>Bulk Materials</v>
      </c>
      <c r="H67" t="str">
        <f t="shared" si="7"/>
        <v xml:space="preserve">Ready mix concrete </v>
      </c>
      <c r="I67" t="str">
        <f t="shared" si="8"/>
        <v xml:space="preserve">25% GGBS replacement - C20/25 </v>
      </c>
      <c r="J67" t="str">
        <f t="shared" si="9"/>
        <v xml:space="preserve">Ready mix concrete 25% GGBS replacement - C20/25 </v>
      </c>
      <c r="K67" t="str">
        <f>IF('Emissions Factors'!E69="","",'Emissions Factors'!E69)</f>
        <v>m3</v>
      </c>
      <c r="L67" t="str">
        <f>IF('Emissions Factors'!F69="","",'Emissions Factors'!F69)</f>
        <v>Concrete</v>
      </c>
      <c r="M67">
        <f>IF('Emissions Factors'!G69="","",'Emissions Factors'!G69)</f>
        <v>8.8308109556207104E-2</v>
      </c>
      <c r="N67" t="str">
        <f>IF('Emissions Factors'!H69="","",'Emissions Factors'!H69)</f>
        <v>tCO2e/t</v>
      </c>
      <c r="O67">
        <f>IF('[1]Emissions Factors'!I69="","",'[1]Emissions Factors'!I69)</f>
        <v>2.4</v>
      </c>
      <c r="P67" t="str">
        <f>IF('Emissions Factors'!J69="",'Emissions Factors'!F69,'Emissions Factors'!J69)</f>
        <v>Carbon factor taken directly from the ICE V4: Concrete &gt; 25% GGBS &gt; 20/25 mpa.</v>
      </c>
      <c r="R67">
        <v>1</v>
      </c>
      <c r="U67">
        <f t="shared" si="10"/>
        <v>19</v>
      </c>
      <c r="V67">
        <f t="shared" si="11"/>
        <v>30</v>
      </c>
    </row>
    <row r="68" spans="1:22" x14ac:dyDescent="0.3">
      <c r="A68">
        <f>'Emissions Factors'!A70</f>
        <v>0</v>
      </c>
      <c r="B68">
        <f>'Emissions Factors'!B70</f>
        <v>0</v>
      </c>
      <c r="C68">
        <f>'Emissions Factors'!C70</f>
        <v>0</v>
      </c>
      <c r="D68" t="str">
        <f>'Emissions Factors'!D70</f>
        <v xml:space="preserve">25% GGBS replacement - C25/30 </v>
      </c>
      <c r="G68" t="str">
        <f t="shared" si="6"/>
        <v>Bulk Materials</v>
      </c>
      <c r="H68" t="str">
        <f t="shared" si="7"/>
        <v xml:space="preserve">Ready mix concrete </v>
      </c>
      <c r="I68" t="str">
        <f t="shared" si="8"/>
        <v xml:space="preserve">25% GGBS replacement - C25/30 </v>
      </c>
      <c r="J68" t="str">
        <f t="shared" si="9"/>
        <v xml:space="preserve">Ready mix concrete 25% GGBS replacement - C25/30 </v>
      </c>
      <c r="K68" t="str">
        <f>IF('Emissions Factors'!E70="","",'Emissions Factors'!E70)</f>
        <v>m3</v>
      </c>
      <c r="L68" t="str">
        <f>IF('Emissions Factors'!F70="","",'Emissions Factors'!F70)</f>
        <v>Concrete</v>
      </c>
      <c r="M68">
        <f>IF('Emissions Factors'!G70="","",'Emissions Factors'!G70)</f>
        <v>9.3841159623306941E-2</v>
      </c>
      <c r="N68" t="str">
        <f>IF('Emissions Factors'!H70="","",'Emissions Factors'!H70)</f>
        <v>tCO2e/t</v>
      </c>
      <c r="O68">
        <f>IF('[1]Emissions Factors'!I70="","",'[1]Emissions Factors'!I70)</f>
        <v>2.4</v>
      </c>
      <c r="P68" t="str">
        <f>IF('Emissions Factors'!J70="",'Emissions Factors'!F70,'Emissions Factors'!J70)</f>
        <v>Carbon factor taken directly from the ICE V4: Concrete &gt; 25% GGBS &gt; 25/30 mpa.</v>
      </c>
      <c r="R68">
        <v>1</v>
      </c>
      <c r="U68">
        <f t="shared" si="10"/>
        <v>19</v>
      </c>
      <c r="V68">
        <f t="shared" si="11"/>
        <v>30</v>
      </c>
    </row>
    <row r="69" spans="1:22" x14ac:dyDescent="0.3">
      <c r="A69">
        <f>'Emissions Factors'!A71</f>
        <v>0</v>
      </c>
      <c r="B69">
        <f>'Emissions Factors'!B71</f>
        <v>0</v>
      </c>
      <c r="C69">
        <f>'Emissions Factors'!C71</f>
        <v>0</v>
      </c>
      <c r="D69" t="str">
        <f>'Emissions Factors'!D71</f>
        <v xml:space="preserve">25% GGBS replacement - C28/35 </v>
      </c>
      <c r="G69" t="str">
        <f t="shared" ref="G69:G132" si="12">IF(B69=0,G68,B69)</f>
        <v>Bulk Materials</v>
      </c>
      <c r="H69" t="str">
        <f t="shared" ref="H69:H132" si="13">IF(C69=0,H68,C69)</f>
        <v xml:space="preserve">Ready mix concrete </v>
      </c>
      <c r="I69" t="str">
        <f t="shared" ref="I69:I132" si="14">IF(D69=0,I68,D69)</f>
        <v xml:space="preserve">25% GGBS replacement - C28/35 </v>
      </c>
      <c r="J69" t="str">
        <f t="shared" ref="J69:J132" si="15">H69&amp;I69</f>
        <v xml:space="preserve">Ready mix concrete 25% GGBS replacement - C28/35 </v>
      </c>
      <c r="K69" t="str">
        <f>IF('Emissions Factors'!E71="","",'Emissions Factors'!E71)</f>
        <v>m3</v>
      </c>
      <c r="L69" t="str">
        <f>IF('Emissions Factors'!F71="","",'Emissions Factors'!F71)</f>
        <v>Concrete</v>
      </c>
      <c r="M69">
        <f>IF('Emissions Factors'!G71="","",'Emissions Factors'!G71)</f>
        <v>0.10061259576317809</v>
      </c>
      <c r="N69" t="str">
        <f>IF('Emissions Factors'!H71="","",'Emissions Factors'!H71)</f>
        <v>tCO2e/t</v>
      </c>
      <c r="O69">
        <f>IF('[1]Emissions Factors'!I71="","",'[1]Emissions Factors'!I71)</f>
        <v>2.4</v>
      </c>
      <c r="P69" t="str">
        <f>IF('Emissions Factors'!J71="",'Emissions Factors'!F71,'Emissions Factors'!J71)</f>
        <v>Carbon factor taken directly from the ICE V4: Concrete &gt; 25% GGBS &gt; 28/35 mpa.</v>
      </c>
      <c r="R69">
        <v>1</v>
      </c>
      <c r="U69">
        <f t="shared" ref="U69:U132" si="16">LEN(H69)</f>
        <v>19</v>
      </c>
      <c r="V69">
        <f t="shared" ref="V69:V132" si="17">LEN(I69)</f>
        <v>30</v>
      </c>
    </row>
    <row r="70" spans="1:22" x14ac:dyDescent="0.3">
      <c r="A70">
        <f>'Emissions Factors'!A72</f>
        <v>0</v>
      </c>
      <c r="B70">
        <f>'Emissions Factors'!B72</f>
        <v>0</v>
      </c>
      <c r="C70">
        <f>'Emissions Factors'!C72</f>
        <v>0</v>
      </c>
      <c r="D70" t="str">
        <f>'Emissions Factors'!D72</f>
        <v xml:space="preserve">25% GGBS replacement - C32/40 </v>
      </c>
      <c r="G70" t="str">
        <f t="shared" si="12"/>
        <v>Bulk Materials</v>
      </c>
      <c r="H70" t="str">
        <f t="shared" si="13"/>
        <v xml:space="preserve">Ready mix concrete </v>
      </c>
      <c r="I70" t="str">
        <f t="shared" si="14"/>
        <v xml:space="preserve">25% GGBS replacement - C32/40 </v>
      </c>
      <c r="J70" t="str">
        <f t="shared" si="15"/>
        <v xml:space="preserve">Ready mix concrete 25% GGBS replacement - C32/40 </v>
      </c>
      <c r="K70" t="str">
        <f>IF('Emissions Factors'!E72="","",'Emissions Factors'!E72)</f>
        <v>m3</v>
      </c>
      <c r="L70" t="str">
        <f>IF('Emissions Factors'!F72="","",'Emissions Factors'!F72)</f>
        <v>Concrete</v>
      </c>
      <c r="M70">
        <f>IF('Emissions Factors'!G72="","",'Emissions Factors'!G72)</f>
        <v>0.11277560227266062</v>
      </c>
      <c r="N70" t="str">
        <f>IF('Emissions Factors'!H72="","",'Emissions Factors'!H72)</f>
        <v>tCO2e/t</v>
      </c>
      <c r="O70">
        <f>IF('[1]Emissions Factors'!I72="","",'[1]Emissions Factors'!I72)</f>
        <v>2.4</v>
      </c>
      <c r="P70" t="str">
        <f>IF('Emissions Factors'!J72="",'Emissions Factors'!F72,'Emissions Factors'!J72)</f>
        <v>Carbon factor taken directly from the ICE V4: Concrete &gt; 25% GGBS &gt; 32/40 mpa.</v>
      </c>
      <c r="R70">
        <v>1</v>
      </c>
      <c r="U70">
        <f t="shared" si="16"/>
        <v>19</v>
      </c>
      <c r="V70">
        <f t="shared" si="17"/>
        <v>30</v>
      </c>
    </row>
    <row r="71" spans="1:22" x14ac:dyDescent="0.3">
      <c r="A71">
        <f>'Emissions Factors'!A73</f>
        <v>0</v>
      </c>
      <c r="B71">
        <f>'Emissions Factors'!B73</f>
        <v>0</v>
      </c>
      <c r="C71">
        <f>'Emissions Factors'!C73</f>
        <v>0</v>
      </c>
      <c r="D71" t="str">
        <f>'Emissions Factors'!D73</f>
        <v>25% GGBS replacement - C35/45</v>
      </c>
      <c r="G71" t="str">
        <f t="shared" si="12"/>
        <v>Bulk Materials</v>
      </c>
      <c r="H71" t="str">
        <f t="shared" si="13"/>
        <v xml:space="preserve">Ready mix concrete </v>
      </c>
      <c r="I71" t="str">
        <f t="shared" si="14"/>
        <v>25% GGBS replacement - C35/45</v>
      </c>
      <c r="J71" t="str">
        <f t="shared" si="15"/>
        <v>Ready mix concrete 25% GGBS replacement - C35/45</v>
      </c>
      <c r="K71" t="str">
        <f>IF('Emissions Factors'!E73="","",'Emissions Factors'!E73)</f>
        <v>m3</v>
      </c>
      <c r="L71" t="str">
        <f>IF('Emissions Factors'!F73="","",'Emissions Factors'!F73)</f>
        <v>Concrete</v>
      </c>
      <c r="M71">
        <f>IF('Emissions Factors'!G73="","",'Emissions Factors'!G73)</f>
        <v>0.12120609438619855</v>
      </c>
      <c r="N71" t="str">
        <f>IF('Emissions Factors'!H73="","",'Emissions Factors'!H73)</f>
        <v>tCO2e/t</v>
      </c>
      <c r="O71">
        <f>IF('[1]Emissions Factors'!I73="","",'[1]Emissions Factors'!I73)</f>
        <v>2.4</v>
      </c>
      <c r="P71" t="str">
        <f>IF('Emissions Factors'!J73="",'Emissions Factors'!F73,'Emissions Factors'!J73)</f>
        <v>Carbon factor taken directly from the ICE V4: Concrete &gt; 25% GGBS &gt; 35/45 mpa.</v>
      </c>
      <c r="R71">
        <v>1</v>
      </c>
      <c r="U71">
        <f t="shared" si="16"/>
        <v>19</v>
      </c>
      <c r="V71">
        <f t="shared" si="17"/>
        <v>29</v>
      </c>
    </row>
    <row r="72" spans="1:22" x14ac:dyDescent="0.3">
      <c r="A72">
        <f>'Emissions Factors'!A74</f>
        <v>0</v>
      </c>
      <c r="B72">
        <f>'Emissions Factors'!B74</f>
        <v>0</v>
      </c>
      <c r="C72">
        <f>'Emissions Factors'!C74</f>
        <v>0</v>
      </c>
      <c r="D72" t="str">
        <f>'Emissions Factors'!D74</f>
        <v xml:space="preserve">25% GGBS replacement - C40/50 </v>
      </c>
      <c r="G72" t="str">
        <f t="shared" si="12"/>
        <v>Bulk Materials</v>
      </c>
      <c r="H72" t="str">
        <f t="shared" si="13"/>
        <v xml:space="preserve">Ready mix concrete </v>
      </c>
      <c r="I72" t="str">
        <f t="shared" si="14"/>
        <v xml:space="preserve">25% GGBS replacement - C40/50 </v>
      </c>
      <c r="J72" t="str">
        <f t="shared" si="15"/>
        <v xml:space="preserve">Ready mix concrete 25% GGBS replacement - C40/50 </v>
      </c>
      <c r="K72" t="str">
        <f>IF('Emissions Factors'!E74="","",'Emissions Factors'!E74)</f>
        <v>m3</v>
      </c>
      <c r="L72" t="str">
        <f>IF('Emissions Factors'!F74="","",'Emissions Factors'!F74)</f>
        <v>Concrete</v>
      </c>
      <c r="M72">
        <f>IF('Emissions Factors'!G74="","",'Emissions Factors'!G74)</f>
        <v>0.13099463629224706</v>
      </c>
      <c r="N72" t="str">
        <f>IF('Emissions Factors'!H74="","",'Emissions Factors'!H74)</f>
        <v>tCO2e/t</v>
      </c>
      <c r="O72">
        <f>IF('[1]Emissions Factors'!I74="","",'[1]Emissions Factors'!I74)</f>
        <v>2.4</v>
      </c>
      <c r="P72" t="str">
        <f>IF('Emissions Factors'!J74="",'Emissions Factors'!F74,'Emissions Factors'!J74)</f>
        <v>Carbon factor taken directly from the ICE V4: Concrete &gt; 25% GGBS &gt; 40/50 mpa.</v>
      </c>
      <c r="R72">
        <v>1</v>
      </c>
      <c r="U72">
        <f t="shared" si="16"/>
        <v>19</v>
      </c>
      <c r="V72">
        <f t="shared" si="17"/>
        <v>30</v>
      </c>
    </row>
    <row r="73" spans="1:22" x14ac:dyDescent="0.3">
      <c r="A73">
        <f>'Emissions Factors'!A75</f>
        <v>0</v>
      </c>
      <c r="B73">
        <f>'Emissions Factors'!B75</f>
        <v>0</v>
      </c>
      <c r="C73" t="str">
        <f>'Emissions Factors'!C75</f>
        <v>Cement and binders</v>
      </c>
      <c r="D73" t="str">
        <f>'Emissions Factors'!D75</f>
        <v>Average CEM I, Ordinary Portland Cement (OPC)</v>
      </c>
      <c r="G73" t="str">
        <f t="shared" si="12"/>
        <v>Bulk Materials</v>
      </c>
      <c r="H73" t="str">
        <f t="shared" si="13"/>
        <v>Cement and binders</v>
      </c>
      <c r="I73" t="str">
        <f t="shared" si="14"/>
        <v>Average CEM I, Ordinary Portland Cement (OPC)</v>
      </c>
      <c r="J73" t="str">
        <f t="shared" si="15"/>
        <v>Cement and bindersAverage CEM I, Ordinary Portland Cement (OPC)</v>
      </c>
      <c r="K73" t="str">
        <f>IF('Emissions Factors'!E75="","",'Emissions Factors'!E75)</f>
        <v>tonnes</v>
      </c>
      <c r="L73" t="str">
        <f>IF('Emissions Factors'!F75="","",'Emissions Factors'!F75)</f>
        <v>Cement</v>
      </c>
      <c r="M73">
        <f>IF('Emissions Factors'!G75="","",'Emissions Factors'!G75)</f>
        <v>0.83979999999999999</v>
      </c>
      <c r="N73" t="str">
        <f>IF('Emissions Factors'!H75="","",'Emissions Factors'!H75)</f>
        <v>tCO2e/t</v>
      </c>
      <c r="O73">
        <f>IF('[1]Emissions Factors'!I75="","",'[1]Emissions Factors'!I75)</f>
        <v>1</v>
      </c>
      <c r="P73" t="str">
        <f>IF('Emissions Factors'!J75="",'Emissions Factors'!F75,'Emissions Factors'!J75)</f>
        <v>Carbon factor taken directly from the ICE V4: Cement &gt; CEM I &gt; Ordinary Portland Cement (OPC)</v>
      </c>
      <c r="R73">
        <v>1</v>
      </c>
      <c r="U73">
        <f t="shared" si="16"/>
        <v>18</v>
      </c>
      <c r="V73">
        <f t="shared" si="17"/>
        <v>45</v>
      </c>
    </row>
    <row r="74" spans="1:22" x14ac:dyDescent="0.3">
      <c r="A74">
        <f>'Emissions Factors'!A76</f>
        <v>0</v>
      </c>
      <c r="B74">
        <f>'Emissions Factors'!B76</f>
        <v>0</v>
      </c>
      <c r="C74">
        <f>'Emissions Factors'!C76</f>
        <v>0</v>
      </c>
      <c r="D74" t="str">
        <f>'Emissions Factors'!D76</f>
        <v>CEM II-A-S - 13% GGBs</v>
      </c>
      <c r="G74" t="str">
        <f t="shared" si="12"/>
        <v>Bulk Materials</v>
      </c>
      <c r="H74" t="str">
        <f t="shared" si="13"/>
        <v>Cement and binders</v>
      </c>
      <c r="I74" t="str">
        <f t="shared" si="14"/>
        <v>CEM II-A-S - 13% GGBs</v>
      </c>
      <c r="J74" t="str">
        <f t="shared" si="15"/>
        <v>Cement and bindersCEM II-A-S - 13% GGBs</v>
      </c>
      <c r="K74" t="str">
        <f>IF('Emissions Factors'!E76="","",'Emissions Factors'!E76)</f>
        <v>tonnes</v>
      </c>
      <c r="L74" t="str">
        <f>IF('Emissions Factors'!F76="","",'Emissions Factors'!F76)</f>
        <v>Cement</v>
      </c>
      <c r="M74">
        <f>IF('Emissions Factors'!G76="","",'Emissions Factors'!G76)</f>
        <v>0.74467886999999999</v>
      </c>
      <c r="N74" t="str">
        <f>IF('Emissions Factors'!H76="","",'Emissions Factors'!H76)</f>
        <v>tCO2e/t</v>
      </c>
      <c r="O74">
        <f>IF('[1]Emissions Factors'!I76="","",'[1]Emissions Factors'!I76)</f>
        <v>1</v>
      </c>
      <c r="P74" t="str">
        <f>IF('Emissions Factors'!J76="",'Emissions Factors'!F76,'Emissions Factors'!J76)</f>
        <v>Carbon factor taken directly from the ICE V4: Cement &gt; Portland-slag cement &gt; CEM II-A-S - 13% GGBs</v>
      </c>
      <c r="R74">
        <v>1</v>
      </c>
      <c r="U74">
        <f t="shared" si="16"/>
        <v>18</v>
      </c>
      <c r="V74">
        <f t="shared" si="17"/>
        <v>21</v>
      </c>
    </row>
    <row r="75" spans="1:22" x14ac:dyDescent="0.3">
      <c r="A75">
        <f>'Emissions Factors'!A77</f>
        <v>0</v>
      </c>
      <c r="B75">
        <f>'Emissions Factors'!B77</f>
        <v>0</v>
      </c>
      <c r="C75">
        <f>'Emissions Factors'!C77</f>
        <v>0</v>
      </c>
      <c r="D75" t="str">
        <f>'Emissions Factors'!D77</f>
        <v>CEM II/B-S - 28% GGBs</v>
      </c>
      <c r="G75" t="str">
        <f t="shared" si="12"/>
        <v>Bulk Materials</v>
      </c>
      <c r="H75" t="str">
        <f t="shared" si="13"/>
        <v>Cement and binders</v>
      </c>
      <c r="I75" t="str">
        <f t="shared" si="14"/>
        <v>CEM II/B-S - 28% GGBs</v>
      </c>
      <c r="J75" t="str">
        <f t="shared" si="15"/>
        <v>Cement and bindersCEM II/B-S - 28% GGBs</v>
      </c>
      <c r="K75" t="str">
        <f>IF('Emissions Factors'!E77="","",'Emissions Factors'!E77)</f>
        <v>tonnes</v>
      </c>
      <c r="L75" t="str">
        <f>IF('Emissions Factors'!F77="","",'Emissions Factors'!F77)</f>
        <v>Cement</v>
      </c>
      <c r="M75">
        <f>IF('Emissions Factors'!G77="","",'Emissions Factors'!G77)</f>
        <v>0.63007871999999987</v>
      </c>
      <c r="N75" t="str">
        <f>IF('Emissions Factors'!H77="","",'Emissions Factors'!H77)</f>
        <v>tCO2e/t</v>
      </c>
      <c r="O75">
        <f>IF('[1]Emissions Factors'!I77="","",'[1]Emissions Factors'!I77)</f>
        <v>1</v>
      </c>
      <c r="P75" t="str">
        <f>IF('Emissions Factors'!J77="",'Emissions Factors'!F77,'Emissions Factors'!J77)</f>
        <v>Carbon factor taken directly from the ICE V4: Cement &gt; Portland-slag cement &gt; CEM II/B-S - 28% GGBs</v>
      </c>
      <c r="R75">
        <v>1</v>
      </c>
      <c r="U75">
        <f t="shared" si="16"/>
        <v>18</v>
      </c>
      <c r="V75">
        <f t="shared" si="17"/>
        <v>21</v>
      </c>
    </row>
    <row r="76" spans="1:22" x14ac:dyDescent="0.3">
      <c r="A76">
        <f>'Emissions Factors'!A78</f>
        <v>0</v>
      </c>
      <c r="B76">
        <f>'Emissions Factors'!B78</f>
        <v>0</v>
      </c>
      <c r="C76">
        <f>'Emissions Factors'!C78</f>
        <v>0</v>
      </c>
      <c r="D76" t="str">
        <f>'Emissions Factors'!D78</f>
        <v>CEM II/A-P - 13% natural pozzolanic ash</v>
      </c>
      <c r="G76" t="str">
        <f t="shared" si="12"/>
        <v>Bulk Materials</v>
      </c>
      <c r="H76" t="str">
        <f t="shared" si="13"/>
        <v>Cement and binders</v>
      </c>
      <c r="I76" t="str">
        <f t="shared" si="14"/>
        <v>CEM II/A-P - 13% natural pozzolanic ash</v>
      </c>
      <c r="J76" t="str">
        <f t="shared" si="15"/>
        <v>Cement and bindersCEM II/A-P - 13% natural pozzolanic ash</v>
      </c>
      <c r="K76" t="str">
        <f>IF('Emissions Factors'!E78="","",'Emissions Factors'!E78)</f>
        <v>tonnes</v>
      </c>
      <c r="L76" t="str">
        <f>IF('Emissions Factors'!F78="","",'Emissions Factors'!F78)</f>
        <v>Cement</v>
      </c>
      <c r="M76">
        <f>IF('Emissions Factors'!G78="","",'Emissions Factors'!G78)</f>
        <v>0.73485137700000003</v>
      </c>
      <c r="N76" t="str">
        <f>IF('Emissions Factors'!H78="","",'Emissions Factors'!H78)</f>
        <v>tCO2e/t</v>
      </c>
      <c r="O76">
        <f>IF('[1]Emissions Factors'!I78="","",'[1]Emissions Factors'!I78)</f>
        <v>1</v>
      </c>
      <c r="P76" t="str">
        <f>IF('Emissions Factors'!J78="",'Emissions Factors'!F78,'Emissions Factors'!J78)</f>
        <v>Carbon factor taken directly from the ICE V4: Cement &gt; Portland-pozzolana cement &gt; CEM II/A-P - 13% natural pozzolanic ash</v>
      </c>
      <c r="R76">
        <v>1</v>
      </c>
      <c r="U76">
        <f t="shared" si="16"/>
        <v>18</v>
      </c>
      <c r="V76">
        <f t="shared" si="17"/>
        <v>39</v>
      </c>
    </row>
    <row r="77" spans="1:22" x14ac:dyDescent="0.3">
      <c r="A77">
        <f>'Emissions Factors'!A79</f>
        <v>0</v>
      </c>
      <c r="B77">
        <f>'Emissions Factors'!B79</f>
        <v>0</v>
      </c>
      <c r="C77">
        <f>'Emissions Factors'!C79</f>
        <v>0</v>
      </c>
      <c r="D77" t="str">
        <f>'Emissions Factors'!D79</f>
        <v>CEM II/B-P 28% natural pozzolanic ash</v>
      </c>
      <c r="G77" t="str">
        <f t="shared" si="12"/>
        <v>Bulk Materials</v>
      </c>
      <c r="H77" t="str">
        <f t="shared" si="13"/>
        <v>Cement and binders</v>
      </c>
      <c r="I77" t="str">
        <f t="shared" si="14"/>
        <v>CEM II/B-P 28% natural pozzolanic ash</v>
      </c>
      <c r="J77" t="str">
        <f t="shared" si="15"/>
        <v>Cement and bindersCEM II/B-P 28% natural pozzolanic ash</v>
      </c>
      <c r="K77" t="str">
        <f>IF('Emissions Factors'!E79="","",'Emissions Factors'!E79)</f>
        <v>tonnes</v>
      </c>
      <c r="L77" t="str">
        <f>IF('Emissions Factors'!F79="","",'Emissions Factors'!F79)</f>
        <v>Cement</v>
      </c>
      <c r="M77">
        <f>IF('Emissions Factors'!G79="","",'Emissions Factors'!G79)</f>
        <v>0.60891181199999989</v>
      </c>
      <c r="N77" t="str">
        <f>IF('Emissions Factors'!H79="","",'Emissions Factors'!H79)</f>
        <v>tCO2e/t</v>
      </c>
      <c r="O77">
        <f>IF('[1]Emissions Factors'!I79="","",'[1]Emissions Factors'!I79)</f>
        <v>1</v>
      </c>
      <c r="P77" t="str">
        <f>IF('Emissions Factors'!J79="",'Emissions Factors'!F79,'Emissions Factors'!J79)</f>
        <v>Carbon factor taken directly from the ICE V4: Cement &gt; Portland-pozzolana cement &gt; CEM II/B-P 28% natural pozzolanic ash</v>
      </c>
      <c r="R77">
        <v>1</v>
      </c>
      <c r="U77">
        <f t="shared" si="16"/>
        <v>18</v>
      </c>
      <c r="V77">
        <f t="shared" si="17"/>
        <v>37</v>
      </c>
    </row>
    <row r="78" spans="1:22" x14ac:dyDescent="0.3">
      <c r="A78">
        <f>'Emissions Factors'!A80</f>
        <v>0</v>
      </c>
      <c r="B78">
        <f>'Emissions Factors'!B80</f>
        <v>0</v>
      </c>
      <c r="C78">
        <f>'Emissions Factors'!C80</f>
        <v>0</v>
      </c>
      <c r="D78" t="str">
        <f>'Emissions Factors'!D80</f>
        <v>CEM II/A-V - 13% fly ash siliceous</v>
      </c>
      <c r="G78" t="str">
        <f t="shared" si="12"/>
        <v>Bulk Materials</v>
      </c>
      <c r="H78" t="str">
        <f t="shared" si="13"/>
        <v>Cement and binders</v>
      </c>
      <c r="I78" t="str">
        <f t="shared" si="14"/>
        <v>CEM II/A-V - 13% fly ash siliceous</v>
      </c>
      <c r="J78" t="str">
        <f t="shared" si="15"/>
        <v>Cement and bindersCEM II/A-V - 13% fly ash siliceous</v>
      </c>
      <c r="K78" t="str">
        <f>IF('Emissions Factors'!E80="","",'Emissions Factors'!E80)</f>
        <v>tonnes</v>
      </c>
      <c r="L78" t="str">
        <f>IF('Emissions Factors'!F80="","",'Emissions Factors'!F80)</f>
        <v>Cement</v>
      </c>
      <c r="M78">
        <f>IF('Emissions Factors'!G80="","",'Emissions Factors'!G80)</f>
        <v>0.73480172999999993</v>
      </c>
      <c r="N78" t="str">
        <f>IF('Emissions Factors'!H80="","",'Emissions Factors'!H80)</f>
        <v>tCO2e/t</v>
      </c>
      <c r="O78">
        <f>IF('[1]Emissions Factors'!I80="","",'[1]Emissions Factors'!I80)</f>
        <v>1</v>
      </c>
      <c r="P78" t="str">
        <f>IF('Emissions Factors'!J80="",'Emissions Factors'!F80,'Emissions Factors'!J80)</f>
        <v>Carbon factor taken directly from the ICE V4: Cement &gt; Portland-fly ash cement &gt; CEM II/A-V - 13% fly ash siliceous</v>
      </c>
      <c r="R78">
        <v>1</v>
      </c>
      <c r="U78">
        <f t="shared" si="16"/>
        <v>18</v>
      </c>
      <c r="V78">
        <f t="shared" si="17"/>
        <v>34</v>
      </c>
    </row>
    <row r="79" spans="1:22" x14ac:dyDescent="0.3">
      <c r="A79">
        <f>'Emissions Factors'!A81</f>
        <v>0</v>
      </c>
      <c r="B79">
        <f>'Emissions Factors'!B81</f>
        <v>0</v>
      </c>
      <c r="C79">
        <f>'Emissions Factors'!C81</f>
        <v>0</v>
      </c>
      <c r="D79" t="str">
        <f>'Emissions Factors'!D81</f>
        <v>CEM II/B-V - 28% fly ash siliceous</v>
      </c>
      <c r="G79" t="str">
        <f t="shared" si="12"/>
        <v>Bulk Materials</v>
      </c>
      <c r="H79" t="str">
        <f t="shared" si="13"/>
        <v>Cement and binders</v>
      </c>
      <c r="I79" t="str">
        <f t="shared" si="14"/>
        <v>CEM II/B-V - 28% fly ash siliceous</v>
      </c>
      <c r="J79" t="str">
        <f t="shared" si="15"/>
        <v>Cement and bindersCEM II/B-V - 28% fly ash siliceous</v>
      </c>
      <c r="K79" t="str">
        <f>IF('Emissions Factors'!E81="","",'Emissions Factors'!E81)</f>
        <v>tonnes</v>
      </c>
      <c r="L79" t="str">
        <f>IF('Emissions Factors'!F81="","",'Emissions Factors'!F81)</f>
        <v>Cement</v>
      </c>
      <c r="M79">
        <f>IF('Emissions Factors'!G81="","",'Emissions Factors'!G81)</f>
        <v>0.60880487999999988</v>
      </c>
      <c r="N79" t="str">
        <f>IF('Emissions Factors'!H81="","",'Emissions Factors'!H81)</f>
        <v>tCO2e/t</v>
      </c>
      <c r="O79">
        <f>IF('[1]Emissions Factors'!I81="","",'[1]Emissions Factors'!I81)</f>
        <v>1</v>
      </c>
      <c r="P79" t="str">
        <f>IF('Emissions Factors'!J81="",'Emissions Factors'!F81,'Emissions Factors'!J81)</f>
        <v>Carbon factor taken directly from the ICE V4: Cement &gt; Portland-fly ash cement &gt; CEM II/B-V - 28% fly ash siliceous</v>
      </c>
      <c r="R79">
        <v>1</v>
      </c>
      <c r="U79">
        <f t="shared" si="16"/>
        <v>18</v>
      </c>
      <c r="V79">
        <f t="shared" si="17"/>
        <v>34</v>
      </c>
    </row>
    <row r="80" spans="1:22" x14ac:dyDescent="0.3">
      <c r="A80">
        <f>'Emissions Factors'!A82</f>
        <v>0</v>
      </c>
      <c r="B80">
        <f>'Emissions Factors'!B82</f>
        <v>0</v>
      </c>
      <c r="C80">
        <f>'Emissions Factors'!C82</f>
        <v>0</v>
      </c>
      <c r="D80" t="str">
        <f>'Emissions Factors'!D82</f>
        <v>CEM II/A-W - 13% fly ash calcareous</v>
      </c>
      <c r="G80" t="str">
        <f t="shared" si="12"/>
        <v>Bulk Materials</v>
      </c>
      <c r="H80" t="str">
        <f t="shared" si="13"/>
        <v>Cement and binders</v>
      </c>
      <c r="I80" t="str">
        <f t="shared" si="14"/>
        <v>CEM II/A-W - 13% fly ash calcareous</v>
      </c>
      <c r="J80" t="str">
        <f t="shared" si="15"/>
        <v>Cement and bindersCEM II/A-W - 13% fly ash calcareous</v>
      </c>
      <c r="K80" t="str">
        <f>IF('Emissions Factors'!E82="","",'Emissions Factors'!E82)</f>
        <v>tonnes</v>
      </c>
      <c r="L80" t="str">
        <f>IF('Emissions Factors'!F82="","",'Emissions Factors'!F82)</f>
        <v>Cement</v>
      </c>
      <c r="M80">
        <f>IF('Emissions Factors'!G82="","",'Emissions Factors'!G82)</f>
        <v>0.73480172999999993</v>
      </c>
      <c r="N80" t="str">
        <f>IF('Emissions Factors'!H82="","",'Emissions Factors'!H82)</f>
        <v>tCO2e/t</v>
      </c>
      <c r="O80">
        <f>IF('[1]Emissions Factors'!I82="","",'[1]Emissions Factors'!I82)</f>
        <v>1</v>
      </c>
      <c r="P80" t="str">
        <f>IF('Emissions Factors'!J82="",'Emissions Factors'!F82,'Emissions Factors'!J82)</f>
        <v>Carbon factor taken directly from the ICE V4: Cement &gt; Portland-fly ash cement &gt; CEM II/A-W - 13% fly ash calcareous</v>
      </c>
      <c r="R80">
        <v>1</v>
      </c>
      <c r="U80">
        <f t="shared" si="16"/>
        <v>18</v>
      </c>
      <c r="V80">
        <f t="shared" si="17"/>
        <v>35</v>
      </c>
    </row>
    <row r="81" spans="1:22" x14ac:dyDescent="0.3">
      <c r="A81">
        <f>'Emissions Factors'!A83</f>
        <v>0</v>
      </c>
      <c r="B81">
        <f>'Emissions Factors'!B83</f>
        <v>0</v>
      </c>
      <c r="C81">
        <f>'Emissions Factors'!C83</f>
        <v>0</v>
      </c>
      <c r="D81" t="str">
        <f>'Emissions Factors'!D83</f>
        <v>CEM II/B-W - 28% fly ash calcareous</v>
      </c>
      <c r="G81" t="str">
        <f t="shared" si="12"/>
        <v>Bulk Materials</v>
      </c>
      <c r="H81" t="str">
        <f t="shared" si="13"/>
        <v>Cement and binders</v>
      </c>
      <c r="I81" t="str">
        <f t="shared" si="14"/>
        <v>CEM II/B-W - 28% fly ash calcareous</v>
      </c>
      <c r="J81" t="str">
        <f t="shared" si="15"/>
        <v>Cement and bindersCEM II/B-W - 28% fly ash calcareous</v>
      </c>
      <c r="K81" t="str">
        <f>IF('Emissions Factors'!E83="","",'Emissions Factors'!E83)</f>
        <v>tonnes</v>
      </c>
      <c r="L81" t="str">
        <f>IF('Emissions Factors'!F83="","",'Emissions Factors'!F83)</f>
        <v>Cement</v>
      </c>
      <c r="M81">
        <f>IF('Emissions Factors'!G83="","",'Emissions Factors'!G83)</f>
        <v>0.60880487999999988</v>
      </c>
      <c r="N81" t="str">
        <f>IF('Emissions Factors'!H83="","",'Emissions Factors'!H83)</f>
        <v>tCO2e/t</v>
      </c>
      <c r="O81">
        <f>IF('[1]Emissions Factors'!I83="","",'[1]Emissions Factors'!I83)</f>
        <v>1</v>
      </c>
      <c r="P81" t="str">
        <f>IF('Emissions Factors'!J83="",'Emissions Factors'!F83,'Emissions Factors'!J83)</f>
        <v>Carbon factor taken directly from the ICE V4: Cement &gt; Portland-fly ash cement &gt; CEM II/B-W - 28% fly ash calcareous</v>
      </c>
      <c r="R81">
        <v>1</v>
      </c>
      <c r="U81">
        <f t="shared" si="16"/>
        <v>18</v>
      </c>
      <c r="V81">
        <f t="shared" si="17"/>
        <v>35</v>
      </c>
    </row>
    <row r="82" spans="1:22" x14ac:dyDescent="0.3">
      <c r="A82">
        <f>'Emissions Factors'!A84</f>
        <v>0</v>
      </c>
      <c r="B82">
        <f>'Emissions Factors'!B84</f>
        <v>0</v>
      </c>
      <c r="C82">
        <f>'Emissions Factors'!C84</f>
        <v>0</v>
      </c>
      <c r="D82" t="str">
        <f>'Emissions Factors'!D84</f>
        <v>CEM II/A-L - 13% limestone</v>
      </c>
      <c r="G82" t="str">
        <f t="shared" si="12"/>
        <v>Bulk Materials</v>
      </c>
      <c r="H82" t="str">
        <f t="shared" si="13"/>
        <v>Cement and binders</v>
      </c>
      <c r="I82" t="str">
        <f t="shared" si="14"/>
        <v>CEM II/A-L - 13% limestone</v>
      </c>
      <c r="J82" t="str">
        <f t="shared" si="15"/>
        <v>Cement and bindersCEM II/A-L - 13% limestone</v>
      </c>
      <c r="K82" t="str">
        <f>IF('Emissions Factors'!E84="","",'Emissions Factors'!E84)</f>
        <v>tonnes</v>
      </c>
      <c r="L82" t="str">
        <f>IF('Emissions Factors'!F84="","",'Emissions Factors'!F84)</f>
        <v>Cement</v>
      </c>
      <c r="M82">
        <f>IF('Emissions Factors'!G84="","",'Emissions Factors'!G84)</f>
        <v>0.73633948049999998</v>
      </c>
      <c r="N82" t="str">
        <f>IF('Emissions Factors'!H84="","",'Emissions Factors'!H84)</f>
        <v>tCO2e/t</v>
      </c>
      <c r="O82">
        <f>IF('[1]Emissions Factors'!I84="","",'[1]Emissions Factors'!I84)</f>
        <v>1</v>
      </c>
      <c r="P82" t="str">
        <f>IF('Emissions Factors'!J84="",'Emissions Factors'!F84,'Emissions Factors'!J84)</f>
        <v>Carbon factor taken directly from the ICE V4: Cement &gt; Portland-limestone cement &gt; CEM II/A-L - 13% limestone</v>
      </c>
      <c r="R82">
        <v>1</v>
      </c>
      <c r="U82">
        <f t="shared" si="16"/>
        <v>18</v>
      </c>
      <c r="V82">
        <f t="shared" si="17"/>
        <v>26</v>
      </c>
    </row>
    <row r="83" spans="1:22" x14ac:dyDescent="0.3">
      <c r="A83">
        <f>'Emissions Factors'!A85</f>
        <v>0</v>
      </c>
      <c r="B83">
        <f>'Emissions Factors'!B85</f>
        <v>0</v>
      </c>
      <c r="C83">
        <f>'Emissions Factors'!C85</f>
        <v>0</v>
      </c>
      <c r="D83" t="str">
        <f>'Emissions Factors'!D85</f>
        <v>CEM II/B-L- 28% limestone</v>
      </c>
      <c r="G83" t="str">
        <f t="shared" si="12"/>
        <v>Bulk Materials</v>
      </c>
      <c r="H83" t="str">
        <f t="shared" si="13"/>
        <v>Cement and binders</v>
      </c>
      <c r="I83" t="str">
        <f t="shared" si="14"/>
        <v>CEM II/B-L- 28% limestone</v>
      </c>
      <c r="J83" t="str">
        <f t="shared" si="15"/>
        <v>Cement and bindersCEM II/B-L- 28% limestone</v>
      </c>
      <c r="K83" t="str">
        <f>IF('Emissions Factors'!E85="","",'Emissions Factors'!E85)</f>
        <v>tonnes</v>
      </c>
      <c r="L83" t="str">
        <f>IF('Emissions Factors'!F85="","",'Emissions Factors'!F85)</f>
        <v>Cement</v>
      </c>
      <c r="M83">
        <f>IF('Emissions Factors'!G85="","",'Emissions Factors'!G85)</f>
        <v>0.61211695799999988</v>
      </c>
      <c r="N83" t="str">
        <f>IF('Emissions Factors'!H85="","",'Emissions Factors'!H85)</f>
        <v>tCO2e/t</v>
      </c>
      <c r="O83">
        <f>IF('[1]Emissions Factors'!I85="","",'[1]Emissions Factors'!I85)</f>
        <v>1</v>
      </c>
      <c r="P83" t="str">
        <f>IF('Emissions Factors'!J85="",'Emissions Factors'!F85,'Emissions Factors'!J85)</f>
        <v>Carbon factor taken directly from the ICE V4: Cement &gt; Portland-limestone cement &gt; CEM II/B-L- 28% limestone</v>
      </c>
      <c r="R83">
        <v>1</v>
      </c>
      <c r="U83">
        <f t="shared" si="16"/>
        <v>18</v>
      </c>
      <c r="V83">
        <f t="shared" si="17"/>
        <v>25</v>
      </c>
    </row>
    <row r="84" spans="1:22" x14ac:dyDescent="0.3">
      <c r="A84">
        <f>'Emissions Factors'!A86</f>
        <v>0</v>
      </c>
      <c r="B84">
        <f>'Emissions Factors'!B86</f>
        <v>0</v>
      </c>
      <c r="C84">
        <f>'Emissions Factors'!C86</f>
        <v>0</v>
      </c>
      <c r="D84" t="str">
        <f>'Emissions Factors'!D86</f>
        <v>CEM II/A-LL - 13% limestone</v>
      </c>
      <c r="G84" t="str">
        <f t="shared" si="12"/>
        <v>Bulk Materials</v>
      </c>
      <c r="H84" t="str">
        <f t="shared" si="13"/>
        <v>Cement and binders</v>
      </c>
      <c r="I84" t="str">
        <f t="shared" si="14"/>
        <v>CEM II/A-LL - 13% limestone</v>
      </c>
      <c r="J84" t="str">
        <f t="shared" si="15"/>
        <v>Cement and bindersCEM II/A-LL - 13% limestone</v>
      </c>
      <c r="K84" t="str">
        <f>IF('Emissions Factors'!E86="","",'Emissions Factors'!E86)</f>
        <v>tonnes</v>
      </c>
      <c r="L84" t="str">
        <f>IF('Emissions Factors'!F86="","",'Emissions Factors'!F86)</f>
        <v>Cement</v>
      </c>
      <c r="M84">
        <f>IF('Emissions Factors'!G86="","",'Emissions Factors'!G86)</f>
        <v>0.73633948049999998</v>
      </c>
      <c r="N84" t="str">
        <f>IF('Emissions Factors'!H86="","",'Emissions Factors'!H86)</f>
        <v>tCO2e/t</v>
      </c>
      <c r="O84">
        <f>IF('[1]Emissions Factors'!I86="","",'[1]Emissions Factors'!I86)</f>
        <v>1</v>
      </c>
      <c r="P84" t="str">
        <f>IF('Emissions Factors'!J86="",'Emissions Factors'!F86,'Emissions Factors'!J86)</f>
        <v>Carbon factor taken directly from the ICE V4: Cement &gt; Portland-limestone cement &gt; CEM II/A-LL - 13% limestone</v>
      </c>
      <c r="R84">
        <v>1</v>
      </c>
      <c r="U84">
        <f t="shared" si="16"/>
        <v>18</v>
      </c>
      <c r="V84">
        <f t="shared" si="17"/>
        <v>27</v>
      </c>
    </row>
    <row r="85" spans="1:22" x14ac:dyDescent="0.3">
      <c r="A85">
        <f>'Emissions Factors'!A87</f>
        <v>0</v>
      </c>
      <c r="B85">
        <f>'Emissions Factors'!B87</f>
        <v>0</v>
      </c>
      <c r="C85">
        <f>'Emissions Factors'!C87</f>
        <v>0</v>
      </c>
      <c r="D85" t="str">
        <f>'Emissions Factors'!D87</f>
        <v>CEM II/B-LL - 28% limestone</v>
      </c>
      <c r="G85" t="str">
        <f t="shared" si="12"/>
        <v>Bulk Materials</v>
      </c>
      <c r="H85" t="str">
        <f t="shared" si="13"/>
        <v>Cement and binders</v>
      </c>
      <c r="I85" t="str">
        <f t="shared" si="14"/>
        <v>CEM II/B-LL - 28% limestone</v>
      </c>
      <c r="J85" t="str">
        <f t="shared" si="15"/>
        <v>Cement and bindersCEM II/B-LL - 28% limestone</v>
      </c>
      <c r="K85" t="str">
        <f>IF('Emissions Factors'!E87="","",'Emissions Factors'!E87)</f>
        <v>tonnes</v>
      </c>
      <c r="L85" t="str">
        <f>IF('Emissions Factors'!F87="","",'Emissions Factors'!F87)</f>
        <v>Cement</v>
      </c>
      <c r="M85">
        <f>IF('Emissions Factors'!G87="","",'Emissions Factors'!G87)</f>
        <v>0.61211695799999988</v>
      </c>
      <c r="N85" t="str">
        <f>IF('Emissions Factors'!H87="","",'Emissions Factors'!H87)</f>
        <v>tCO2e/t</v>
      </c>
      <c r="O85">
        <f>IF('[1]Emissions Factors'!I87="","",'[1]Emissions Factors'!I87)</f>
        <v>1</v>
      </c>
      <c r="P85" t="str">
        <f>IF('Emissions Factors'!J87="",'Emissions Factors'!F87,'Emissions Factors'!J87)</f>
        <v>Carbon factor taken directly from the ICE V4: Cement &gt; Portland-limestone cement &gt; CEM II/B-LL - 28% limestone</v>
      </c>
      <c r="R85">
        <v>1</v>
      </c>
      <c r="U85">
        <f t="shared" si="16"/>
        <v>18</v>
      </c>
      <c r="V85">
        <f t="shared" si="17"/>
        <v>27</v>
      </c>
    </row>
    <row r="86" spans="1:22" x14ac:dyDescent="0.3">
      <c r="A86">
        <f>'Emissions Factors'!A88</f>
        <v>0</v>
      </c>
      <c r="B86">
        <f>'Emissions Factors'!B88</f>
        <v>0</v>
      </c>
      <c r="C86">
        <f>'Emissions Factors'!C88</f>
        <v>0</v>
      </c>
      <c r="D86" t="str">
        <f>'Emissions Factors'!D88</f>
        <v>CEM II/A-M - 16% cement replacement</v>
      </c>
      <c r="G86" t="str">
        <f t="shared" si="12"/>
        <v>Bulk Materials</v>
      </c>
      <c r="H86" t="str">
        <f t="shared" si="13"/>
        <v>Cement and binders</v>
      </c>
      <c r="I86" t="str">
        <f t="shared" si="14"/>
        <v>CEM II/A-M - 16% cement replacement</v>
      </c>
      <c r="J86" t="str">
        <f t="shared" si="15"/>
        <v>Cement and bindersCEM II/A-M - 16% cement replacement</v>
      </c>
      <c r="K86" t="str">
        <f>IF('Emissions Factors'!E88="","",'Emissions Factors'!E88)</f>
        <v>tonnes</v>
      </c>
      <c r="L86" t="str">
        <f>IF('Emissions Factors'!F88="","",'Emissions Factors'!F88)</f>
        <v>Cement</v>
      </c>
      <c r="M86">
        <f>IF('Emissions Factors'!G88="","",'Emissions Factors'!G88)</f>
        <v>0.7156806</v>
      </c>
      <c r="N86" t="str">
        <f>IF('Emissions Factors'!H88="","",'Emissions Factors'!H88)</f>
        <v>tCO2e/t</v>
      </c>
      <c r="O86">
        <f>IF('[1]Emissions Factors'!I88="","",'[1]Emissions Factors'!I88)</f>
        <v>1</v>
      </c>
      <c r="P86" t="str">
        <f>IF('Emissions Factors'!J88="",'Emissions Factors'!F88,'Emissions Factors'!J88)</f>
        <v>Carbon factor taken directly from the ICE V4: Cement &gt; Portland-composite cement &gt; CEM II/A-M - 16% cement replacement</v>
      </c>
      <c r="R86">
        <v>1</v>
      </c>
      <c r="U86">
        <f t="shared" si="16"/>
        <v>18</v>
      </c>
      <c r="V86">
        <f t="shared" si="17"/>
        <v>35</v>
      </c>
    </row>
    <row r="87" spans="1:22" x14ac:dyDescent="0.3">
      <c r="A87">
        <f>'Emissions Factors'!A89</f>
        <v>0</v>
      </c>
      <c r="B87">
        <f>'Emissions Factors'!B89</f>
        <v>0</v>
      </c>
      <c r="C87">
        <f>'Emissions Factors'!C89</f>
        <v>0</v>
      </c>
      <c r="D87" t="str">
        <f>'Emissions Factors'!D89</f>
        <v>CEM II/B-M - 28% cement replacement</v>
      </c>
      <c r="G87" t="str">
        <f t="shared" si="12"/>
        <v>Bulk Materials</v>
      </c>
      <c r="H87" t="str">
        <f t="shared" si="13"/>
        <v>Cement and binders</v>
      </c>
      <c r="I87" t="str">
        <f t="shared" si="14"/>
        <v>CEM II/B-M - 28% cement replacement</v>
      </c>
      <c r="J87" t="str">
        <f t="shared" si="15"/>
        <v>Cement and bindersCEM II/B-M - 28% cement replacement</v>
      </c>
      <c r="K87" t="str">
        <f>IF('Emissions Factors'!E89="","",'Emissions Factors'!E89)</f>
        <v>tonnes</v>
      </c>
      <c r="L87" t="str">
        <f>IF('Emissions Factors'!F89="","",'Emissions Factors'!F89)</f>
        <v>Cement</v>
      </c>
      <c r="M87">
        <f>IF('Emissions Factors'!G89="","",'Emissions Factors'!G89)</f>
        <v>0.61944179999999993</v>
      </c>
      <c r="N87" t="str">
        <f>IF('Emissions Factors'!H89="","",'Emissions Factors'!H89)</f>
        <v>tCO2e/t</v>
      </c>
      <c r="O87">
        <f>IF('[1]Emissions Factors'!I89="","",'[1]Emissions Factors'!I89)</f>
        <v>1</v>
      </c>
      <c r="P87" t="str">
        <f>IF('Emissions Factors'!J89="",'Emissions Factors'!F89,'Emissions Factors'!J89)</f>
        <v>Carbon factor taken directly from the ICE V4: Cement &gt; Portland-composite cement &gt; CEM II/B-M - 28% cement replacement</v>
      </c>
      <c r="R87">
        <v>1</v>
      </c>
      <c r="U87">
        <f t="shared" si="16"/>
        <v>18</v>
      </c>
      <c r="V87">
        <f t="shared" si="17"/>
        <v>35</v>
      </c>
    </row>
    <row r="88" spans="1:22" x14ac:dyDescent="0.3">
      <c r="A88">
        <f>'Emissions Factors'!A90</f>
        <v>0</v>
      </c>
      <c r="B88">
        <f>'Emissions Factors'!B90</f>
        <v>0</v>
      </c>
      <c r="C88">
        <f>'Emissions Factors'!C90</f>
        <v>0</v>
      </c>
      <c r="D88" t="str">
        <f>'Emissions Factors'!D90</f>
        <v>CEM III/A - 50.5% GGBS</v>
      </c>
      <c r="G88" t="str">
        <f t="shared" si="12"/>
        <v>Bulk Materials</v>
      </c>
      <c r="H88" t="str">
        <f t="shared" si="13"/>
        <v>Cement and binders</v>
      </c>
      <c r="I88" t="str">
        <f t="shared" si="14"/>
        <v>CEM III/A - 50.5% GGBS</v>
      </c>
      <c r="J88" t="str">
        <f t="shared" si="15"/>
        <v>Cement and bindersCEM III/A - 50.5% GGBS</v>
      </c>
      <c r="K88" t="str">
        <f>IF('Emissions Factors'!E90="","",'Emissions Factors'!E90)</f>
        <v>tonnes</v>
      </c>
      <c r="L88" t="str">
        <f>IF('Emissions Factors'!F90="","",'Emissions Factors'!F90)</f>
        <v>Cement</v>
      </c>
      <c r="M88">
        <f>IF('Emissions Factors'!G90="","",'Emissions Factors'!G90)</f>
        <v>0.45817849499999996</v>
      </c>
      <c r="N88" t="str">
        <f>IF('Emissions Factors'!H90="","",'Emissions Factors'!H90)</f>
        <v>tCO2e/t</v>
      </c>
      <c r="O88">
        <f>IF('[1]Emissions Factors'!I90="","",'[1]Emissions Factors'!I90)</f>
        <v>1</v>
      </c>
      <c r="P88" t="str">
        <f>IF('Emissions Factors'!J90="",'Emissions Factors'!F90,'Emissions Factors'!J90)</f>
        <v>Carbon factor taken directly from the ICE V4: Cement &gt; Blast furnace cement &gt; CEM III/A - 50.5% GGBS</v>
      </c>
      <c r="R88">
        <v>1</v>
      </c>
      <c r="U88">
        <f t="shared" si="16"/>
        <v>18</v>
      </c>
      <c r="V88">
        <f t="shared" si="17"/>
        <v>22</v>
      </c>
    </row>
    <row r="89" spans="1:22" x14ac:dyDescent="0.3">
      <c r="A89">
        <f>'Emissions Factors'!A91</f>
        <v>0</v>
      </c>
      <c r="B89">
        <f>'Emissions Factors'!B91</f>
        <v>0</v>
      </c>
      <c r="C89">
        <f>'Emissions Factors'!C91</f>
        <v>0</v>
      </c>
      <c r="D89" t="str">
        <f>'Emissions Factors'!D91</f>
        <v>CEM III/B - 73% GGBS</v>
      </c>
      <c r="G89" t="str">
        <f t="shared" si="12"/>
        <v>Bulk Materials</v>
      </c>
      <c r="H89" t="str">
        <f t="shared" si="13"/>
        <v>Cement and binders</v>
      </c>
      <c r="I89" t="str">
        <f t="shared" si="14"/>
        <v>CEM III/B - 73% GGBS</v>
      </c>
      <c r="J89" t="str">
        <f t="shared" si="15"/>
        <v>Cement and bindersCEM III/B - 73% GGBS</v>
      </c>
      <c r="K89" t="str">
        <f>IF('Emissions Factors'!E91="","",'Emissions Factors'!E91)</f>
        <v>tonnes</v>
      </c>
      <c r="L89" t="str">
        <f>IF('Emissions Factors'!F91="","",'Emissions Factors'!F91)</f>
        <v>Cement</v>
      </c>
      <c r="M89">
        <f>IF('Emissions Factors'!G91="","",'Emissions Factors'!G91)</f>
        <v>0.28627826999999995</v>
      </c>
      <c r="N89" t="str">
        <f>IF('Emissions Factors'!H91="","",'Emissions Factors'!H91)</f>
        <v>tCO2e/t</v>
      </c>
      <c r="O89">
        <f>IF('[1]Emissions Factors'!I91="","",'[1]Emissions Factors'!I91)</f>
        <v>1</v>
      </c>
      <c r="P89" t="str">
        <f>IF('Emissions Factors'!J91="",'Emissions Factors'!F91,'Emissions Factors'!J91)</f>
        <v>Carbon factor taken directly from the ICE V4: Cement &gt; Blast furnace cement &gt; CEM III/B - 73% GGBS</v>
      </c>
      <c r="R89">
        <v>1</v>
      </c>
      <c r="U89">
        <f t="shared" si="16"/>
        <v>18</v>
      </c>
      <c r="V89">
        <f t="shared" si="17"/>
        <v>20</v>
      </c>
    </row>
    <row r="90" spans="1:22" x14ac:dyDescent="0.3">
      <c r="A90">
        <f>'Emissions Factors'!A92</f>
        <v>0</v>
      </c>
      <c r="B90">
        <f>'Emissions Factors'!B92</f>
        <v>0</v>
      </c>
      <c r="C90">
        <f>'Emissions Factors'!C92</f>
        <v>0</v>
      </c>
      <c r="D90" t="str">
        <f>'Emissions Factors'!D92</f>
        <v>CEM III/C - 88% GGBS</v>
      </c>
      <c r="G90" t="str">
        <f t="shared" si="12"/>
        <v>Bulk Materials</v>
      </c>
      <c r="H90" t="str">
        <f t="shared" si="13"/>
        <v>Cement and binders</v>
      </c>
      <c r="I90" t="str">
        <f t="shared" si="14"/>
        <v>CEM III/C - 88% GGBS</v>
      </c>
      <c r="J90" t="str">
        <f t="shared" si="15"/>
        <v>Cement and bindersCEM III/C - 88% GGBS</v>
      </c>
      <c r="K90" t="str">
        <f>IF('Emissions Factors'!E92="","",'Emissions Factors'!E92)</f>
        <v>tonnes</v>
      </c>
      <c r="L90" t="str">
        <f>IF('Emissions Factors'!F92="","",'Emissions Factors'!F92)</f>
        <v>Cement</v>
      </c>
      <c r="M90">
        <f>IF('Emissions Factors'!G92="","",'Emissions Factors'!G92)</f>
        <v>0.17167811999999996</v>
      </c>
      <c r="N90" t="str">
        <f>IF('Emissions Factors'!H92="","",'Emissions Factors'!H92)</f>
        <v>tCO2e/t</v>
      </c>
      <c r="O90">
        <f>IF('[1]Emissions Factors'!I92="","",'[1]Emissions Factors'!I92)</f>
        <v>1</v>
      </c>
      <c r="P90" t="str">
        <f>IF('Emissions Factors'!J92="",'Emissions Factors'!F92,'Emissions Factors'!J92)</f>
        <v>Carbon factor taken directly from the ICE V4: Cement &gt; Blast furnace cement &gt; CEM III/C - 88% GGBS</v>
      </c>
      <c r="R90">
        <v>1</v>
      </c>
      <c r="U90">
        <f t="shared" si="16"/>
        <v>18</v>
      </c>
      <c r="V90">
        <f t="shared" si="17"/>
        <v>20</v>
      </c>
    </row>
    <row r="91" spans="1:22" x14ac:dyDescent="0.3">
      <c r="A91">
        <f>'Emissions Factors'!A93</f>
        <v>0</v>
      </c>
      <c r="B91">
        <f>'Emissions Factors'!B93</f>
        <v>0</v>
      </c>
      <c r="C91">
        <f>'Emissions Factors'!C93</f>
        <v>0</v>
      </c>
      <c r="D91" t="str">
        <f>'Emissions Factors'!D93</f>
        <v>CEM IV/A - 23% cement replacement</v>
      </c>
      <c r="G91" t="str">
        <f t="shared" si="12"/>
        <v>Bulk Materials</v>
      </c>
      <c r="H91" t="str">
        <f t="shared" si="13"/>
        <v>Cement and binders</v>
      </c>
      <c r="I91" t="str">
        <f t="shared" si="14"/>
        <v>CEM IV/A - 23% cement replacement</v>
      </c>
      <c r="J91" t="str">
        <f t="shared" si="15"/>
        <v>Cement and bindersCEM IV/A - 23% cement replacement</v>
      </c>
      <c r="K91" t="str">
        <f>IF('Emissions Factors'!E93="","",'Emissions Factors'!E93)</f>
        <v>tonnes</v>
      </c>
      <c r="L91" t="str">
        <f>IF('Emissions Factors'!F93="","",'Emissions Factors'!F93)</f>
        <v>Cement</v>
      </c>
      <c r="M91">
        <f>IF('Emissions Factors'!G93="","",'Emissions Factors'!G93)</f>
        <v>0.65080382999999997</v>
      </c>
      <c r="N91" t="str">
        <f>IF('Emissions Factors'!H93="","",'Emissions Factors'!H93)</f>
        <v>tCO2e/t</v>
      </c>
      <c r="O91">
        <f>IF('[1]Emissions Factors'!I93="","",'[1]Emissions Factors'!I93)</f>
        <v>1</v>
      </c>
      <c r="P91" t="str">
        <f>IF('Emissions Factors'!J93="",'Emissions Factors'!F93,'Emissions Factors'!J93)</f>
        <v>Carbon factor taken directly from the ICE V4: Cement &gt; Pozzolanic cement &gt; CEM IV/A - 23% cement replacement</v>
      </c>
      <c r="R91">
        <v>1</v>
      </c>
      <c r="U91">
        <f t="shared" si="16"/>
        <v>18</v>
      </c>
      <c r="V91">
        <f t="shared" si="17"/>
        <v>33</v>
      </c>
    </row>
    <row r="92" spans="1:22" x14ac:dyDescent="0.3">
      <c r="A92">
        <f>'Emissions Factors'!A94</f>
        <v>0</v>
      </c>
      <c r="B92">
        <f>'Emissions Factors'!B94</f>
        <v>0</v>
      </c>
      <c r="C92">
        <f>'Emissions Factors'!C94</f>
        <v>0</v>
      </c>
      <c r="D92" t="str">
        <f>'Emissions Factors'!D94</f>
        <v>CEM IV/B - 46% cement replacement</v>
      </c>
      <c r="G92" t="str">
        <f t="shared" si="12"/>
        <v>Bulk Materials</v>
      </c>
      <c r="H92" t="str">
        <f t="shared" si="13"/>
        <v>Cement and binders</v>
      </c>
      <c r="I92" t="str">
        <f t="shared" si="14"/>
        <v>CEM IV/B - 46% cement replacement</v>
      </c>
      <c r="J92" t="str">
        <f t="shared" si="15"/>
        <v>Cement and bindersCEM IV/B - 46% cement replacement</v>
      </c>
      <c r="K92" t="str">
        <f>IF('Emissions Factors'!E94="","",'Emissions Factors'!E94)</f>
        <v>tonnes</v>
      </c>
      <c r="L92" t="str">
        <f>IF('Emissions Factors'!F94="","",'Emissions Factors'!F94)</f>
        <v>Cement</v>
      </c>
      <c r="M92">
        <f>IF('Emissions Factors'!G94="","",'Emissions Factors'!G94)</f>
        <v>0.46180855499999995</v>
      </c>
      <c r="N92" t="str">
        <f>IF('Emissions Factors'!H94="","",'Emissions Factors'!H94)</f>
        <v>tCO2e/t</v>
      </c>
      <c r="O92">
        <f>IF('[1]Emissions Factors'!I94="","",'[1]Emissions Factors'!I94)</f>
        <v>1</v>
      </c>
      <c r="P92" t="str">
        <f>IF('Emissions Factors'!J94="",'Emissions Factors'!F94,'Emissions Factors'!J94)</f>
        <v>Carbon factor taken directly from the ICE V4: Cement &gt; Pozzolanic cement &gt; CEM IV/B - 46% cement replacement</v>
      </c>
      <c r="R92">
        <v>1</v>
      </c>
      <c r="U92">
        <f t="shared" si="16"/>
        <v>18</v>
      </c>
      <c r="V92">
        <f t="shared" si="17"/>
        <v>33</v>
      </c>
    </row>
    <row r="93" spans="1:22" x14ac:dyDescent="0.3">
      <c r="A93">
        <f>'Emissions Factors'!A95</f>
        <v>0</v>
      </c>
      <c r="B93">
        <f>'Emissions Factors'!B95</f>
        <v>0</v>
      </c>
      <c r="C93">
        <f>'Emissions Factors'!C95</f>
        <v>0</v>
      </c>
      <c r="D93" t="str">
        <f>'Emissions Factors'!D95</f>
        <v>CEM V/A - 24% GGBS and 24% cement replacement</v>
      </c>
      <c r="G93" t="str">
        <f t="shared" si="12"/>
        <v>Bulk Materials</v>
      </c>
      <c r="H93" t="str">
        <f t="shared" si="13"/>
        <v>Cement and binders</v>
      </c>
      <c r="I93" t="str">
        <f t="shared" si="14"/>
        <v>CEM V/A - 24% GGBS and 24% cement replacement</v>
      </c>
      <c r="J93" t="str">
        <f t="shared" si="15"/>
        <v>Cement and bindersCEM V/A - 24% GGBS and 24% cement replacement</v>
      </c>
      <c r="K93" t="str">
        <f>IF('Emissions Factors'!E95="","",'Emissions Factors'!E95)</f>
        <v>tonnes</v>
      </c>
      <c r="L93" t="str">
        <f>IF('Emissions Factors'!F95="","",'Emissions Factors'!F95)</f>
        <v>Cement</v>
      </c>
      <c r="M93">
        <f>IF('Emissions Factors'!G95="","",'Emissions Factors'!G95)</f>
        <v>0.46010025599999999</v>
      </c>
      <c r="N93" t="str">
        <f>IF('Emissions Factors'!H95="","",'Emissions Factors'!H95)</f>
        <v>tCO2e/t</v>
      </c>
      <c r="O93">
        <f>IF('[1]Emissions Factors'!I95="","",'[1]Emissions Factors'!I95)</f>
        <v>1</v>
      </c>
      <c r="P93" t="str">
        <f>IF('Emissions Factors'!J95="",'Emissions Factors'!F95,'Emissions Factors'!J95)</f>
        <v>Carbon factor taken directly from the ICE V4: Cement &gt; Composite cement &gt; CEM V/A - 24% GGBS and 24% cement replacement</v>
      </c>
      <c r="R93">
        <v>1</v>
      </c>
      <c r="U93">
        <f t="shared" si="16"/>
        <v>18</v>
      </c>
      <c r="V93">
        <f t="shared" si="17"/>
        <v>45</v>
      </c>
    </row>
    <row r="94" spans="1:22" x14ac:dyDescent="0.3">
      <c r="A94">
        <f>'Emissions Factors'!A96</f>
        <v>0</v>
      </c>
      <c r="B94">
        <f>'Emissions Factors'!B96</f>
        <v>0</v>
      </c>
      <c r="C94">
        <f>'Emissions Factors'!C96</f>
        <v>0</v>
      </c>
      <c r="D94" t="str">
        <f>'Emissions Factors'!D96</f>
        <v>CEM V/B - 36% GGBS and 36% cement replacement</v>
      </c>
      <c r="G94" t="str">
        <f t="shared" si="12"/>
        <v>Bulk Materials</v>
      </c>
      <c r="H94" t="str">
        <f t="shared" si="13"/>
        <v>Cement and binders</v>
      </c>
      <c r="I94" t="str">
        <f t="shared" si="14"/>
        <v>CEM V/B - 36% GGBS and 36% cement replacement</v>
      </c>
      <c r="J94" t="str">
        <f t="shared" si="15"/>
        <v>Cement and bindersCEM V/B - 36% GGBS and 36% cement replacement</v>
      </c>
      <c r="K94" t="str">
        <f>IF('Emissions Factors'!E96="","",'Emissions Factors'!E96)</f>
        <v>tonnes</v>
      </c>
      <c r="L94" t="str">
        <f>IF('Emissions Factors'!F96="","",'Emissions Factors'!F96)</f>
        <v>Cement</v>
      </c>
      <c r="M94">
        <f>IF('Emissions Factors'!G96="","",'Emissions Factors'!G96)</f>
        <v>0.27614877450000003</v>
      </c>
      <c r="N94" t="str">
        <f>IF('Emissions Factors'!H96="","",'Emissions Factors'!H96)</f>
        <v>tCO2e/t</v>
      </c>
      <c r="O94">
        <f>IF('[1]Emissions Factors'!I96="","",'[1]Emissions Factors'!I96)</f>
        <v>1</v>
      </c>
      <c r="P94" t="str">
        <f>IF('Emissions Factors'!J96="",'Emissions Factors'!F96,'Emissions Factors'!J96)</f>
        <v>Carbon factor taken directly from the ICE V4: Cement &gt; Composite cement &gt; CEM V/B - 36% GGBS and 36% cement replacement</v>
      </c>
      <c r="R94">
        <v>1</v>
      </c>
      <c r="U94">
        <f t="shared" si="16"/>
        <v>18</v>
      </c>
      <c r="V94">
        <f t="shared" si="17"/>
        <v>45</v>
      </c>
    </row>
    <row r="95" spans="1:22" x14ac:dyDescent="0.3">
      <c r="A95">
        <f>'Emissions Factors'!A97</f>
        <v>0</v>
      </c>
      <c r="B95">
        <f>'Emissions Factors'!B97</f>
        <v>0</v>
      </c>
      <c r="C95" t="str">
        <f>'Emissions Factors'!C97</f>
        <v>Reinforcement steel</v>
      </c>
      <c r="D95" t="str">
        <f>'Emissions Factors'!D97</f>
        <v>Steel bar and rod</v>
      </c>
      <c r="G95" t="str">
        <f t="shared" si="12"/>
        <v>Bulk Materials</v>
      </c>
      <c r="H95" t="str">
        <f t="shared" si="13"/>
        <v>Reinforcement steel</v>
      </c>
      <c r="I95" t="str">
        <f t="shared" si="14"/>
        <v>Steel bar and rod</v>
      </c>
      <c r="J95" t="str">
        <f t="shared" si="15"/>
        <v>Reinforcement steelSteel bar and rod</v>
      </c>
      <c r="K95" t="str">
        <f>IF('Emissions Factors'!E97="","",'Emissions Factors'!E97)</f>
        <v>tonnes</v>
      </c>
      <c r="L95" t="str">
        <f>IF('Emissions Factors'!F97="","",'Emissions Factors'!F97)</f>
        <v>Steel</v>
      </c>
      <c r="M95">
        <f>IF('Emissions Factors'!G97="","",'Emissions Factors'!G97)</f>
        <v>1.72</v>
      </c>
      <c r="N95" t="str">
        <f>IF('Emissions Factors'!H97="","",'Emissions Factors'!H97)</f>
        <v>tCO2e/t</v>
      </c>
      <c r="O95">
        <f>IF('[1]Emissions Factors'!I97="","",'[1]Emissions Factors'!I97)</f>
        <v>1</v>
      </c>
      <c r="P95" t="str">
        <f>IF('Emissions Factors'!J97="",'Emissions Factors'!F97,'Emissions Factors'!J97)</f>
        <v>Carbon factor taken directly from the ICE V4: Carbon Factors: Steel &gt; Rebar. Please note the carbon factor is based on world average steel. If the recycled content is known, you may consult the ICE database to identify a more accurate value to enter as a custom carbon factor.</v>
      </c>
      <c r="R95">
        <v>1</v>
      </c>
      <c r="U95">
        <f t="shared" si="16"/>
        <v>19</v>
      </c>
      <c r="V95">
        <f t="shared" si="17"/>
        <v>17</v>
      </c>
    </row>
    <row r="96" spans="1:22" x14ac:dyDescent="0.3">
      <c r="A96">
        <f>'Emissions Factors'!A98</f>
        <v>0</v>
      </c>
      <c r="B96">
        <f>'Emissions Factors'!B98</f>
        <v>0</v>
      </c>
      <c r="C96" t="str">
        <f>'Emissions Factors'!C98</f>
        <v xml:space="preserve">Asphalt </v>
      </c>
      <c r="D96" t="str">
        <f>'Emissions Factors'!D98</f>
        <v xml:space="preserve">General Asphalt </v>
      </c>
      <c r="G96" t="str">
        <f t="shared" si="12"/>
        <v>Bulk Materials</v>
      </c>
      <c r="H96" t="str">
        <f t="shared" si="13"/>
        <v xml:space="preserve">Asphalt </v>
      </c>
      <c r="I96" t="str">
        <f t="shared" si="14"/>
        <v xml:space="preserve">General Asphalt </v>
      </c>
      <c r="J96" t="str">
        <f t="shared" si="15"/>
        <v xml:space="preserve">Asphalt General Asphalt </v>
      </c>
      <c r="K96" t="str">
        <f>IF('Emissions Factors'!E98="","",'Emissions Factors'!E98)</f>
        <v>tonnes</v>
      </c>
      <c r="L96" t="str">
        <f>IF('Emissions Factors'!F98="","",'Emissions Factors'!F98)</f>
        <v>Asphalt and Bitumen</v>
      </c>
      <c r="M96">
        <f>IF('Emissions Factors'!G98="","",'Emissions Factors'!G98)</f>
        <v>5.5300000000000002E-2</v>
      </c>
      <c r="N96" t="str">
        <f>IF('Emissions Factors'!H98="","",'Emissions Factors'!H98)</f>
        <v>tCO2e/t</v>
      </c>
      <c r="O96">
        <f>IF('[1]Emissions Factors'!I98="","",'[1]Emissions Factors'!I98)</f>
        <v>1</v>
      </c>
      <c r="P96" t="str">
        <f>IF('Emissions Factors'!J98="",'Emissions Factors'!F98,'Emissions Factors'!J98)</f>
        <v>Carbon factor taken directly from the ICE V4: Asphalt &gt; Bitumen binder content ranges from 3% to 7%. Value of 5.5% used here as a typical content.</v>
      </c>
      <c r="R96">
        <v>1</v>
      </c>
      <c r="U96">
        <f t="shared" si="16"/>
        <v>8</v>
      </c>
      <c r="V96">
        <f t="shared" si="17"/>
        <v>16</v>
      </c>
    </row>
    <row r="97" spans="1:22" x14ac:dyDescent="0.3">
      <c r="A97">
        <f>'Emissions Factors'!A99</f>
        <v>0</v>
      </c>
      <c r="B97">
        <f>'Emissions Factors'!B99</f>
        <v>0</v>
      </c>
      <c r="C97">
        <f>'Emissions Factors'!C99</f>
        <v>0</v>
      </c>
      <c r="D97" t="str">
        <f>'Emissions Factors'!D99</f>
        <v>Warm Mix Asphalt</v>
      </c>
      <c r="G97" t="str">
        <f t="shared" si="12"/>
        <v>Bulk Materials</v>
      </c>
      <c r="H97" t="str">
        <f t="shared" si="13"/>
        <v xml:space="preserve">Asphalt </v>
      </c>
      <c r="I97" t="str">
        <f t="shared" si="14"/>
        <v>Warm Mix Asphalt</v>
      </c>
      <c r="J97" t="str">
        <f t="shared" si="15"/>
        <v>Asphalt Warm Mix Asphalt</v>
      </c>
      <c r="K97" t="str">
        <f>IF('Emissions Factors'!E99="","",'Emissions Factors'!E99)</f>
        <v>tonnes</v>
      </c>
      <c r="L97" t="str">
        <f>IF('Emissions Factors'!F99="","",'Emissions Factors'!F99)</f>
        <v>Asphalt and Bitumen</v>
      </c>
      <c r="M97">
        <f>IF('Emissions Factors'!G99="","",'Emissions Factors'!G99)</f>
        <v>5.2534999999999998E-2</v>
      </c>
      <c r="N97" t="str">
        <f>IF('Emissions Factors'!H99="","",'Emissions Factors'!H99)</f>
        <v>tCO2e/t</v>
      </c>
      <c r="O97">
        <f>IF('[1]Emissions Factors'!I99="","",'[1]Emissions Factors'!I99)</f>
        <v>1</v>
      </c>
      <c r="P97" t="str">
        <f>IF('Emissions Factors'!J99="",'Emissions Factors'!F99,'Emissions Factors'!J99)</f>
        <v>Carbon factor estimated to be 5% lower than the general asphalt value. If you have a carbon factor for a specific warm asphalt product please add a customer carbon factor and provide supporting information in the ‘notes’ section of carbon tool. The carbon tool guidance provides further information on custom factors and notes.</v>
      </c>
      <c r="R97">
        <v>1</v>
      </c>
      <c r="U97">
        <f t="shared" si="16"/>
        <v>8</v>
      </c>
      <c r="V97">
        <f t="shared" si="17"/>
        <v>16</v>
      </c>
    </row>
    <row r="98" spans="1:22" x14ac:dyDescent="0.3">
      <c r="A98">
        <f>'Emissions Factors'!A100</f>
        <v>0</v>
      </c>
      <c r="B98">
        <f>'Emissions Factors'!B100</f>
        <v>0</v>
      </c>
      <c r="C98">
        <f>'Emissions Factors'!C100</f>
        <v>0</v>
      </c>
      <c r="D98" t="str">
        <f>'Emissions Factors'!D100</f>
        <v>Road Surface Asphalt</v>
      </c>
      <c r="G98" t="str">
        <f t="shared" si="12"/>
        <v>Bulk Materials</v>
      </c>
      <c r="H98" t="str">
        <f t="shared" si="13"/>
        <v xml:space="preserve">Asphalt </v>
      </c>
      <c r="I98" t="str">
        <f t="shared" si="14"/>
        <v>Road Surface Asphalt</v>
      </c>
      <c r="J98" t="str">
        <f t="shared" si="15"/>
        <v>Asphalt Road Surface Asphalt</v>
      </c>
      <c r="K98" t="str">
        <f>IF('Emissions Factors'!E100="","",'Emissions Factors'!E100)</f>
        <v>tonnes</v>
      </c>
      <c r="L98" t="str">
        <f>IF('Emissions Factors'!F100="","",'Emissions Factors'!F100)</f>
        <v>Asphalt and Bitumen</v>
      </c>
      <c r="M98">
        <f>IF('Emissions Factors'!G100="","",'Emissions Factors'!G100)</f>
        <v>1.54E-2</v>
      </c>
      <c r="N98" t="str">
        <f>IF('Emissions Factors'!H100="","",'Emissions Factors'!H100)</f>
        <v>tCO2e/t</v>
      </c>
      <c r="O98">
        <v>1</v>
      </c>
      <c r="P98" t="str">
        <f>IF('Emissions Factors'!J100="",'Emissions Factors'!F100,'Emissions Factors'!J100)</f>
        <v>Carbon factor taken directly from the ICE V4: Asphalt &gt; Road Surface Asphalt &gt; Bitumen binder content ranges from 3% to 7%. Value of 5.5% used here as a typical content.</v>
      </c>
      <c r="R98">
        <v>1</v>
      </c>
      <c r="U98">
        <f t="shared" si="16"/>
        <v>8</v>
      </c>
      <c r="V98">
        <f t="shared" si="17"/>
        <v>20</v>
      </c>
    </row>
    <row r="99" spans="1:22" x14ac:dyDescent="0.3">
      <c r="A99">
        <f>'Emissions Factors'!A101</f>
        <v>0</v>
      </c>
      <c r="B99">
        <f>'Emissions Factors'!B101</f>
        <v>0</v>
      </c>
      <c r="C99" t="str">
        <f>'Emissions Factors'!C101</f>
        <v>Fill, aggregate and sand</v>
      </c>
      <c r="D99" t="str">
        <f>'Emissions Factors'!D101</f>
        <v>Site-won</v>
      </c>
      <c r="G99" t="str">
        <f t="shared" si="12"/>
        <v>Bulk Materials</v>
      </c>
      <c r="H99" t="str">
        <f t="shared" si="13"/>
        <v>Fill, aggregate and sand</v>
      </c>
      <c r="I99" t="str">
        <f t="shared" si="14"/>
        <v>Site-won</v>
      </c>
      <c r="J99" t="str">
        <f t="shared" si="15"/>
        <v>Fill, aggregate and sandSite-won</v>
      </c>
      <c r="K99" t="str">
        <f>IF('Emissions Factors'!E101="","",'Emissions Factors'!E101)</f>
        <v>tonnes</v>
      </c>
      <c r="L99" t="str">
        <f>IF('Emissions Factors'!F101="","",'Emissions Factors'!F101)</f>
        <v>Inert</v>
      </c>
      <c r="M99">
        <f>IF('Emissions Factors'!G101="","",'Emissions Factors'!G101)</f>
        <v>0</v>
      </c>
      <c r="N99" t="str">
        <f>IF('Emissions Factors'!H101="","",'Emissions Factors'!H101)</f>
        <v>tCO2e/t</v>
      </c>
      <c r="O99">
        <f>IF('[1]Emissions Factors'!I100="","",'[1]Emissions Factors'!I100)</f>
        <v>1</v>
      </c>
      <c r="P99" t="str">
        <f>IF('Emissions Factors'!J101="",'Emissions Factors'!F101,'Emissions Factors'!J101)</f>
        <v>Embodied carbon of site won material assumed to be zero. Emissions from the movement around the site captured by fuel use.</v>
      </c>
      <c r="R99">
        <v>0</v>
      </c>
      <c r="U99">
        <f t="shared" si="16"/>
        <v>24</v>
      </c>
      <c r="V99">
        <f t="shared" si="17"/>
        <v>8</v>
      </c>
    </row>
    <row r="100" spans="1:22" x14ac:dyDescent="0.3">
      <c r="A100">
        <f>'Emissions Factors'!A102</f>
        <v>0</v>
      </c>
      <c r="B100">
        <f>'Emissions Factors'!B102</f>
        <v>0</v>
      </c>
      <c r="C100">
        <f>'Emissions Factors'!C102</f>
        <v>0</v>
      </c>
      <c r="D100" t="str">
        <f>'Emissions Factors'!D102</f>
        <v>General mixture</v>
      </c>
      <c r="G100" t="str">
        <f t="shared" si="12"/>
        <v>Bulk Materials</v>
      </c>
      <c r="H100" t="str">
        <f t="shared" si="13"/>
        <v>Fill, aggregate and sand</v>
      </c>
      <c r="I100" t="str">
        <f t="shared" si="14"/>
        <v>General mixture</v>
      </c>
      <c r="J100" t="str">
        <f t="shared" si="15"/>
        <v>Fill, aggregate and sandGeneral mixture</v>
      </c>
      <c r="K100" t="str">
        <f>IF('Emissions Factors'!E102="","",'Emissions Factors'!E102)</f>
        <v>tonnes</v>
      </c>
      <c r="L100" t="str">
        <f>IF('Emissions Factors'!F102="","",'Emissions Factors'!F102)</f>
        <v>Inert</v>
      </c>
      <c r="M100">
        <f>IF('Emissions Factors'!G102="","",'Emissions Factors'!G102)</f>
        <v>7.4700000000000001E-3</v>
      </c>
      <c r="N100" t="str">
        <f>IF('Emissions Factors'!H102="","",'Emissions Factors'!H102)</f>
        <v>tCO2e/t</v>
      </c>
      <c r="O100">
        <f>IF('[1]Emissions Factors'!I101="","",'[1]Emissions Factors'!I101)</f>
        <v>1</v>
      </c>
      <c r="P100" t="str">
        <f>IF('Emissions Factors'!J102="",'Emissions Factors'!F102,'Emissions Factors'!J102)</f>
        <v>Carbon factor taken directly from ICE V4: Aggregate &gt; General UK mixture</v>
      </c>
      <c r="R100">
        <v>1</v>
      </c>
      <c r="U100">
        <f t="shared" si="16"/>
        <v>24</v>
      </c>
      <c r="V100">
        <f t="shared" si="17"/>
        <v>15</v>
      </c>
    </row>
    <row r="101" spans="1:22" x14ac:dyDescent="0.3">
      <c r="A101">
        <f>'Emissions Factors'!A103</f>
        <v>0</v>
      </c>
      <c r="B101">
        <f>'Emissions Factors'!B103</f>
        <v>0</v>
      </c>
      <c r="C101">
        <f>'Emissions Factors'!C103</f>
        <v>0</v>
      </c>
      <c r="D101" t="str">
        <f>'Emissions Factors'!D103</f>
        <v>Recycled and secondary mixture</v>
      </c>
      <c r="G101" t="str">
        <f t="shared" si="12"/>
        <v>Bulk Materials</v>
      </c>
      <c r="H101" t="str">
        <f t="shared" si="13"/>
        <v>Fill, aggregate and sand</v>
      </c>
      <c r="I101" t="str">
        <f t="shared" si="14"/>
        <v>Recycled and secondary mixture</v>
      </c>
      <c r="J101" t="str">
        <f t="shared" si="15"/>
        <v>Fill, aggregate and sandRecycled and secondary mixture</v>
      </c>
      <c r="K101" t="str">
        <f>IF('Emissions Factors'!E103="","",'Emissions Factors'!E103)</f>
        <v>tonnes</v>
      </c>
      <c r="L101" t="str">
        <f>IF('Emissions Factors'!F103="","",'Emissions Factors'!F103)</f>
        <v>Inert</v>
      </c>
      <c r="M101">
        <f>IF('Emissions Factors'!G103="","",'Emissions Factors'!G103)</f>
        <v>1.4181253693490319E-2</v>
      </c>
      <c r="N101" t="str">
        <f>IF('Emissions Factors'!H103="","",'Emissions Factors'!H103)</f>
        <v>tCO2e/t</v>
      </c>
      <c r="O101">
        <f>IF('[1]Emissions Factors'!I102="","",'[1]Emissions Factors'!I102)</f>
        <v>1</v>
      </c>
      <c r="P101" t="str">
        <f>IF('Emissions Factors'!J103="",'Emissions Factors'!F103,'Emissions Factors'!J103)</f>
        <v>Carbon factor taken directly from ICE V4: Aggregate &gt; Mixture of recycled and secondary</v>
      </c>
      <c r="R101">
        <v>1</v>
      </c>
      <c r="U101">
        <f t="shared" si="16"/>
        <v>24</v>
      </c>
      <c r="V101">
        <f t="shared" si="17"/>
        <v>30</v>
      </c>
    </row>
    <row r="102" spans="1:22" x14ac:dyDescent="0.3">
      <c r="A102">
        <f>'Emissions Factors'!A104</f>
        <v>0</v>
      </c>
      <c r="B102">
        <f>'Emissions Factors'!B104</f>
        <v>0</v>
      </c>
      <c r="C102">
        <f>'Emissions Factors'!C104</f>
        <v>0</v>
      </c>
      <c r="D102" t="str">
        <f>'Emissions Factors'!D104</f>
        <v>Virgin mixture of land won and marine</v>
      </c>
      <c r="G102" t="str">
        <f t="shared" si="12"/>
        <v>Bulk Materials</v>
      </c>
      <c r="H102" t="str">
        <f t="shared" si="13"/>
        <v>Fill, aggregate and sand</v>
      </c>
      <c r="I102" t="str">
        <f t="shared" si="14"/>
        <v>Virgin mixture of land won and marine</v>
      </c>
      <c r="J102" t="str">
        <f t="shared" si="15"/>
        <v>Fill, aggregate and sandVirgin mixture of land won and marine</v>
      </c>
      <c r="K102" t="str">
        <f>IF('Emissions Factors'!E104="","",'Emissions Factors'!E104)</f>
        <v>tonnes</v>
      </c>
      <c r="L102" t="str">
        <f>IF('Emissions Factors'!F104="","",'Emissions Factors'!F104)</f>
        <v>Inert</v>
      </c>
      <c r="M102">
        <f>IF('Emissions Factors'!G104="","",'Emissions Factors'!G104)</f>
        <v>4.9277889032866068E-3</v>
      </c>
      <c r="N102" t="str">
        <f>IF('Emissions Factors'!H104="","",'Emissions Factors'!H104)</f>
        <v>tCO2e/t</v>
      </c>
      <c r="O102">
        <f>IF('[1]Emissions Factors'!I103="","",'[1]Emissions Factors'!I103)</f>
        <v>1</v>
      </c>
      <c r="P102" t="str">
        <f>IF('Emissions Factors'!J104="",'Emissions Factors'!F104,'Emissions Factors'!J104)</f>
        <v>Carbon factor taken directly from ICE V4: Aggregate &gt; Virgin mixture of land won and marine</v>
      </c>
      <c r="R102">
        <v>1</v>
      </c>
      <c r="U102">
        <f t="shared" si="16"/>
        <v>24</v>
      </c>
      <c r="V102">
        <f t="shared" si="17"/>
        <v>37</v>
      </c>
    </row>
    <row r="103" spans="1:22" x14ac:dyDescent="0.3">
      <c r="A103">
        <f>'Emissions Factors'!A105</f>
        <v>0</v>
      </c>
      <c r="B103">
        <f>'Emissions Factors'!B105</f>
        <v>0</v>
      </c>
      <c r="C103">
        <f>'Emissions Factors'!C105</f>
        <v>0</v>
      </c>
      <c r="D103" t="str">
        <f>'Emissions Factors'!D105</f>
        <v>Virgin land won resources</v>
      </c>
      <c r="G103" t="str">
        <f t="shared" si="12"/>
        <v>Bulk Materials</v>
      </c>
      <c r="H103" t="str">
        <f t="shared" si="13"/>
        <v>Fill, aggregate and sand</v>
      </c>
      <c r="I103" t="str">
        <f t="shared" si="14"/>
        <v>Virgin land won resources</v>
      </c>
      <c r="J103" t="str">
        <f t="shared" si="15"/>
        <v>Fill, aggregate and sandVirgin land won resources</v>
      </c>
      <c r="K103" t="str">
        <f>IF('Emissions Factors'!E105="","",'Emissions Factors'!E105)</f>
        <v>tonnes</v>
      </c>
      <c r="L103" t="str">
        <f>IF('Emissions Factors'!F105="","",'Emissions Factors'!F105)</f>
        <v>Inert</v>
      </c>
      <c r="M103">
        <f>IF('Emissions Factors'!G105="","",'Emissions Factors'!G105)</f>
        <v>4.3575011940298501E-3</v>
      </c>
      <c r="N103" t="str">
        <f>IF('Emissions Factors'!H105="","",'Emissions Factors'!H105)</f>
        <v>tCO2e/t</v>
      </c>
      <c r="O103">
        <f>IF('[1]Emissions Factors'!I104="","",'[1]Emissions Factors'!I104)</f>
        <v>1</v>
      </c>
      <c r="P103" t="str">
        <f>IF('Emissions Factors'!J105="",'Emissions Factors'!F105,'Emissions Factors'!J105)</f>
        <v>Carbon factor taken directly from ICE V4: Aggregate &gt; Virgin mixture of land won resources</v>
      </c>
      <c r="R103">
        <v>1</v>
      </c>
      <c r="U103">
        <f t="shared" si="16"/>
        <v>24</v>
      </c>
      <c r="V103">
        <f t="shared" si="17"/>
        <v>25</v>
      </c>
    </row>
    <row r="104" spans="1:22" x14ac:dyDescent="0.3">
      <c r="A104">
        <f>'Emissions Factors'!A106</f>
        <v>0</v>
      </c>
      <c r="B104">
        <f>'Emissions Factors'!B106</f>
        <v>0</v>
      </c>
      <c r="C104">
        <f>'Emissions Factors'!C106</f>
        <v>0</v>
      </c>
      <c r="D104" t="str">
        <f>'Emissions Factors'!D106</f>
        <v>Virgin marine resources</v>
      </c>
      <c r="G104" t="str">
        <f t="shared" si="12"/>
        <v>Bulk Materials</v>
      </c>
      <c r="H104" t="str">
        <f t="shared" si="13"/>
        <v>Fill, aggregate and sand</v>
      </c>
      <c r="I104" t="str">
        <f t="shared" si="14"/>
        <v>Virgin marine resources</v>
      </c>
      <c r="J104" t="str">
        <f t="shared" si="15"/>
        <v>Fill, aggregate and sandVirgin marine resources</v>
      </c>
      <c r="K104" t="str">
        <f>IF('Emissions Factors'!E106="","",'Emissions Factors'!E106)</f>
        <v>tonnes</v>
      </c>
      <c r="L104" t="str">
        <f>IF('Emissions Factors'!F106="","",'Emissions Factors'!F106)</f>
        <v>Inert</v>
      </c>
      <c r="M104">
        <f>IF('Emissions Factors'!G106="","",'Emissions Factors'!G106)</f>
        <v>9.0375000000000021E-3</v>
      </c>
      <c r="N104" t="str">
        <f>IF('Emissions Factors'!H106="","",'Emissions Factors'!H106)</f>
        <v>tCO2e/t</v>
      </c>
      <c r="O104">
        <f>IF('[1]Emissions Factors'!I105="","",'[1]Emissions Factors'!I105)</f>
        <v>1</v>
      </c>
      <c r="P104" t="str">
        <f>IF('Emissions Factors'!J106="",'Emissions Factors'!F106,'Emissions Factors'!J106)</f>
        <v>Carbon factor taken directly from ICE V4: Aggregate &gt; virgin marine resources. Data uncertainty for aggregate and sand from marine sources is high due to large variations.</v>
      </c>
      <c r="R104">
        <v>1</v>
      </c>
      <c r="U104">
        <f t="shared" si="16"/>
        <v>24</v>
      </c>
      <c r="V104">
        <f t="shared" si="17"/>
        <v>23</v>
      </c>
    </row>
    <row r="105" spans="1:22" x14ac:dyDescent="0.3">
      <c r="A105">
        <f>'Emissions Factors'!A107</f>
        <v>0</v>
      </c>
      <c r="B105">
        <f>'Emissions Factors'!B107</f>
        <v>0</v>
      </c>
      <c r="C105">
        <f>'Emissions Factors'!C107</f>
        <v>0</v>
      </c>
      <c r="D105" t="str">
        <f>'Emissions Factors'!D107</f>
        <v>Recycled resources, no heat treatment</v>
      </c>
      <c r="G105" t="str">
        <f t="shared" si="12"/>
        <v>Bulk Materials</v>
      </c>
      <c r="H105" t="str">
        <f t="shared" si="13"/>
        <v>Fill, aggregate and sand</v>
      </c>
      <c r="I105" t="str">
        <f t="shared" si="14"/>
        <v>Recycled resources, no heat treatment</v>
      </c>
      <c r="J105" t="str">
        <f t="shared" si="15"/>
        <v>Fill, aggregate and sandRecycled resources, no heat treatment</v>
      </c>
      <c r="K105" t="str">
        <f>IF('Emissions Factors'!E107="","",'Emissions Factors'!E107)</f>
        <v>tonnes</v>
      </c>
      <c r="L105" t="str">
        <f>IF('Emissions Factors'!F107="","",'Emissions Factors'!F107)</f>
        <v>Inert</v>
      </c>
      <c r="M105">
        <f>IF('Emissions Factors'!G107="","",'Emissions Factors'!G107)</f>
        <v>6.0529785714285717E-3</v>
      </c>
      <c r="N105" t="str">
        <f>IF('Emissions Factors'!H107="","",'Emissions Factors'!H107)</f>
        <v>tCO2e/t</v>
      </c>
      <c r="O105">
        <f>IF('[1]Emissions Factors'!I106="","",'[1]Emissions Factors'!I106)</f>
        <v>1</v>
      </c>
      <c r="P105" t="str">
        <f>IF('Emissions Factors'!J107="",'Emissions Factors'!F107,'Emissions Factors'!J107)</f>
        <v>Carbon factor taken directly from ICE V4: Aggregate &gt; recycled imported resources, no heat treatment</v>
      </c>
      <c r="R105">
        <v>1</v>
      </c>
      <c r="U105">
        <f t="shared" si="16"/>
        <v>24</v>
      </c>
      <c r="V105">
        <f t="shared" si="17"/>
        <v>37</v>
      </c>
    </row>
    <row r="106" spans="1:22" x14ac:dyDescent="0.3">
      <c r="A106">
        <f>'Emissions Factors'!A108</f>
        <v>0</v>
      </c>
      <c r="B106">
        <f>'Emissions Factors'!B108</f>
        <v>0</v>
      </c>
      <c r="C106">
        <f>'Emissions Factors'!C108</f>
        <v>0</v>
      </c>
      <c r="D106" t="str">
        <f>'Emissions Factors'!D108</f>
        <v>Recycled resources, with heat treatment</v>
      </c>
      <c r="G106" t="str">
        <f t="shared" si="12"/>
        <v>Bulk Materials</v>
      </c>
      <c r="H106" t="str">
        <f t="shared" si="13"/>
        <v>Fill, aggregate and sand</v>
      </c>
      <c r="I106" t="str">
        <f t="shared" si="14"/>
        <v>Recycled resources, with heat treatment</v>
      </c>
      <c r="J106" t="str">
        <f t="shared" si="15"/>
        <v>Fill, aggregate and sandRecycled resources, with heat treatment</v>
      </c>
      <c r="K106" t="str">
        <f>IF('Emissions Factors'!E108="","",'Emissions Factors'!E108)</f>
        <v>tonnes</v>
      </c>
      <c r="L106" t="str">
        <f>IF('Emissions Factors'!F108="","",'Emissions Factors'!F108)</f>
        <v>Inert</v>
      </c>
      <c r="M106">
        <f>IF('Emissions Factors'!G108="","",'Emissions Factors'!G108)</f>
        <v>0.118771666666667</v>
      </c>
      <c r="N106" t="str">
        <f>IF('Emissions Factors'!H108="","",'Emissions Factors'!H108)</f>
        <v>tCO2e/t</v>
      </c>
      <c r="O106">
        <f>IF('[1]Emissions Factors'!I107="","",'[1]Emissions Factors'!I107)</f>
        <v>1</v>
      </c>
      <c r="P106" t="str">
        <f>IF('Emissions Factors'!J108="",'Emissions Factors'!F108,'Emissions Factors'!J108)</f>
        <v>Carbon factor taken directly from ICE V4: Aggregate &gt; recycled imported resources, with heat treatment</v>
      </c>
      <c r="R106">
        <v>1</v>
      </c>
      <c r="U106">
        <f t="shared" si="16"/>
        <v>24</v>
      </c>
      <c r="V106">
        <f t="shared" si="17"/>
        <v>39</v>
      </c>
    </row>
    <row r="107" spans="1:22" x14ac:dyDescent="0.3">
      <c r="A107">
        <f>'Emissions Factors'!A109</f>
        <v>0</v>
      </c>
      <c r="B107">
        <f>'Emissions Factors'!B109</f>
        <v>0</v>
      </c>
      <c r="C107">
        <f>'Emissions Factors'!C109</f>
        <v>0</v>
      </c>
      <c r="D107" t="str">
        <f>'Emissions Factors'!D109</f>
        <v>Expanded clay</v>
      </c>
      <c r="G107" t="str">
        <f t="shared" si="12"/>
        <v>Bulk Materials</v>
      </c>
      <c r="H107" t="str">
        <f t="shared" si="13"/>
        <v>Fill, aggregate and sand</v>
      </c>
      <c r="I107" t="str">
        <f t="shared" si="14"/>
        <v>Expanded clay</v>
      </c>
      <c r="J107" t="str">
        <f t="shared" si="15"/>
        <v>Fill, aggregate and sandExpanded clay</v>
      </c>
      <c r="K107" t="str">
        <f>IF('Emissions Factors'!E109="","",'Emissions Factors'!E109)</f>
        <v>tonnes</v>
      </c>
      <c r="L107" t="str">
        <f>IF('Emissions Factors'!F109="","",'Emissions Factors'!F109)</f>
        <v>Inert</v>
      </c>
      <c r="M107">
        <f>IF('Emissions Factors'!G109="","",'Emissions Factors'!G109)</f>
        <v>0.33509149999999999</v>
      </c>
      <c r="N107" t="str">
        <f>IF('Emissions Factors'!H109="","",'Emissions Factors'!H109)</f>
        <v>tCO2e/t</v>
      </c>
      <c r="O107">
        <f>IF('[1]Emissions Factors'!I108="","",'[1]Emissions Factors'!I108)</f>
        <v>1</v>
      </c>
      <c r="P107" t="str">
        <f>IF('Emissions Factors'!J109="",'Emissions Factors'!F109,'Emissions Factors'!J109)</f>
        <v>Carbon factor taken directly from ICE V4: Aggregate &gt; Expanded clay</v>
      </c>
      <c r="R107">
        <v>1</v>
      </c>
      <c r="U107">
        <f t="shared" si="16"/>
        <v>24</v>
      </c>
      <c r="V107">
        <f t="shared" si="17"/>
        <v>13</v>
      </c>
    </row>
    <row r="108" spans="1:22" x14ac:dyDescent="0.3">
      <c r="A108">
        <f>'Emissions Factors'!A110</f>
        <v>0</v>
      </c>
      <c r="B108">
        <f>'Emissions Factors'!B110</f>
        <v>0</v>
      </c>
      <c r="C108">
        <f>'Emissions Factors'!C110</f>
        <v>0</v>
      </c>
      <c r="D108" t="str">
        <f>'Emissions Factors'!D110</f>
        <v>Expanded foamed glass</v>
      </c>
      <c r="G108" t="str">
        <f t="shared" si="12"/>
        <v>Bulk Materials</v>
      </c>
      <c r="H108" t="str">
        <f t="shared" si="13"/>
        <v>Fill, aggregate and sand</v>
      </c>
      <c r="I108" t="str">
        <f t="shared" si="14"/>
        <v>Expanded foamed glass</v>
      </c>
      <c r="J108" t="str">
        <f t="shared" si="15"/>
        <v>Fill, aggregate and sandExpanded foamed glass</v>
      </c>
      <c r="K108" t="str">
        <f>IF('Emissions Factors'!E110="","",'Emissions Factors'!E110)</f>
        <v>tonnes</v>
      </c>
      <c r="L108" t="str">
        <f>IF('Emissions Factors'!F110="","",'Emissions Factors'!F110)</f>
        <v>Inert</v>
      </c>
      <c r="M108">
        <f>IF('Emissions Factors'!G110="","",'Emissions Factors'!G110)</f>
        <v>0.273532</v>
      </c>
      <c r="N108" t="str">
        <f>IF('Emissions Factors'!H110="","",'Emissions Factors'!H110)</f>
        <v>tCO2e/t</v>
      </c>
      <c r="O108">
        <f>IF('[1]Emissions Factors'!I109="","",'[1]Emissions Factors'!I109)</f>
        <v>1</v>
      </c>
      <c r="P108" t="str">
        <f>IF('Emissions Factors'!J110="",'Emissions Factors'!F110,'Emissions Factors'!J110)</f>
        <v>Carbon factor taken directly from ICE V4: Aggregate &gt; Expanded foamed glass</v>
      </c>
      <c r="R108">
        <v>1</v>
      </c>
      <c r="U108">
        <f t="shared" si="16"/>
        <v>24</v>
      </c>
      <c r="V108">
        <f t="shared" si="17"/>
        <v>21</v>
      </c>
    </row>
    <row r="109" spans="1:22" x14ac:dyDescent="0.3">
      <c r="A109">
        <f>'Emissions Factors'!A111</f>
        <v>0</v>
      </c>
      <c r="B109">
        <f>'Emissions Factors'!B111</f>
        <v>0</v>
      </c>
      <c r="C109">
        <f>'Emissions Factors'!C111</f>
        <v>0</v>
      </c>
      <c r="D109" t="str">
        <f>'Emissions Factors'!D111</f>
        <v>Secondary resources</v>
      </c>
      <c r="G109" t="str">
        <f t="shared" si="12"/>
        <v>Bulk Materials</v>
      </c>
      <c r="H109" t="str">
        <f t="shared" si="13"/>
        <v>Fill, aggregate and sand</v>
      </c>
      <c r="I109" t="str">
        <f t="shared" si="14"/>
        <v>Secondary resources</v>
      </c>
      <c r="J109" t="str">
        <f t="shared" si="15"/>
        <v>Fill, aggregate and sandSecondary resources</v>
      </c>
      <c r="K109" t="str">
        <f>IF('Emissions Factors'!E111="","",'Emissions Factors'!E111)</f>
        <v>tonnes</v>
      </c>
      <c r="L109" t="str">
        <f>IF('Emissions Factors'!F111="","",'Emissions Factors'!F111)</f>
        <v>Inert</v>
      </c>
      <c r="M109">
        <f>IF('Emissions Factors'!G111="","",'Emissions Factors'!G111)</f>
        <v>6.332299999999999E-2</v>
      </c>
      <c r="N109" t="str">
        <f>IF('Emissions Factors'!H111="","",'Emissions Factors'!H111)</f>
        <v>tCO2e/t</v>
      </c>
      <c r="O109">
        <f>IF('[1]Emissions Factors'!I110="","",'[1]Emissions Factors'!I110)</f>
        <v>1</v>
      </c>
      <c r="P109" t="str">
        <f>IF('Emissions Factors'!J111="",'Emissions Factors'!F111,'Emissions Factors'!J111)</f>
        <v>Carbon factor taken directly from ICE V4: Aggregate &gt; Secondary resources</v>
      </c>
      <c r="R109">
        <v>1</v>
      </c>
      <c r="U109">
        <f t="shared" si="16"/>
        <v>24</v>
      </c>
      <c r="V109">
        <f t="shared" si="17"/>
        <v>19</v>
      </c>
    </row>
    <row r="110" spans="1:22" x14ac:dyDescent="0.3">
      <c r="A110">
        <f>'Emissions Factors'!A112</f>
        <v>0</v>
      </c>
      <c r="B110">
        <f>'Emissions Factors'!B112</f>
        <v>0</v>
      </c>
      <c r="C110" t="str">
        <f>'Emissions Factors'!C112</f>
        <v>Road salt/grit</v>
      </c>
      <c r="D110" t="str">
        <f>'Emissions Factors'!D112</f>
        <v>Road salt/grit</v>
      </c>
      <c r="G110" t="str">
        <f t="shared" si="12"/>
        <v>Bulk Materials</v>
      </c>
      <c r="H110" t="str">
        <f t="shared" si="13"/>
        <v>Road salt/grit</v>
      </c>
      <c r="I110" t="str">
        <f t="shared" si="14"/>
        <v>Road salt/grit</v>
      </c>
      <c r="J110" t="str">
        <f t="shared" si="15"/>
        <v>Road salt/gritRoad salt/grit</v>
      </c>
      <c r="K110" t="str">
        <f>IF('Emissions Factors'!E112="","",'Emissions Factors'!E112)</f>
        <v>tonnes</v>
      </c>
      <c r="L110" t="str">
        <f>IF('Emissions Factors'!F112="","",'Emissions Factors'!F112)</f>
        <v>Road  Salt</v>
      </c>
      <c r="M110">
        <f>IF('Emissions Factors'!G112="","",'Emissions Factors'!G112)</f>
        <v>7.0000000000000001E-3</v>
      </c>
      <c r="N110" t="str">
        <f>IF('Emissions Factors'!H112="","",'Emissions Factors'!H112)</f>
        <v>tCO2/t</v>
      </c>
      <c r="O110">
        <f>IF('[1]Emissions Factors'!I111="","",'[1]Emissions Factors'!I111)</f>
        <v>1</v>
      </c>
      <c r="P110" t="str">
        <f>IF('Emissions Factors'!J112="",'Emissions Factors'!F112,'Emissions Factors'!J112)</f>
        <v>Carbon factor taken directly from the ICE V2: Miscellaneous &gt; Grit.</v>
      </c>
      <c r="R110">
        <v>1</v>
      </c>
      <c r="U110">
        <f t="shared" si="16"/>
        <v>14</v>
      </c>
      <c r="V110">
        <f t="shared" si="17"/>
        <v>14</v>
      </c>
    </row>
    <row r="111" spans="1:22" x14ac:dyDescent="0.3">
      <c r="A111">
        <f>'Emissions Factors'!A113</f>
        <v>0</v>
      </c>
      <c r="B111" t="str">
        <f>'Emissions Factors'!B113</f>
        <v>Earthworks</v>
      </c>
      <c r="C111" t="str">
        <f>'Emissions Factors'!C113</f>
        <v xml:space="preserve">Imported Soil </v>
      </c>
      <c r="D111" t="str">
        <f>'Emissions Factors'!D113</f>
        <v>General soil/top soil</v>
      </c>
      <c r="G111" t="str">
        <f t="shared" si="12"/>
        <v>Earthworks</v>
      </c>
      <c r="H111" t="str">
        <f t="shared" si="13"/>
        <v xml:space="preserve">Imported Soil </v>
      </c>
      <c r="I111" t="str">
        <f t="shared" si="14"/>
        <v>General soil/top soil</v>
      </c>
      <c r="J111" t="str">
        <f t="shared" si="15"/>
        <v>Imported Soil General soil/top soil</v>
      </c>
      <c r="K111" t="str">
        <f>IF('Emissions Factors'!E113="","",'Emissions Factors'!E113)</f>
        <v>tonnes</v>
      </c>
      <c r="L111" t="str">
        <f>IF('Emissions Factors'!F113="","",'Emissions Factors'!F113)</f>
        <v>Inert</v>
      </c>
      <c r="M111">
        <f>IF('Emissions Factors'!G113="","",'Emissions Factors'!G113)</f>
        <v>2.4E-2</v>
      </c>
      <c r="N111" t="str">
        <f>IF('Emissions Factors'!H113="","",'Emissions Factors'!H113)</f>
        <v>tCO2e/t</v>
      </c>
      <c r="O111">
        <f>IF('[1]Emissions Factors'!I112="","",'[1]Emissions Factors'!I112)</f>
        <v>1</v>
      </c>
      <c r="P111" t="str">
        <f>IF('Emissions Factors'!J113="",'Emissions Factors'!F113,'Emissions Factors'!J113)</f>
        <v>Carbon factor taken directly from the ICE V2: Soil &gt; General (rammed soil)</v>
      </c>
      <c r="R111">
        <v>1</v>
      </c>
      <c r="U111">
        <f t="shared" si="16"/>
        <v>14</v>
      </c>
      <c r="V111">
        <f t="shared" si="17"/>
        <v>21</v>
      </c>
    </row>
    <row r="112" spans="1:22" x14ac:dyDescent="0.3">
      <c r="A112">
        <f>'Emissions Factors'!A114</f>
        <v>0</v>
      </c>
      <c r="B112">
        <f>'Emissions Factors'!B114</f>
        <v>0</v>
      </c>
      <c r="C112">
        <f>'Emissions Factors'!C114</f>
        <v>0</v>
      </c>
      <c r="D112" t="str">
        <f>'Emissions Factors'!D114</f>
        <v xml:space="preserve">Stabilised soil - Cement, Fly Ash or GGBS </v>
      </c>
      <c r="G112" t="str">
        <f t="shared" si="12"/>
        <v>Earthworks</v>
      </c>
      <c r="H112" t="str">
        <f t="shared" si="13"/>
        <v xml:space="preserve">Imported Soil </v>
      </c>
      <c r="I112" t="str">
        <f t="shared" si="14"/>
        <v xml:space="preserve">Stabilised soil - Cement, Fly Ash or GGBS </v>
      </c>
      <c r="J112" t="str">
        <f t="shared" si="15"/>
        <v xml:space="preserve">Imported Soil Stabilised soil - Cement, Fly Ash or GGBS </v>
      </c>
      <c r="K112" t="str">
        <f>IF('Emissions Factors'!E114="","",'Emissions Factors'!E114)</f>
        <v>tonnes</v>
      </c>
      <c r="L112" t="str">
        <f>IF('Emissions Factors'!F114="","",'Emissions Factors'!F114)</f>
        <v>Inert</v>
      </c>
      <c r="M112">
        <f>IF('Emissions Factors'!G114="","",'Emissions Factors'!G114)</f>
        <v>5.8250000000000003E-2</v>
      </c>
      <c r="N112" t="str">
        <f>IF('Emissions Factors'!H114="","",'Emissions Factors'!H114)</f>
        <v>tCO2e/t</v>
      </c>
      <c r="O112">
        <f>IF('[1]Emissions Factors'!I113="","",'[1]Emissions Factors'!I113)</f>
        <v>1</v>
      </c>
      <c r="P112" t="str">
        <f>IF('Emissions Factors'!J114="",'Emissions Factors'!F114,'Emissions Factors'!J114)</f>
        <v>Carbon factors taken from the ICE V4: ICE Summary &gt; Soil &gt; Cement stabilised soils. Average taken of all the variations in stabilised soil.</v>
      </c>
      <c r="R112">
        <v>1</v>
      </c>
      <c r="U112">
        <f t="shared" si="16"/>
        <v>14</v>
      </c>
      <c r="V112">
        <f t="shared" si="17"/>
        <v>42</v>
      </c>
    </row>
    <row r="113" spans="1:22" x14ac:dyDescent="0.3">
      <c r="A113">
        <f>'Emissions Factors'!A115</f>
        <v>0</v>
      </c>
      <c r="B113">
        <f>'Emissions Factors'!B115</f>
        <v>0</v>
      </c>
      <c r="C113" t="str">
        <f>'Emissions Factors'!C115</f>
        <v>Site won soil/ muck shift</v>
      </c>
      <c r="D113" t="str">
        <f>'Emissions Factors'!D115</f>
        <v>General soil</v>
      </c>
      <c r="G113" t="str">
        <f t="shared" si="12"/>
        <v>Earthworks</v>
      </c>
      <c r="H113" t="str">
        <f t="shared" si="13"/>
        <v>Site won soil/ muck shift</v>
      </c>
      <c r="I113" t="str">
        <f t="shared" si="14"/>
        <v>General soil</v>
      </c>
      <c r="J113" t="str">
        <f t="shared" si="15"/>
        <v>Site won soil/ muck shiftGeneral soil</v>
      </c>
      <c r="K113" t="str">
        <f>IF('Emissions Factors'!E115="","",'Emissions Factors'!E115)</f>
        <v>tonnes</v>
      </c>
      <c r="L113" t="str">
        <f>IF('Emissions Factors'!F115="","",'Emissions Factors'!F115)</f>
        <v>Inert</v>
      </c>
      <c r="M113">
        <f>IF('Emissions Factors'!G115="","",'Emissions Factors'!G115)</f>
        <v>0</v>
      </c>
      <c r="N113" t="str">
        <f>IF('Emissions Factors'!H115="","",'Emissions Factors'!H115)</f>
        <v>tCO2e/t</v>
      </c>
      <c r="O113">
        <f>IF('[1]Emissions Factors'!I114="","",'[1]Emissions Factors'!I114)</f>
        <v>1</v>
      </c>
      <c r="P113" t="str">
        <f>IF('Emissions Factors'!J115="",'Emissions Factors'!F115,'Emissions Factors'!J115)</f>
        <v>Embodied carbon of site won material assumed to be zero. Movement around site captured by fuel use.</v>
      </c>
      <c r="R113">
        <v>0</v>
      </c>
      <c r="U113">
        <f t="shared" si="16"/>
        <v>25</v>
      </c>
      <c r="V113">
        <f t="shared" si="17"/>
        <v>12</v>
      </c>
    </row>
    <row r="114" spans="1:22" x14ac:dyDescent="0.3">
      <c r="A114">
        <f>'Emissions Factors'!A116</f>
        <v>0</v>
      </c>
      <c r="B114">
        <f>'Emissions Factors'!B116</f>
        <v>0</v>
      </c>
      <c r="C114" t="str">
        <f>'Emissions Factors'!C116</f>
        <v>Ground stabilisation</v>
      </c>
      <c r="D114" t="str">
        <f>'Emissions Factors'!D116</f>
        <v>Portland CEM I cement</v>
      </c>
      <c r="G114" t="str">
        <f t="shared" si="12"/>
        <v>Earthworks</v>
      </c>
      <c r="H114" t="str">
        <f t="shared" si="13"/>
        <v>Ground stabilisation</v>
      </c>
      <c r="I114" t="str">
        <f t="shared" si="14"/>
        <v>Portland CEM I cement</v>
      </c>
      <c r="J114" t="str">
        <f t="shared" si="15"/>
        <v>Ground stabilisationPortland CEM I cement</v>
      </c>
      <c r="K114" t="str">
        <f>IF('Emissions Factors'!E116="","",'Emissions Factors'!E116)</f>
        <v>tonnes</v>
      </c>
      <c r="L114" t="str">
        <f>IF('Emissions Factors'!F116="","",'Emissions Factors'!F116)</f>
        <v>Please include this within the bulk materials category under cement.</v>
      </c>
      <c r="M114" t="str">
        <f>IF('Emissions Factors'!G116="","",'Emissions Factors'!G116)</f>
        <v/>
      </c>
      <c r="N114" t="str">
        <f>IF('Emissions Factors'!H116="","",'Emissions Factors'!H116)</f>
        <v/>
      </c>
      <c r="O114" t="str">
        <f>IF('[1]Emissions Factors'!I115="","",'[1]Emissions Factors'!I115)</f>
        <v/>
      </c>
      <c r="P114" t="str">
        <f>IF('Emissions Factors'!J116="",'Emissions Factors'!F116,'Emissions Factors'!J116)</f>
        <v>Please include this within the bulk materials category under cement.</v>
      </c>
      <c r="R114">
        <v>1</v>
      </c>
      <c r="U114">
        <f t="shared" si="16"/>
        <v>20</v>
      </c>
      <c r="V114">
        <f t="shared" si="17"/>
        <v>21</v>
      </c>
    </row>
    <row r="115" spans="1:22" x14ac:dyDescent="0.3">
      <c r="A115">
        <f>'Emissions Factors'!A117</f>
        <v>0</v>
      </c>
      <c r="B115">
        <f>'Emissions Factors'!B117</f>
        <v>0</v>
      </c>
      <c r="C115">
        <f>'Emissions Factors'!C117</f>
        <v>0</v>
      </c>
      <c r="D115" t="str">
        <f>'Emissions Factors'!D117</f>
        <v xml:space="preserve">GGBS </v>
      </c>
      <c r="G115" t="str">
        <f t="shared" si="12"/>
        <v>Earthworks</v>
      </c>
      <c r="H115" t="str">
        <f t="shared" si="13"/>
        <v>Ground stabilisation</v>
      </c>
      <c r="I115" t="str">
        <f t="shared" si="14"/>
        <v xml:space="preserve">GGBS </v>
      </c>
      <c r="J115" t="str">
        <f t="shared" si="15"/>
        <v xml:space="preserve">Ground stabilisationGGBS </v>
      </c>
      <c r="K115" t="str">
        <f>IF('Emissions Factors'!E117="","",'Emissions Factors'!E117)</f>
        <v>tonnes</v>
      </c>
      <c r="L115" t="str">
        <f>IF('Emissions Factors'!F117="","",'Emissions Factors'!F117)</f>
        <v>Cement</v>
      </c>
      <c r="M115">
        <f>IF('Emissions Factors'!G117="","",'Emissions Factors'!G117)</f>
        <v>8.3000000000000004E-2</v>
      </c>
      <c r="N115" t="str">
        <f>IF('Emissions Factors'!H117="","",'Emissions Factors'!H117)</f>
        <v>tCO2e/t</v>
      </c>
      <c r="O115">
        <f>IF('[1]Emissions Factors'!I116="","",'[1]Emissions Factors'!I116)</f>
        <v>1</v>
      </c>
      <c r="P115" t="str">
        <f>IF('Emissions Factors'!J117="",'Emissions Factors'!F117,'Emissions Factors'!J117)</f>
        <v>Carbon factor taken directly from the ICE V3: Miscellaneous &gt; Slag.</v>
      </c>
      <c r="R115">
        <v>1</v>
      </c>
      <c r="U115">
        <f t="shared" si="16"/>
        <v>20</v>
      </c>
      <c r="V115">
        <f t="shared" si="17"/>
        <v>5</v>
      </c>
    </row>
    <row r="116" spans="1:22" x14ac:dyDescent="0.3">
      <c r="A116">
        <f>'Emissions Factors'!A118</f>
        <v>0</v>
      </c>
      <c r="B116">
        <f>'Emissions Factors'!B118</f>
        <v>0</v>
      </c>
      <c r="C116">
        <f>'Emissions Factors'!C118</f>
        <v>0</v>
      </c>
      <c r="D116" t="str">
        <f>'Emissions Factors'!D118</f>
        <v xml:space="preserve">Fly ash  </v>
      </c>
      <c r="G116" t="str">
        <f t="shared" si="12"/>
        <v>Earthworks</v>
      </c>
      <c r="H116" t="str">
        <f t="shared" si="13"/>
        <v>Ground stabilisation</v>
      </c>
      <c r="I116" t="str">
        <f t="shared" si="14"/>
        <v xml:space="preserve">Fly ash  </v>
      </c>
      <c r="J116" t="str">
        <f t="shared" si="15"/>
        <v xml:space="preserve">Ground stabilisationFly ash  </v>
      </c>
      <c r="K116" t="str">
        <f>IF('Emissions Factors'!E118="","",'Emissions Factors'!E118)</f>
        <v>tonnes</v>
      </c>
      <c r="L116" t="str">
        <f>IF('Emissions Factors'!F118="","",'Emissions Factors'!F118)</f>
        <v>Cement</v>
      </c>
      <c r="M116">
        <f>IF('Emissions Factors'!G118="","",'Emissions Factors'!G118)</f>
        <v>8.0000000000000002E-3</v>
      </c>
      <c r="N116" t="str">
        <f>IF('Emissions Factors'!H118="","",'Emissions Factors'!H118)</f>
        <v>tCO2e/t</v>
      </c>
      <c r="O116">
        <f>IF('[1]Emissions Factors'!I117="","",'[1]Emissions Factors'!I117)</f>
        <v>1</v>
      </c>
      <c r="P116" t="str">
        <f>IF('Emissions Factors'!J118="",'Emissions Factors'!F118,'Emissions Factors'!J118)</f>
        <v>Carbon factor taken directly from the ICE V3: Miscellaneous &gt; Fly Ash.</v>
      </c>
      <c r="R116">
        <v>1</v>
      </c>
      <c r="U116">
        <f t="shared" si="16"/>
        <v>20</v>
      </c>
      <c r="V116">
        <f t="shared" si="17"/>
        <v>9</v>
      </c>
    </row>
    <row r="117" spans="1:22" x14ac:dyDescent="0.3">
      <c r="A117">
        <f>'Emissions Factors'!A119</f>
        <v>0</v>
      </c>
      <c r="B117">
        <f>'Emissions Factors'!B119</f>
        <v>0</v>
      </c>
      <c r="C117">
        <f>'Emissions Factors'!C119</f>
        <v>0</v>
      </c>
      <c r="D117" t="str">
        <f>'Emissions Factors'!D119</f>
        <v>Lime</v>
      </c>
      <c r="G117" t="str">
        <f t="shared" si="12"/>
        <v>Earthworks</v>
      </c>
      <c r="H117" t="str">
        <f t="shared" si="13"/>
        <v>Ground stabilisation</v>
      </c>
      <c r="I117" t="str">
        <f t="shared" si="14"/>
        <v>Lime</v>
      </c>
      <c r="J117" t="str">
        <f t="shared" si="15"/>
        <v>Ground stabilisationLime</v>
      </c>
      <c r="K117" t="str">
        <f>IF('Emissions Factors'!E119="","",'Emissions Factors'!E119)</f>
        <v>tonnes</v>
      </c>
      <c r="L117" t="str">
        <f>IF('Emissions Factors'!F119="","",'Emissions Factors'!F119)</f>
        <v>Cement</v>
      </c>
      <c r="M117">
        <f>IF('Emissions Factors'!G119="","",'Emissions Factors'!G119)</f>
        <v>0.78</v>
      </c>
      <c r="N117" t="str">
        <f>IF('Emissions Factors'!H119="","",'Emissions Factors'!H119)</f>
        <v>tCO2e/t</v>
      </c>
      <c r="O117">
        <f>IF('[1]Emissions Factors'!I118="","",'[1]Emissions Factors'!I118)</f>
        <v>1</v>
      </c>
      <c r="P117" t="str">
        <f>IF('Emissions Factors'!J119="",'Emissions Factors'!F119,'Emissions Factors'!J119)</f>
        <v>Carbon factor taken directly from the ICE V2: Lime &gt; General.</v>
      </c>
      <c r="R117">
        <v>1</v>
      </c>
      <c r="U117">
        <f t="shared" si="16"/>
        <v>20</v>
      </c>
      <c r="V117">
        <f t="shared" si="17"/>
        <v>4</v>
      </c>
    </row>
    <row r="118" spans="1:22" x14ac:dyDescent="0.3">
      <c r="A118">
        <f>'Emissions Factors'!A120</f>
        <v>0</v>
      </c>
      <c r="B118">
        <f>'Emissions Factors'!B120</f>
        <v>0</v>
      </c>
      <c r="C118" t="str">
        <f>'Emissions Factors'!C120</f>
        <v>Geotextiles</v>
      </c>
      <c r="D118" t="str">
        <f>'Emissions Factors'!D120</f>
        <v>Polypropylene geotextile / matting</v>
      </c>
      <c r="G118" t="str">
        <f t="shared" si="12"/>
        <v>Earthworks</v>
      </c>
      <c r="H118" t="str">
        <f t="shared" si="13"/>
        <v>Geotextiles</v>
      </c>
      <c r="I118" t="str">
        <f t="shared" si="14"/>
        <v>Polypropylene geotextile / matting</v>
      </c>
      <c r="J118" t="str">
        <f t="shared" si="15"/>
        <v>GeotextilesPolypropylene geotextile / matting</v>
      </c>
      <c r="K118" t="str">
        <f>IF('Emissions Factors'!E120="","",'Emissions Factors'!E120)</f>
        <v>m2</v>
      </c>
      <c r="L118" t="str">
        <f>IF('Emissions Factors'!F120="","",'Emissions Factors'!F120)</f>
        <v>Plastic</v>
      </c>
      <c r="M118">
        <f>IF('Emissions Factors'!G120="","",'Emissions Factors'!G120)</f>
        <v>2.54</v>
      </c>
      <c r="N118" t="str">
        <f>IF('Emissions Factors'!H120="","",'Emissions Factors'!H120)</f>
        <v>tCO2e/t</v>
      </c>
      <c r="O118">
        <f>IF('[1]Emissions Factors'!I119="","",'[1]Emissions Factors'!I119)</f>
        <v>9.4600000000000001E-4</v>
      </c>
      <c r="P118" t="str">
        <f>IF('Emissions Factors'!J120="",'Emissions Factors'!F120,'Emissions Factors'!J120)</f>
        <v>Carbon factor taken from the ICE V4: ICE Summary &gt; Plastic &gt; General Polypropylene. Conversion factor has assumed geotextile thickness is approximately 1mm. Density of polypropylene = 946 kg/m3 .</v>
      </c>
      <c r="R118">
        <v>1</v>
      </c>
      <c r="U118">
        <f t="shared" si="16"/>
        <v>11</v>
      </c>
      <c r="V118">
        <f t="shared" si="17"/>
        <v>34</v>
      </c>
    </row>
    <row r="119" spans="1:22" x14ac:dyDescent="0.3">
      <c r="A119">
        <f>'Emissions Factors'!A121</f>
        <v>0</v>
      </c>
      <c r="B119" t="str">
        <f>'Emissions Factors'!B121</f>
        <v>Fencing, Barriers &amp; Road Restraint Systems</v>
      </c>
      <c r="C119" t="str">
        <f>'Emissions Factors'!C121</f>
        <v>Fence</v>
      </c>
      <c r="D119" t="str">
        <f>'Emissions Factors'!D121</f>
        <v>Fence timber (by volume)</v>
      </c>
      <c r="G119" t="str">
        <f t="shared" si="12"/>
        <v>Fencing, Barriers &amp; Road Restraint Systems</v>
      </c>
      <c r="H119" t="str">
        <f t="shared" si="13"/>
        <v>Fence</v>
      </c>
      <c r="I119" t="str">
        <f t="shared" si="14"/>
        <v>Fence timber (by volume)</v>
      </c>
      <c r="J119" t="str">
        <f t="shared" si="15"/>
        <v>FenceFence timber (by volume)</v>
      </c>
      <c r="K119" t="str">
        <f>IF('Emissions Factors'!E121="","",'Emissions Factors'!E121)</f>
        <v>m3</v>
      </c>
      <c r="L119" t="str">
        <f>IF('Emissions Factors'!F121="","",'Emissions Factors'!F121)</f>
        <v>Timber</v>
      </c>
      <c r="M119">
        <f>IF('Emissions Factors'!G121="","",'Emissions Factors'!G121)</f>
        <v>0.262594457833771</v>
      </c>
      <c r="N119" t="str">
        <f>IF('Emissions Factors'!H121="","",'Emissions Factors'!H121)</f>
        <v>tCO2e/t</v>
      </c>
      <c r="O119">
        <f>IF('[1]Emissions Factors'!I120="","",'[1]Emissions Factors'!I120)</f>
        <v>0.5</v>
      </c>
      <c r="P119" t="str">
        <f>IF('Emissions Factors'!J121="",'Emissions Factors'!F121,'Emissions Factors'!J121)</f>
        <v>Carbon factor taken from the ICE V4: Timber &gt; Softwood no carbon storage. Alternative ICE carbon factors are presented for sustainable timber which may be used where a chain of custody of timber provides sufficient justification.</v>
      </c>
      <c r="R119">
        <v>1</v>
      </c>
      <c r="U119">
        <f t="shared" si="16"/>
        <v>5</v>
      </c>
      <c r="V119">
        <f t="shared" si="17"/>
        <v>24</v>
      </c>
    </row>
    <row r="120" spans="1:22" x14ac:dyDescent="0.3">
      <c r="A120">
        <f>'Emissions Factors'!A122</f>
        <v>0</v>
      </c>
      <c r="B120">
        <f>'Emissions Factors'!B122</f>
        <v>0</v>
      </c>
      <c r="C120">
        <f>'Emissions Factors'!C122</f>
        <v>0</v>
      </c>
      <c r="D120" t="str">
        <f>'Emissions Factors'!D122</f>
        <v>Timber rail fence (all types, includes posts)</v>
      </c>
      <c r="G120" t="str">
        <f t="shared" si="12"/>
        <v>Fencing, Barriers &amp; Road Restraint Systems</v>
      </c>
      <c r="H120" t="str">
        <f t="shared" si="13"/>
        <v>Fence</v>
      </c>
      <c r="I120" t="str">
        <f t="shared" si="14"/>
        <v>Timber rail fence (all types, includes posts)</v>
      </c>
      <c r="J120" t="str">
        <f t="shared" si="15"/>
        <v>FenceTimber rail fence (all types, includes posts)</v>
      </c>
      <c r="K120" t="str">
        <f>IF('Emissions Factors'!E122="","",'Emissions Factors'!E122)</f>
        <v>metres</v>
      </c>
      <c r="L120" t="str">
        <f>IF('Emissions Factors'!F122="","",'Emissions Factors'!F122)</f>
        <v>Timber</v>
      </c>
      <c r="M120">
        <f>IF('Emissions Factors'!G122="","",'Emissions Factors'!G122)</f>
        <v>0.26259445783377083</v>
      </c>
      <c r="N120" t="str">
        <f>IF('Emissions Factors'!H122="","",'Emissions Factors'!H122)</f>
        <v>tCO2e/t</v>
      </c>
      <c r="O120">
        <f>IF('[1]Emissions Factors'!I121="","",'[1]Emissions Factors'!I121)</f>
        <v>1.4283850000000001E-2</v>
      </c>
      <c r="P120" t="str">
        <f>IF('Emissions Factors'!J122="",'Emissions Factors'!F122,'Emissions Factors'!J122)</f>
        <v>Carbon factor taken from the ICE V4: Timber &gt; Softwood no carbon storage. Alternative ICE carbon factors are presented for sustainable timber which may be used where a chain of custody of timber provides sufficient justification. Weight of fencing material per metre taken as an average from Specification for Highways Works - Volume 3 H series drawings 3 and 4 rail fencing with a calculated weight of  14.3kg per metre. Fittings and  small miscellaneous items have been omitted due their relatively small contribution to the overall carbon emissions associated with fencing.</v>
      </c>
      <c r="R120">
        <v>1</v>
      </c>
      <c r="U120">
        <f t="shared" si="16"/>
        <v>5</v>
      </c>
      <c r="V120">
        <f t="shared" si="17"/>
        <v>45</v>
      </c>
    </row>
    <row r="121" spans="1:22" x14ac:dyDescent="0.3">
      <c r="A121">
        <f>'Emissions Factors'!A123</f>
        <v>0</v>
      </c>
      <c r="B121">
        <f>'Emissions Factors'!B123</f>
        <v>0</v>
      </c>
      <c r="C121">
        <f>'Emissions Factors'!C123</f>
        <v>0</v>
      </c>
      <c r="D121" t="str">
        <f>'Emissions Factors'!D123</f>
        <v>Timber panels and posts</v>
      </c>
      <c r="G121" t="str">
        <f t="shared" si="12"/>
        <v>Fencing, Barriers &amp; Road Restraint Systems</v>
      </c>
      <c r="H121" t="str">
        <f t="shared" si="13"/>
        <v>Fence</v>
      </c>
      <c r="I121" t="str">
        <f t="shared" si="14"/>
        <v>Timber panels and posts</v>
      </c>
      <c r="J121" t="str">
        <f t="shared" si="15"/>
        <v>FenceTimber panels and posts</v>
      </c>
      <c r="K121" t="str">
        <f>IF('Emissions Factors'!E123="","",'Emissions Factors'!E123)</f>
        <v>no.</v>
      </c>
      <c r="L121" t="str">
        <f>IF('Emissions Factors'!F123="","",'Emissions Factors'!F123)</f>
        <v>Timber</v>
      </c>
      <c r="M121">
        <f>IF('Emissions Factors'!G123="","",'Emissions Factors'!G123)</f>
        <v>0.26259445783377083</v>
      </c>
      <c r="N121" t="str">
        <f>IF('Emissions Factors'!H123="","",'Emissions Factors'!H123)</f>
        <v>tCO2e/t</v>
      </c>
      <c r="O121">
        <f>IF('[1]Emissions Factors'!I122="","",'[1]Emissions Factors'!I122)</f>
        <v>3.5749999999999997E-2</v>
      </c>
      <c r="P121" t="str">
        <f>IF('Emissions Factors'!J123="",'Emissions Factors'!F123,'Emissions Factors'!J123)</f>
        <v>Carbon factor taken from the ICE V4: Timber &gt; Softwood no carbon storage. Alternative ICE carbon factors are presented for sustainable timber which may be used where a chain of custody of timber provides sufficient justification. Weight of fence panel and post taken from supplier with a stated weight of 35.8kg per panel and post. Fittings and  small miscellaneous items have been omitted due their relatively small contribution to the overall carbon emissions associated with fencing.</v>
      </c>
      <c r="R121">
        <v>1</v>
      </c>
      <c r="U121">
        <f t="shared" si="16"/>
        <v>5</v>
      </c>
      <c r="V121">
        <f t="shared" si="17"/>
        <v>23</v>
      </c>
    </row>
    <row r="122" spans="1:22" x14ac:dyDescent="0.3">
      <c r="A122">
        <f>'Emissions Factors'!A124</f>
        <v>0</v>
      </c>
      <c r="B122">
        <f>'Emissions Factors'!B124</f>
        <v>0</v>
      </c>
      <c r="C122">
        <f>'Emissions Factors'!C124</f>
        <v>0</v>
      </c>
      <c r="D122" t="str">
        <f>'Emissions Factors'!D124</f>
        <v>Steel/wire/chain fence (includes posts)</v>
      </c>
      <c r="G122" t="str">
        <f t="shared" si="12"/>
        <v>Fencing, Barriers &amp; Road Restraint Systems</v>
      </c>
      <c r="H122" t="str">
        <f t="shared" si="13"/>
        <v>Fence</v>
      </c>
      <c r="I122" t="str">
        <f t="shared" si="14"/>
        <v>Steel/wire/chain fence (includes posts)</v>
      </c>
      <c r="J122" t="str">
        <f t="shared" si="15"/>
        <v>FenceSteel/wire/chain fence (includes posts)</v>
      </c>
      <c r="K122" t="str">
        <f>IF('Emissions Factors'!E124="","",'Emissions Factors'!E124)</f>
        <v>metres</v>
      </c>
      <c r="L122" t="str">
        <f>IF('Emissions Factors'!F124="","",'Emissions Factors'!F124)</f>
        <v>Steel</v>
      </c>
      <c r="M122">
        <f>IF('Emissions Factors'!G124="","",'Emissions Factors'!G124)</f>
        <v>2.62</v>
      </c>
      <c r="N122" t="str">
        <f>IF('Emissions Factors'!H124="","",'Emissions Factors'!H124)</f>
        <v>tCO2e/t</v>
      </c>
      <c r="O122">
        <f>IF('[1]Emissions Factors'!I123="","",'[1]Emissions Factors'!I123)</f>
        <v>3.82E-3</v>
      </c>
      <c r="P122" t="str">
        <f>IF('Emissions Factors'!J124="",'Emissions Factors'!F124,'Emissions Factors'!J124)</f>
        <v>Carbon factor taken directly from the ICE V4: Steel &gt;  Hot dipped galvanised steel Weight of steel per metre estimate from supplier for a 1.8m high chain link fence and steel post to be 3.8kg. Fittings and  small miscellaneous items have been omitted due their relatively small contribution to the overall carbon emissions associated with fencing.</v>
      </c>
      <c r="R122">
        <v>1</v>
      </c>
      <c r="U122">
        <f t="shared" si="16"/>
        <v>5</v>
      </c>
      <c r="V122">
        <f t="shared" si="17"/>
        <v>39</v>
      </c>
    </row>
    <row r="123" spans="1:22" x14ac:dyDescent="0.3">
      <c r="A123">
        <f>'Emissions Factors'!A125</f>
        <v>0</v>
      </c>
      <c r="B123">
        <f>'Emissions Factors'!B125</f>
        <v>0</v>
      </c>
      <c r="C123" t="str">
        <f>'Emissions Factors'!C125</f>
        <v>Noise Barriers</v>
      </c>
      <c r="D123" t="str">
        <f>'Emissions Factors'!D125</f>
        <v xml:space="preserve">Timber barrier 2m </v>
      </c>
      <c r="G123" t="str">
        <f t="shared" si="12"/>
        <v>Fencing, Barriers &amp; Road Restraint Systems</v>
      </c>
      <c r="H123" t="str">
        <f t="shared" si="13"/>
        <v>Noise Barriers</v>
      </c>
      <c r="I123" t="str">
        <f t="shared" si="14"/>
        <v xml:space="preserve">Timber barrier 2m </v>
      </c>
      <c r="J123" t="str">
        <f t="shared" si="15"/>
        <v xml:space="preserve">Noise BarriersTimber barrier 2m </v>
      </c>
      <c r="K123" t="str">
        <f>IF('Emissions Factors'!E125="","",'Emissions Factors'!E125)</f>
        <v>metres</v>
      </c>
      <c r="L123" t="str">
        <f>IF('Emissions Factors'!F125="","",'Emissions Factors'!F125)</f>
        <v>Timber</v>
      </c>
      <c r="M123">
        <f>IF('Emissions Factors'!G125="","",'Emissions Factors'!G125)</f>
        <v>0.89123593574476545</v>
      </c>
      <c r="N123" t="str">
        <f>IF('Emissions Factors'!H125="","",'Emissions Factors'!H125)</f>
        <v>tCO2e/t</v>
      </c>
      <c r="O123">
        <f>IF('[1]Emissions Factors'!I124="","",'[1]Emissions Factors'!I124)</f>
        <v>0.09</v>
      </c>
      <c r="P123" t="str">
        <f>IF('Emissions Factors'!J125="",'Emissions Factors'!F125,'Emissions Factors'!J125)</f>
        <v>Carbon factor taken from the ICE V4: Timber &gt; Softwood no carbon storage. Alternative ICE carbon factors are presented for sustainable timber which may be used where a chain of custody of timber provides sufficient justification. Weight taken to be 33kg/m2 from supplier of typical timber noise barrier. Posts are assumed to be steel I beams of 16kg per m, of 1 meter longer than the height of the barrier. Fittings and  small miscellaneous items have been omitted due their relatively small contribution to the overall carbon emissions associated with noise barriers.</v>
      </c>
      <c r="R123">
        <v>1</v>
      </c>
      <c r="U123">
        <f t="shared" si="16"/>
        <v>14</v>
      </c>
      <c r="V123">
        <f t="shared" si="17"/>
        <v>18</v>
      </c>
    </row>
    <row r="124" spans="1:22" x14ac:dyDescent="0.3">
      <c r="A124">
        <f>'Emissions Factors'!A126</f>
        <v>0</v>
      </c>
      <c r="B124">
        <f>'Emissions Factors'!B126</f>
        <v>0</v>
      </c>
      <c r="C124">
        <f>'Emissions Factors'!C126</f>
        <v>0</v>
      </c>
      <c r="D124" t="str">
        <f>'Emissions Factors'!D126</f>
        <v xml:space="preserve">Timber barrier 3m </v>
      </c>
      <c r="G124" t="str">
        <f t="shared" si="12"/>
        <v>Fencing, Barriers &amp; Road Restraint Systems</v>
      </c>
      <c r="H124" t="str">
        <f t="shared" si="13"/>
        <v>Noise Barriers</v>
      </c>
      <c r="I124" t="str">
        <f t="shared" si="14"/>
        <v xml:space="preserve">Timber barrier 3m </v>
      </c>
      <c r="J124" t="str">
        <f t="shared" si="15"/>
        <v xml:space="preserve">Noise BarriersTimber barrier 3m </v>
      </c>
      <c r="K124" t="str">
        <f>IF('Emissions Factors'!E126="","",'Emissions Factors'!E126)</f>
        <v>metres</v>
      </c>
      <c r="L124" t="str">
        <f>IF('Emissions Factors'!F126="","",'Emissions Factors'!F126)</f>
        <v>Timber</v>
      </c>
      <c r="M124">
        <f>IF('Emissions Factors'!G126="","",'Emissions Factors'!G126)</f>
        <v>0.83844924675987276</v>
      </c>
      <c r="N124" t="str">
        <f>IF('Emissions Factors'!H126="","",'Emissions Factors'!H126)</f>
        <v>tCO2e/t</v>
      </c>
      <c r="O124">
        <f>IF('[1]Emissions Factors'!I125="","",'[1]Emissions Factors'!I125)</f>
        <v>0.13100000000000001</v>
      </c>
      <c r="P124" t="str">
        <f>IF('Emissions Factors'!J126="",'Emissions Factors'!F126,'Emissions Factors'!J126)</f>
        <v>Timber</v>
      </c>
      <c r="R124">
        <v>1</v>
      </c>
      <c r="U124">
        <f t="shared" si="16"/>
        <v>14</v>
      </c>
      <c r="V124">
        <f t="shared" si="17"/>
        <v>18</v>
      </c>
    </row>
    <row r="125" spans="1:22" x14ac:dyDescent="0.3">
      <c r="A125">
        <f>'Emissions Factors'!A127</f>
        <v>0</v>
      </c>
      <c r="B125">
        <f>'Emissions Factors'!B127</f>
        <v>0</v>
      </c>
      <c r="C125">
        <f>'Emissions Factors'!C127</f>
        <v>0</v>
      </c>
      <c r="D125" t="str">
        <f>'Emissions Factors'!D127</f>
        <v xml:space="preserve">Timber barrier 4m </v>
      </c>
      <c r="G125" t="str">
        <f t="shared" si="12"/>
        <v>Fencing, Barriers &amp; Road Restraint Systems</v>
      </c>
      <c r="H125" t="str">
        <f t="shared" si="13"/>
        <v>Noise Barriers</v>
      </c>
      <c r="I125" t="str">
        <f t="shared" si="14"/>
        <v xml:space="preserve">Timber barrier 4m </v>
      </c>
      <c r="J125" t="str">
        <f t="shared" si="15"/>
        <v xml:space="preserve">Noise BarriersTimber barrier 4m </v>
      </c>
      <c r="K125" t="str">
        <f>IF('Emissions Factors'!E127="","",'Emissions Factors'!E127)</f>
        <v>metres</v>
      </c>
      <c r="L125" t="str">
        <f>IF('Emissions Factors'!F127="","",'Emissions Factors'!F127)</f>
        <v>Timber</v>
      </c>
      <c r="M125">
        <f>IF('Emissions Factors'!G127="","",'Emissions Factors'!G127)</f>
        <v>0.81082830484917301</v>
      </c>
      <c r="N125" t="str">
        <f>IF('Emissions Factors'!H127="","",'Emissions Factors'!H127)</f>
        <v>tCO2e/t</v>
      </c>
      <c r="O125">
        <f>IF('[1]Emissions Factors'!I126="","",'[1]Emissions Factors'!I126)</f>
        <v>0.17200000000000001</v>
      </c>
      <c r="P125" t="str">
        <f>IF('Emissions Factors'!J127="",'Emissions Factors'!F127,'Emissions Factors'!J127)</f>
        <v>Timber</v>
      </c>
      <c r="R125">
        <v>1</v>
      </c>
      <c r="U125">
        <f t="shared" si="16"/>
        <v>14</v>
      </c>
      <c r="V125">
        <f t="shared" si="17"/>
        <v>18</v>
      </c>
    </row>
    <row r="126" spans="1:22" x14ac:dyDescent="0.3">
      <c r="A126">
        <f>'Emissions Factors'!A128</f>
        <v>0</v>
      </c>
      <c r="B126">
        <f>'Emissions Factors'!B128</f>
        <v>0</v>
      </c>
      <c r="C126">
        <f>'Emissions Factors'!C128</f>
        <v>0</v>
      </c>
      <c r="D126" t="str">
        <f>'Emissions Factors'!D128</f>
        <v>Steel barrier 2m</v>
      </c>
      <c r="G126" t="str">
        <f t="shared" si="12"/>
        <v>Fencing, Barriers &amp; Road Restraint Systems</v>
      </c>
      <c r="H126" t="str">
        <f t="shared" si="13"/>
        <v>Noise Barriers</v>
      </c>
      <c r="I126" t="str">
        <f t="shared" si="14"/>
        <v>Steel barrier 2m</v>
      </c>
      <c r="J126" t="str">
        <f t="shared" si="15"/>
        <v>Noise BarriersSteel barrier 2m</v>
      </c>
      <c r="K126" t="str">
        <f>IF('Emissions Factors'!E128="","",'Emissions Factors'!E128)</f>
        <v>metres</v>
      </c>
      <c r="L126" t="str">
        <f>IF('Emissions Factors'!F128="","",'Emissions Factors'!F128)</f>
        <v>Steel</v>
      </c>
      <c r="M126">
        <f>IF('Emissions Factors'!G128="","",'Emissions Factors'!G128)</f>
        <v>2.62</v>
      </c>
      <c r="N126" t="str">
        <f>IF('Emissions Factors'!H128="","",'Emissions Factors'!H128)</f>
        <v>tCO2e/t</v>
      </c>
      <c r="O126">
        <f>IF('[1]Emissions Factors'!I127="","",'[1]Emissions Factors'!I127)</f>
        <v>7.400000000000001E-2</v>
      </c>
      <c r="P126" t="str">
        <f>IF('Emissions Factors'!J128="",'Emissions Factors'!F128,'Emissions Factors'!J128)</f>
        <v>Carbon factor taken from the ICE V4: Steel &gt;  Hot dipped galvanised steel. Weight taken to be 25kg/m2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v>
      </c>
      <c r="R126">
        <v>1</v>
      </c>
      <c r="U126">
        <f t="shared" si="16"/>
        <v>14</v>
      </c>
      <c r="V126">
        <f t="shared" si="17"/>
        <v>16</v>
      </c>
    </row>
    <row r="127" spans="1:22" x14ac:dyDescent="0.3">
      <c r="A127">
        <f>'Emissions Factors'!A129</f>
        <v>0</v>
      </c>
      <c r="B127">
        <f>'Emissions Factors'!B129</f>
        <v>0</v>
      </c>
      <c r="C127">
        <f>'Emissions Factors'!C129</f>
        <v>0</v>
      </c>
      <c r="D127" t="str">
        <f>'Emissions Factors'!D129</f>
        <v>Steel barrier 3m</v>
      </c>
      <c r="G127" t="str">
        <f t="shared" si="12"/>
        <v>Fencing, Barriers &amp; Road Restraint Systems</v>
      </c>
      <c r="H127" t="str">
        <f t="shared" si="13"/>
        <v>Noise Barriers</v>
      </c>
      <c r="I127" t="str">
        <f t="shared" si="14"/>
        <v>Steel barrier 3m</v>
      </c>
      <c r="J127" t="str">
        <f t="shared" si="15"/>
        <v>Noise BarriersSteel barrier 3m</v>
      </c>
      <c r="K127" t="str">
        <f>IF('Emissions Factors'!E129="","",'Emissions Factors'!E129)</f>
        <v>metres</v>
      </c>
      <c r="L127" t="str">
        <f>IF('Emissions Factors'!F129="","",'Emissions Factors'!F129)</f>
        <v>Steel</v>
      </c>
      <c r="M127">
        <f>IF('Emissions Factors'!G129="","",'Emissions Factors'!G129)</f>
        <v>2.62</v>
      </c>
      <c r="N127" t="str">
        <f>IF('Emissions Factors'!H129="","",'Emissions Factors'!H129)</f>
        <v>tCO2e/t</v>
      </c>
      <c r="O127">
        <f>IF('[1]Emissions Factors'!I128="","",'[1]Emissions Factors'!I128)</f>
        <v>0.10700000000000001</v>
      </c>
      <c r="P127" t="str">
        <f>IF('Emissions Factors'!J129="",'Emissions Factors'!F129,'Emissions Factors'!J129)</f>
        <v>Steel</v>
      </c>
      <c r="R127">
        <v>1</v>
      </c>
      <c r="U127">
        <f t="shared" si="16"/>
        <v>14</v>
      </c>
      <c r="V127">
        <f t="shared" si="17"/>
        <v>16</v>
      </c>
    </row>
    <row r="128" spans="1:22" x14ac:dyDescent="0.3">
      <c r="A128">
        <f>'Emissions Factors'!A130</f>
        <v>0</v>
      </c>
      <c r="B128">
        <f>'Emissions Factors'!B130</f>
        <v>0</v>
      </c>
      <c r="C128">
        <f>'Emissions Factors'!C130</f>
        <v>0</v>
      </c>
      <c r="D128" t="str">
        <f>'Emissions Factors'!D130</f>
        <v>Steel barrier 4m</v>
      </c>
      <c r="G128" t="str">
        <f t="shared" si="12"/>
        <v>Fencing, Barriers &amp; Road Restraint Systems</v>
      </c>
      <c r="H128" t="str">
        <f t="shared" si="13"/>
        <v>Noise Barriers</v>
      </c>
      <c r="I128" t="str">
        <f t="shared" si="14"/>
        <v>Steel barrier 4m</v>
      </c>
      <c r="J128" t="str">
        <f t="shared" si="15"/>
        <v>Noise BarriersSteel barrier 4m</v>
      </c>
      <c r="K128" t="str">
        <f>IF('Emissions Factors'!E130="","",'Emissions Factors'!E130)</f>
        <v>metres</v>
      </c>
      <c r="L128" t="str">
        <f>IF('Emissions Factors'!F130="","",'Emissions Factors'!F130)</f>
        <v>Steel</v>
      </c>
      <c r="M128">
        <f>IF('Emissions Factors'!G130="","",'Emissions Factors'!G130)</f>
        <v>2.62</v>
      </c>
      <c r="N128" t="str">
        <f>IF('Emissions Factors'!H130="","",'Emissions Factors'!H130)</f>
        <v>tCO2e/t</v>
      </c>
      <c r="O128">
        <f>IF('[1]Emissions Factors'!I129="","",'[1]Emissions Factors'!I129)</f>
        <v>0.14000000000000001</v>
      </c>
      <c r="P128" t="str">
        <f>IF('Emissions Factors'!J130="",'Emissions Factors'!F130,'Emissions Factors'!J130)</f>
        <v>Steel</v>
      </c>
      <c r="R128">
        <v>1</v>
      </c>
      <c r="U128">
        <f t="shared" si="16"/>
        <v>14</v>
      </c>
      <c r="V128">
        <f t="shared" si="17"/>
        <v>16</v>
      </c>
    </row>
    <row r="129" spans="1:22" x14ac:dyDescent="0.3">
      <c r="A129">
        <f>'Emissions Factors'!A131</f>
        <v>0</v>
      </c>
      <c r="B129">
        <f>'Emissions Factors'!B131</f>
        <v>0</v>
      </c>
      <c r="C129">
        <f>'Emissions Factors'!C131</f>
        <v>0</v>
      </c>
      <c r="D129" t="str">
        <f>'Emissions Factors'!D131</f>
        <v>Aluminium barrier 2m</v>
      </c>
      <c r="G129" t="str">
        <f t="shared" si="12"/>
        <v>Fencing, Barriers &amp; Road Restraint Systems</v>
      </c>
      <c r="H129" t="str">
        <f t="shared" si="13"/>
        <v>Noise Barriers</v>
      </c>
      <c r="I129" t="str">
        <f t="shared" si="14"/>
        <v>Aluminium barrier 2m</v>
      </c>
      <c r="J129" t="str">
        <f t="shared" si="15"/>
        <v>Noise BarriersAluminium barrier 2m</v>
      </c>
      <c r="K129" t="str">
        <f>IF('Emissions Factors'!E131="","",'Emissions Factors'!E131)</f>
        <v>metres</v>
      </c>
      <c r="L129" t="str">
        <f>IF('Emissions Factors'!F131="","",'Emissions Factors'!F131)</f>
        <v>Aluminium</v>
      </c>
      <c r="M129">
        <f>IF('Emissions Factors'!G131="","",'Emissions Factors'!G131)</f>
        <v>5.1014720348438711</v>
      </c>
      <c r="N129" t="str">
        <f>IF('Emissions Factors'!H131="","",'Emissions Factors'!H131)</f>
        <v>tCO2e/t</v>
      </c>
      <c r="O129">
        <f>IF('[1]Emissions Factors'!I130="","",'[1]Emissions Factors'!I130)</f>
        <v>6.2E-2</v>
      </c>
      <c r="P129" t="str">
        <f>IF('Emissions Factors'!J131="",'Emissions Factors'!F131,'Emissions Factors'!J131)</f>
        <v>Carbon factor taken from the ICE V4: Aluminium &gt; General aluminium. Weight taken to be 19kg/m2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v>
      </c>
      <c r="R129">
        <v>1</v>
      </c>
      <c r="U129">
        <f t="shared" si="16"/>
        <v>14</v>
      </c>
      <c r="V129">
        <f t="shared" si="17"/>
        <v>20</v>
      </c>
    </row>
    <row r="130" spans="1:22" x14ac:dyDescent="0.3">
      <c r="A130">
        <f>'Emissions Factors'!A132</f>
        <v>0</v>
      </c>
      <c r="B130">
        <f>'Emissions Factors'!B132</f>
        <v>0</v>
      </c>
      <c r="C130">
        <f>'Emissions Factors'!C132</f>
        <v>0</v>
      </c>
      <c r="D130" t="str">
        <f>'Emissions Factors'!D132</f>
        <v>Aluminium barrier 3m</v>
      </c>
      <c r="G130" t="str">
        <f t="shared" si="12"/>
        <v>Fencing, Barriers &amp; Road Restraint Systems</v>
      </c>
      <c r="H130" t="str">
        <f t="shared" si="13"/>
        <v>Noise Barriers</v>
      </c>
      <c r="I130" t="str">
        <f t="shared" si="14"/>
        <v>Aluminium barrier 3m</v>
      </c>
      <c r="J130" t="str">
        <f t="shared" si="15"/>
        <v>Noise BarriersAluminium barrier 3m</v>
      </c>
      <c r="K130" t="str">
        <f>IF('Emissions Factors'!E132="","",'Emissions Factors'!E132)</f>
        <v>metres</v>
      </c>
      <c r="L130" t="str">
        <f>IF('Emissions Factors'!F132="","",'Emissions Factors'!F132)</f>
        <v>Aluminium</v>
      </c>
      <c r="M130">
        <f>IF('Emissions Factors'!G132="","",'Emissions Factors'!G132)</f>
        <v>5.2129988678705619</v>
      </c>
      <c r="N130" t="str">
        <f>IF('Emissions Factors'!H132="","",'Emissions Factors'!H132)</f>
        <v>tCO2e/t</v>
      </c>
      <c r="O130">
        <f>IF('[1]Emissions Factors'!I131="","",'[1]Emissions Factors'!I131)</f>
        <v>8.8999999999999996E-2</v>
      </c>
      <c r="P130" t="str">
        <f>IF('Emissions Factors'!J132="",'Emissions Factors'!F132,'Emissions Factors'!J132)</f>
        <v>Aluminium</v>
      </c>
      <c r="R130">
        <v>1</v>
      </c>
      <c r="U130">
        <f t="shared" si="16"/>
        <v>14</v>
      </c>
      <c r="V130">
        <f t="shared" si="17"/>
        <v>20</v>
      </c>
    </row>
    <row r="131" spans="1:22" x14ac:dyDescent="0.3">
      <c r="A131">
        <f>'Emissions Factors'!A133</f>
        <v>0</v>
      </c>
      <c r="B131">
        <f>'Emissions Factors'!B133</f>
        <v>0</v>
      </c>
      <c r="C131">
        <f>'Emissions Factors'!C133</f>
        <v>0</v>
      </c>
      <c r="D131" t="str">
        <f>'Emissions Factors'!D133</f>
        <v>Aluminium barrier 4m</v>
      </c>
      <c r="G131" t="str">
        <f t="shared" si="12"/>
        <v>Fencing, Barriers &amp; Road Restraint Systems</v>
      </c>
      <c r="H131" t="str">
        <f t="shared" si="13"/>
        <v>Noise Barriers</v>
      </c>
      <c r="I131" t="str">
        <f t="shared" si="14"/>
        <v>Aluminium barrier 4m</v>
      </c>
      <c r="J131" t="str">
        <f t="shared" si="15"/>
        <v>Noise BarriersAluminium barrier 4m</v>
      </c>
      <c r="K131" t="str">
        <f>IF('Emissions Factors'!E133="","",'Emissions Factors'!E133)</f>
        <v>metres</v>
      </c>
      <c r="L131" t="str">
        <f>IF('Emissions Factors'!F133="","",'Emissions Factors'!F133)</f>
        <v>Aluminium</v>
      </c>
      <c r="M131">
        <f>IF('Emissions Factors'!G133="","",'Emissions Factors'!G133)</f>
        <v>5.2726080372468971</v>
      </c>
      <c r="N131" t="str">
        <f>IF('Emissions Factors'!H133="","",'Emissions Factors'!H133)</f>
        <v>tCO2e/t</v>
      </c>
      <c r="O131">
        <f>IF('[1]Emissions Factors'!I132="","",'[1]Emissions Factors'!I132)</f>
        <v>0.11599999999999999</v>
      </c>
      <c r="P131" t="str">
        <f>IF('Emissions Factors'!J133="",'Emissions Factors'!F133,'Emissions Factors'!J133)</f>
        <v>Aluminium</v>
      </c>
      <c r="R131">
        <v>1</v>
      </c>
      <c r="U131">
        <f t="shared" si="16"/>
        <v>14</v>
      </c>
      <c r="V131">
        <f t="shared" si="17"/>
        <v>20</v>
      </c>
    </row>
    <row r="132" spans="1:22" x14ac:dyDescent="0.3">
      <c r="A132">
        <f>'Emissions Factors'!A134</f>
        <v>0</v>
      </c>
      <c r="B132">
        <f>'Emissions Factors'!B134</f>
        <v>0</v>
      </c>
      <c r="C132">
        <f>'Emissions Factors'!C134</f>
        <v>0</v>
      </c>
      <c r="D132" t="str">
        <f>'Emissions Factors'!D134</f>
        <v>Plastic barrier 2m</v>
      </c>
      <c r="G132" t="str">
        <f t="shared" si="12"/>
        <v>Fencing, Barriers &amp; Road Restraint Systems</v>
      </c>
      <c r="H132" t="str">
        <f t="shared" si="13"/>
        <v>Noise Barriers</v>
      </c>
      <c r="I132" t="str">
        <f t="shared" si="14"/>
        <v>Plastic barrier 2m</v>
      </c>
      <c r="J132" t="str">
        <f t="shared" si="15"/>
        <v>Noise BarriersPlastic barrier 2m</v>
      </c>
      <c r="K132" t="str">
        <f>IF('Emissions Factors'!E134="","",'Emissions Factors'!E134)</f>
        <v>metres</v>
      </c>
      <c r="L132" t="str">
        <f>IF('Emissions Factors'!F134="","",'Emissions Factors'!F134)</f>
        <v>Plastic</v>
      </c>
      <c r="M132">
        <f>IF('Emissions Factors'!G134="","",'Emissions Factors'!G134)</f>
        <v>3.0862162162162163</v>
      </c>
      <c r="N132" t="str">
        <f>IF('Emissions Factors'!H134="","",'Emissions Factors'!H134)</f>
        <v>tCO2e/t</v>
      </c>
      <c r="O132">
        <f>IF('[1]Emissions Factors'!I133="","",'[1]Emissions Factors'!I133)</f>
        <v>7.400000000000001E-2</v>
      </c>
      <c r="P132" t="str">
        <f>IF('Emissions Factors'!J134="",'Emissions Factors'!F134,'Emissions Factors'!J134)</f>
        <v>Carbon factor taken from the ICE V4: ICE Summary &gt; Plastic &gt; General Plastic. Thickness taken to be 15mm from supplier of typical noise barrier. Posts are assumed steel I beams of 16kg per m, of 1 meter longer than the height of the barrier. Fittings and  small miscellaneous items have been omitted due their relatively small contribution to the overall carbon emissions associated with noise barriers.</v>
      </c>
      <c r="R132">
        <v>1</v>
      </c>
      <c r="U132">
        <f t="shared" si="16"/>
        <v>14</v>
      </c>
      <c r="V132">
        <f t="shared" si="17"/>
        <v>18</v>
      </c>
    </row>
    <row r="133" spans="1:22" x14ac:dyDescent="0.3">
      <c r="A133">
        <f>'Emissions Factors'!A135</f>
        <v>0</v>
      </c>
      <c r="B133">
        <f>'Emissions Factors'!B135</f>
        <v>0</v>
      </c>
      <c r="C133">
        <f>'Emissions Factors'!C135</f>
        <v>0</v>
      </c>
      <c r="D133" t="str">
        <f>'Emissions Factors'!D135</f>
        <v>Plastic barrier 3m</v>
      </c>
      <c r="G133" t="str">
        <f t="shared" ref="G133:G196" si="18">IF(B133=0,G132,B133)</f>
        <v>Fencing, Barriers &amp; Road Restraint Systems</v>
      </c>
      <c r="H133" t="str">
        <f t="shared" ref="H133:H196" si="19">IF(C133=0,H132,C133)</f>
        <v>Noise Barriers</v>
      </c>
      <c r="I133" t="str">
        <f t="shared" ref="I133:I196" si="20">IF(D133=0,I132,D133)</f>
        <v>Plastic barrier 3m</v>
      </c>
      <c r="J133" t="str">
        <f t="shared" ref="J133:J196" si="21">H133&amp;I133</f>
        <v>Noise BarriersPlastic barrier 3m</v>
      </c>
      <c r="K133" t="str">
        <f>IF('Emissions Factors'!E135="","",'Emissions Factors'!E135)</f>
        <v>metres</v>
      </c>
      <c r="L133" t="str">
        <f>IF('Emissions Factors'!F135="","",'Emissions Factors'!F135)</f>
        <v>Plastic</v>
      </c>
      <c r="M133">
        <f>IF('Emissions Factors'!G135="","",'Emissions Factors'!G135)</f>
        <v>3.1036448598130844</v>
      </c>
      <c r="N133" t="str">
        <f>IF('Emissions Factors'!H135="","",'Emissions Factors'!H135)</f>
        <v>tCO2e/t</v>
      </c>
      <c r="O133">
        <f>IF('[1]Emissions Factors'!I134="","",'[1]Emissions Factors'!I134)</f>
        <v>0.10700000000000001</v>
      </c>
      <c r="P133" t="str">
        <f>IF('Emissions Factors'!J135="",'Emissions Factors'!F135,'Emissions Factors'!J135)</f>
        <v>Plastic</v>
      </c>
      <c r="R133">
        <v>1</v>
      </c>
      <c r="U133">
        <f t="shared" ref="U133:U196" si="22">LEN(H133)</f>
        <v>14</v>
      </c>
      <c r="V133">
        <f t="shared" ref="V133:V196" si="23">LEN(I133)</f>
        <v>18</v>
      </c>
    </row>
    <row r="134" spans="1:22" x14ac:dyDescent="0.3">
      <c r="A134">
        <f>'Emissions Factors'!A136</f>
        <v>0</v>
      </c>
      <c r="B134">
        <f>'Emissions Factors'!B136</f>
        <v>0</v>
      </c>
      <c r="C134">
        <f>'Emissions Factors'!C136</f>
        <v>0</v>
      </c>
      <c r="D134" t="str">
        <f>'Emissions Factors'!D136</f>
        <v>Plastic barrier 4m</v>
      </c>
      <c r="G134" t="str">
        <f t="shared" si="18"/>
        <v>Fencing, Barriers &amp; Road Restraint Systems</v>
      </c>
      <c r="H134" t="str">
        <f t="shared" si="19"/>
        <v>Noise Barriers</v>
      </c>
      <c r="I134" t="str">
        <f t="shared" si="20"/>
        <v>Plastic barrier 4m</v>
      </c>
      <c r="J134" t="str">
        <f t="shared" si="21"/>
        <v>Noise BarriersPlastic barrier 4m</v>
      </c>
      <c r="K134" t="str">
        <f>IF('Emissions Factors'!E136="","",'Emissions Factors'!E136)</f>
        <v>metres</v>
      </c>
      <c r="L134" t="str">
        <f>IF('Emissions Factors'!F136="","",'Emissions Factors'!F136)</f>
        <v>Plastic</v>
      </c>
      <c r="M134">
        <f>IF('Emissions Factors'!G136="","",'Emissions Factors'!G136)</f>
        <v>3.1128571428571425</v>
      </c>
      <c r="N134" t="str">
        <f>IF('Emissions Factors'!H136="","",'Emissions Factors'!H136)</f>
        <v>tCO2e/t</v>
      </c>
      <c r="O134">
        <f>IF('[1]Emissions Factors'!I135="","",'[1]Emissions Factors'!I135)</f>
        <v>0.14000000000000001</v>
      </c>
      <c r="P134" t="str">
        <f>IF('Emissions Factors'!J136="",'Emissions Factors'!F136,'Emissions Factors'!J136)</f>
        <v>Plastic</v>
      </c>
      <c r="R134">
        <v>1</v>
      </c>
      <c r="U134">
        <f t="shared" si="22"/>
        <v>14</v>
      </c>
      <c r="V134">
        <f t="shared" si="23"/>
        <v>18</v>
      </c>
    </row>
    <row r="135" spans="1:22" x14ac:dyDescent="0.3">
      <c r="A135">
        <f>'Emissions Factors'!A137</f>
        <v>0</v>
      </c>
      <c r="B135">
        <f>'Emissions Factors'!B137</f>
        <v>0</v>
      </c>
      <c r="C135" t="str">
        <f>'Emissions Factors'!C137</f>
        <v>Road Restraint System/ Safety Barrier</v>
      </c>
      <c r="D135" t="str">
        <f>'Emissions Factors'!D137</f>
        <v>Steel RRS barrier single sided</v>
      </c>
      <c r="G135" t="str">
        <f t="shared" si="18"/>
        <v>Fencing, Barriers &amp; Road Restraint Systems</v>
      </c>
      <c r="H135" t="str">
        <f t="shared" si="19"/>
        <v>Road Restraint System/ Safety Barrier</v>
      </c>
      <c r="I135" t="str">
        <f t="shared" si="20"/>
        <v>Steel RRS barrier single sided</v>
      </c>
      <c r="J135" t="str">
        <f t="shared" si="21"/>
        <v>Road Restraint System/ Safety BarrierSteel RRS barrier single sided</v>
      </c>
      <c r="K135" t="str">
        <f>IF('Emissions Factors'!E137="","",'Emissions Factors'!E137)</f>
        <v>metres</v>
      </c>
      <c r="L135" t="str">
        <f>IF('Emissions Factors'!F137="","",'Emissions Factors'!F137)</f>
        <v>Steel</v>
      </c>
      <c r="M135">
        <f>IF('Emissions Factors'!G137="","",'Emissions Factors'!G137)</f>
        <v>2.62</v>
      </c>
      <c r="N135" t="str">
        <f>IF('Emissions Factors'!H137="","",'Emissions Factors'!H137)</f>
        <v>tCO2e/t</v>
      </c>
      <c r="O135">
        <f>IF('[1]Emissions Factors'!I136="","",'[1]Emissions Factors'!I136)</f>
        <v>2.2290000000000001E-2</v>
      </c>
      <c r="P135" t="str">
        <f>IF('Emissions Factors'!J137="",'Emissions Factors'!F137,'Emissions Factors'!J137)</f>
        <v>Carbon factor taken directly from the ICE V4: Steel &gt; Hot dip galvanised Steel. Weight of barrier taken from supplier, including W3 beam, bolts and a 2m post spacing.</v>
      </c>
      <c r="R135">
        <v>1</v>
      </c>
      <c r="U135">
        <f t="shared" si="22"/>
        <v>37</v>
      </c>
      <c r="V135">
        <f t="shared" si="23"/>
        <v>30</v>
      </c>
    </row>
    <row r="136" spans="1:22" x14ac:dyDescent="0.3">
      <c r="A136">
        <f>'Emissions Factors'!A138</f>
        <v>0</v>
      </c>
      <c r="B136">
        <f>'Emissions Factors'!B138</f>
        <v>0</v>
      </c>
      <c r="C136">
        <f>'Emissions Factors'!C138</f>
        <v>0</v>
      </c>
      <c r="D136" t="str">
        <f>'Emissions Factors'!D138</f>
        <v>Steel RRS barrier double sided</v>
      </c>
      <c r="G136" t="str">
        <f t="shared" si="18"/>
        <v>Fencing, Barriers &amp; Road Restraint Systems</v>
      </c>
      <c r="H136" t="str">
        <f t="shared" si="19"/>
        <v>Road Restraint System/ Safety Barrier</v>
      </c>
      <c r="I136" t="str">
        <f t="shared" si="20"/>
        <v>Steel RRS barrier double sided</v>
      </c>
      <c r="J136" t="str">
        <f t="shared" si="21"/>
        <v>Road Restraint System/ Safety BarrierSteel RRS barrier double sided</v>
      </c>
      <c r="K136" t="str">
        <f>IF('Emissions Factors'!E138="","",'Emissions Factors'!E138)</f>
        <v>metres</v>
      </c>
      <c r="L136" t="str">
        <f>IF('Emissions Factors'!F138="","",'Emissions Factors'!F138)</f>
        <v>Steel</v>
      </c>
      <c r="M136">
        <f>IF('Emissions Factors'!G138="","",'Emissions Factors'!G138)</f>
        <v>2.62</v>
      </c>
      <c r="N136" t="str">
        <f>IF('Emissions Factors'!H138="","",'Emissions Factors'!H138)</f>
        <v>tCO2e/t</v>
      </c>
      <c r="O136">
        <f>IF('[1]Emissions Factors'!I137="","",'[1]Emissions Factors'!I137)</f>
        <v>3.5540000000000002E-2</v>
      </c>
      <c r="P136" t="str">
        <f>IF('Emissions Factors'!J138="",'Emissions Factors'!F138,'Emissions Factors'!J138)</f>
        <v>Carbon factor taken directly from the ICE V4: Steel &gt; Hot dip galvanised Steel. Weight of barrier taken from supplier, including beam, posts and bolts.</v>
      </c>
      <c r="R136">
        <v>1</v>
      </c>
      <c r="U136">
        <f t="shared" si="22"/>
        <v>37</v>
      </c>
      <c r="V136">
        <f t="shared" si="23"/>
        <v>30</v>
      </c>
    </row>
    <row r="137" spans="1:22" x14ac:dyDescent="0.3">
      <c r="A137">
        <f>'Emissions Factors'!A139</f>
        <v>0</v>
      </c>
      <c r="B137">
        <f>'Emissions Factors'!B139</f>
        <v>0</v>
      </c>
      <c r="C137">
        <f>'Emissions Factors'!C139</f>
        <v>0</v>
      </c>
      <c r="D137" t="str">
        <f>'Emissions Factors'!D139</f>
        <v>Pre-cast concrete step barrier</v>
      </c>
      <c r="G137" t="str">
        <f t="shared" si="18"/>
        <v>Fencing, Barriers &amp; Road Restraint Systems</v>
      </c>
      <c r="H137" t="str">
        <f t="shared" si="19"/>
        <v>Road Restraint System/ Safety Barrier</v>
      </c>
      <c r="I137" t="str">
        <f t="shared" si="20"/>
        <v>Pre-cast concrete step barrier</v>
      </c>
      <c r="J137" t="str">
        <f t="shared" si="21"/>
        <v>Road Restraint System/ Safety BarrierPre-cast concrete step barrier</v>
      </c>
      <c r="K137" t="str">
        <f>IF('Emissions Factors'!E139="","",'Emissions Factors'!E139)</f>
        <v>metres</v>
      </c>
      <c r="L137" t="str">
        <f>IF('Emissions Factors'!F139="","",'Emissions Factors'!F139)</f>
        <v>Concrete</v>
      </c>
      <c r="M137">
        <f>IF('Emissions Factors'!G139="","",'Emissions Factors'!G139)</f>
        <v>0.23577719722910626</v>
      </c>
      <c r="N137" t="str">
        <f>IF('Emissions Factors'!H139="","",'Emissions Factors'!H139)</f>
        <v>tCO2e/t</v>
      </c>
      <c r="O137">
        <f>IF('[1]Emissions Factors'!I138="","",'[1]Emissions Factors'!I138)</f>
        <v>1.2</v>
      </c>
      <c r="P137" t="str">
        <f>IF('Emissions Factors'!J139="",'Emissions Factors'!F139,'Emissions Factors'!J139)</f>
        <v>Carbon factor taken from the ICE V4: Concrete &gt; Precast concrete beams and columns - steel reinforced with 100kg world average steel per m3. Volume of concrete step barrier taken to be 0.5m3 per metre with density of 2.4 tonnes per m3.</v>
      </c>
      <c r="R137">
        <v>1</v>
      </c>
      <c r="U137">
        <f t="shared" si="22"/>
        <v>37</v>
      </c>
      <c r="V137">
        <f t="shared" si="23"/>
        <v>30</v>
      </c>
    </row>
    <row r="138" spans="1:22" x14ac:dyDescent="0.3">
      <c r="A138">
        <f>'Emissions Factors'!A140</f>
        <v>0</v>
      </c>
      <c r="B138">
        <f>'Emissions Factors'!B140</f>
        <v>0</v>
      </c>
      <c r="C138">
        <f>'Emissions Factors'!C140</f>
        <v>0</v>
      </c>
      <c r="D138" t="str">
        <f>'Emissions Factors'!D140</f>
        <v>In-situ concrete step barrier</v>
      </c>
      <c r="G138" t="str">
        <f t="shared" si="18"/>
        <v>Fencing, Barriers &amp; Road Restraint Systems</v>
      </c>
      <c r="H138" t="str">
        <f t="shared" si="19"/>
        <v>Road Restraint System/ Safety Barrier</v>
      </c>
      <c r="I138" t="str">
        <f t="shared" si="20"/>
        <v>In-situ concrete step barrier</v>
      </c>
      <c r="J138" t="str">
        <f t="shared" si="21"/>
        <v>Road Restraint System/ Safety BarrierIn-situ concrete step barrier</v>
      </c>
      <c r="K138" t="str">
        <f>IF('Emissions Factors'!E140="","",'Emissions Factors'!E140)</f>
        <v>metres</v>
      </c>
      <c r="L138" t="str">
        <f>IF('Emissions Factors'!F140="","",'Emissions Factors'!F140)</f>
        <v>Please include this within the bulk materials category under concrete.</v>
      </c>
      <c r="M138" t="str">
        <f>IF('Emissions Factors'!G140="","",'Emissions Factors'!G140)</f>
        <v/>
      </c>
      <c r="N138" t="str">
        <f>IF('Emissions Factors'!H140="","",'Emissions Factors'!H140)</f>
        <v/>
      </c>
      <c r="O138" t="str">
        <f>IF('[1]Emissions Factors'!I139="","",'[1]Emissions Factors'!I139)</f>
        <v/>
      </c>
      <c r="P138" t="str">
        <f>IF('Emissions Factors'!J140="",'Emissions Factors'!F140,'Emissions Factors'!J140)</f>
        <v>Please include this within the bulk materials category under concrete.</v>
      </c>
      <c r="R138">
        <v>1</v>
      </c>
      <c r="U138">
        <f t="shared" si="22"/>
        <v>37</v>
      </c>
      <c r="V138">
        <f t="shared" si="23"/>
        <v>29</v>
      </c>
    </row>
    <row r="139" spans="1:22" x14ac:dyDescent="0.3">
      <c r="A139">
        <f>'Emissions Factors'!A141</f>
        <v>0</v>
      </c>
      <c r="B139">
        <f>'Emissions Factors'!B141</f>
        <v>0</v>
      </c>
      <c r="C139" t="str">
        <f>'Emissions Factors'!C141</f>
        <v>Paint or timber treatment</v>
      </c>
      <c r="D139" t="str">
        <f>'Emissions Factors'!D141</f>
        <v>Solvent based paint</v>
      </c>
      <c r="G139" t="str">
        <f t="shared" si="18"/>
        <v>Fencing, Barriers &amp; Road Restraint Systems</v>
      </c>
      <c r="H139" t="str">
        <f t="shared" si="19"/>
        <v>Paint or timber treatment</v>
      </c>
      <c r="I139" t="str">
        <f t="shared" si="20"/>
        <v>Solvent based paint</v>
      </c>
      <c r="J139" t="str">
        <f t="shared" si="21"/>
        <v>Paint or timber treatmentSolvent based paint</v>
      </c>
      <c r="K139" t="str">
        <f>IF('Emissions Factors'!E141="","",'Emissions Factors'!E141)</f>
        <v>Litres</v>
      </c>
      <c r="L139" t="str">
        <f>IF('Emissions Factors'!F141="","",'Emissions Factors'!F141)</f>
        <v>Paint</v>
      </c>
      <c r="M139">
        <f>IF('Emissions Factors'!G141="","",'Emissions Factors'!G141)</f>
        <v>2.54</v>
      </c>
      <c r="N139" t="str">
        <f>IF('Emissions Factors'!H141="","",'Emissions Factors'!H141)</f>
        <v>tCO2e/t</v>
      </c>
      <c r="O139">
        <f>IF('[1]Emissions Factors'!I140="","",'[1]Emissions Factors'!I140)</f>
        <v>1.1999999999999999E-3</v>
      </c>
      <c r="P139" t="str">
        <f>IF('Emissions Factors'!J141="",'Emissions Factors'!F141,'Emissions Factors'!J141)</f>
        <v>Carbon factor taken from ICE V3: Paint &gt; Solvent borne. Conversion factor calculated from density of paint, 1.2kg/l. The factor for solvent borne paint has not been updated in V4 as solvent based paint is becoming less common.</v>
      </c>
      <c r="R139">
        <v>1</v>
      </c>
      <c r="U139">
        <f t="shared" si="22"/>
        <v>25</v>
      </c>
      <c r="V139">
        <f t="shared" si="23"/>
        <v>19</v>
      </c>
    </row>
    <row r="140" spans="1:22" x14ac:dyDescent="0.3">
      <c r="A140">
        <f>'Emissions Factors'!A142</f>
        <v>0</v>
      </c>
      <c r="B140">
        <f>'Emissions Factors'!B142</f>
        <v>0</v>
      </c>
      <c r="C140">
        <f>'Emissions Factors'!C142</f>
        <v>0</v>
      </c>
      <c r="D140" t="str">
        <f>'Emissions Factors'!D142</f>
        <v>Water based paint</v>
      </c>
      <c r="G140" t="str">
        <f t="shared" si="18"/>
        <v>Fencing, Barriers &amp; Road Restraint Systems</v>
      </c>
      <c r="H140" t="str">
        <f t="shared" si="19"/>
        <v>Paint or timber treatment</v>
      </c>
      <c r="I140" t="str">
        <f t="shared" si="20"/>
        <v>Water based paint</v>
      </c>
      <c r="J140" t="str">
        <f t="shared" si="21"/>
        <v>Paint or timber treatmentWater based paint</v>
      </c>
      <c r="K140" t="str">
        <f>IF('Emissions Factors'!E142="","",'Emissions Factors'!E142)</f>
        <v>Litres</v>
      </c>
      <c r="L140" t="str">
        <f>IF('Emissions Factors'!F142="","",'Emissions Factors'!F142)</f>
        <v>Paint</v>
      </c>
      <c r="M140">
        <f>IF('Emissions Factors'!G142="","",'Emissions Factors'!G142)</f>
        <v>2.1518303071422826</v>
      </c>
      <c r="N140" t="str">
        <f>IF('Emissions Factors'!H142="","",'Emissions Factors'!H142)</f>
        <v>tCO2e/t</v>
      </c>
      <c r="O140">
        <f>IF('[1]Emissions Factors'!I141="","",'[1]Emissions Factors'!I141)</f>
        <v>1.1999999999999999E-3</v>
      </c>
      <c r="P140" t="str">
        <f>IF('Emissions Factors'!J142="",'Emissions Factors'!F142,'Emissions Factors'!J142)</f>
        <v>Carbon factor taken from ICE V4: Paint &gt; Solvent borne.  Conversion factor calculated from density of paint, 1.2kg/l.</v>
      </c>
      <c r="R140">
        <v>1</v>
      </c>
      <c r="U140">
        <f t="shared" si="22"/>
        <v>25</v>
      </c>
      <c r="V140">
        <f t="shared" si="23"/>
        <v>17</v>
      </c>
    </row>
    <row r="141" spans="1:22" x14ac:dyDescent="0.3">
      <c r="A141">
        <f>'Emissions Factors'!A143</f>
        <v>0</v>
      </c>
      <c r="B141" t="str">
        <f>'Emissions Factors'!B143</f>
        <v>Drainage</v>
      </c>
      <c r="C141" t="str">
        <f>'Emissions Factors'!C143</f>
        <v>Plastic pipework (HDPE)</v>
      </c>
      <c r="D141" t="str">
        <f>'Emissions Factors'!D143</f>
        <v>150mm diameter</v>
      </c>
      <c r="G141" t="str">
        <f t="shared" si="18"/>
        <v>Drainage</v>
      </c>
      <c r="H141" t="str">
        <f t="shared" si="19"/>
        <v>Plastic pipework (HDPE)</v>
      </c>
      <c r="I141" t="str">
        <f t="shared" si="20"/>
        <v>150mm diameter</v>
      </c>
      <c r="J141" t="str">
        <f t="shared" si="21"/>
        <v>Plastic pipework (HDPE)150mm diameter</v>
      </c>
      <c r="K141" t="str">
        <f>IF('Emissions Factors'!E143="","",'Emissions Factors'!E143)</f>
        <v>metres</v>
      </c>
      <c r="L141" t="str">
        <f>IF('Emissions Factors'!F143="","",'Emissions Factors'!F143)</f>
        <v>Plastic</v>
      </c>
      <c r="M141">
        <f>IF('Emissions Factors'!G143="","",'Emissions Factors'!G143)</f>
        <v>2.52</v>
      </c>
      <c r="N141" t="str">
        <f>IF('Emissions Factors'!H143="","",'Emissions Factors'!H143)</f>
        <v>tCO2e/t</v>
      </c>
      <c r="O141">
        <f>IF('[1]Emissions Factors'!I142="","",'[1]Emissions Factors'!I142)</f>
        <v>2.3616922773361266E-3</v>
      </c>
      <c r="P141" t="str">
        <f>IF('Emissions Factors'!J143="",'Emissions Factors'!F143,'Emissions Factors'!J143)</f>
        <v>Carbon factor taken directly from the ICE V4: ICE Summary &gt; Plastic &gt; HDPE Pipe. Conversion factor calculated from approximate 150mm pipe wall thickness of 5mm and HDPE density 0.97 t/m3.</v>
      </c>
      <c r="R141">
        <v>1</v>
      </c>
      <c r="U141">
        <f t="shared" si="22"/>
        <v>23</v>
      </c>
      <c r="V141">
        <f t="shared" si="23"/>
        <v>14</v>
      </c>
    </row>
    <row r="142" spans="1:22" x14ac:dyDescent="0.3">
      <c r="A142">
        <f>'Emissions Factors'!A144</f>
        <v>0</v>
      </c>
      <c r="B142">
        <f>'Emissions Factors'!B144</f>
        <v>0</v>
      </c>
      <c r="C142">
        <f>'Emissions Factors'!C144</f>
        <v>0</v>
      </c>
      <c r="D142" t="str">
        <f>'Emissions Factors'!D144</f>
        <v>225mm diameter</v>
      </c>
      <c r="G142" t="str">
        <f t="shared" si="18"/>
        <v>Drainage</v>
      </c>
      <c r="H142" t="str">
        <f t="shared" si="19"/>
        <v>Plastic pipework (HDPE)</v>
      </c>
      <c r="I142" t="str">
        <f t="shared" si="20"/>
        <v>225mm diameter</v>
      </c>
      <c r="J142" t="str">
        <f t="shared" si="21"/>
        <v>Plastic pipework (HDPE)225mm diameter</v>
      </c>
      <c r="K142" t="str">
        <f>IF('Emissions Factors'!E144="","",'Emissions Factors'!E144)</f>
        <v>metres</v>
      </c>
      <c r="L142" t="str">
        <f>IF('Emissions Factors'!F144="","",'Emissions Factors'!F144)</f>
        <v>Plastic</v>
      </c>
      <c r="M142">
        <f>IF('Emissions Factors'!G144="","",'Emissions Factors'!G144)</f>
        <v>2.52</v>
      </c>
      <c r="N142" t="str">
        <f>IF('Emissions Factors'!H144="","",'Emissions Factors'!H144)</f>
        <v>tCO2e/t</v>
      </c>
      <c r="O142">
        <f>IF('[1]Emissions Factors'!I143="","",'[1]Emissions Factors'!I143)</f>
        <v>4.2236199953391926E-3</v>
      </c>
      <c r="P142" t="str">
        <f>IF('Emissions Factors'!J144="",'Emissions Factors'!F144,'Emissions Factors'!J144)</f>
        <v>Carbon factor taken directly from the ICE V4: ICE Summary &gt; Plastic &gt; HDPE Pipe. Conversion factor calculated from approximate 225mm pipe wall thickness of 6mm and HDPE density 0.97 t/m3.</v>
      </c>
      <c r="R142">
        <v>1</v>
      </c>
      <c r="U142">
        <f t="shared" si="22"/>
        <v>23</v>
      </c>
      <c r="V142">
        <f t="shared" si="23"/>
        <v>14</v>
      </c>
    </row>
    <row r="143" spans="1:22" x14ac:dyDescent="0.3">
      <c r="A143">
        <f>'Emissions Factors'!A145</f>
        <v>0</v>
      </c>
      <c r="B143">
        <f>'Emissions Factors'!B145</f>
        <v>0</v>
      </c>
      <c r="C143">
        <f>'Emissions Factors'!C145</f>
        <v>0</v>
      </c>
      <c r="D143" t="str">
        <f>'Emissions Factors'!D145</f>
        <v>300mm diameter</v>
      </c>
      <c r="G143" t="str">
        <f t="shared" si="18"/>
        <v>Drainage</v>
      </c>
      <c r="H143" t="str">
        <f t="shared" si="19"/>
        <v>Plastic pipework (HDPE)</v>
      </c>
      <c r="I143" t="str">
        <f t="shared" si="20"/>
        <v>300mm diameter</v>
      </c>
      <c r="J143" t="str">
        <f t="shared" si="21"/>
        <v>Plastic pipework (HDPE)300mm diameter</v>
      </c>
      <c r="K143" t="str">
        <f>IF('Emissions Factors'!E145="","",'Emissions Factors'!E145)</f>
        <v>metres</v>
      </c>
      <c r="L143" t="str">
        <f>IF('Emissions Factors'!F145="","",'Emissions Factors'!F145)</f>
        <v>Plastic</v>
      </c>
      <c r="M143">
        <f>IF('Emissions Factors'!G145="","",'Emissions Factors'!G145)</f>
        <v>2.52</v>
      </c>
      <c r="N143" t="str">
        <f>IF('Emissions Factors'!H145="","",'Emissions Factors'!H145)</f>
        <v>tCO2e/t</v>
      </c>
      <c r="O143">
        <f>IF('[1]Emissions Factors'!I144="","",'[1]Emissions Factors'!I144)</f>
        <v>7.5086577694918914E-3</v>
      </c>
      <c r="P143" t="str">
        <f>IF('Emissions Factors'!J145="",'Emissions Factors'!F145,'Emissions Factors'!J145)</f>
        <v>Carbon factor taken directly from the ICE V4: ICE Summary &gt; Plastic &gt; HDPE Pipe. Conversion factor calculated from approximate 300mm pipe wall thickness of 8mm and HDPE density 0.97 t/m3.</v>
      </c>
      <c r="R143">
        <v>1</v>
      </c>
      <c r="U143">
        <f t="shared" si="22"/>
        <v>23</v>
      </c>
      <c r="V143">
        <f t="shared" si="23"/>
        <v>14</v>
      </c>
    </row>
    <row r="144" spans="1:22" x14ac:dyDescent="0.3">
      <c r="A144">
        <f>'Emissions Factors'!A146</f>
        <v>0</v>
      </c>
      <c r="B144">
        <f>'Emissions Factors'!B146</f>
        <v>0</v>
      </c>
      <c r="C144">
        <f>'Emissions Factors'!C146</f>
        <v>0</v>
      </c>
      <c r="D144" t="str">
        <f>'Emissions Factors'!D146</f>
        <v>450mm diameter</v>
      </c>
      <c r="G144" t="str">
        <f t="shared" si="18"/>
        <v>Drainage</v>
      </c>
      <c r="H144" t="str">
        <f t="shared" si="19"/>
        <v>Plastic pipework (HDPE)</v>
      </c>
      <c r="I144" t="str">
        <f t="shared" si="20"/>
        <v>450mm diameter</v>
      </c>
      <c r="J144" t="str">
        <f t="shared" si="21"/>
        <v>Plastic pipework (HDPE)450mm diameter</v>
      </c>
      <c r="K144" t="str">
        <f>IF('Emissions Factors'!E146="","",'Emissions Factors'!E146)</f>
        <v>metres</v>
      </c>
      <c r="L144" t="str">
        <f>IF('Emissions Factors'!F146="","",'Emissions Factors'!F146)</f>
        <v>Plastic</v>
      </c>
      <c r="M144">
        <f>IF('Emissions Factors'!G146="","",'Emissions Factors'!G146)</f>
        <v>2.52</v>
      </c>
      <c r="N144" t="str">
        <f>IF('Emissions Factors'!H146="","",'Emissions Factors'!H146)</f>
        <v>tCO2e/t</v>
      </c>
      <c r="O144">
        <f>IF('[1]Emissions Factors'!I145="","",'[1]Emissions Factors'!I145)</f>
        <v>1.1165471618270428E-2</v>
      </c>
      <c r="P144" t="str">
        <f>IF('Emissions Factors'!J146="",'Emissions Factors'!F146,'Emissions Factors'!J146)</f>
        <v>Carbon factor taken directly from the ICE V4: ICE Summary &gt; Plastic &gt; HDPE Pipe. Conversion factor calculated from approximate 450mm pipe wall thickness of 8mm and HDPE density 0.97 t/m3.</v>
      </c>
      <c r="R144">
        <v>1</v>
      </c>
      <c r="U144">
        <f t="shared" si="22"/>
        <v>23</v>
      </c>
      <c r="V144">
        <f t="shared" si="23"/>
        <v>14</v>
      </c>
    </row>
    <row r="145" spans="1:22" x14ac:dyDescent="0.3">
      <c r="A145">
        <f>'Emissions Factors'!A147</f>
        <v>0</v>
      </c>
      <c r="B145">
        <f>'Emissions Factors'!B147</f>
        <v>0</v>
      </c>
      <c r="C145">
        <f>'Emissions Factors'!C147</f>
        <v>0</v>
      </c>
      <c r="D145" t="str">
        <f>'Emissions Factors'!D147</f>
        <v>600mm diameter</v>
      </c>
      <c r="G145" t="str">
        <f t="shared" si="18"/>
        <v>Drainage</v>
      </c>
      <c r="H145" t="str">
        <f t="shared" si="19"/>
        <v>Plastic pipework (HDPE)</v>
      </c>
      <c r="I145" t="str">
        <f t="shared" si="20"/>
        <v>600mm diameter</v>
      </c>
      <c r="J145" t="str">
        <f t="shared" si="21"/>
        <v>Plastic pipework (HDPE)600mm diameter</v>
      </c>
      <c r="K145" t="str">
        <f>IF('Emissions Factors'!E147="","",'Emissions Factors'!E147)</f>
        <v>metres</v>
      </c>
      <c r="L145" t="str">
        <f>IF('Emissions Factors'!F147="","",'Emissions Factors'!F147)</f>
        <v>Plastic</v>
      </c>
      <c r="M145">
        <f>IF('Emissions Factors'!G147="","",'Emissions Factors'!G147)</f>
        <v>2.52</v>
      </c>
      <c r="N145" t="str">
        <f>IF('Emissions Factors'!H147="","",'Emissions Factors'!H147)</f>
        <v>tCO2e/t</v>
      </c>
      <c r="O145">
        <f>IF('[1]Emissions Factors'!I146="","",'[1]Emissions Factors'!I146)</f>
        <v>2.0481204898033695E-2</v>
      </c>
      <c r="P145" t="str">
        <f>IF('Emissions Factors'!J147="",'Emissions Factors'!F147,'Emissions Factors'!J147)</f>
        <v>Carbon factor taken directly from the ICE V4: ICE Summary &gt; Plastic &gt; HDPE Pipe. Conversion factor calculated from approximate 600mm pipe wall thickness of 11mm and HDPE density 0.97 t/m3.</v>
      </c>
      <c r="R145">
        <v>1</v>
      </c>
      <c r="U145">
        <f t="shared" si="22"/>
        <v>23</v>
      </c>
      <c r="V145">
        <f t="shared" si="23"/>
        <v>14</v>
      </c>
    </row>
    <row r="146" spans="1:22" x14ac:dyDescent="0.3">
      <c r="A146">
        <f>'Emissions Factors'!A148</f>
        <v>0</v>
      </c>
      <c r="B146">
        <f>'Emissions Factors'!B148</f>
        <v>0</v>
      </c>
      <c r="C146">
        <f>'Emissions Factors'!C148</f>
        <v>0</v>
      </c>
      <c r="D146" t="str">
        <f>'Emissions Factors'!D148</f>
        <v>900mm diameter</v>
      </c>
      <c r="G146" t="str">
        <f t="shared" si="18"/>
        <v>Drainage</v>
      </c>
      <c r="H146" t="str">
        <f t="shared" si="19"/>
        <v>Plastic pipework (HDPE)</v>
      </c>
      <c r="I146" t="str">
        <f t="shared" si="20"/>
        <v>900mm diameter</v>
      </c>
      <c r="J146" t="str">
        <f t="shared" si="21"/>
        <v>Plastic pipework (HDPE)900mm diameter</v>
      </c>
      <c r="K146" t="str">
        <f>IF('Emissions Factors'!E148="","",'Emissions Factors'!E148)</f>
        <v>metres</v>
      </c>
      <c r="L146" t="str">
        <f>IF('Emissions Factors'!F148="","",'Emissions Factors'!F148)</f>
        <v>Plastic</v>
      </c>
      <c r="M146">
        <f>IF('Emissions Factors'!G148="","",'Emissions Factors'!G148)</f>
        <v>2.52</v>
      </c>
      <c r="N146" t="str">
        <f>IF('Emissions Factors'!H148="","",'Emissions Factors'!H148)</f>
        <v>tCO2e/t</v>
      </c>
      <c r="O146">
        <f>IF('[1]Emissions Factors'!I147="","",'[1]Emissions Factors'!I147)</f>
        <v>4.4661886473081711E-2</v>
      </c>
      <c r="P146" t="str">
        <f>IF('Emissions Factors'!J148="",'Emissions Factors'!F148,'Emissions Factors'!J148)</f>
        <v>Carbon factor taken directly from the ICE V4: ICE Summary &gt; Plastic &gt; HDPE Pipe. Conversion factor calculated from approximate 900mm pipe wall thickness of 16mm and HDPE density 0.97 t/m3.</v>
      </c>
      <c r="R146">
        <v>1</v>
      </c>
      <c r="U146">
        <f t="shared" si="22"/>
        <v>23</v>
      </c>
      <c r="V146">
        <f t="shared" si="23"/>
        <v>14</v>
      </c>
    </row>
    <row r="147" spans="1:22" x14ac:dyDescent="0.3">
      <c r="A147">
        <f>'Emissions Factors'!A149</f>
        <v>0</v>
      </c>
      <c r="B147">
        <f>'Emissions Factors'!B149</f>
        <v>0</v>
      </c>
      <c r="C147">
        <f>'Emissions Factors'!C149</f>
        <v>0</v>
      </c>
      <c r="D147" t="str">
        <f>'Emissions Factors'!D149</f>
        <v>1200mm diameter</v>
      </c>
      <c r="G147" t="str">
        <f t="shared" si="18"/>
        <v>Drainage</v>
      </c>
      <c r="H147" t="str">
        <f t="shared" si="19"/>
        <v>Plastic pipework (HDPE)</v>
      </c>
      <c r="I147" t="str">
        <f t="shared" si="20"/>
        <v>1200mm diameter</v>
      </c>
      <c r="J147" t="str">
        <f t="shared" si="21"/>
        <v>Plastic pipework (HDPE)1200mm diameter</v>
      </c>
      <c r="K147" t="str">
        <f>IF('Emissions Factors'!E149="","",'Emissions Factors'!E149)</f>
        <v>metres</v>
      </c>
      <c r="L147" t="str">
        <f>IF('Emissions Factors'!F149="","",'Emissions Factors'!F149)</f>
        <v>Plastic</v>
      </c>
      <c r="M147">
        <f>IF('Emissions Factors'!G149="","",'Emissions Factors'!G149)</f>
        <v>2.52</v>
      </c>
      <c r="N147" t="str">
        <f>IF('Emissions Factors'!H149="","",'Emissions Factors'!H149)</f>
        <v>tCO2e/t</v>
      </c>
      <c r="O147">
        <f>IF('[1]Emissions Factors'!I148="","",'[1]Emissions Factors'!I148)</f>
        <v>7.4355214925163171E-2</v>
      </c>
      <c r="P147" t="str">
        <f>IF('Emissions Factors'!J149="",'Emissions Factors'!F149,'Emissions Factors'!J149)</f>
        <v>Carbon factor taken directly from the ICE V4: ICE Summary &gt; Plastic &gt; HDPE Pipe. Conversion factor calculated from approximate 1200mm pipe wall thickness of 20mm and HDPE density of 0.97 t/m3.</v>
      </c>
      <c r="R147">
        <v>1</v>
      </c>
      <c r="U147">
        <f t="shared" si="22"/>
        <v>23</v>
      </c>
      <c r="V147">
        <f t="shared" si="23"/>
        <v>15</v>
      </c>
    </row>
    <row r="148" spans="1:22" x14ac:dyDescent="0.3">
      <c r="A148">
        <f>'Emissions Factors'!A150</f>
        <v>0</v>
      </c>
      <c r="B148">
        <f>'Emissions Factors'!B150</f>
        <v>0</v>
      </c>
      <c r="C148">
        <f>'Emissions Factors'!C150</f>
        <v>0</v>
      </c>
      <c r="D148" t="str">
        <f>'Emissions Factors'!D150</f>
        <v>1500mm diameter</v>
      </c>
      <c r="G148" t="str">
        <f t="shared" si="18"/>
        <v>Drainage</v>
      </c>
      <c r="H148" t="str">
        <f t="shared" si="19"/>
        <v>Plastic pipework (HDPE)</v>
      </c>
      <c r="I148" t="str">
        <f t="shared" si="20"/>
        <v>1500mm diameter</v>
      </c>
      <c r="J148" t="str">
        <f t="shared" si="21"/>
        <v>Plastic pipework (HDPE)1500mm diameter</v>
      </c>
      <c r="K148" t="str">
        <f>IF('Emissions Factors'!E150="","",'Emissions Factors'!E150)</f>
        <v>metres</v>
      </c>
      <c r="L148" t="str">
        <f>IF('Emissions Factors'!F150="","",'Emissions Factors'!F150)</f>
        <v>Plastic</v>
      </c>
      <c r="M148">
        <f>IF('Emissions Factors'!G150="","",'Emissions Factors'!G150)</f>
        <v>2.52</v>
      </c>
      <c r="N148" t="str">
        <f>IF('Emissions Factors'!H150="","",'Emissions Factors'!H150)</f>
        <v>tCO2e/t</v>
      </c>
      <c r="O148">
        <f>IF('[1]Emissions Factors'!I149="","",'[1]Emissions Factors'!I149)</f>
        <v>0.11618002332056755</v>
      </c>
      <c r="P148" t="str">
        <f>IF('Emissions Factors'!J150="",'Emissions Factors'!F150,'Emissions Factors'!J150)</f>
        <v>Carbon factor taken directly from the ICE V4: ICE Summary &gt; Plastic &gt; HDPE Pipe. Conversion factor calculated from approximate 1500mm pipe wall thickness of 25mm and HDPE density of 0.97 t/m3.</v>
      </c>
      <c r="R148">
        <v>1</v>
      </c>
      <c r="U148">
        <f t="shared" si="22"/>
        <v>23</v>
      </c>
      <c r="V148">
        <f t="shared" si="23"/>
        <v>15</v>
      </c>
    </row>
    <row r="149" spans="1:22" x14ac:dyDescent="0.3">
      <c r="A149">
        <f>'Emissions Factors'!A151</f>
        <v>0</v>
      </c>
      <c r="B149">
        <f>'Emissions Factors'!B151</f>
        <v>0</v>
      </c>
      <c r="C149">
        <f>'Emissions Factors'!C151</f>
        <v>0</v>
      </c>
      <c r="D149" t="str">
        <f>'Emissions Factors'!D151</f>
        <v>1800mm diameter</v>
      </c>
      <c r="G149" t="str">
        <f t="shared" si="18"/>
        <v>Drainage</v>
      </c>
      <c r="H149" t="str">
        <f t="shared" si="19"/>
        <v>Plastic pipework (HDPE)</v>
      </c>
      <c r="I149" t="str">
        <f t="shared" si="20"/>
        <v>1800mm diameter</v>
      </c>
      <c r="J149" t="str">
        <f t="shared" si="21"/>
        <v>Plastic pipework (HDPE)1800mm diameter</v>
      </c>
      <c r="K149" t="str">
        <f>IF('Emissions Factors'!E151="","",'Emissions Factors'!E151)</f>
        <v>metres</v>
      </c>
      <c r="L149" t="str">
        <f>IF('Emissions Factors'!F151="","",'Emissions Factors'!F151)</f>
        <v>Plastic</v>
      </c>
      <c r="M149">
        <f>IF('Emissions Factors'!G151="","",'Emissions Factors'!G151)</f>
        <v>2.52</v>
      </c>
      <c r="N149" t="str">
        <f>IF('Emissions Factors'!H151="","",'Emissions Factors'!H151)</f>
        <v>tCO2e/t</v>
      </c>
      <c r="O149">
        <f>IF('[1]Emissions Factors'!I150="","",'[1]Emissions Factors'!I150)</f>
        <v>0.16729923358161752</v>
      </c>
      <c r="P149" t="str">
        <f>IF('Emissions Factors'!J151="",'Emissions Factors'!F151,'Emissions Factors'!J151)</f>
        <v>Carbon factor taken directly from the ICE V4: ICE Summary &gt; Plastic &gt; HDPE Pipe. Conversion factor calculated from approximate 1800mm pipe wall thickness of 30mm and HDPE density of 0.97 t/m3.</v>
      </c>
      <c r="R149">
        <v>1</v>
      </c>
      <c r="U149">
        <f t="shared" si="22"/>
        <v>23</v>
      </c>
      <c r="V149">
        <f t="shared" si="23"/>
        <v>15</v>
      </c>
    </row>
    <row r="150" spans="1:22" x14ac:dyDescent="0.3">
      <c r="A150">
        <f>'Emissions Factors'!A152</f>
        <v>0</v>
      </c>
      <c r="B150">
        <f>'Emissions Factors'!B152</f>
        <v>0</v>
      </c>
      <c r="C150" t="str">
        <f>'Emissions Factors'!C152</f>
        <v>Plastic pipework (PVC)</v>
      </c>
      <c r="D150" t="str">
        <f>'Emissions Factors'!D152</f>
        <v>150mm diameter</v>
      </c>
      <c r="G150" t="str">
        <f t="shared" si="18"/>
        <v>Drainage</v>
      </c>
      <c r="H150" t="str">
        <f t="shared" si="19"/>
        <v>Plastic pipework (PVC)</v>
      </c>
      <c r="I150" t="str">
        <f t="shared" si="20"/>
        <v>150mm diameter</v>
      </c>
      <c r="J150" t="str">
        <f t="shared" si="21"/>
        <v>Plastic pipework (PVC)150mm diameter</v>
      </c>
      <c r="K150" t="str">
        <f>IF('Emissions Factors'!E152="","",'Emissions Factors'!E152)</f>
        <v>metres</v>
      </c>
      <c r="L150" t="str">
        <f>IF('Emissions Factors'!F152="","",'Emissions Factors'!F152)</f>
        <v>Plastic</v>
      </c>
      <c r="M150">
        <f>IF('Emissions Factors'!G152="","",'Emissions Factors'!G152)</f>
        <v>3.23</v>
      </c>
      <c r="N150" t="str">
        <f>IF('Emissions Factors'!H152="","",'Emissions Factors'!H152)</f>
        <v>tCO2e/t</v>
      </c>
      <c r="O150">
        <f>IF('[1]Emissions Factors'!I151="","",'[1]Emissions Factors'!I151)</f>
        <v>3.1651545984917161E-3</v>
      </c>
      <c r="P150" t="str">
        <f>IF('Emissions Factors'!J152="",'Emissions Factors'!F152,'Emissions Factors'!J152)</f>
        <v>Carbon factor taken directly from the ICE V4: ICE Summary &gt; Plastic &gt; PVC Pipe. Conversion factor calculated from approximate 150mm pipe wall thickness of 5mm and PVC density of 1.3 t/m3.</v>
      </c>
      <c r="R150">
        <v>1</v>
      </c>
      <c r="U150">
        <f t="shared" si="22"/>
        <v>22</v>
      </c>
      <c r="V150">
        <f t="shared" si="23"/>
        <v>14</v>
      </c>
    </row>
    <row r="151" spans="1:22" x14ac:dyDescent="0.3">
      <c r="A151">
        <f>'Emissions Factors'!A153</f>
        <v>0</v>
      </c>
      <c r="B151">
        <f>'Emissions Factors'!B153</f>
        <v>0</v>
      </c>
      <c r="C151">
        <f>'Emissions Factors'!C153</f>
        <v>0</v>
      </c>
      <c r="D151" t="str">
        <f>'Emissions Factors'!D153</f>
        <v>225mm diameter</v>
      </c>
      <c r="G151" t="str">
        <f t="shared" si="18"/>
        <v>Drainage</v>
      </c>
      <c r="H151" t="str">
        <f t="shared" si="19"/>
        <v>Plastic pipework (PVC)</v>
      </c>
      <c r="I151" t="str">
        <f t="shared" si="20"/>
        <v>225mm diameter</v>
      </c>
      <c r="J151" t="str">
        <f t="shared" si="21"/>
        <v>Plastic pipework (PVC)225mm diameter</v>
      </c>
      <c r="K151" t="str">
        <f>IF('Emissions Factors'!E153="","",'Emissions Factors'!E153)</f>
        <v>metres</v>
      </c>
      <c r="L151" t="str">
        <f>IF('Emissions Factors'!F153="","",'Emissions Factors'!F153)</f>
        <v>Plastic</v>
      </c>
      <c r="M151">
        <f>IF('Emissions Factors'!G153="","",'Emissions Factors'!G153)</f>
        <v>3.23</v>
      </c>
      <c r="N151" t="str">
        <f>IF('Emissions Factors'!H153="","",'Emissions Factors'!H153)</f>
        <v>tCO2e/t</v>
      </c>
      <c r="O151">
        <f>IF('[1]Emissions Factors'!I152="","",'[1]Emissions Factors'!I152)</f>
        <v>5.6605216432380938E-3</v>
      </c>
      <c r="P151" t="str">
        <f>IF('Emissions Factors'!J153="",'Emissions Factors'!F153,'Emissions Factors'!J153)</f>
        <v>Carbon factor taken directly from the ICE V4: ICE Summary &gt; Plastic &gt; PVC Pipe. Conversion factor calculated from approximate 225mm pipe wall thickness of 6mm and PVC density of 1.3 t/m3.</v>
      </c>
      <c r="R151">
        <v>1</v>
      </c>
      <c r="U151">
        <f t="shared" si="22"/>
        <v>22</v>
      </c>
      <c r="V151">
        <f t="shared" si="23"/>
        <v>14</v>
      </c>
    </row>
    <row r="152" spans="1:22" x14ac:dyDescent="0.3">
      <c r="A152">
        <f>'Emissions Factors'!A154</f>
        <v>0</v>
      </c>
      <c r="B152">
        <f>'Emissions Factors'!B154</f>
        <v>0</v>
      </c>
      <c r="C152">
        <f>'Emissions Factors'!C154</f>
        <v>0</v>
      </c>
      <c r="D152" t="str">
        <f>'Emissions Factors'!D154</f>
        <v>300mm diameter</v>
      </c>
      <c r="G152" t="str">
        <f t="shared" si="18"/>
        <v>Drainage</v>
      </c>
      <c r="H152" t="str">
        <f t="shared" si="19"/>
        <v>Plastic pipework (PVC)</v>
      </c>
      <c r="I152" t="str">
        <f t="shared" si="20"/>
        <v>300mm diameter</v>
      </c>
      <c r="J152" t="str">
        <f t="shared" si="21"/>
        <v>Plastic pipework (PVC)300mm diameter</v>
      </c>
      <c r="K152" t="str">
        <f>IF('Emissions Factors'!E154="","",'Emissions Factors'!E154)</f>
        <v>metres</v>
      </c>
      <c r="L152" t="str">
        <f>IF('Emissions Factors'!F154="","",'Emissions Factors'!F154)</f>
        <v>Plastic</v>
      </c>
      <c r="M152">
        <f>IF('Emissions Factors'!G154="","",'Emissions Factors'!G154)</f>
        <v>3.23</v>
      </c>
      <c r="N152" t="str">
        <f>IF('Emissions Factors'!H154="","",'Emissions Factors'!H154)</f>
        <v>tCO2e/t</v>
      </c>
      <c r="O152">
        <f>IF('[1]Emissions Factors'!I153="","",'[1]Emissions Factors'!I153)</f>
        <v>1.0063149587978824E-2</v>
      </c>
      <c r="P152" t="str">
        <f>IF('Emissions Factors'!J154="",'Emissions Factors'!F154,'Emissions Factors'!J154)</f>
        <v>Carbon factor taken directly from the ICE V4: ICE Summary &gt; Plastic &gt; PVC Pipe. Conversion factor calculated from approximate 300mm pipe wall thickness of 8mm and PVC density of 1.3 t/m3.</v>
      </c>
      <c r="R152">
        <v>1</v>
      </c>
      <c r="U152">
        <f t="shared" si="22"/>
        <v>22</v>
      </c>
      <c r="V152">
        <f t="shared" si="23"/>
        <v>14</v>
      </c>
    </row>
    <row r="153" spans="1:22" x14ac:dyDescent="0.3">
      <c r="A153">
        <f>'Emissions Factors'!A155</f>
        <v>0</v>
      </c>
      <c r="B153">
        <f>'Emissions Factors'!B155</f>
        <v>0</v>
      </c>
      <c r="C153">
        <f>'Emissions Factors'!C155</f>
        <v>0</v>
      </c>
      <c r="D153" t="str">
        <f>'Emissions Factors'!D155</f>
        <v>450mm diameter</v>
      </c>
      <c r="G153" t="str">
        <f t="shared" si="18"/>
        <v>Drainage</v>
      </c>
      <c r="H153" t="str">
        <f t="shared" si="19"/>
        <v>Plastic pipework (PVC)</v>
      </c>
      <c r="I153" t="str">
        <f t="shared" si="20"/>
        <v>450mm diameter</v>
      </c>
      <c r="J153" t="str">
        <f t="shared" si="21"/>
        <v>Plastic pipework (PVC)450mm diameter</v>
      </c>
      <c r="K153" t="str">
        <f>IF('Emissions Factors'!E155="","",'Emissions Factors'!E155)</f>
        <v>metres</v>
      </c>
      <c r="L153" t="str">
        <f>IF('Emissions Factors'!F155="","",'Emissions Factors'!F155)</f>
        <v>Plastic</v>
      </c>
      <c r="M153">
        <f>IF('Emissions Factors'!G155="","",'Emissions Factors'!G155)</f>
        <v>3.23</v>
      </c>
      <c r="N153" t="str">
        <f>IF('Emissions Factors'!H155="","",'Emissions Factors'!H155)</f>
        <v>tCO2e/t</v>
      </c>
      <c r="O153">
        <f>IF('[1]Emissions Factors'!I154="","",'[1]Emissions Factors'!I154)</f>
        <v>1.4964034127578924E-2</v>
      </c>
      <c r="P153" t="str">
        <f>IF('Emissions Factors'!J155="",'Emissions Factors'!F155,'Emissions Factors'!J155)</f>
        <v>Carbon factor taken directly from the ICE V4: ICE Summary &gt; Plastic &gt; PVC Pipe. Conversion factor calculated from approximate 450mm pipe wall thickness of 8mm and PVC density of 1.3 t/m3.</v>
      </c>
      <c r="R153">
        <v>1</v>
      </c>
      <c r="U153">
        <f t="shared" si="22"/>
        <v>22</v>
      </c>
      <c r="V153">
        <f t="shared" si="23"/>
        <v>14</v>
      </c>
    </row>
    <row r="154" spans="1:22" x14ac:dyDescent="0.3">
      <c r="A154">
        <f>'Emissions Factors'!A156</f>
        <v>0</v>
      </c>
      <c r="B154">
        <f>'Emissions Factors'!B156</f>
        <v>0</v>
      </c>
      <c r="C154">
        <f>'Emissions Factors'!C156</f>
        <v>0</v>
      </c>
      <c r="D154" t="str">
        <f>'Emissions Factors'!D156</f>
        <v>600mm diameter</v>
      </c>
      <c r="G154" t="str">
        <f t="shared" si="18"/>
        <v>Drainage</v>
      </c>
      <c r="H154" t="str">
        <f t="shared" si="19"/>
        <v>Plastic pipework (PVC)</v>
      </c>
      <c r="I154" t="str">
        <f t="shared" si="20"/>
        <v>600mm diameter</v>
      </c>
      <c r="J154" t="str">
        <f t="shared" si="21"/>
        <v>Plastic pipework (PVC)600mm diameter</v>
      </c>
      <c r="K154" t="str">
        <f>IF('Emissions Factors'!E156="","",'Emissions Factors'!E156)</f>
        <v>metres</v>
      </c>
      <c r="L154" t="str">
        <f>IF('Emissions Factors'!F156="","",'Emissions Factors'!F156)</f>
        <v>Plastic</v>
      </c>
      <c r="M154">
        <f>IF('Emissions Factors'!G156="","",'Emissions Factors'!G156)</f>
        <v>3.23</v>
      </c>
      <c r="N154" t="str">
        <f>IF('Emissions Factors'!H156="","",'Emissions Factors'!H156)</f>
        <v>tCO2e/t</v>
      </c>
      <c r="O154">
        <f>IF('[1]Emissions Factors'!I155="","",'[1]Emissions Factors'!I155)</f>
        <v>2.7449037492210105E-2</v>
      </c>
      <c r="P154" t="str">
        <f>IF('Emissions Factors'!J156="",'Emissions Factors'!F156,'Emissions Factors'!J156)</f>
        <v>Carbon factor taken directly from the ICE V4: ICE Summary &gt; Plastic &gt; PVC Pipe. Conversion factor calculated from approximate 600mm pipe wall thickness of 11mm and PVC density of 1.3 t/m3.</v>
      </c>
      <c r="R154">
        <v>1</v>
      </c>
      <c r="U154">
        <f t="shared" si="22"/>
        <v>22</v>
      </c>
      <c r="V154">
        <f t="shared" si="23"/>
        <v>14</v>
      </c>
    </row>
    <row r="155" spans="1:22" x14ac:dyDescent="0.3">
      <c r="A155">
        <f>'Emissions Factors'!A157</f>
        <v>0</v>
      </c>
      <c r="B155">
        <f>'Emissions Factors'!B157</f>
        <v>0</v>
      </c>
      <c r="C155">
        <f>'Emissions Factors'!C157</f>
        <v>0</v>
      </c>
      <c r="D155" t="str">
        <f>'Emissions Factors'!D157</f>
        <v>900mm diameter</v>
      </c>
      <c r="G155" t="str">
        <f t="shared" si="18"/>
        <v>Drainage</v>
      </c>
      <c r="H155" t="str">
        <f t="shared" si="19"/>
        <v>Plastic pipework (PVC)</v>
      </c>
      <c r="I155" t="str">
        <f t="shared" si="20"/>
        <v>900mm diameter</v>
      </c>
      <c r="J155" t="str">
        <f t="shared" si="21"/>
        <v>Plastic pipework (PVC)900mm diameter</v>
      </c>
      <c r="K155" t="str">
        <f>IF('Emissions Factors'!E157="","",'Emissions Factors'!E157)</f>
        <v>metres</v>
      </c>
      <c r="L155" t="str">
        <f>IF('Emissions Factors'!F157="","",'Emissions Factors'!F157)</f>
        <v>Plastic</v>
      </c>
      <c r="M155">
        <f>IF('Emissions Factors'!G157="","",'Emissions Factors'!G157)</f>
        <v>3.23</v>
      </c>
      <c r="N155" t="str">
        <f>IF('Emissions Factors'!H157="","",'Emissions Factors'!H157)</f>
        <v>tCO2e/t</v>
      </c>
      <c r="O155">
        <f>IF('[1]Emissions Factors'!I156="","",'[1]Emissions Factors'!I156)</f>
        <v>5.9856136510315697E-2</v>
      </c>
      <c r="P155" t="str">
        <f>IF('Emissions Factors'!J157="",'Emissions Factors'!F157,'Emissions Factors'!J157)</f>
        <v>Carbon factor taken directly from the ICE V4: ICE Summary &gt; Plastic &gt; PVC Pipe. Conversion factor calculated from approximate 900mm pipe wall thickness of 16mm and PVC density of 1.3 t/m3.</v>
      </c>
      <c r="R155">
        <v>1</v>
      </c>
      <c r="U155">
        <f t="shared" si="22"/>
        <v>22</v>
      </c>
      <c r="V155">
        <f t="shared" si="23"/>
        <v>14</v>
      </c>
    </row>
    <row r="156" spans="1:22" x14ac:dyDescent="0.3">
      <c r="A156">
        <f>'Emissions Factors'!A158</f>
        <v>0</v>
      </c>
      <c r="B156">
        <f>'Emissions Factors'!B158</f>
        <v>0</v>
      </c>
      <c r="C156">
        <f>'Emissions Factors'!C158</f>
        <v>0</v>
      </c>
      <c r="D156" t="str">
        <f>'Emissions Factors'!D158</f>
        <v>1200mm diameter</v>
      </c>
      <c r="G156" t="str">
        <f t="shared" si="18"/>
        <v>Drainage</v>
      </c>
      <c r="H156" t="str">
        <f t="shared" si="19"/>
        <v>Plastic pipework (PVC)</v>
      </c>
      <c r="I156" t="str">
        <f t="shared" si="20"/>
        <v>1200mm diameter</v>
      </c>
      <c r="J156" t="str">
        <f t="shared" si="21"/>
        <v>Plastic pipework (PVC)1200mm diameter</v>
      </c>
      <c r="K156" t="str">
        <f>IF('Emissions Factors'!E158="","",'Emissions Factors'!E158)</f>
        <v>metres</v>
      </c>
      <c r="L156" t="str">
        <f>IF('Emissions Factors'!F158="","",'Emissions Factors'!F158)</f>
        <v>Plastic</v>
      </c>
      <c r="M156">
        <f>IF('Emissions Factors'!G158="","",'Emissions Factors'!G158)</f>
        <v>3.23</v>
      </c>
      <c r="N156" t="str">
        <f>IF('Emissions Factors'!H158="","",'Emissions Factors'!H158)</f>
        <v>tCO2e/t</v>
      </c>
      <c r="O156">
        <f>IF('[1]Emissions Factors'!I157="","",'[1]Emissions Factors'!I157)</f>
        <v>9.9651318971868172E-2</v>
      </c>
      <c r="P156" t="str">
        <f>IF('Emissions Factors'!J158="",'Emissions Factors'!F158,'Emissions Factors'!J158)</f>
        <v>Carbon factor taken directly from the ICE V4: ICE Summary &gt; Plastic &gt; PVC Pipe. Conversion factor calculated from approximate 1200mm pipe wall thickness of 20mm and PVC density of 1.3 t/m3.</v>
      </c>
      <c r="R156">
        <v>1</v>
      </c>
      <c r="U156">
        <f t="shared" si="22"/>
        <v>22</v>
      </c>
      <c r="V156">
        <f t="shared" si="23"/>
        <v>15</v>
      </c>
    </row>
    <row r="157" spans="1:22" x14ac:dyDescent="0.3">
      <c r="A157">
        <f>'Emissions Factors'!A159</f>
        <v>0</v>
      </c>
      <c r="B157">
        <f>'Emissions Factors'!B159</f>
        <v>0</v>
      </c>
      <c r="C157">
        <f>'Emissions Factors'!C159</f>
        <v>0</v>
      </c>
      <c r="D157" t="str">
        <f>'Emissions Factors'!D159</f>
        <v>1500mm diameter</v>
      </c>
      <c r="G157" t="str">
        <f t="shared" si="18"/>
        <v>Drainage</v>
      </c>
      <c r="H157" t="str">
        <f t="shared" si="19"/>
        <v>Plastic pipework (PVC)</v>
      </c>
      <c r="I157" t="str">
        <f t="shared" si="20"/>
        <v>1500mm diameter</v>
      </c>
      <c r="J157" t="str">
        <f t="shared" si="21"/>
        <v>Plastic pipework (PVC)1500mm diameter</v>
      </c>
      <c r="K157" t="str">
        <f>IF('Emissions Factors'!E159="","",'Emissions Factors'!E159)</f>
        <v>metres</v>
      </c>
      <c r="L157" t="str">
        <f>IF('Emissions Factors'!F159="","",'Emissions Factors'!F159)</f>
        <v>Plastic</v>
      </c>
      <c r="M157">
        <f>IF('Emissions Factors'!G159="","",'Emissions Factors'!G159)</f>
        <v>3.23</v>
      </c>
      <c r="N157" t="str">
        <f>IF('Emissions Factors'!H159="","",'Emissions Factors'!H159)</f>
        <v>tCO2e/t</v>
      </c>
      <c r="O157">
        <f>IF('[1]Emissions Factors'!I158="","",'[1]Emissions Factors'!I158)</f>
        <v>0.15570518589354415</v>
      </c>
      <c r="P157" t="str">
        <f>IF('Emissions Factors'!J159="",'Emissions Factors'!F159,'Emissions Factors'!J159)</f>
        <v>Carbon factor taken directly from the ICE V4: ICE Summary &gt; Plastic &gt; PVC Pipe. Conversion factor calculated from approximate 1500mm pipe wall thickness of 25mm and PVC density of 1.3 t/m3.</v>
      </c>
      <c r="R157">
        <v>1</v>
      </c>
      <c r="U157">
        <f t="shared" si="22"/>
        <v>22</v>
      </c>
      <c r="V157">
        <f t="shared" si="23"/>
        <v>15</v>
      </c>
    </row>
    <row r="158" spans="1:22" x14ac:dyDescent="0.3">
      <c r="A158">
        <f>'Emissions Factors'!A160</f>
        <v>0</v>
      </c>
      <c r="B158">
        <f>'Emissions Factors'!B160</f>
        <v>0</v>
      </c>
      <c r="C158">
        <f>'Emissions Factors'!C160</f>
        <v>0</v>
      </c>
      <c r="D158" t="str">
        <f>'Emissions Factors'!D160</f>
        <v>1800mm diameter</v>
      </c>
      <c r="G158" t="str">
        <f t="shared" si="18"/>
        <v>Drainage</v>
      </c>
      <c r="H158" t="str">
        <f t="shared" si="19"/>
        <v>Plastic pipework (PVC)</v>
      </c>
      <c r="I158" t="str">
        <f t="shared" si="20"/>
        <v>1800mm diameter</v>
      </c>
      <c r="J158" t="str">
        <f t="shared" si="21"/>
        <v>Plastic pipework (PVC)1800mm diameter</v>
      </c>
      <c r="K158" t="str">
        <f>IF('Emissions Factors'!E160="","",'Emissions Factors'!E160)</f>
        <v>metres</v>
      </c>
      <c r="L158" t="str">
        <f>IF('Emissions Factors'!F160="","",'Emissions Factors'!F160)</f>
        <v>Plastic</v>
      </c>
      <c r="M158">
        <f>IF('Emissions Factors'!G160="","",'Emissions Factors'!G160)</f>
        <v>3.23</v>
      </c>
      <c r="N158" t="str">
        <f>IF('Emissions Factors'!H160="","",'Emissions Factors'!H160)</f>
        <v>tCO2e/t</v>
      </c>
      <c r="O158">
        <f>IF('[1]Emissions Factors'!I159="","",'[1]Emissions Factors'!I159)</f>
        <v>0.22421546768670392</v>
      </c>
      <c r="P158" t="str">
        <f>IF('Emissions Factors'!J160="",'Emissions Factors'!F160,'Emissions Factors'!J160)</f>
        <v>Carbon factor taken directly from the ICE V4: ICE Summary &gt; Plastic &gt; PVC Pipe. Conversion factor calculated from approximate 1800mm pipe wall thickness of 30mm and PVC density of 1.3 t/m3.</v>
      </c>
      <c r="R158">
        <v>1</v>
      </c>
      <c r="U158">
        <f t="shared" si="22"/>
        <v>22</v>
      </c>
      <c r="V158">
        <f t="shared" si="23"/>
        <v>15</v>
      </c>
    </row>
    <row r="159" spans="1:22" x14ac:dyDescent="0.3">
      <c r="A159">
        <f>'Emissions Factors'!A161</f>
        <v>0</v>
      </c>
      <c r="B159">
        <f>'Emissions Factors'!B161</f>
        <v>0</v>
      </c>
      <c r="C159" t="str">
        <f>'Emissions Factors'!C161</f>
        <v>Plastic pipework (Polypropylene)</v>
      </c>
      <c r="D159" t="str">
        <f>'Emissions Factors'!D161</f>
        <v>150mm diameter</v>
      </c>
      <c r="G159" t="str">
        <f t="shared" si="18"/>
        <v>Drainage</v>
      </c>
      <c r="H159" t="str">
        <f t="shared" si="19"/>
        <v>Plastic pipework (Polypropylene)</v>
      </c>
      <c r="I159" t="str">
        <f t="shared" si="20"/>
        <v>150mm diameter</v>
      </c>
      <c r="J159" t="str">
        <f t="shared" si="21"/>
        <v>Plastic pipework (Polypropylene)150mm diameter</v>
      </c>
      <c r="K159" t="str">
        <f>IF('Emissions Factors'!E161="","",'Emissions Factors'!E161)</f>
        <v>metres</v>
      </c>
      <c r="L159" t="str">
        <f>IF('Emissions Factors'!F161="","",'Emissions Factors'!F161)</f>
        <v>Plastic</v>
      </c>
      <c r="M159">
        <f>IF('Emissions Factors'!G161="","",'Emissions Factors'!G161)</f>
        <v>4.49</v>
      </c>
      <c r="N159" t="str">
        <f>IF('Emissions Factors'!H161="","",'Emissions Factors'!H161)</f>
        <v>tCO2e/t</v>
      </c>
      <c r="O159">
        <f>IF('[1]Emissions Factors'!I160="","",'[1]Emissions Factors'!I160)</f>
        <v>2.3032586539793562E-3</v>
      </c>
      <c r="P159" t="str">
        <f>IF('Emissions Factors'!J161="",'Emissions Factors'!F161,'Emissions Factors'!J161)</f>
        <v>Carbon factor taken directly from the ICE V4: ICE Summary &gt; Plastic &gt; Injection moulded polypropylene. Conversion factor calculated from approximate 150mm pipe wall thickness of 5mm and PP density of 0.946 t/m3.</v>
      </c>
      <c r="R159">
        <v>1</v>
      </c>
      <c r="U159">
        <f t="shared" si="22"/>
        <v>32</v>
      </c>
      <c r="V159">
        <f t="shared" si="23"/>
        <v>14</v>
      </c>
    </row>
    <row r="160" spans="1:22" x14ac:dyDescent="0.3">
      <c r="A160">
        <f>'Emissions Factors'!A162</f>
        <v>0</v>
      </c>
      <c r="B160">
        <f>'Emissions Factors'!B162</f>
        <v>0</v>
      </c>
      <c r="C160">
        <f>'Emissions Factors'!C162</f>
        <v>0</v>
      </c>
      <c r="D160" t="str">
        <f>'Emissions Factors'!D162</f>
        <v>225mm diameter</v>
      </c>
      <c r="G160" t="str">
        <f t="shared" si="18"/>
        <v>Drainage</v>
      </c>
      <c r="H160" t="str">
        <f t="shared" si="19"/>
        <v>Plastic pipework (Polypropylene)</v>
      </c>
      <c r="I160" t="str">
        <f t="shared" si="20"/>
        <v>225mm diameter</v>
      </c>
      <c r="J160" t="str">
        <f t="shared" si="21"/>
        <v>Plastic pipework (Polypropylene)225mm diameter</v>
      </c>
      <c r="K160" t="str">
        <f>IF('Emissions Factors'!E162="","",'Emissions Factors'!E162)</f>
        <v>metres</v>
      </c>
      <c r="L160" t="str">
        <f>IF('Emissions Factors'!F162="","",'Emissions Factors'!F162)</f>
        <v>Plastic</v>
      </c>
      <c r="M160">
        <f>IF('Emissions Factors'!G162="","",'Emissions Factors'!G162)</f>
        <v>4.49</v>
      </c>
      <c r="N160" t="str">
        <f>IF('Emissions Factors'!H162="","",'Emissions Factors'!H162)</f>
        <v>tCO2e/t</v>
      </c>
      <c r="O160">
        <f>IF('[1]Emissions Factors'!I161="","",'[1]Emissions Factors'!I161)</f>
        <v>4.1191180573101815E-3</v>
      </c>
      <c r="P160" t="str">
        <f>IF('Emissions Factors'!J162="",'Emissions Factors'!F162,'Emissions Factors'!J162)</f>
        <v>Carbon factor taken directly from the ICE V4: ICE Summary &gt; Plastic &gt; Injection moulded polypropylene. Conversion factor calculated from approximate 225mm pipe wall thickness of 6mm and PP density of 0.946 t/m3.</v>
      </c>
      <c r="R160">
        <v>1</v>
      </c>
      <c r="U160">
        <f t="shared" si="22"/>
        <v>32</v>
      </c>
      <c r="V160">
        <f t="shared" si="23"/>
        <v>14</v>
      </c>
    </row>
    <row r="161" spans="1:22" x14ac:dyDescent="0.3">
      <c r="A161">
        <f>'Emissions Factors'!A163</f>
        <v>0</v>
      </c>
      <c r="B161">
        <f>'Emissions Factors'!B163</f>
        <v>0</v>
      </c>
      <c r="C161">
        <f>'Emissions Factors'!C163</f>
        <v>0</v>
      </c>
      <c r="D161" t="str">
        <f>'Emissions Factors'!D163</f>
        <v>300mm diameter</v>
      </c>
      <c r="G161" t="str">
        <f t="shared" si="18"/>
        <v>Drainage</v>
      </c>
      <c r="H161" t="str">
        <f t="shared" si="19"/>
        <v>Plastic pipework (Polypropylene)</v>
      </c>
      <c r="I161" t="str">
        <f t="shared" si="20"/>
        <v>300mm diameter</v>
      </c>
      <c r="J161" t="str">
        <f t="shared" si="21"/>
        <v>Plastic pipework (Polypropylene)300mm diameter</v>
      </c>
      <c r="K161" t="str">
        <f>IF('Emissions Factors'!E163="","",'Emissions Factors'!E163)</f>
        <v>metres</v>
      </c>
      <c r="L161" t="str">
        <f>IF('Emissions Factors'!F163="","",'Emissions Factors'!F163)</f>
        <v>Plastic</v>
      </c>
      <c r="M161">
        <f>IF('Emissions Factors'!G163="","",'Emissions Factors'!G163)</f>
        <v>4.49</v>
      </c>
      <c r="N161" t="str">
        <f>IF('Emissions Factors'!H163="","",'Emissions Factors'!H163)</f>
        <v>tCO2e/t</v>
      </c>
      <c r="O161">
        <f>IF('[1]Emissions Factors'!I162="","",'[1]Emissions Factors'!I162)</f>
        <v>7.3228765463292057E-3</v>
      </c>
      <c r="P161" t="str">
        <f>IF('Emissions Factors'!J163="",'Emissions Factors'!F163,'Emissions Factors'!J163)</f>
        <v>Carbon factor taken directly from the ICE V4: ICE Summary &gt; Plastic &gt; Injection moulded polypropylene. Conversion factor calculated from approximate 300mm pipe wall thickness of 8mm and PP density of 0.946 t/m3.</v>
      </c>
      <c r="R161">
        <v>1</v>
      </c>
      <c r="U161">
        <f t="shared" si="22"/>
        <v>32</v>
      </c>
      <c r="V161">
        <f t="shared" si="23"/>
        <v>14</v>
      </c>
    </row>
    <row r="162" spans="1:22" x14ac:dyDescent="0.3">
      <c r="A162">
        <f>'Emissions Factors'!A164</f>
        <v>0</v>
      </c>
      <c r="B162">
        <f>'Emissions Factors'!B164</f>
        <v>0</v>
      </c>
      <c r="C162">
        <f>'Emissions Factors'!C164</f>
        <v>0</v>
      </c>
      <c r="D162" t="str">
        <f>'Emissions Factors'!D164</f>
        <v>450mm diameter</v>
      </c>
      <c r="G162" t="str">
        <f t="shared" si="18"/>
        <v>Drainage</v>
      </c>
      <c r="H162" t="str">
        <f t="shared" si="19"/>
        <v>Plastic pipework (Polypropylene)</v>
      </c>
      <c r="I162" t="str">
        <f t="shared" si="20"/>
        <v>450mm diameter</v>
      </c>
      <c r="J162" t="str">
        <f t="shared" si="21"/>
        <v>Plastic pipework (Polypropylene)450mm diameter</v>
      </c>
      <c r="K162" t="str">
        <f>IF('Emissions Factors'!E164="","",'Emissions Factors'!E164)</f>
        <v>metres</v>
      </c>
      <c r="L162" t="str">
        <f>IF('Emissions Factors'!F164="","",'Emissions Factors'!F164)</f>
        <v>Plastic</v>
      </c>
      <c r="M162">
        <f>IF('Emissions Factors'!G164="","",'Emissions Factors'!G164)</f>
        <v>4.49</v>
      </c>
      <c r="N162" t="str">
        <f>IF('Emissions Factors'!H164="","",'Emissions Factors'!H164)</f>
        <v>tCO2e/t</v>
      </c>
      <c r="O162">
        <f>IF('[1]Emissions Factors'!I163="","",'[1]Emissions Factors'!I163)</f>
        <v>1.0889212526684355E-2</v>
      </c>
      <c r="P162" t="str">
        <f>IF('Emissions Factors'!J164="",'Emissions Factors'!F164,'Emissions Factors'!J164)</f>
        <v>Carbon factor taken directly from the ICE V4:  ICE Summary &gt; Plastic &gt; Injection moulded polypropylene. Conversion factor calculated from approximate 450mm pipe wall thickness of 8mm and PP density of 0.946 t/m3.</v>
      </c>
      <c r="R162">
        <v>1</v>
      </c>
      <c r="U162">
        <f t="shared" si="22"/>
        <v>32</v>
      </c>
      <c r="V162">
        <f t="shared" si="23"/>
        <v>14</v>
      </c>
    </row>
    <row r="163" spans="1:22" x14ac:dyDescent="0.3">
      <c r="A163">
        <f>'Emissions Factors'!A165</f>
        <v>0</v>
      </c>
      <c r="B163">
        <f>'Emissions Factors'!B165</f>
        <v>0</v>
      </c>
      <c r="C163">
        <f>'Emissions Factors'!C165</f>
        <v>0</v>
      </c>
      <c r="D163" t="str">
        <f>'Emissions Factors'!D165</f>
        <v>600mm diameter</v>
      </c>
      <c r="G163" t="str">
        <f t="shared" si="18"/>
        <v>Drainage</v>
      </c>
      <c r="H163" t="str">
        <f t="shared" si="19"/>
        <v>Plastic pipework (Polypropylene)</v>
      </c>
      <c r="I163" t="str">
        <f t="shared" si="20"/>
        <v>600mm diameter</v>
      </c>
      <c r="J163" t="str">
        <f t="shared" si="21"/>
        <v>Plastic pipework (Polypropylene)600mm diameter</v>
      </c>
      <c r="K163" t="str">
        <f>IF('Emissions Factors'!E165="","",'Emissions Factors'!E165)</f>
        <v>metres</v>
      </c>
      <c r="L163" t="str">
        <f>IF('Emissions Factors'!F165="","",'Emissions Factors'!F165)</f>
        <v>Plastic</v>
      </c>
      <c r="M163">
        <f>IF('Emissions Factors'!G165="","",'Emissions Factors'!G165)</f>
        <v>4.49</v>
      </c>
      <c r="N163" t="str">
        <f>IF('Emissions Factors'!H165="","",'Emissions Factors'!H165)</f>
        <v>tCO2e/t</v>
      </c>
      <c r="O163">
        <f>IF('[1]Emissions Factors'!I164="","",'[1]Emissions Factors'!I164)</f>
        <v>1.9974453436639044E-2</v>
      </c>
      <c r="P163" t="str">
        <f>IF('Emissions Factors'!J165="",'Emissions Factors'!F165,'Emissions Factors'!J165)</f>
        <v>Carbon factor taken directly from the ICE V4: Plastic &gt; Injection moulded polypropylene. Conversion factor calculated from approximate 600mm pipe wall thickness of 11mm and PP density of 0.946 t/m3.</v>
      </c>
      <c r="R163">
        <v>1</v>
      </c>
      <c r="U163">
        <f t="shared" si="22"/>
        <v>32</v>
      </c>
      <c r="V163">
        <f t="shared" si="23"/>
        <v>14</v>
      </c>
    </row>
    <row r="164" spans="1:22" x14ac:dyDescent="0.3">
      <c r="A164">
        <f>'Emissions Factors'!A166</f>
        <v>0</v>
      </c>
      <c r="B164">
        <f>'Emissions Factors'!B166</f>
        <v>0</v>
      </c>
      <c r="C164">
        <f>'Emissions Factors'!C166</f>
        <v>0</v>
      </c>
      <c r="D164" t="str">
        <f>'Emissions Factors'!D166</f>
        <v>900mm diameter</v>
      </c>
      <c r="G164" t="str">
        <f t="shared" si="18"/>
        <v>Drainage</v>
      </c>
      <c r="H164" t="str">
        <f t="shared" si="19"/>
        <v>Plastic pipework (Polypropylene)</v>
      </c>
      <c r="I164" t="str">
        <f t="shared" si="20"/>
        <v>900mm diameter</v>
      </c>
      <c r="J164" t="str">
        <f t="shared" si="21"/>
        <v>Plastic pipework (Polypropylene)900mm diameter</v>
      </c>
      <c r="K164" t="str">
        <f>IF('Emissions Factors'!E166="","",'Emissions Factors'!E166)</f>
        <v>metres</v>
      </c>
      <c r="L164" t="str">
        <f>IF('Emissions Factors'!F166="","",'Emissions Factors'!F166)</f>
        <v>Plastic</v>
      </c>
      <c r="M164">
        <f>IF('Emissions Factors'!G166="","",'Emissions Factors'!G166)</f>
        <v>4.49</v>
      </c>
      <c r="N164" t="str">
        <f>IF('Emissions Factors'!H166="","",'Emissions Factors'!H166)</f>
        <v>tCO2e/t</v>
      </c>
      <c r="O164">
        <f>IF('[1]Emissions Factors'!I165="","",'[1]Emissions Factors'!I165)</f>
        <v>4.3556850106737419E-2</v>
      </c>
      <c r="P164" t="str">
        <f>IF('Emissions Factors'!J166="",'Emissions Factors'!F166,'Emissions Factors'!J166)</f>
        <v>Carbon factor taken directly from the ICE V4:  ICE Summary &gt; Plastic &gt; Injection moulded polypropylene. Conversion factor calculated from approximate 900mm pipe wall thickness of 16mm and PP density of 0.946 t/m3.</v>
      </c>
      <c r="R164">
        <v>1</v>
      </c>
      <c r="U164">
        <f t="shared" si="22"/>
        <v>32</v>
      </c>
      <c r="V164">
        <f t="shared" si="23"/>
        <v>14</v>
      </c>
    </row>
    <row r="165" spans="1:22" x14ac:dyDescent="0.3">
      <c r="A165">
        <f>'Emissions Factors'!A167</f>
        <v>0</v>
      </c>
      <c r="B165">
        <f>'Emissions Factors'!B167</f>
        <v>0</v>
      </c>
      <c r="C165">
        <f>'Emissions Factors'!C167</f>
        <v>0</v>
      </c>
      <c r="D165" t="str">
        <f>'Emissions Factors'!D167</f>
        <v>1200mm diameter</v>
      </c>
      <c r="G165" t="str">
        <f t="shared" si="18"/>
        <v>Drainage</v>
      </c>
      <c r="H165" t="str">
        <f t="shared" si="19"/>
        <v>Plastic pipework (Polypropylene)</v>
      </c>
      <c r="I165" t="str">
        <f t="shared" si="20"/>
        <v>1200mm diameter</v>
      </c>
      <c r="J165" t="str">
        <f t="shared" si="21"/>
        <v>Plastic pipework (Polypropylene)1200mm diameter</v>
      </c>
      <c r="K165" t="str">
        <f>IF('Emissions Factors'!E167="","",'Emissions Factors'!E167)</f>
        <v>metres</v>
      </c>
      <c r="L165" t="str">
        <f>IF('Emissions Factors'!F167="","",'Emissions Factors'!F167)</f>
        <v>Plastic</v>
      </c>
      <c r="M165">
        <f>IF('Emissions Factors'!G167="","",'Emissions Factors'!G167)</f>
        <v>4.49</v>
      </c>
      <c r="N165" t="str">
        <f>IF('Emissions Factors'!H167="","",'Emissions Factors'!H167)</f>
        <v>tCO2e/t</v>
      </c>
      <c r="O165">
        <f>IF('[1]Emissions Factors'!I166="","",'[1]Emissions Factors'!I166)</f>
        <v>7.2515498267220979E-2</v>
      </c>
      <c r="P165" t="str">
        <f>IF('Emissions Factors'!J167="",'Emissions Factors'!F167,'Emissions Factors'!J167)</f>
        <v>Carbon factor taken directly from the ICE V4:  ICE Summary &gt; Plastic &gt; Injection moulded polypropylene. Conversion factor calculated from approximate 1200mm pipe wall thickness of 20mm and PP density of 0.946 t/m3.</v>
      </c>
      <c r="R165">
        <v>1</v>
      </c>
      <c r="U165">
        <f t="shared" si="22"/>
        <v>32</v>
      </c>
      <c r="V165">
        <f t="shared" si="23"/>
        <v>15</v>
      </c>
    </row>
    <row r="166" spans="1:22" x14ac:dyDescent="0.3">
      <c r="A166">
        <f>'Emissions Factors'!A168</f>
        <v>0</v>
      </c>
      <c r="B166">
        <f>'Emissions Factors'!B168</f>
        <v>0</v>
      </c>
      <c r="C166">
        <f>'Emissions Factors'!C168</f>
        <v>0</v>
      </c>
      <c r="D166" t="str">
        <f>'Emissions Factors'!D168</f>
        <v>1500mm diameter</v>
      </c>
      <c r="G166" t="str">
        <f t="shared" si="18"/>
        <v>Drainage</v>
      </c>
      <c r="H166" t="str">
        <f t="shared" si="19"/>
        <v>Plastic pipework (Polypropylene)</v>
      </c>
      <c r="I166" t="str">
        <f t="shared" si="20"/>
        <v>1500mm diameter</v>
      </c>
      <c r="J166" t="str">
        <f t="shared" si="21"/>
        <v>Plastic pipework (Polypropylene)1500mm diameter</v>
      </c>
      <c r="K166" t="str">
        <f>IF('Emissions Factors'!E168="","",'Emissions Factors'!E168)</f>
        <v>metres</v>
      </c>
      <c r="L166" t="str">
        <f>IF('Emissions Factors'!F168="","",'Emissions Factors'!F168)</f>
        <v>Plastic</v>
      </c>
      <c r="M166">
        <f>IF('Emissions Factors'!G168="","",'Emissions Factors'!G168)</f>
        <v>4.49</v>
      </c>
      <c r="N166" t="str">
        <f>IF('Emissions Factors'!H168="","",'Emissions Factors'!H168)</f>
        <v>tCO2e/t</v>
      </c>
      <c r="O166">
        <f>IF('[1]Emissions Factors'!I167="","",'[1]Emissions Factors'!I167)</f>
        <v>0.11330546604253289</v>
      </c>
      <c r="P166" t="str">
        <f>IF('Emissions Factors'!J168="",'Emissions Factors'!F168,'Emissions Factors'!J168)</f>
        <v>Carbon factor taken directly from the ICE V4:  ICE Summary &gt; Plastic &gt; Injection moulded polypropylene. Conversion factor calculated from approximate 1500mm pipe wall thickness of 25mm and PP density of 0.946 t/m3.</v>
      </c>
      <c r="R166">
        <v>1</v>
      </c>
      <c r="U166">
        <f t="shared" si="22"/>
        <v>32</v>
      </c>
      <c r="V166">
        <f t="shared" si="23"/>
        <v>15</v>
      </c>
    </row>
    <row r="167" spans="1:22" x14ac:dyDescent="0.3">
      <c r="A167">
        <f>'Emissions Factors'!A169</f>
        <v>0</v>
      </c>
      <c r="B167">
        <f>'Emissions Factors'!B169</f>
        <v>0</v>
      </c>
      <c r="C167">
        <f>'Emissions Factors'!C169</f>
        <v>0</v>
      </c>
      <c r="D167" t="str">
        <f>'Emissions Factors'!D169</f>
        <v>1800mm diameter</v>
      </c>
      <c r="G167" t="str">
        <f t="shared" si="18"/>
        <v>Drainage</v>
      </c>
      <c r="H167" t="str">
        <f t="shared" si="19"/>
        <v>Plastic pipework (Polypropylene)</v>
      </c>
      <c r="I167" t="str">
        <f t="shared" si="20"/>
        <v>1800mm diameter</v>
      </c>
      <c r="J167" t="str">
        <f t="shared" si="21"/>
        <v>Plastic pipework (Polypropylene)1800mm diameter</v>
      </c>
      <c r="K167" t="str">
        <f>IF('Emissions Factors'!E169="","",'Emissions Factors'!E169)</f>
        <v>metres</v>
      </c>
      <c r="L167" t="str">
        <f>IF('Emissions Factors'!F169="","",'Emissions Factors'!F169)</f>
        <v>Plastic</v>
      </c>
      <c r="M167">
        <f>IF('Emissions Factors'!G169="","",'Emissions Factors'!G169)</f>
        <v>4.49</v>
      </c>
      <c r="N167" t="str">
        <f>IF('Emissions Factors'!H169="","",'Emissions Factors'!H169)</f>
        <v>tCO2e/t</v>
      </c>
      <c r="O167">
        <f>IF('[1]Emissions Factors'!I168="","",'[1]Emissions Factors'!I168)</f>
        <v>0.16315987110124761</v>
      </c>
      <c r="P167" t="str">
        <f>IF('Emissions Factors'!J169="",'Emissions Factors'!F169,'Emissions Factors'!J169)</f>
        <v>Carbon factor taken directly from the ICE V4:  ICE Summary &gt; Plastic &gt; Injection moulded polypropylene. Conversion factor calculated from approximate 1800mm pipe wall thickness of 30mm and PP density of 0.946 t/m3.</v>
      </c>
      <c r="R167">
        <v>1</v>
      </c>
      <c r="U167">
        <f t="shared" si="22"/>
        <v>32</v>
      </c>
      <c r="V167">
        <f t="shared" si="23"/>
        <v>15</v>
      </c>
    </row>
    <row r="168" spans="1:22" x14ac:dyDescent="0.3">
      <c r="A168">
        <f>'Emissions Factors'!A170</f>
        <v>0</v>
      </c>
      <c r="B168">
        <f>'Emissions Factors'!B170</f>
        <v>0</v>
      </c>
      <c r="C168" t="str">
        <f>'Emissions Factors'!C170</f>
        <v>Vitrified clay pipework</v>
      </c>
      <c r="D168" t="str">
        <f>'Emissions Factors'!D170</f>
        <v>150mm diameter</v>
      </c>
      <c r="G168" t="str">
        <f t="shared" si="18"/>
        <v>Drainage</v>
      </c>
      <c r="H168" t="str">
        <f t="shared" si="19"/>
        <v>Vitrified clay pipework</v>
      </c>
      <c r="I168" t="str">
        <f t="shared" si="20"/>
        <v>150mm diameter</v>
      </c>
      <c r="J168" t="str">
        <f t="shared" si="21"/>
        <v>Vitrified clay pipework150mm diameter</v>
      </c>
      <c r="K168" t="str">
        <f>IF('Emissions Factors'!E170="","",'Emissions Factors'!E170)</f>
        <v>metres</v>
      </c>
      <c r="L168" t="str">
        <f>IF('Emissions Factors'!F170="","",'Emissions Factors'!F170)</f>
        <v>Inert</v>
      </c>
      <c r="M168">
        <f>IF('Emissions Factors'!G170="","",'Emissions Factors'!G170)</f>
        <v>0.5</v>
      </c>
      <c r="N168" t="str">
        <f>IF('Emissions Factors'!H170="","",'Emissions Factors'!H170)</f>
        <v>tCO2e/t</v>
      </c>
      <c r="O168">
        <f>IF('[1]Emissions Factors'!I169="","",'[1]Emissions Factors'!I169)</f>
        <v>1.7500000000000002E-2</v>
      </c>
      <c r="P168" t="str">
        <f>IF('Emissions Factors'!J170="",'Emissions Factors'!F170,'Emissions Factors'!J170)</f>
        <v>Carbon factor taken directly from the ICE V4: ICE Summary &gt; Clay &gt; Pipes 200-300mm. Conversion factor based on typical unit mass estimate from Hepworth Drainage.</v>
      </c>
      <c r="R168">
        <v>1</v>
      </c>
      <c r="U168">
        <f t="shared" si="22"/>
        <v>23</v>
      </c>
      <c r="V168">
        <f t="shared" si="23"/>
        <v>14</v>
      </c>
    </row>
    <row r="169" spans="1:22" x14ac:dyDescent="0.3">
      <c r="A169">
        <f>'Emissions Factors'!A171</f>
        <v>0</v>
      </c>
      <c r="B169">
        <f>'Emissions Factors'!B171</f>
        <v>0</v>
      </c>
      <c r="C169">
        <f>'Emissions Factors'!C171</f>
        <v>0</v>
      </c>
      <c r="D169" t="str">
        <f>'Emissions Factors'!D171</f>
        <v>225mm diameter</v>
      </c>
      <c r="G169" t="str">
        <f t="shared" si="18"/>
        <v>Drainage</v>
      </c>
      <c r="H169" t="str">
        <f t="shared" si="19"/>
        <v>Vitrified clay pipework</v>
      </c>
      <c r="I169" t="str">
        <f t="shared" si="20"/>
        <v>225mm diameter</v>
      </c>
      <c r="J169" t="str">
        <f t="shared" si="21"/>
        <v>Vitrified clay pipework225mm diameter</v>
      </c>
      <c r="K169" t="str">
        <f>IF('Emissions Factors'!E171="","",'Emissions Factors'!E171)</f>
        <v>metres</v>
      </c>
      <c r="L169" t="str">
        <f>IF('Emissions Factors'!F171="","",'Emissions Factors'!F171)</f>
        <v>Inert</v>
      </c>
      <c r="M169">
        <f>IF('Emissions Factors'!G171="","",'Emissions Factors'!G171)</f>
        <v>0.5</v>
      </c>
      <c r="N169" t="str">
        <f>IF('Emissions Factors'!H171="","",'Emissions Factors'!H171)</f>
        <v>tCO2e/t</v>
      </c>
      <c r="O169">
        <f>IF('[1]Emissions Factors'!I170="","",'[1]Emissions Factors'!I170)</f>
        <v>3.4000000000000002E-2</v>
      </c>
      <c r="P169" t="str">
        <f>IF('Emissions Factors'!J171="",'Emissions Factors'!F171,'Emissions Factors'!J171)</f>
        <v>Carbon factor taken directly from the ICE V4: ICE Summary &gt; Clay &gt; Pipes 200-300mm. Conversion factor based on typical unit mass estimate from Hepworth Drainage.</v>
      </c>
      <c r="R169">
        <v>1</v>
      </c>
      <c r="U169">
        <f t="shared" si="22"/>
        <v>23</v>
      </c>
      <c r="V169">
        <f t="shared" si="23"/>
        <v>14</v>
      </c>
    </row>
    <row r="170" spans="1:22" x14ac:dyDescent="0.3">
      <c r="A170">
        <f>'Emissions Factors'!A172</f>
        <v>0</v>
      </c>
      <c r="B170">
        <f>'Emissions Factors'!B172</f>
        <v>0</v>
      </c>
      <c r="C170">
        <f>'Emissions Factors'!C172</f>
        <v>0</v>
      </c>
      <c r="D170" t="str">
        <f>'Emissions Factors'!D172</f>
        <v>300mm diameter</v>
      </c>
      <c r="G170" t="str">
        <f t="shared" si="18"/>
        <v>Drainage</v>
      </c>
      <c r="H170" t="str">
        <f t="shared" si="19"/>
        <v>Vitrified clay pipework</v>
      </c>
      <c r="I170" t="str">
        <f t="shared" si="20"/>
        <v>300mm diameter</v>
      </c>
      <c r="J170" t="str">
        <f t="shared" si="21"/>
        <v>Vitrified clay pipework300mm diameter</v>
      </c>
      <c r="K170" t="str">
        <f>IF('Emissions Factors'!E172="","",'Emissions Factors'!E172)</f>
        <v>metres</v>
      </c>
      <c r="L170" t="str">
        <f>IF('Emissions Factors'!F172="","",'Emissions Factors'!F172)</f>
        <v>Inert</v>
      </c>
      <c r="M170">
        <f>IF('Emissions Factors'!G172="","",'Emissions Factors'!G172)</f>
        <v>0.5</v>
      </c>
      <c r="N170" t="str">
        <f>IF('Emissions Factors'!H172="","",'Emissions Factors'!H172)</f>
        <v>tCO2e/t</v>
      </c>
      <c r="O170">
        <f>IF('[1]Emissions Factors'!I171="","",'[1]Emissions Factors'!I171)</f>
        <v>7.2999999999999995E-2</v>
      </c>
      <c r="P170" t="str">
        <f>IF('Emissions Factors'!J172="",'Emissions Factors'!F172,'Emissions Factors'!J172)</f>
        <v>Carbon factor taken directly from the ICE V4: ICE Summary &gt; Clay &gt; Pipes 200-300mm. Conversion factor based on typical unit mass estimate from Hepworth Drainage.</v>
      </c>
      <c r="R170">
        <v>1</v>
      </c>
      <c r="U170">
        <f t="shared" si="22"/>
        <v>23</v>
      </c>
      <c r="V170">
        <f t="shared" si="23"/>
        <v>14</v>
      </c>
    </row>
    <row r="171" spans="1:22" x14ac:dyDescent="0.3">
      <c r="A171">
        <f>'Emissions Factors'!A173</f>
        <v>0</v>
      </c>
      <c r="B171">
        <f>'Emissions Factors'!B173</f>
        <v>0</v>
      </c>
      <c r="C171" t="str">
        <f>'Emissions Factors'!C173</f>
        <v>Precast concrete circular pipework</v>
      </c>
      <c r="D171" t="str">
        <f>'Emissions Factors'!D173</f>
        <v>225mm diameter</v>
      </c>
      <c r="G171" t="str">
        <f t="shared" si="18"/>
        <v>Drainage</v>
      </c>
      <c r="H171" t="str">
        <f t="shared" si="19"/>
        <v>Precast concrete circular pipework</v>
      </c>
      <c r="I171" t="str">
        <f t="shared" si="20"/>
        <v>225mm diameter</v>
      </c>
      <c r="J171" t="str">
        <f t="shared" si="21"/>
        <v>Precast concrete circular pipework225mm diameter</v>
      </c>
      <c r="K171" t="str">
        <f>IF('Emissions Factors'!E173="","",'Emissions Factors'!E173)</f>
        <v>metres</v>
      </c>
      <c r="L171" t="str">
        <f>IF('Emissions Factors'!F173="","",'Emissions Factors'!F173)</f>
        <v>Concrete</v>
      </c>
      <c r="M171">
        <f>IF('Emissions Factors'!G173="","",'Emissions Factors'!G173)</f>
        <v>0.13843227036315769</v>
      </c>
      <c r="N171" t="str">
        <f>IF('Emissions Factors'!H173="","",'Emissions Factors'!H173)</f>
        <v>tCO2e/t</v>
      </c>
      <c r="O171">
        <f>IF('[1]Emissions Factors'!I172="","",'[1]Emissions Factors'!I172)</f>
        <v>8.7999999999999995E-2</v>
      </c>
      <c r="P171" t="str">
        <f>IF('Emissions Factors'!J173="",'Emissions Factors'!F173,'Emissions Factors'!J173)</f>
        <v>Carbon factor taken directly from the ICE V4: Concrete &gt; Precast concrete pipe, DN600 unreinforced per kg. Conversion factor based on precast unit mass estimation from supplier.</v>
      </c>
      <c r="R171">
        <v>1</v>
      </c>
      <c r="U171">
        <f t="shared" si="22"/>
        <v>34</v>
      </c>
      <c r="V171">
        <f t="shared" si="23"/>
        <v>14</v>
      </c>
    </row>
    <row r="172" spans="1:22" x14ac:dyDescent="0.3">
      <c r="A172">
        <f>'Emissions Factors'!A174</f>
        <v>0</v>
      </c>
      <c r="B172">
        <f>'Emissions Factors'!B174</f>
        <v>0</v>
      </c>
      <c r="C172">
        <f>'Emissions Factors'!C174</f>
        <v>0</v>
      </c>
      <c r="D172" t="str">
        <f>'Emissions Factors'!D174</f>
        <v>300mm diameter</v>
      </c>
      <c r="G172" t="str">
        <f t="shared" si="18"/>
        <v>Drainage</v>
      </c>
      <c r="H172" t="str">
        <f t="shared" si="19"/>
        <v>Precast concrete circular pipework</v>
      </c>
      <c r="I172" t="str">
        <f t="shared" si="20"/>
        <v>300mm diameter</v>
      </c>
      <c r="J172" t="str">
        <f t="shared" si="21"/>
        <v>Precast concrete circular pipework300mm diameter</v>
      </c>
      <c r="K172" t="str">
        <f>IF('Emissions Factors'!E174="","",'Emissions Factors'!E174)</f>
        <v>metres</v>
      </c>
      <c r="L172" t="str">
        <f>IF('Emissions Factors'!F174="","",'Emissions Factors'!F174)</f>
        <v>Concrete</v>
      </c>
      <c r="M172">
        <f>IF('Emissions Factors'!G174="","",'Emissions Factors'!G174)</f>
        <v>0.13843227036315769</v>
      </c>
      <c r="N172" t="str">
        <f>IF('Emissions Factors'!H174="","",'Emissions Factors'!H174)</f>
        <v>tCO2e/t</v>
      </c>
      <c r="O172">
        <f>IF('[1]Emissions Factors'!I173="","",'[1]Emissions Factors'!I173)</f>
        <v>0.128</v>
      </c>
      <c r="P172" t="str">
        <f>IF('Emissions Factors'!J174="",'Emissions Factors'!F174,'Emissions Factors'!J174)</f>
        <v>Carbon factor taken directly from the ICE V4: Concrete &gt; Precast concrete pipe, DN600 unreinforced per kg. Conversion factor based on precast unit mass estimation from supplier.</v>
      </c>
      <c r="R172">
        <v>1</v>
      </c>
      <c r="U172">
        <f t="shared" si="22"/>
        <v>34</v>
      </c>
      <c r="V172">
        <f t="shared" si="23"/>
        <v>14</v>
      </c>
    </row>
    <row r="173" spans="1:22" x14ac:dyDescent="0.3">
      <c r="A173">
        <f>'Emissions Factors'!A175</f>
        <v>0</v>
      </c>
      <c r="B173">
        <f>'Emissions Factors'!B175</f>
        <v>0</v>
      </c>
      <c r="C173">
        <f>'Emissions Factors'!C175</f>
        <v>0</v>
      </c>
      <c r="D173" t="str">
        <f>'Emissions Factors'!D175</f>
        <v>450mm diameter</v>
      </c>
      <c r="G173" t="str">
        <f t="shared" si="18"/>
        <v>Drainage</v>
      </c>
      <c r="H173" t="str">
        <f t="shared" si="19"/>
        <v>Precast concrete circular pipework</v>
      </c>
      <c r="I173" t="str">
        <f t="shared" si="20"/>
        <v>450mm diameter</v>
      </c>
      <c r="J173" t="str">
        <f t="shared" si="21"/>
        <v>Precast concrete circular pipework450mm diameter</v>
      </c>
      <c r="K173" t="str">
        <f>IF('Emissions Factors'!E175="","",'Emissions Factors'!E175)</f>
        <v>metres</v>
      </c>
      <c r="L173" t="str">
        <f>IF('Emissions Factors'!F175="","",'Emissions Factors'!F175)</f>
        <v>Concrete</v>
      </c>
      <c r="M173">
        <f>IF('Emissions Factors'!G175="","",'Emissions Factors'!G175)</f>
        <v>0.13843227036315769</v>
      </c>
      <c r="N173" t="str">
        <f>IF('Emissions Factors'!H175="","",'Emissions Factors'!H175)</f>
        <v>tCO2e/t</v>
      </c>
      <c r="O173">
        <f>IF('[1]Emissions Factors'!I174="","",'[1]Emissions Factors'!I174)</f>
        <v>0.28799999999999998</v>
      </c>
      <c r="P173" t="str">
        <f>IF('Emissions Factors'!J175="",'Emissions Factors'!F175,'Emissions Factors'!J175)</f>
        <v>Carbon factor taken directly from the ICE V4: Concrete &gt; Precast concrete pipe, DN600 unreinforced per kg. Conversion factor based on precast unit mass estimation from supplier.</v>
      </c>
      <c r="R173">
        <v>1</v>
      </c>
      <c r="U173">
        <f t="shared" si="22"/>
        <v>34</v>
      </c>
      <c r="V173">
        <f t="shared" si="23"/>
        <v>14</v>
      </c>
    </row>
    <row r="174" spans="1:22" x14ac:dyDescent="0.3">
      <c r="A174">
        <f>'Emissions Factors'!A176</f>
        <v>0</v>
      </c>
      <c r="B174">
        <f>'Emissions Factors'!B176</f>
        <v>0</v>
      </c>
      <c r="C174">
        <f>'Emissions Factors'!C176</f>
        <v>0</v>
      </c>
      <c r="D174" t="str">
        <f>'Emissions Factors'!D176</f>
        <v>600mm diameter</v>
      </c>
      <c r="G174" t="str">
        <f t="shared" si="18"/>
        <v>Drainage</v>
      </c>
      <c r="H174" t="str">
        <f t="shared" si="19"/>
        <v>Precast concrete circular pipework</v>
      </c>
      <c r="I174" t="str">
        <f t="shared" si="20"/>
        <v>600mm diameter</v>
      </c>
      <c r="J174" t="str">
        <f t="shared" si="21"/>
        <v>Precast concrete circular pipework600mm diameter</v>
      </c>
      <c r="K174" t="str">
        <f>IF('Emissions Factors'!E176="","",'Emissions Factors'!E176)</f>
        <v>metres</v>
      </c>
      <c r="L174" t="str">
        <f>IF('Emissions Factors'!F176="","",'Emissions Factors'!F176)</f>
        <v>Concrete</v>
      </c>
      <c r="M174">
        <f>IF('Emissions Factors'!G176="","",'Emissions Factors'!G176)</f>
        <v>0.13843227036315769</v>
      </c>
      <c r="N174" t="str">
        <f>IF('Emissions Factors'!H176="","",'Emissions Factors'!H176)</f>
        <v>tCO2e/t</v>
      </c>
      <c r="O174">
        <f>IF('[1]Emissions Factors'!I175="","",'[1]Emissions Factors'!I175)</f>
        <v>0.48799999999999999</v>
      </c>
      <c r="P174" t="str">
        <f>IF('Emissions Factors'!J176="",'Emissions Factors'!F176,'Emissions Factors'!J176)</f>
        <v>Carbon factor taken directly from the ICE V4: Concrete &gt; Precast concrete pipe, DN600 unreinforced per kg. Conversion factor based on precast unit mass estimation from supplier.</v>
      </c>
      <c r="R174">
        <v>1</v>
      </c>
      <c r="U174">
        <f t="shared" si="22"/>
        <v>34</v>
      </c>
      <c r="V174">
        <f t="shared" si="23"/>
        <v>14</v>
      </c>
    </row>
    <row r="175" spans="1:22" x14ac:dyDescent="0.3">
      <c r="A175">
        <f>'Emissions Factors'!A177</f>
        <v>0</v>
      </c>
      <c r="B175">
        <f>'Emissions Factors'!B177</f>
        <v>0</v>
      </c>
      <c r="C175">
        <f>'Emissions Factors'!C177</f>
        <v>0</v>
      </c>
      <c r="D175" t="str">
        <f>'Emissions Factors'!D177</f>
        <v>900mm diameter</v>
      </c>
      <c r="G175" t="str">
        <f t="shared" si="18"/>
        <v>Drainage</v>
      </c>
      <c r="H175" t="str">
        <f t="shared" si="19"/>
        <v>Precast concrete circular pipework</v>
      </c>
      <c r="I175" t="str">
        <f t="shared" si="20"/>
        <v>900mm diameter</v>
      </c>
      <c r="J175" t="str">
        <f t="shared" si="21"/>
        <v>Precast concrete circular pipework900mm diameter</v>
      </c>
      <c r="K175" t="str">
        <f>IF('Emissions Factors'!E177="","",'Emissions Factors'!E177)</f>
        <v>metres</v>
      </c>
      <c r="L175" t="str">
        <f>IF('Emissions Factors'!F177="","",'Emissions Factors'!F177)</f>
        <v>Concrete</v>
      </c>
      <c r="M175">
        <f>IF('Emissions Factors'!G177="","",'Emissions Factors'!G177)</f>
        <v>0.13843227036315769</v>
      </c>
      <c r="N175" t="str">
        <f>IF('Emissions Factors'!H177="","",'Emissions Factors'!H177)</f>
        <v>tCO2e/t</v>
      </c>
      <c r="O175">
        <f>IF('[1]Emissions Factors'!I176="","",'[1]Emissions Factors'!I176)</f>
        <v>0.88800000000000001</v>
      </c>
      <c r="P175" t="str">
        <f>IF('Emissions Factors'!J177="",'Emissions Factors'!F177,'Emissions Factors'!J177)</f>
        <v>Carbon factor taken directly from the ICE V4: Concrete &gt; Precast concrete pipe, DN600 unreinforced per kg. Conversion factor based on precast unit mass estimation from supplier.</v>
      </c>
      <c r="R175">
        <v>1</v>
      </c>
      <c r="U175">
        <f t="shared" si="22"/>
        <v>34</v>
      </c>
      <c r="V175">
        <f t="shared" si="23"/>
        <v>14</v>
      </c>
    </row>
    <row r="176" spans="1:22" x14ac:dyDescent="0.3">
      <c r="A176">
        <f>'Emissions Factors'!A178</f>
        <v>0</v>
      </c>
      <c r="B176">
        <f>'Emissions Factors'!B178</f>
        <v>0</v>
      </c>
      <c r="C176">
        <f>'Emissions Factors'!C178</f>
        <v>0</v>
      </c>
      <c r="D176" t="str">
        <f>'Emissions Factors'!D178</f>
        <v>1200mm diameter</v>
      </c>
      <c r="G176" t="str">
        <f t="shared" si="18"/>
        <v>Drainage</v>
      </c>
      <c r="H176" t="str">
        <f t="shared" si="19"/>
        <v>Precast concrete circular pipework</v>
      </c>
      <c r="I176" t="str">
        <f t="shared" si="20"/>
        <v>1200mm diameter</v>
      </c>
      <c r="J176" t="str">
        <f t="shared" si="21"/>
        <v>Precast concrete circular pipework1200mm diameter</v>
      </c>
      <c r="K176" t="str">
        <f>IF('Emissions Factors'!E178="","",'Emissions Factors'!E178)</f>
        <v>metres</v>
      </c>
      <c r="L176" t="str">
        <f>IF('Emissions Factors'!F178="","",'Emissions Factors'!F178)</f>
        <v>Concrete</v>
      </c>
      <c r="M176">
        <f>IF('Emissions Factors'!G178="","",'Emissions Factors'!G178)</f>
        <v>0.13843227036315769</v>
      </c>
      <c r="N176" t="str">
        <f>IF('Emissions Factors'!H178="","",'Emissions Factors'!H178)</f>
        <v>tCO2e/t</v>
      </c>
      <c r="O176">
        <f>IF('[1]Emissions Factors'!I177="","",'[1]Emissions Factors'!I177)</f>
        <v>1.4039999999999999</v>
      </c>
      <c r="P176" t="str">
        <f>IF('Emissions Factors'!J178="",'Emissions Factors'!F178,'Emissions Factors'!J178)</f>
        <v>Carbon factor taken directly from the ICE V4: Concrete &gt; Precast concrete pipe, DN600 unreinforced per kg. Conversion factor based on precast unit mass estimation from supplier.</v>
      </c>
      <c r="R176">
        <v>1</v>
      </c>
      <c r="U176">
        <f t="shared" si="22"/>
        <v>34</v>
      </c>
      <c r="V176">
        <f t="shared" si="23"/>
        <v>15</v>
      </c>
    </row>
    <row r="177" spans="1:22" x14ac:dyDescent="0.3">
      <c r="A177">
        <f>'Emissions Factors'!A179</f>
        <v>0</v>
      </c>
      <c r="B177">
        <f>'Emissions Factors'!B179</f>
        <v>0</v>
      </c>
      <c r="C177">
        <f>'Emissions Factors'!C179</f>
        <v>0</v>
      </c>
      <c r="D177" t="str">
        <f>'Emissions Factors'!D179</f>
        <v>1500mm diameter</v>
      </c>
      <c r="G177" t="str">
        <f t="shared" si="18"/>
        <v>Drainage</v>
      </c>
      <c r="H177" t="str">
        <f t="shared" si="19"/>
        <v>Precast concrete circular pipework</v>
      </c>
      <c r="I177" t="str">
        <f t="shared" si="20"/>
        <v>1500mm diameter</v>
      </c>
      <c r="J177" t="str">
        <f t="shared" si="21"/>
        <v>Precast concrete circular pipework1500mm diameter</v>
      </c>
      <c r="K177" t="str">
        <f>IF('Emissions Factors'!E179="","",'Emissions Factors'!E179)</f>
        <v>metres</v>
      </c>
      <c r="L177" t="str">
        <f>IF('Emissions Factors'!F179="","",'Emissions Factors'!F179)</f>
        <v>Concrete</v>
      </c>
      <c r="M177">
        <f>IF('Emissions Factors'!G179="","",'Emissions Factors'!G179)</f>
        <v>0.13843227036315769</v>
      </c>
      <c r="N177" t="str">
        <f>IF('Emissions Factors'!H179="","",'Emissions Factors'!H179)</f>
        <v>tCO2e/t</v>
      </c>
      <c r="O177">
        <f>IF('[1]Emissions Factors'!I178="","",'[1]Emissions Factors'!I178)</f>
        <v>1.796</v>
      </c>
      <c r="P177" t="str">
        <f>IF('Emissions Factors'!J179="",'Emissions Factors'!F179,'Emissions Factors'!J179)</f>
        <v>Carbon factor taken directly from the ICE V4: Concrete &gt; Precast concrete pipe, DN600 unreinforced per kg. Conversion factor based on precast unit mass estimation from supplier.</v>
      </c>
      <c r="R177">
        <v>1</v>
      </c>
      <c r="U177">
        <f t="shared" si="22"/>
        <v>34</v>
      </c>
      <c r="V177">
        <f t="shared" si="23"/>
        <v>15</v>
      </c>
    </row>
    <row r="178" spans="1:22" x14ac:dyDescent="0.3">
      <c r="A178">
        <f>'Emissions Factors'!A180</f>
        <v>0</v>
      </c>
      <c r="B178">
        <f>'Emissions Factors'!B180</f>
        <v>0</v>
      </c>
      <c r="C178">
        <f>'Emissions Factors'!C180</f>
        <v>0</v>
      </c>
      <c r="D178" t="str">
        <f>'Emissions Factors'!D180</f>
        <v>1800mm diameter</v>
      </c>
      <c r="G178" t="str">
        <f t="shared" si="18"/>
        <v>Drainage</v>
      </c>
      <c r="H178" t="str">
        <f t="shared" si="19"/>
        <v>Precast concrete circular pipework</v>
      </c>
      <c r="I178" t="str">
        <f t="shared" si="20"/>
        <v>1800mm diameter</v>
      </c>
      <c r="J178" t="str">
        <f t="shared" si="21"/>
        <v>Precast concrete circular pipework1800mm diameter</v>
      </c>
      <c r="K178" t="str">
        <f>IF('Emissions Factors'!E180="","",'Emissions Factors'!E180)</f>
        <v>metres</v>
      </c>
      <c r="L178" t="str">
        <f>IF('Emissions Factors'!F180="","",'Emissions Factors'!F180)</f>
        <v>Concrete</v>
      </c>
      <c r="M178">
        <f>IF('Emissions Factors'!G180="","",'Emissions Factors'!G180)</f>
        <v>0.13843227036315769</v>
      </c>
      <c r="N178" t="str">
        <f>IF('Emissions Factors'!H180="","",'Emissions Factors'!H180)</f>
        <v>tCO2e/t</v>
      </c>
      <c r="O178">
        <f>IF('[1]Emissions Factors'!I179="","",'[1]Emissions Factors'!I179)</f>
        <v>2.86</v>
      </c>
      <c r="P178" t="str">
        <f>IF('Emissions Factors'!J180="",'Emissions Factors'!F180,'Emissions Factors'!J180)</f>
        <v>Carbon factor taken directly from the ICE V4: Concrete &gt; Precast concrete pipe, DN600 unreinforced per kg. Conversion factor based on precast unit mass estimation from supplier.</v>
      </c>
      <c r="R178">
        <v>1</v>
      </c>
      <c r="U178">
        <f t="shared" si="22"/>
        <v>34</v>
      </c>
      <c r="V178">
        <f t="shared" si="23"/>
        <v>15</v>
      </c>
    </row>
    <row r="179" spans="1:22" x14ac:dyDescent="0.3">
      <c r="A179">
        <f>'Emissions Factors'!A181</f>
        <v>0</v>
      </c>
      <c r="B179">
        <f>'Emissions Factors'!B181</f>
        <v>0</v>
      </c>
      <c r="C179">
        <f>'Emissions Factors'!C181</f>
        <v>0</v>
      </c>
      <c r="D179" t="str">
        <f>'Emissions Factors'!D181</f>
        <v>2100mm diameter</v>
      </c>
      <c r="G179" t="str">
        <f t="shared" si="18"/>
        <v>Drainage</v>
      </c>
      <c r="H179" t="str">
        <f t="shared" si="19"/>
        <v>Precast concrete circular pipework</v>
      </c>
      <c r="I179" t="str">
        <f t="shared" si="20"/>
        <v>2100mm diameter</v>
      </c>
      <c r="J179" t="str">
        <f t="shared" si="21"/>
        <v>Precast concrete circular pipework2100mm diameter</v>
      </c>
      <c r="K179" t="str">
        <f>IF('Emissions Factors'!E181="","",'Emissions Factors'!E181)</f>
        <v>metres</v>
      </c>
      <c r="L179" t="str">
        <f>IF('Emissions Factors'!F181="","",'Emissions Factors'!F181)</f>
        <v>Concrete</v>
      </c>
      <c r="M179">
        <f>IF('Emissions Factors'!G181="","",'Emissions Factors'!G181)</f>
        <v>0.13843227036315769</v>
      </c>
      <c r="N179" t="str">
        <f>IF('Emissions Factors'!H181="","",'Emissions Factors'!H181)</f>
        <v>tCO2e/t</v>
      </c>
      <c r="O179">
        <f>IF('[1]Emissions Factors'!I180="","",'[1]Emissions Factors'!I180)</f>
        <v>3.448</v>
      </c>
      <c r="P179" t="str">
        <f>IF('Emissions Factors'!J181="",'Emissions Factors'!F181,'Emissions Factors'!J181)</f>
        <v>Carbon factor taken directly from the ICE V4: Concrete &gt; Precast concrete pipe, DN600 unreinforced per kg. Conversion factor based on precast unit mass estimation from supplier.</v>
      </c>
      <c r="R179">
        <v>1</v>
      </c>
      <c r="U179">
        <f t="shared" si="22"/>
        <v>34</v>
      </c>
      <c r="V179">
        <f t="shared" si="23"/>
        <v>15</v>
      </c>
    </row>
    <row r="180" spans="1:22" x14ac:dyDescent="0.3">
      <c r="A180">
        <f>'Emissions Factors'!A182</f>
        <v>0</v>
      </c>
      <c r="B180">
        <f>'Emissions Factors'!B182</f>
        <v>0</v>
      </c>
      <c r="C180">
        <f>'Emissions Factors'!C182</f>
        <v>0</v>
      </c>
      <c r="D180" t="str">
        <f>'Emissions Factors'!D182</f>
        <v>2400mm diameter</v>
      </c>
      <c r="G180" t="str">
        <f t="shared" si="18"/>
        <v>Drainage</v>
      </c>
      <c r="H180" t="str">
        <f t="shared" si="19"/>
        <v>Precast concrete circular pipework</v>
      </c>
      <c r="I180" t="str">
        <f t="shared" si="20"/>
        <v>2400mm diameter</v>
      </c>
      <c r="J180" t="str">
        <f t="shared" si="21"/>
        <v>Precast concrete circular pipework2400mm diameter</v>
      </c>
      <c r="K180" t="str">
        <f>IF('Emissions Factors'!E182="","",'Emissions Factors'!E182)</f>
        <v>metres</v>
      </c>
      <c r="L180" t="str">
        <f>IF('Emissions Factors'!F182="","",'Emissions Factors'!F182)</f>
        <v>Concrete</v>
      </c>
      <c r="M180">
        <f>IF('Emissions Factors'!G182="","",'Emissions Factors'!G182)</f>
        <v>0.13843227036315769</v>
      </c>
      <c r="N180" t="str">
        <f>IF('Emissions Factors'!H182="","",'Emissions Factors'!H182)</f>
        <v>tCO2e/t</v>
      </c>
      <c r="O180">
        <f>IF('[1]Emissions Factors'!I181="","",'[1]Emissions Factors'!I181)</f>
        <v>3.8730000000000002</v>
      </c>
      <c r="P180" t="str">
        <f>IF('Emissions Factors'!J182="",'Emissions Factors'!F182,'Emissions Factors'!J182)</f>
        <v>Carbon factor taken directly from the ICE V4: Concrete &gt; Precast concrete pipe, DN600 unreinforced per kg. Conversion factor based on precast unit mass estimation from supplier.</v>
      </c>
      <c r="R180">
        <v>1</v>
      </c>
      <c r="U180">
        <f t="shared" si="22"/>
        <v>34</v>
      </c>
      <c r="V180">
        <f t="shared" si="23"/>
        <v>15</v>
      </c>
    </row>
    <row r="181" spans="1:22" x14ac:dyDescent="0.3">
      <c r="A181">
        <f>'Emissions Factors'!A183</f>
        <v>0</v>
      </c>
      <c r="B181">
        <f>'Emissions Factors'!B183</f>
        <v>0</v>
      </c>
      <c r="C181" t="str">
        <f>'Emissions Factors'!C183</f>
        <v>Precast concrete box culvert</v>
      </c>
      <c r="D181" t="str">
        <f>'Emissions Factors'!D183</f>
        <v>Precast concrete</v>
      </c>
      <c r="G181" t="str">
        <f t="shared" si="18"/>
        <v>Drainage</v>
      </c>
      <c r="H181" t="str">
        <f t="shared" si="19"/>
        <v>Precast concrete box culvert</v>
      </c>
      <c r="I181" t="str">
        <f t="shared" si="20"/>
        <v>Precast concrete</v>
      </c>
      <c r="J181" t="str">
        <f t="shared" si="21"/>
        <v>Precast concrete box culvertPrecast concrete</v>
      </c>
      <c r="K181" t="str">
        <f>IF('Emissions Factors'!E183="","",'Emissions Factors'!E183)</f>
        <v>metres</v>
      </c>
      <c r="L181" t="str">
        <f>IF('Emissions Factors'!F183="","",'Emissions Factors'!F183)</f>
        <v>Please include this within the civil structures category under pre-cast concrete.</v>
      </c>
      <c r="M181" t="str">
        <f>IF('Emissions Factors'!G183="","",'Emissions Factors'!G183)</f>
        <v/>
      </c>
      <c r="N181" t="str">
        <f>IF('Emissions Factors'!H183="","",'Emissions Factors'!H183)</f>
        <v/>
      </c>
      <c r="O181" t="str">
        <f>IF('[1]Emissions Factors'!I182="","",'[1]Emissions Factors'!I182)</f>
        <v/>
      </c>
      <c r="P181" t="str">
        <f>IF('Emissions Factors'!J183="",'Emissions Factors'!F183,'Emissions Factors'!J183)</f>
        <v>Please include this within the civil structures category under pre-cast concrete.</v>
      </c>
      <c r="R181">
        <v>1</v>
      </c>
      <c r="U181">
        <f t="shared" si="22"/>
        <v>28</v>
      </c>
      <c r="V181">
        <f t="shared" si="23"/>
        <v>16</v>
      </c>
    </row>
    <row r="182" spans="1:22" x14ac:dyDescent="0.3">
      <c r="A182">
        <f>'Emissions Factors'!A184</f>
        <v>0</v>
      </c>
      <c r="B182">
        <f>'Emissions Factors'!B184</f>
        <v>0</v>
      </c>
      <c r="C182" t="str">
        <f>'Emissions Factors'!C184</f>
        <v>Steel pipework</v>
      </c>
      <c r="D182" t="str">
        <f>'Emissions Factors'!D184</f>
        <v>300mm diameter</v>
      </c>
      <c r="G182" t="str">
        <f t="shared" si="18"/>
        <v>Drainage</v>
      </c>
      <c r="H182" t="str">
        <f t="shared" si="19"/>
        <v>Steel pipework</v>
      </c>
      <c r="I182" t="str">
        <f t="shared" si="20"/>
        <v>300mm diameter</v>
      </c>
      <c r="J182" t="str">
        <f t="shared" si="21"/>
        <v>Steel pipework300mm diameter</v>
      </c>
      <c r="K182" t="str">
        <f>IF('Emissions Factors'!E184="","",'Emissions Factors'!E184)</f>
        <v>metres</v>
      </c>
      <c r="L182" t="str">
        <f>IF('Emissions Factors'!F184="","",'Emissions Factors'!F184)</f>
        <v>Steel</v>
      </c>
      <c r="M182">
        <f>IF('Emissions Factors'!G184="","",'Emissions Factors'!G184)</f>
        <v>2.5099999999999998</v>
      </c>
      <c r="N182" t="str">
        <f>IF('Emissions Factors'!H184="","",'Emissions Factors'!H184)</f>
        <v>tCO2e/t</v>
      </c>
      <c r="O182">
        <f>IF('[1]Emissions Factors'!I183="","",'[1]Emissions Factors'!I183)</f>
        <v>1.4E-2</v>
      </c>
      <c r="P182" t="str">
        <f>IF('Emissions Factors'!J184="",'Emissions Factors'!F184,'Emissions Factors'!J184)</f>
        <v>Carbon factor taken directly from the ICE V4: Steel &gt; welded pipe. Conversion factor based on indicative unit mass from supplier.</v>
      </c>
      <c r="R182">
        <v>1</v>
      </c>
      <c r="U182">
        <f t="shared" si="22"/>
        <v>14</v>
      </c>
      <c r="V182">
        <f t="shared" si="23"/>
        <v>14</v>
      </c>
    </row>
    <row r="183" spans="1:22" x14ac:dyDescent="0.3">
      <c r="A183">
        <f>'Emissions Factors'!A185</f>
        <v>0</v>
      </c>
      <c r="B183">
        <f>'Emissions Factors'!B185</f>
        <v>0</v>
      </c>
      <c r="C183">
        <f>'Emissions Factors'!C185</f>
        <v>0</v>
      </c>
      <c r="D183" t="str">
        <f>'Emissions Factors'!D185</f>
        <v>450mm diameter</v>
      </c>
      <c r="G183" t="str">
        <f t="shared" si="18"/>
        <v>Drainage</v>
      </c>
      <c r="H183" t="str">
        <f t="shared" si="19"/>
        <v>Steel pipework</v>
      </c>
      <c r="I183" t="str">
        <f t="shared" si="20"/>
        <v>450mm diameter</v>
      </c>
      <c r="J183" t="str">
        <f t="shared" si="21"/>
        <v>Steel pipework450mm diameter</v>
      </c>
      <c r="K183" t="str">
        <f>IF('Emissions Factors'!E185="","",'Emissions Factors'!E185)</f>
        <v>metres</v>
      </c>
      <c r="L183" t="str">
        <f>IF('Emissions Factors'!F185="","",'Emissions Factors'!F185)</f>
        <v>Steel</v>
      </c>
      <c r="M183">
        <f>IF('Emissions Factors'!G185="","",'Emissions Factors'!G185)</f>
        <v>2.5099999999999998</v>
      </c>
      <c r="N183" t="str">
        <f>IF('Emissions Factors'!H185="","",'Emissions Factors'!H185)</f>
        <v>tCO2e/t</v>
      </c>
      <c r="O183">
        <f>IF('[1]Emissions Factors'!I184="","",'[1]Emissions Factors'!I184)</f>
        <v>2.1000000000000001E-2</v>
      </c>
      <c r="P183" t="str">
        <f>IF('Emissions Factors'!J185="",'Emissions Factors'!F185,'Emissions Factors'!J185)</f>
        <v>Carbon factor taken directly from the ICE V4: Steel &gt; welded pipe. Conversion factor based on indicative unit mass from supplier.</v>
      </c>
      <c r="R183">
        <v>1</v>
      </c>
      <c r="U183">
        <f t="shared" si="22"/>
        <v>14</v>
      </c>
      <c r="V183">
        <f t="shared" si="23"/>
        <v>14</v>
      </c>
    </row>
    <row r="184" spans="1:22" x14ac:dyDescent="0.3">
      <c r="A184">
        <f>'Emissions Factors'!A186</f>
        <v>0</v>
      </c>
      <c r="B184">
        <f>'Emissions Factors'!B186</f>
        <v>0</v>
      </c>
      <c r="C184">
        <f>'Emissions Factors'!C186</f>
        <v>0</v>
      </c>
      <c r="D184" t="str">
        <f>'Emissions Factors'!D186</f>
        <v>600mm diameter</v>
      </c>
      <c r="G184" t="str">
        <f t="shared" si="18"/>
        <v>Drainage</v>
      </c>
      <c r="H184" t="str">
        <f t="shared" si="19"/>
        <v>Steel pipework</v>
      </c>
      <c r="I184" t="str">
        <f t="shared" si="20"/>
        <v>600mm diameter</v>
      </c>
      <c r="J184" t="str">
        <f t="shared" si="21"/>
        <v>Steel pipework600mm diameter</v>
      </c>
      <c r="K184" t="str">
        <f>IF('Emissions Factors'!E186="","",'Emissions Factors'!E186)</f>
        <v>metres</v>
      </c>
      <c r="L184" t="str">
        <f>IF('Emissions Factors'!F186="","",'Emissions Factors'!F186)</f>
        <v>Steel</v>
      </c>
      <c r="M184">
        <f>IF('Emissions Factors'!G186="","",'Emissions Factors'!G186)</f>
        <v>2.5099999999999998</v>
      </c>
      <c r="N184" t="str">
        <f>IF('Emissions Factors'!H186="","",'Emissions Factors'!H186)</f>
        <v>tCO2e/t</v>
      </c>
      <c r="O184">
        <f>IF('[1]Emissions Factors'!I185="","",'[1]Emissions Factors'!I185)</f>
        <v>3.2000000000000001E-2</v>
      </c>
      <c r="P184" t="str">
        <f>IF('Emissions Factors'!J186="",'Emissions Factors'!F186,'Emissions Factors'!J186)</f>
        <v>Carbon factor taken directly from the ICE V4: Steel &gt; welded pipe. Conversion factor based on indicative unit mass from supplier.</v>
      </c>
      <c r="R184">
        <v>1</v>
      </c>
      <c r="U184">
        <f t="shared" si="22"/>
        <v>14</v>
      </c>
      <c r="V184">
        <f t="shared" si="23"/>
        <v>14</v>
      </c>
    </row>
    <row r="185" spans="1:22" x14ac:dyDescent="0.3">
      <c r="A185">
        <f>'Emissions Factors'!A187</f>
        <v>0</v>
      </c>
      <c r="B185">
        <f>'Emissions Factors'!B187</f>
        <v>0</v>
      </c>
      <c r="C185">
        <f>'Emissions Factors'!C187</f>
        <v>0</v>
      </c>
      <c r="D185" t="str">
        <f>'Emissions Factors'!D187</f>
        <v>900mm diameter</v>
      </c>
      <c r="G185" t="str">
        <f t="shared" si="18"/>
        <v>Drainage</v>
      </c>
      <c r="H185" t="str">
        <f t="shared" si="19"/>
        <v>Steel pipework</v>
      </c>
      <c r="I185" t="str">
        <f t="shared" si="20"/>
        <v>900mm diameter</v>
      </c>
      <c r="J185" t="str">
        <f t="shared" si="21"/>
        <v>Steel pipework900mm diameter</v>
      </c>
      <c r="K185" t="str">
        <f>IF('Emissions Factors'!E187="","",'Emissions Factors'!E187)</f>
        <v>metres</v>
      </c>
      <c r="L185" t="str">
        <f>IF('Emissions Factors'!F187="","",'Emissions Factors'!F187)</f>
        <v>Steel</v>
      </c>
      <c r="M185">
        <f>IF('Emissions Factors'!G187="","",'Emissions Factors'!G187)</f>
        <v>2.5099999999999998</v>
      </c>
      <c r="N185" t="str">
        <f>IF('Emissions Factors'!H187="","",'Emissions Factors'!H187)</f>
        <v>tCO2e/t</v>
      </c>
      <c r="O185">
        <f>IF('[1]Emissions Factors'!I186="","",'[1]Emissions Factors'!I186)</f>
        <v>6.6000000000000003E-2</v>
      </c>
      <c r="P185" t="str">
        <f>IF('Emissions Factors'!J187="",'Emissions Factors'!F187,'Emissions Factors'!J187)</f>
        <v>Carbon factor taken directly from the ICE V4: Steel &gt; welded pipe. Conversion factor based on indicative unit mass from supplier.</v>
      </c>
      <c r="R185">
        <v>1</v>
      </c>
      <c r="U185">
        <f t="shared" si="22"/>
        <v>14</v>
      </c>
      <c r="V185">
        <f t="shared" si="23"/>
        <v>14</v>
      </c>
    </row>
    <row r="186" spans="1:22" x14ac:dyDescent="0.3">
      <c r="A186">
        <f>'Emissions Factors'!A188</f>
        <v>0</v>
      </c>
      <c r="B186">
        <f>'Emissions Factors'!B188</f>
        <v>0</v>
      </c>
      <c r="C186">
        <f>'Emissions Factors'!C188</f>
        <v>0</v>
      </c>
      <c r="D186" t="str">
        <f>'Emissions Factors'!D188</f>
        <v>1200mm diameter</v>
      </c>
      <c r="G186" t="str">
        <f t="shared" si="18"/>
        <v>Drainage</v>
      </c>
      <c r="H186" t="str">
        <f t="shared" si="19"/>
        <v>Steel pipework</v>
      </c>
      <c r="I186" t="str">
        <f t="shared" si="20"/>
        <v>1200mm diameter</v>
      </c>
      <c r="J186" t="str">
        <f t="shared" si="21"/>
        <v>Steel pipework1200mm diameter</v>
      </c>
      <c r="K186" t="str">
        <f>IF('Emissions Factors'!E188="","",'Emissions Factors'!E188)</f>
        <v>metres</v>
      </c>
      <c r="L186" t="str">
        <f>IF('Emissions Factors'!F188="","",'Emissions Factors'!F188)</f>
        <v>Steel</v>
      </c>
      <c r="M186">
        <f>IF('Emissions Factors'!G188="","",'Emissions Factors'!G188)</f>
        <v>2.5099999999999998</v>
      </c>
      <c r="N186" t="str">
        <f>IF('Emissions Factors'!H188="","",'Emissions Factors'!H188)</f>
        <v>tCO2e/t</v>
      </c>
      <c r="O186">
        <f>IF('[1]Emissions Factors'!I187="","",'[1]Emissions Factors'!I187)</f>
        <v>8.8999999999999996E-2</v>
      </c>
      <c r="P186" t="str">
        <f>IF('Emissions Factors'!J188="",'Emissions Factors'!F188,'Emissions Factors'!J188)</f>
        <v>Carbon factor taken directly from the ICE V4: Steel &gt; welded pipe. Conversion factor based on indicative unit mass from supplier.</v>
      </c>
      <c r="R186">
        <v>1</v>
      </c>
      <c r="U186">
        <f t="shared" si="22"/>
        <v>14</v>
      </c>
      <c r="V186">
        <f t="shared" si="23"/>
        <v>15</v>
      </c>
    </row>
    <row r="187" spans="1:22" x14ac:dyDescent="0.3">
      <c r="A187">
        <f>'Emissions Factors'!A189</f>
        <v>0</v>
      </c>
      <c r="B187">
        <f>'Emissions Factors'!B189</f>
        <v>0</v>
      </c>
      <c r="C187">
        <f>'Emissions Factors'!C189</f>
        <v>0</v>
      </c>
      <c r="D187" t="str">
        <f>'Emissions Factors'!D189</f>
        <v>1500mm diameter</v>
      </c>
      <c r="G187" t="str">
        <f t="shared" si="18"/>
        <v>Drainage</v>
      </c>
      <c r="H187" t="str">
        <f t="shared" si="19"/>
        <v>Steel pipework</v>
      </c>
      <c r="I187" t="str">
        <f t="shared" si="20"/>
        <v>1500mm diameter</v>
      </c>
      <c r="J187" t="str">
        <f t="shared" si="21"/>
        <v>Steel pipework1500mm diameter</v>
      </c>
      <c r="K187" t="str">
        <f>IF('Emissions Factors'!E189="","",'Emissions Factors'!E189)</f>
        <v>metres</v>
      </c>
      <c r="L187" t="str">
        <f>IF('Emissions Factors'!F189="","",'Emissions Factors'!F189)</f>
        <v>Steel</v>
      </c>
      <c r="M187">
        <f>IF('Emissions Factors'!G189="","",'Emissions Factors'!G189)</f>
        <v>2.5099999999999998</v>
      </c>
      <c r="N187" t="str">
        <f>IF('Emissions Factors'!H189="","",'Emissions Factors'!H189)</f>
        <v>tCO2e/t</v>
      </c>
      <c r="O187">
        <f>IF('[1]Emissions Factors'!I188="","",'[1]Emissions Factors'!I188)</f>
        <v>0.113</v>
      </c>
      <c r="P187" t="str">
        <f>IF('Emissions Factors'!J189="",'Emissions Factors'!F189,'Emissions Factors'!J189)</f>
        <v>Carbon factor taken directly from the ICE V4: Steel &gt; welded pipe. Conversion factor based on indicative unit mass from supplier.</v>
      </c>
      <c r="R187">
        <v>1</v>
      </c>
      <c r="U187">
        <f t="shared" si="22"/>
        <v>14</v>
      </c>
      <c r="V187">
        <f t="shared" si="23"/>
        <v>15</v>
      </c>
    </row>
    <row r="188" spans="1:22" x14ac:dyDescent="0.3">
      <c r="A188">
        <f>'Emissions Factors'!A190</f>
        <v>0</v>
      </c>
      <c r="B188">
        <f>'Emissions Factors'!B190</f>
        <v>0</v>
      </c>
      <c r="C188">
        <f>'Emissions Factors'!C190</f>
        <v>0</v>
      </c>
      <c r="D188" t="str">
        <f>'Emissions Factors'!D190</f>
        <v>1800mm diameter</v>
      </c>
      <c r="G188" t="str">
        <f t="shared" si="18"/>
        <v>Drainage</v>
      </c>
      <c r="H188" t="str">
        <f t="shared" si="19"/>
        <v>Steel pipework</v>
      </c>
      <c r="I188" t="str">
        <f t="shared" si="20"/>
        <v>1800mm diameter</v>
      </c>
      <c r="J188" t="str">
        <f t="shared" si="21"/>
        <v>Steel pipework1800mm diameter</v>
      </c>
      <c r="K188" t="str">
        <f>IF('Emissions Factors'!E190="","",'Emissions Factors'!E190)</f>
        <v>metres</v>
      </c>
      <c r="L188" t="str">
        <f>IF('Emissions Factors'!F190="","",'Emissions Factors'!F190)</f>
        <v>Steel</v>
      </c>
      <c r="M188">
        <f>IF('Emissions Factors'!G190="","",'Emissions Factors'!G190)</f>
        <v>2.5099999999999998</v>
      </c>
      <c r="N188" t="str">
        <f>IF('Emissions Factors'!H190="","",'Emissions Factors'!H190)</f>
        <v>tCO2e/t</v>
      </c>
      <c r="O188">
        <f>IF('[1]Emissions Factors'!I189="","",'[1]Emissions Factors'!I189)</f>
        <v>0.13500000000000001</v>
      </c>
      <c r="P188" t="str">
        <f>IF('Emissions Factors'!J190="",'Emissions Factors'!F190,'Emissions Factors'!J190)</f>
        <v>Carbon factor taken directly from the ICE V4: Steel &gt; welded pipe. Conversion factor based on indicative unit mass from supplier.</v>
      </c>
      <c r="R188">
        <v>1</v>
      </c>
      <c r="U188">
        <f t="shared" si="22"/>
        <v>14</v>
      </c>
      <c r="V188">
        <f t="shared" si="23"/>
        <v>15</v>
      </c>
    </row>
    <row r="189" spans="1:22" x14ac:dyDescent="0.3">
      <c r="A189">
        <f>'Emissions Factors'!A191</f>
        <v>0</v>
      </c>
      <c r="B189">
        <f>'Emissions Factors'!B191</f>
        <v>0</v>
      </c>
      <c r="C189">
        <f>'Emissions Factors'!C191</f>
        <v>0</v>
      </c>
      <c r="D189" t="str">
        <f>'Emissions Factors'!D191</f>
        <v>2400mm diameter</v>
      </c>
      <c r="G189" t="str">
        <f t="shared" si="18"/>
        <v>Drainage</v>
      </c>
      <c r="H189" t="str">
        <f t="shared" si="19"/>
        <v>Steel pipework</v>
      </c>
      <c r="I189" t="str">
        <f t="shared" si="20"/>
        <v>2400mm diameter</v>
      </c>
      <c r="J189" t="str">
        <f t="shared" si="21"/>
        <v>Steel pipework2400mm diameter</v>
      </c>
      <c r="K189" t="str">
        <f>IF('Emissions Factors'!E191="","",'Emissions Factors'!E191)</f>
        <v>metres</v>
      </c>
      <c r="L189" t="str">
        <f>IF('Emissions Factors'!F191="","",'Emissions Factors'!F191)</f>
        <v>Steel</v>
      </c>
      <c r="M189">
        <f>IF('Emissions Factors'!G191="","",'Emissions Factors'!G191)</f>
        <v>2.5099999999999998</v>
      </c>
      <c r="N189" t="str">
        <f>IF('Emissions Factors'!H191="","",'Emissions Factors'!H191)</f>
        <v>tCO2e/t</v>
      </c>
      <c r="O189">
        <f>IF('[1]Emissions Factors'!I190="","",'[1]Emissions Factors'!I190)</f>
        <v>0.17899999999999999</v>
      </c>
      <c r="P189" t="str">
        <f>IF('Emissions Factors'!J191="",'Emissions Factors'!F191,'Emissions Factors'!J191)</f>
        <v>Carbon factor taken directly from the ICE V4: Steel &gt; welded pipe. Conversion factor based on indicative unit mass from supplier.</v>
      </c>
      <c r="R189">
        <v>1</v>
      </c>
      <c r="U189">
        <f t="shared" si="22"/>
        <v>14</v>
      </c>
      <c r="V189">
        <f t="shared" si="23"/>
        <v>15</v>
      </c>
    </row>
    <row r="190" spans="1:22" x14ac:dyDescent="0.3">
      <c r="A190">
        <f>'Emissions Factors'!A192</f>
        <v>0</v>
      </c>
      <c r="B190">
        <f>'Emissions Factors'!B192</f>
        <v>0</v>
      </c>
      <c r="C190">
        <f>'Emissions Factors'!C192</f>
        <v>0</v>
      </c>
      <c r="D190" t="str">
        <f>'Emissions Factors'!D192</f>
        <v>3000mm diameter</v>
      </c>
      <c r="G190" t="str">
        <f t="shared" si="18"/>
        <v>Drainage</v>
      </c>
      <c r="H190" t="str">
        <f t="shared" si="19"/>
        <v>Steel pipework</v>
      </c>
      <c r="I190" t="str">
        <f t="shared" si="20"/>
        <v>3000mm diameter</v>
      </c>
      <c r="J190" t="str">
        <f t="shared" si="21"/>
        <v>Steel pipework3000mm diameter</v>
      </c>
      <c r="K190" t="str">
        <f>IF('Emissions Factors'!E192="","",'Emissions Factors'!E192)</f>
        <v>metres</v>
      </c>
      <c r="L190" t="str">
        <f>IF('Emissions Factors'!F192="","",'Emissions Factors'!F192)</f>
        <v>Steel</v>
      </c>
      <c r="M190">
        <f>IF('Emissions Factors'!G192="","",'Emissions Factors'!G192)</f>
        <v>2.5099999999999998</v>
      </c>
      <c r="N190" t="str">
        <f>IF('Emissions Factors'!H192="","",'Emissions Factors'!H192)</f>
        <v>tCO2e/t</v>
      </c>
      <c r="O190">
        <f>IF('[1]Emissions Factors'!I191="","",'[1]Emissions Factors'!I191)</f>
        <v>0.28799999999999998</v>
      </c>
      <c r="P190" t="str">
        <f>IF('Emissions Factors'!J192="",'Emissions Factors'!F192,'Emissions Factors'!J192)</f>
        <v>Carbon factor taken directly from the ICE V4: Steel &gt; welded pipe. Conversion factor based on indicative unit mass from supplier.</v>
      </c>
      <c r="R190">
        <v>1</v>
      </c>
      <c r="U190">
        <f t="shared" si="22"/>
        <v>14</v>
      </c>
      <c r="V190">
        <f t="shared" si="23"/>
        <v>15</v>
      </c>
    </row>
    <row r="191" spans="1:22" x14ac:dyDescent="0.3">
      <c r="A191">
        <f>'Emissions Factors'!A193</f>
        <v>0</v>
      </c>
      <c r="B191">
        <f>'Emissions Factors'!B193</f>
        <v>0</v>
      </c>
      <c r="C191">
        <f>'Emissions Factors'!C193</f>
        <v>0</v>
      </c>
      <c r="D191" t="str">
        <f>'Emissions Factors'!D193</f>
        <v>3600mm diameter</v>
      </c>
      <c r="G191" t="str">
        <f t="shared" si="18"/>
        <v>Drainage</v>
      </c>
      <c r="H191" t="str">
        <f t="shared" si="19"/>
        <v>Steel pipework</v>
      </c>
      <c r="I191" t="str">
        <f t="shared" si="20"/>
        <v>3600mm diameter</v>
      </c>
      <c r="J191" t="str">
        <f t="shared" si="21"/>
        <v>Steel pipework3600mm diameter</v>
      </c>
      <c r="K191" t="str">
        <f>IF('Emissions Factors'!E193="","",'Emissions Factors'!E193)</f>
        <v>metres</v>
      </c>
      <c r="L191" t="str">
        <f>IF('Emissions Factors'!F193="","",'Emissions Factors'!F193)</f>
        <v>Steel</v>
      </c>
      <c r="M191">
        <f>IF('Emissions Factors'!G193="","",'Emissions Factors'!G193)</f>
        <v>2.5099999999999998</v>
      </c>
      <c r="N191" t="str">
        <f>IF('Emissions Factors'!H193="","",'Emissions Factors'!H193)</f>
        <v>tCO2e/t</v>
      </c>
      <c r="O191">
        <f>IF('[1]Emissions Factors'!I192="","",'[1]Emissions Factors'!I192)</f>
        <v>0.371</v>
      </c>
      <c r="P191" t="str">
        <f>IF('Emissions Factors'!J193="",'Emissions Factors'!F193,'Emissions Factors'!J193)</f>
        <v>Carbon factor taken directly from the ICE V4: Steel &gt; welded pipe. Conversion factor based on indicative unit mass from supplier.</v>
      </c>
      <c r="R191">
        <v>1</v>
      </c>
      <c r="U191">
        <f t="shared" si="22"/>
        <v>14</v>
      </c>
      <c r="V191">
        <f t="shared" si="23"/>
        <v>15</v>
      </c>
    </row>
    <row r="192" spans="1:22" x14ac:dyDescent="0.3">
      <c r="A192">
        <f>'Emissions Factors'!A194</f>
        <v>0</v>
      </c>
      <c r="B192">
        <f>'Emissions Factors'!B194</f>
        <v>0</v>
      </c>
      <c r="C192" t="str">
        <f>'Emissions Factors'!C194</f>
        <v>Glass reinforced plastic GRP (Fibreglass) pipework</v>
      </c>
      <c r="D192" t="str">
        <f>'Emissions Factors'!D194</f>
        <v>150mm diameter</v>
      </c>
      <c r="G192" t="str">
        <f t="shared" si="18"/>
        <v>Drainage</v>
      </c>
      <c r="H192" t="str">
        <f t="shared" si="19"/>
        <v>Glass reinforced plastic GRP (Fibreglass) pipework</v>
      </c>
      <c r="I192" t="str">
        <f t="shared" si="20"/>
        <v>150mm diameter</v>
      </c>
      <c r="J192" t="str">
        <f t="shared" si="21"/>
        <v>Glass reinforced plastic GRP (Fibreglass) pipework150mm diameter</v>
      </c>
      <c r="K192" t="str">
        <f>IF('Emissions Factors'!E194="","",'Emissions Factors'!E194)</f>
        <v>metres</v>
      </c>
      <c r="L192" t="str">
        <f>IF('Emissions Factors'!F194="","",'Emissions Factors'!F194)</f>
        <v>Plastic</v>
      </c>
      <c r="M192">
        <f>IF('Emissions Factors'!G194="","",'Emissions Factors'!G194)</f>
        <v>8.1</v>
      </c>
      <c r="N192" t="str">
        <f>IF('Emissions Factors'!H194="","",'Emissions Factors'!H194)</f>
        <v>tCO2/t</v>
      </c>
      <c r="O192">
        <f>IF('[1]Emissions Factors'!I193="","",'[1]Emissions Factors'!I193)</f>
        <v>4.0000000000000001E-3</v>
      </c>
      <c r="P192" t="str">
        <f>IF('Emissions Factors'!J194="",'Emissions Factors'!F194,'Emissions Factors'!J194)</f>
        <v>Carbon factor taken directly from the ICE V2: Miscellaneous &gt; GRP. Conversion factor calculated from typical GRP pipe unit mass from supplier.</v>
      </c>
      <c r="R192">
        <v>1</v>
      </c>
      <c r="U192">
        <f t="shared" si="22"/>
        <v>50</v>
      </c>
      <c r="V192">
        <f t="shared" si="23"/>
        <v>14</v>
      </c>
    </row>
    <row r="193" spans="1:22" x14ac:dyDescent="0.3">
      <c r="A193">
        <f>'Emissions Factors'!A195</f>
        <v>0</v>
      </c>
      <c r="B193">
        <f>'Emissions Factors'!B195</f>
        <v>0</v>
      </c>
      <c r="C193">
        <f>'Emissions Factors'!C195</f>
        <v>0</v>
      </c>
      <c r="D193" t="str">
        <f>'Emissions Factors'!D195</f>
        <v>225mm diameter</v>
      </c>
      <c r="G193" t="str">
        <f t="shared" si="18"/>
        <v>Drainage</v>
      </c>
      <c r="H193" t="str">
        <f t="shared" si="19"/>
        <v>Glass reinforced plastic GRP (Fibreglass) pipework</v>
      </c>
      <c r="I193" t="str">
        <f t="shared" si="20"/>
        <v>225mm diameter</v>
      </c>
      <c r="J193" t="str">
        <f t="shared" si="21"/>
        <v>Glass reinforced plastic GRP (Fibreglass) pipework225mm diameter</v>
      </c>
      <c r="K193" t="str">
        <f>IF('Emissions Factors'!E195="","",'Emissions Factors'!E195)</f>
        <v>metres</v>
      </c>
      <c r="L193" t="str">
        <f>IF('Emissions Factors'!F195="","",'Emissions Factors'!F195)</f>
        <v>Plastic</v>
      </c>
      <c r="M193">
        <f>IF('Emissions Factors'!G195="","",'Emissions Factors'!G195)</f>
        <v>8.1</v>
      </c>
      <c r="N193" t="str">
        <f>IF('Emissions Factors'!H195="","",'Emissions Factors'!H195)</f>
        <v>tCO2/t</v>
      </c>
      <c r="O193">
        <f>IF('[1]Emissions Factors'!I194="","",'[1]Emissions Factors'!I194)</f>
        <v>6.0000000000000001E-3</v>
      </c>
      <c r="P193" t="str">
        <f>IF('Emissions Factors'!J195="",'Emissions Factors'!F195,'Emissions Factors'!J195)</f>
        <v>Carbon factor taken directly from the ICE V2: Miscellaneous &gt; GRP. Conversion factor calculated from typical GRP pipe unit mass from supplier.</v>
      </c>
      <c r="R193">
        <v>1</v>
      </c>
      <c r="U193">
        <f t="shared" si="22"/>
        <v>50</v>
      </c>
      <c r="V193">
        <f t="shared" si="23"/>
        <v>14</v>
      </c>
    </row>
    <row r="194" spans="1:22" x14ac:dyDescent="0.3">
      <c r="A194">
        <f>'Emissions Factors'!A196</f>
        <v>0</v>
      </c>
      <c r="B194">
        <f>'Emissions Factors'!B196</f>
        <v>0</v>
      </c>
      <c r="C194">
        <f>'Emissions Factors'!C196</f>
        <v>0</v>
      </c>
      <c r="D194" t="str">
        <f>'Emissions Factors'!D196</f>
        <v>300mm diameter</v>
      </c>
      <c r="G194" t="str">
        <f t="shared" si="18"/>
        <v>Drainage</v>
      </c>
      <c r="H194" t="str">
        <f t="shared" si="19"/>
        <v>Glass reinforced plastic GRP (Fibreglass) pipework</v>
      </c>
      <c r="I194" t="str">
        <f t="shared" si="20"/>
        <v>300mm diameter</v>
      </c>
      <c r="J194" t="str">
        <f t="shared" si="21"/>
        <v>Glass reinforced plastic GRP (Fibreglass) pipework300mm diameter</v>
      </c>
      <c r="K194" t="str">
        <f>IF('Emissions Factors'!E196="","",'Emissions Factors'!E196)</f>
        <v>metres</v>
      </c>
      <c r="L194" t="str">
        <f>IF('Emissions Factors'!F196="","",'Emissions Factors'!F196)</f>
        <v>Plastic</v>
      </c>
      <c r="M194">
        <f>IF('Emissions Factors'!G196="","",'Emissions Factors'!G196)</f>
        <v>8.1</v>
      </c>
      <c r="N194" t="str">
        <f>IF('Emissions Factors'!H196="","",'Emissions Factors'!H196)</f>
        <v>tCO2/t</v>
      </c>
      <c r="O194">
        <f>IF('[1]Emissions Factors'!I195="","",'[1]Emissions Factors'!I195)</f>
        <v>8.0000000000000002E-3</v>
      </c>
      <c r="P194" t="str">
        <f>IF('Emissions Factors'!J196="",'Emissions Factors'!F196,'Emissions Factors'!J196)</f>
        <v>Carbon factor taken directly from the ICE V2: Miscellaneous &gt; GRP. Conversion factor calculated from typical GRP pipe unit mass from supplier.</v>
      </c>
      <c r="R194">
        <v>1</v>
      </c>
      <c r="U194">
        <f t="shared" si="22"/>
        <v>50</v>
      </c>
      <c r="V194">
        <f t="shared" si="23"/>
        <v>14</v>
      </c>
    </row>
    <row r="195" spans="1:22" x14ac:dyDescent="0.3">
      <c r="A195">
        <f>'Emissions Factors'!A197</f>
        <v>0</v>
      </c>
      <c r="B195">
        <f>'Emissions Factors'!B197</f>
        <v>0</v>
      </c>
      <c r="C195">
        <f>'Emissions Factors'!C197</f>
        <v>0</v>
      </c>
      <c r="D195" t="str">
        <f>'Emissions Factors'!D197</f>
        <v>450mm diameter</v>
      </c>
      <c r="G195" t="str">
        <f t="shared" si="18"/>
        <v>Drainage</v>
      </c>
      <c r="H195" t="str">
        <f t="shared" si="19"/>
        <v>Glass reinforced plastic GRP (Fibreglass) pipework</v>
      </c>
      <c r="I195" t="str">
        <f t="shared" si="20"/>
        <v>450mm diameter</v>
      </c>
      <c r="J195" t="str">
        <f t="shared" si="21"/>
        <v>Glass reinforced plastic GRP (Fibreglass) pipework450mm diameter</v>
      </c>
      <c r="K195" t="str">
        <f>IF('Emissions Factors'!E197="","",'Emissions Factors'!E197)</f>
        <v>metres</v>
      </c>
      <c r="L195" t="str">
        <f>IF('Emissions Factors'!F197="","",'Emissions Factors'!F197)</f>
        <v>Plastic</v>
      </c>
      <c r="M195">
        <f>IF('Emissions Factors'!G197="","",'Emissions Factors'!G197)</f>
        <v>8.1</v>
      </c>
      <c r="N195" t="str">
        <f>IF('Emissions Factors'!H197="","",'Emissions Factors'!H197)</f>
        <v>tCO2/t</v>
      </c>
      <c r="O195">
        <f>IF('[1]Emissions Factors'!I196="","",'[1]Emissions Factors'!I196)</f>
        <v>1.4E-2</v>
      </c>
      <c r="P195" t="str">
        <f>IF('Emissions Factors'!J197="",'Emissions Factors'!F197,'Emissions Factors'!J197)</f>
        <v>Carbon factor taken directly from the ICE V2: Miscellaneous &gt; GRP. Conversion factor calculated from typical GRP pipe unit mass from supplier.</v>
      </c>
      <c r="R195">
        <v>1</v>
      </c>
      <c r="U195">
        <f t="shared" si="22"/>
        <v>50</v>
      </c>
      <c r="V195">
        <f t="shared" si="23"/>
        <v>14</v>
      </c>
    </row>
    <row r="196" spans="1:22" x14ac:dyDescent="0.3">
      <c r="A196">
        <f>'Emissions Factors'!A198</f>
        <v>0</v>
      </c>
      <c r="B196">
        <f>'Emissions Factors'!B198</f>
        <v>0</v>
      </c>
      <c r="C196">
        <f>'Emissions Factors'!C198</f>
        <v>0</v>
      </c>
      <c r="D196" t="str">
        <f>'Emissions Factors'!D198</f>
        <v>600mm diameter</v>
      </c>
      <c r="G196" t="str">
        <f t="shared" si="18"/>
        <v>Drainage</v>
      </c>
      <c r="H196" t="str">
        <f t="shared" si="19"/>
        <v>Glass reinforced plastic GRP (Fibreglass) pipework</v>
      </c>
      <c r="I196" t="str">
        <f t="shared" si="20"/>
        <v>600mm diameter</v>
      </c>
      <c r="J196" t="str">
        <f t="shared" si="21"/>
        <v>Glass reinforced plastic GRP (Fibreglass) pipework600mm diameter</v>
      </c>
      <c r="K196" t="str">
        <f>IF('Emissions Factors'!E198="","",'Emissions Factors'!E198)</f>
        <v>metres</v>
      </c>
      <c r="L196" t="str">
        <f>IF('Emissions Factors'!F198="","",'Emissions Factors'!F198)</f>
        <v>Plastic</v>
      </c>
      <c r="M196">
        <f>IF('Emissions Factors'!G198="","",'Emissions Factors'!G198)</f>
        <v>8.1</v>
      </c>
      <c r="N196" t="str">
        <f>IF('Emissions Factors'!H198="","",'Emissions Factors'!H198)</f>
        <v>tCO2/t</v>
      </c>
      <c r="O196">
        <f>IF('[1]Emissions Factors'!I197="","",'[1]Emissions Factors'!I197)</f>
        <v>2.3E-2</v>
      </c>
      <c r="P196" t="str">
        <f>IF('Emissions Factors'!J198="",'Emissions Factors'!F198,'Emissions Factors'!J198)</f>
        <v>Carbon factor taken directly from the ICE V2: Miscellaneous &gt; GRP. Conversion factor calculated from typical GRP pipe unit mass from supplier.</v>
      </c>
      <c r="R196">
        <v>1</v>
      </c>
      <c r="U196">
        <f t="shared" si="22"/>
        <v>50</v>
      </c>
      <c r="V196">
        <f t="shared" si="23"/>
        <v>14</v>
      </c>
    </row>
    <row r="197" spans="1:22" x14ac:dyDescent="0.3">
      <c r="A197">
        <f>'Emissions Factors'!A199</f>
        <v>0</v>
      </c>
      <c r="B197">
        <f>'Emissions Factors'!B199</f>
        <v>0</v>
      </c>
      <c r="C197">
        <f>'Emissions Factors'!C199</f>
        <v>0</v>
      </c>
      <c r="D197" t="str">
        <f>'Emissions Factors'!D199</f>
        <v>900mm diameter</v>
      </c>
      <c r="G197" t="str">
        <f t="shared" ref="G197:G260" si="24">IF(B197=0,G196,B197)</f>
        <v>Drainage</v>
      </c>
      <c r="H197" t="str">
        <f t="shared" ref="H197:H260" si="25">IF(C197=0,H196,C197)</f>
        <v>Glass reinforced plastic GRP (Fibreglass) pipework</v>
      </c>
      <c r="I197" t="str">
        <f t="shared" ref="I197:I260" si="26">IF(D197=0,I196,D197)</f>
        <v>900mm diameter</v>
      </c>
      <c r="J197" t="str">
        <f t="shared" ref="J197:J260" si="27">H197&amp;I197</f>
        <v>Glass reinforced plastic GRP (Fibreglass) pipework900mm diameter</v>
      </c>
      <c r="K197" t="str">
        <f>IF('Emissions Factors'!E199="","",'Emissions Factors'!E199)</f>
        <v>metres</v>
      </c>
      <c r="L197" t="str">
        <f>IF('Emissions Factors'!F199="","",'Emissions Factors'!F199)</f>
        <v>Plastic</v>
      </c>
      <c r="M197">
        <f>IF('Emissions Factors'!G199="","",'Emissions Factors'!G199)</f>
        <v>8.1</v>
      </c>
      <c r="N197" t="str">
        <f>IF('Emissions Factors'!H199="","",'Emissions Factors'!H199)</f>
        <v>tCO2/t</v>
      </c>
      <c r="O197">
        <f>IF('[1]Emissions Factors'!I198="","",'[1]Emissions Factors'!I198)</f>
        <v>0.05</v>
      </c>
      <c r="P197" t="str">
        <f>IF('Emissions Factors'!J199="",'Emissions Factors'!F199,'Emissions Factors'!J199)</f>
        <v>Carbon factor taken directly from the ICE V2: Miscellaneous &gt; GRP. Conversion factor calculated from typical GRP pipe unit mass from supplier.</v>
      </c>
      <c r="R197">
        <v>1</v>
      </c>
      <c r="U197">
        <f t="shared" ref="U197:U260" si="28">LEN(H197)</f>
        <v>50</v>
      </c>
      <c r="V197">
        <f t="shared" ref="V197:V260" si="29">LEN(I197)</f>
        <v>14</v>
      </c>
    </row>
    <row r="198" spans="1:22" x14ac:dyDescent="0.3">
      <c r="A198">
        <f>'Emissions Factors'!A200</f>
        <v>0</v>
      </c>
      <c r="B198">
        <f>'Emissions Factors'!B200</f>
        <v>0</v>
      </c>
      <c r="C198">
        <f>'Emissions Factors'!C200</f>
        <v>0</v>
      </c>
      <c r="D198" t="str">
        <f>'Emissions Factors'!D200</f>
        <v>1200mm diameter</v>
      </c>
      <c r="G198" t="str">
        <f t="shared" si="24"/>
        <v>Drainage</v>
      </c>
      <c r="H198" t="str">
        <f t="shared" si="25"/>
        <v>Glass reinforced plastic GRP (Fibreglass) pipework</v>
      </c>
      <c r="I198" t="str">
        <f t="shared" si="26"/>
        <v>1200mm diameter</v>
      </c>
      <c r="J198" t="str">
        <f t="shared" si="27"/>
        <v>Glass reinforced plastic GRP (Fibreglass) pipework1200mm diameter</v>
      </c>
      <c r="K198" t="str">
        <f>IF('Emissions Factors'!E200="","",'Emissions Factors'!E200)</f>
        <v>metres</v>
      </c>
      <c r="L198" t="str">
        <f>IF('Emissions Factors'!F200="","",'Emissions Factors'!F200)</f>
        <v>Plastic</v>
      </c>
      <c r="M198">
        <f>IF('Emissions Factors'!G200="","",'Emissions Factors'!G200)</f>
        <v>8.1</v>
      </c>
      <c r="N198" t="str">
        <f>IF('Emissions Factors'!H200="","",'Emissions Factors'!H200)</f>
        <v>tCO2/t</v>
      </c>
      <c r="O198">
        <f>IF('[1]Emissions Factors'!I199="","",'[1]Emissions Factors'!I199)</f>
        <v>8.5999999999999993E-2</v>
      </c>
      <c r="P198" t="str">
        <f>IF('Emissions Factors'!J200="",'Emissions Factors'!F200,'Emissions Factors'!J200)</f>
        <v>Carbon factor taken directly from the ICE V2: Miscellaneous &gt; GRP. Conversion factor calculated from typical GRP pipe unit mass from supplier.</v>
      </c>
      <c r="R198">
        <v>1</v>
      </c>
      <c r="U198">
        <f t="shared" si="28"/>
        <v>50</v>
      </c>
      <c r="V198">
        <f t="shared" si="29"/>
        <v>15</v>
      </c>
    </row>
    <row r="199" spans="1:22" x14ac:dyDescent="0.3">
      <c r="A199">
        <f>'Emissions Factors'!A201</f>
        <v>0</v>
      </c>
      <c r="B199">
        <f>'Emissions Factors'!B201</f>
        <v>0</v>
      </c>
      <c r="C199">
        <f>'Emissions Factors'!C201</f>
        <v>0</v>
      </c>
      <c r="D199" t="str">
        <f>'Emissions Factors'!D201</f>
        <v>1500mm diameter</v>
      </c>
      <c r="G199" t="str">
        <f t="shared" si="24"/>
        <v>Drainage</v>
      </c>
      <c r="H199" t="str">
        <f t="shared" si="25"/>
        <v>Glass reinforced plastic GRP (Fibreglass) pipework</v>
      </c>
      <c r="I199" t="str">
        <f t="shared" si="26"/>
        <v>1500mm diameter</v>
      </c>
      <c r="J199" t="str">
        <f t="shared" si="27"/>
        <v>Glass reinforced plastic GRP (Fibreglass) pipework1500mm diameter</v>
      </c>
      <c r="K199" t="str">
        <f>IF('Emissions Factors'!E201="","",'Emissions Factors'!E201)</f>
        <v>metres</v>
      </c>
      <c r="L199" t="str">
        <f>IF('Emissions Factors'!F201="","",'Emissions Factors'!F201)</f>
        <v>Plastic</v>
      </c>
      <c r="M199">
        <f>IF('Emissions Factors'!G201="","",'Emissions Factors'!G201)</f>
        <v>8.1</v>
      </c>
      <c r="N199" t="str">
        <f>IF('Emissions Factors'!H201="","",'Emissions Factors'!H201)</f>
        <v>tCO2/t</v>
      </c>
      <c r="O199">
        <f>IF('[1]Emissions Factors'!I200="","",'[1]Emissions Factors'!I200)</f>
        <v>0.13200000000000001</v>
      </c>
      <c r="P199" t="str">
        <f>IF('Emissions Factors'!J201="",'Emissions Factors'!F201,'Emissions Factors'!J201)</f>
        <v>Carbon factor taken directly from the ICE V2: Miscellaneous &gt; GRP. Conversion factor calculated from typical GRP pipe unit mass from supplier.</v>
      </c>
      <c r="R199">
        <v>1</v>
      </c>
      <c r="U199">
        <f t="shared" si="28"/>
        <v>50</v>
      </c>
      <c r="V199">
        <f t="shared" si="29"/>
        <v>15</v>
      </c>
    </row>
    <row r="200" spans="1:22" x14ac:dyDescent="0.3">
      <c r="A200">
        <f>'Emissions Factors'!A202</f>
        <v>0</v>
      </c>
      <c r="B200">
        <f>'Emissions Factors'!B202</f>
        <v>0</v>
      </c>
      <c r="C200">
        <f>'Emissions Factors'!C202</f>
        <v>0</v>
      </c>
      <c r="D200" t="str">
        <f>'Emissions Factors'!D202</f>
        <v>1800mm diameter</v>
      </c>
      <c r="G200" t="str">
        <f t="shared" si="24"/>
        <v>Drainage</v>
      </c>
      <c r="H200" t="str">
        <f t="shared" si="25"/>
        <v>Glass reinforced plastic GRP (Fibreglass) pipework</v>
      </c>
      <c r="I200" t="str">
        <f t="shared" si="26"/>
        <v>1800mm diameter</v>
      </c>
      <c r="J200" t="str">
        <f t="shared" si="27"/>
        <v>Glass reinforced plastic GRP (Fibreglass) pipework1800mm diameter</v>
      </c>
      <c r="K200" t="str">
        <f>IF('Emissions Factors'!E202="","",'Emissions Factors'!E202)</f>
        <v>metres</v>
      </c>
      <c r="L200" t="str">
        <f>IF('Emissions Factors'!F202="","",'Emissions Factors'!F202)</f>
        <v>Plastic</v>
      </c>
      <c r="M200">
        <f>IF('Emissions Factors'!G202="","",'Emissions Factors'!G202)</f>
        <v>8.1</v>
      </c>
      <c r="N200" t="str">
        <f>IF('Emissions Factors'!H202="","",'Emissions Factors'!H202)</f>
        <v>tCO2/t</v>
      </c>
      <c r="O200">
        <f>IF('[1]Emissions Factors'!I201="","",'[1]Emissions Factors'!I201)</f>
        <v>0.188</v>
      </c>
      <c r="P200" t="str">
        <f>IF('Emissions Factors'!J202="",'Emissions Factors'!F202,'Emissions Factors'!J202)</f>
        <v>Carbon factor taken directly from the ICE V2: Miscellaneous &gt; GRP. Conversion factor calculated from typical GRP pipe unit mass from supplier.</v>
      </c>
      <c r="R200">
        <v>1</v>
      </c>
      <c r="U200">
        <f t="shared" si="28"/>
        <v>50</v>
      </c>
      <c r="V200">
        <f t="shared" si="29"/>
        <v>15</v>
      </c>
    </row>
    <row r="201" spans="1:22" x14ac:dyDescent="0.3">
      <c r="A201">
        <f>'Emissions Factors'!A203</f>
        <v>0</v>
      </c>
      <c r="B201">
        <f>'Emissions Factors'!B203</f>
        <v>0</v>
      </c>
      <c r="C201">
        <f>'Emissions Factors'!C203</f>
        <v>0</v>
      </c>
      <c r="D201" t="str">
        <f>'Emissions Factors'!D203</f>
        <v>2400mm diameter</v>
      </c>
      <c r="G201" t="str">
        <f t="shared" si="24"/>
        <v>Drainage</v>
      </c>
      <c r="H201" t="str">
        <f t="shared" si="25"/>
        <v>Glass reinforced plastic GRP (Fibreglass) pipework</v>
      </c>
      <c r="I201" t="str">
        <f t="shared" si="26"/>
        <v>2400mm diameter</v>
      </c>
      <c r="J201" t="str">
        <f t="shared" si="27"/>
        <v>Glass reinforced plastic GRP (Fibreglass) pipework2400mm diameter</v>
      </c>
      <c r="K201" t="str">
        <f>IF('Emissions Factors'!E203="","",'Emissions Factors'!E203)</f>
        <v>metres</v>
      </c>
      <c r="L201" t="str">
        <f>IF('Emissions Factors'!F203="","",'Emissions Factors'!F203)</f>
        <v>Plastic</v>
      </c>
      <c r="M201">
        <f>IF('Emissions Factors'!G203="","",'Emissions Factors'!G203)</f>
        <v>8.1</v>
      </c>
      <c r="N201" t="str">
        <f>IF('Emissions Factors'!H203="","",'Emissions Factors'!H203)</f>
        <v>tCO2/t</v>
      </c>
      <c r="O201">
        <f>IF('[1]Emissions Factors'!I202="","",'[1]Emissions Factors'!I202)</f>
        <v>0.32900000000000001</v>
      </c>
      <c r="P201" t="str">
        <f>IF('Emissions Factors'!J203="",'Emissions Factors'!F203,'Emissions Factors'!J203)</f>
        <v>Carbon factor taken directly from the ICE V2: Miscellaneous &gt; GRP. Conversion factor calculated from typical GRP pipe unit mass from supplier.</v>
      </c>
      <c r="R201">
        <v>1</v>
      </c>
      <c r="U201">
        <f t="shared" si="28"/>
        <v>50</v>
      </c>
      <c r="V201">
        <f t="shared" si="29"/>
        <v>15</v>
      </c>
    </row>
    <row r="202" spans="1:22" x14ac:dyDescent="0.3">
      <c r="A202">
        <f>'Emissions Factors'!A204</f>
        <v>0</v>
      </c>
      <c r="B202">
        <f>'Emissions Factors'!B204</f>
        <v>0</v>
      </c>
      <c r="C202" t="str">
        <f>'Emissions Factors'!C204</f>
        <v>Iron pipework</v>
      </c>
      <c r="D202" t="str">
        <f>'Emissions Factors'!D204</f>
        <v>150mm diameter</v>
      </c>
      <c r="G202" t="str">
        <f t="shared" si="24"/>
        <v>Drainage</v>
      </c>
      <c r="H202" t="str">
        <f t="shared" si="25"/>
        <v>Iron pipework</v>
      </c>
      <c r="I202" t="str">
        <f t="shared" si="26"/>
        <v>150mm diameter</v>
      </c>
      <c r="J202" t="str">
        <f t="shared" si="27"/>
        <v>Iron pipework150mm diameter</v>
      </c>
      <c r="K202" t="str">
        <f>IF('Emissions Factors'!E204="","",'Emissions Factors'!E204)</f>
        <v>metres</v>
      </c>
      <c r="L202" t="str">
        <f>IF('Emissions Factors'!F204="","",'Emissions Factors'!F204)</f>
        <v>Iron</v>
      </c>
      <c r="M202">
        <f>IF('Emissions Factors'!G204="","",'Emissions Factors'!G204)</f>
        <v>2.0322399999999998</v>
      </c>
      <c r="N202" t="str">
        <f>IF('Emissions Factors'!H204="","",'Emissions Factors'!H204)</f>
        <v>tCO2e/t</v>
      </c>
      <c r="O202">
        <f>IF('[1]Emissions Factors'!I203="","",'[1]Emissions Factors'!I203)</f>
        <v>1.406E-2</v>
      </c>
      <c r="P202" t="str">
        <f>IF('Emissions Factors'!J204="",'Emissions Factors'!F204,'Emissions Factors'!J204)</f>
        <v>Carbon factor taken directly from the ICE V4: ICE Summary &gt; Iron &gt; General.</v>
      </c>
      <c r="R202">
        <v>1</v>
      </c>
      <c r="U202">
        <f t="shared" si="28"/>
        <v>13</v>
      </c>
      <c r="V202">
        <f t="shared" si="29"/>
        <v>14</v>
      </c>
    </row>
    <row r="203" spans="1:22" x14ac:dyDescent="0.3">
      <c r="A203">
        <f>'Emissions Factors'!A205</f>
        <v>0</v>
      </c>
      <c r="B203">
        <f>'Emissions Factors'!B205</f>
        <v>0</v>
      </c>
      <c r="C203">
        <f>'Emissions Factors'!C205</f>
        <v>0</v>
      </c>
      <c r="D203" t="str">
        <f>'Emissions Factors'!D205</f>
        <v>300mm diameter</v>
      </c>
      <c r="G203" t="str">
        <f t="shared" si="24"/>
        <v>Drainage</v>
      </c>
      <c r="H203" t="str">
        <f t="shared" si="25"/>
        <v>Iron pipework</v>
      </c>
      <c r="I203" t="str">
        <f t="shared" si="26"/>
        <v>300mm diameter</v>
      </c>
      <c r="J203" t="str">
        <f t="shared" si="27"/>
        <v>Iron pipework300mm diameter</v>
      </c>
      <c r="K203" t="str">
        <f>IF('Emissions Factors'!E205="","",'Emissions Factors'!E205)</f>
        <v>metres</v>
      </c>
      <c r="L203" t="str">
        <f>IF('Emissions Factors'!F205="","",'Emissions Factors'!F205)</f>
        <v>Iron</v>
      </c>
      <c r="M203">
        <f>IF('Emissions Factors'!G205="","",'Emissions Factors'!G205)</f>
        <v>2.0322399999999998</v>
      </c>
      <c r="N203" t="str">
        <f>IF('Emissions Factors'!H205="","",'Emissions Factors'!H205)</f>
        <v>tCO2e/t</v>
      </c>
      <c r="O203">
        <f>IF('[1]Emissions Factors'!I204="","",'[1]Emissions Factors'!I204)</f>
        <v>4.3229999999999998E-2</v>
      </c>
      <c r="P203" t="str">
        <f>IF('Emissions Factors'!J205="",'Emissions Factors'!F205,'Emissions Factors'!J205)</f>
        <v>Carbon factor taken directly from the ICE V4: ICE Summary &gt; Iron &gt; General.</v>
      </c>
      <c r="R203">
        <v>1</v>
      </c>
      <c r="U203">
        <f t="shared" si="28"/>
        <v>13</v>
      </c>
      <c r="V203">
        <f t="shared" si="29"/>
        <v>14</v>
      </c>
    </row>
    <row r="204" spans="1:22" x14ac:dyDescent="0.3">
      <c r="A204">
        <f>'Emissions Factors'!A206</f>
        <v>0</v>
      </c>
      <c r="B204">
        <f>'Emissions Factors'!B206</f>
        <v>0</v>
      </c>
      <c r="C204">
        <f>'Emissions Factors'!C206</f>
        <v>0</v>
      </c>
      <c r="D204" t="str">
        <f>'Emissions Factors'!D206</f>
        <v>400mm diameter</v>
      </c>
      <c r="G204" t="str">
        <f t="shared" si="24"/>
        <v>Drainage</v>
      </c>
      <c r="H204" t="str">
        <f t="shared" si="25"/>
        <v>Iron pipework</v>
      </c>
      <c r="I204" t="str">
        <f t="shared" si="26"/>
        <v>400mm diameter</v>
      </c>
      <c r="J204" t="str">
        <f t="shared" si="27"/>
        <v>Iron pipework400mm diameter</v>
      </c>
      <c r="K204" t="str">
        <f>IF('Emissions Factors'!E206="","",'Emissions Factors'!E206)</f>
        <v>metres</v>
      </c>
      <c r="L204" t="str">
        <f>IF('Emissions Factors'!F206="","",'Emissions Factors'!F206)</f>
        <v>Iron</v>
      </c>
      <c r="M204">
        <f>IF('Emissions Factors'!G206="","",'Emissions Factors'!G206)</f>
        <v>2.0322399999999998</v>
      </c>
      <c r="N204" t="str">
        <f>IF('Emissions Factors'!H206="","",'Emissions Factors'!H206)</f>
        <v>tCO2e/t</v>
      </c>
      <c r="O204">
        <f>IF('[1]Emissions Factors'!I205="","",'[1]Emissions Factors'!I205)</f>
        <v>0.06</v>
      </c>
      <c r="P204" t="str">
        <f>IF('Emissions Factors'!J206="",'Emissions Factors'!F206,'Emissions Factors'!J206)</f>
        <v>Carbon factor taken directly from the ICE V4: ICE Summary &gt; Iron &gt; General.</v>
      </c>
      <c r="R204">
        <v>1</v>
      </c>
      <c r="U204">
        <f t="shared" si="28"/>
        <v>13</v>
      </c>
      <c r="V204">
        <f t="shared" si="29"/>
        <v>14</v>
      </c>
    </row>
    <row r="205" spans="1:22" x14ac:dyDescent="0.3">
      <c r="A205">
        <f>'Emissions Factors'!A207</f>
        <v>0</v>
      </c>
      <c r="B205">
        <f>'Emissions Factors'!B207</f>
        <v>0</v>
      </c>
      <c r="C205" t="str">
        <f>'Emissions Factors'!C207</f>
        <v>Brick manholes and inspection chambers</v>
      </c>
      <c r="D205" t="str">
        <f>'Emissions Factors'!D207</f>
        <v>Brick (includes mortar)</v>
      </c>
      <c r="G205" t="str">
        <f t="shared" si="24"/>
        <v>Drainage</v>
      </c>
      <c r="H205" t="str">
        <f t="shared" si="25"/>
        <v>Brick manholes and inspection chambers</v>
      </c>
      <c r="I205" t="str">
        <f t="shared" si="26"/>
        <v>Brick (includes mortar)</v>
      </c>
      <c r="J205" t="str">
        <f t="shared" si="27"/>
        <v>Brick manholes and inspection chambersBrick (includes mortar)</v>
      </c>
      <c r="K205" t="str">
        <f>IF('Emissions Factors'!E207="","",'Emissions Factors'!E207)</f>
        <v>no.</v>
      </c>
      <c r="L205" t="str">
        <f>IF('Emissions Factors'!F207="","",'Emissions Factors'!F207)</f>
        <v>Brick and Blockwork</v>
      </c>
      <c r="M205">
        <f>IF('Emissions Factors'!G207="","",'Emissions Factors'!G207)</f>
        <v>0.20130000000000001</v>
      </c>
      <c r="N205" t="str">
        <f>IF('Emissions Factors'!H207="","",'Emissions Factors'!H207)</f>
        <v>tCO2e/t</v>
      </c>
      <c r="O205">
        <f>IF('[1]Emissions Factors'!I206="","",'[1]Emissions Factors'!I206)</f>
        <v>2.5834349999999998E-3</v>
      </c>
      <c r="P205" t="str">
        <f>IF('Emissions Factors'!J207="",'Emissions Factors'!F207,'Emissions Factors'!J207)</f>
        <v>Carbon factor taken directly from the ICE V4: ICE Summary &gt; Bricks &gt; General. Assumed weight of brick is 2.13kg and 10mm of mortar.</v>
      </c>
      <c r="R205">
        <v>1</v>
      </c>
      <c r="U205">
        <f t="shared" si="28"/>
        <v>38</v>
      </c>
      <c r="V205">
        <f t="shared" si="29"/>
        <v>23</v>
      </c>
    </row>
    <row r="206" spans="1:22" x14ac:dyDescent="0.3">
      <c r="A206">
        <f>'Emissions Factors'!A208</f>
        <v>0</v>
      </c>
      <c r="B206">
        <f>'Emissions Factors'!B208</f>
        <v>0</v>
      </c>
      <c r="C206" t="str">
        <f>'Emissions Factors'!C208</f>
        <v>In-situ concrete manholes and inspection chambers</v>
      </c>
      <c r="D206" t="str">
        <f>'Emissions Factors'!D208</f>
        <v>In-situ concrete</v>
      </c>
      <c r="G206" t="str">
        <f t="shared" si="24"/>
        <v>Drainage</v>
      </c>
      <c r="H206" t="str">
        <f t="shared" si="25"/>
        <v>In-situ concrete manholes and inspection chambers</v>
      </c>
      <c r="I206" t="str">
        <f t="shared" si="26"/>
        <v>In-situ concrete</v>
      </c>
      <c r="J206" t="str">
        <f t="shared" si="27"/>
        <v>In-situ concrete manholes and inspection chambersIn-situ concrete</v>
      </c>
      <c r="K206" t="str">
        <f>IF('Emissions Factors'!E208="","",'Emissions Factors'!E208)</f>
        <v/>
      </c>
      <c r="L206" t="str">
        <f>IF('Emissions Factors'!F208="","",'Emissions Factors'!F208)</f>
        <v>Please include this within the bulk materials category under concrete.</v>
      </c>
      <c r="M206" t="str">
        <f>IF('Emissions Factors'!G208="","",'Emissions Factors'!G208)</f>
        <v/>
      </c>
      <c r="N206" t="str">
        <f>IF('Emissions Factors'!H208="","",'Emissions Factors'!H208)</f>
        <v/>
      </c>
      <c r="O206" t="str">
        <f>IF('[1]Emissions Factors'!I207="","",'[1]Emissions Factors'!I207)</f>
        <v/>
      </c>
      <c r="P206" t="str">
        <f>IF('Emissions Factors'!J208="",'Emissions Factors'!F208,'Emissions Factors'!J208)</f>
        <v>Please include this within the bulk materials category under concrete.</v>
      </c>
      <c r="R206">
        <v>1</v>
      </c>
      <c r="U206">
        <f t="shared" si="28"/>
        <v>49</v>
      </c>
      <c r="V206">
        <f t="shared" si="29"/>
        <v>16</v>
      </c>
    </row>
    <row r="207" spans="1:22" x14ac:dyDescent="0.3">
      <c r="A207">
        <f>'Emissions Factors'!A209</f>
        <v>0</v>
      </c>
      <c r="B207">
        <f>'Emissions Factors'!B209</f>
        <v>0</v>
      </c>
      <c r="C207" t="str">
        <f>'Emissions Factors'!C209</f>
        <v>Precast concrete manholes</v>
      </c>
      <c r="D207" t="str">
        <f>'Emissions Factors'!D209</f>
        <v>900mm diameter, up to 3m depth</v>
      </c>
      <c r="G207" t="str">
        <f t="shared" si="24"/>
        <v>Drainage</v>
      </c>
      <c r="H207" t="str">
        <f t="shared" si="25"/>
        <v>Precast concrete manholes</v>
      </c>
      <c r="I207" t="str">
        <f t="shared" si="26"/>
        <v>900mm diameter, up to 3m depth</v>
      </c>
      <c r="J207" t="str">
        <f t="shared" si="27"/>
        <v>Precast concrete manholes900mm diameter, up to 3m depth</v>
      </c>
      <c r="K207" t="str">
        <f>IF('Emissions Factors'!E209="","",'Emissions Factors'!E209)</f>
        <v>no.</v>
      </c>
      <c r="L207" t="str">
        <f>IF('Emissions Factors'!F209="","",'Emissions Factors'!F209)</f>
        <v>Concrete</v>
      </c>
      <c r="M207">
        <f>IF('Emissions Factors'!G209="","",'Emissions Factors'!G209)</f>
        <v>0.27300000000000002</v>
      </c>
      <c r="N207" t="str">
        <f>IF('Emissions Factors'!H209="","",'Emissions Factors'!H209)</f>
        <v>tCO2e/t</v>
      </c>
      <c r="O207">
        <f>IF('[1]Emissions Factors'!I208="","",'[1]Emissions Factors'!I208)</f>
        <v>1.9450000000000001</v>
      </c>
      <c r="P207" t="str">
        <f>IF('Emissions Factors'!J209="",'Emissions Factors'!F209,'Emissions Factors'!J209)</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07">
        <v>1</v>
      </c>
      <c r="U207">
        <f t="shared" si="28"/>
        <v>25</v>
      </c>
      <c r="V207">
        <f t="shared" si="29"/>
        <v>30</v>
      </c>
    </row>
    <row r="208" spans="1:22" x14ac:dyDescent="0.3">
      <c r="A208">
        <f>'Emissions Factors'!A210</f>
        <v>0</v>
      </c>
      <c r="B208">
        <f>'Emissions Factors'!B210</f>
        <v>0</v>
      </c>
      <c r="C208">
        <f>'Emissions Factors'!C210</f>
        <v>0</v>
      </c>
      <c r="D208" t="str">
        <f>'Emissions Factors'!D210</f>
        <v>900mm diameter, 3m - 6m depth</v>
      </c>
      <c r="G208" t="str">
        <f t="shared" si="24"/>
        <v>Drainage</v>
      </c>
      <c r="H208" t="str">
        <f t="shared" si="25"/>
        <v>Precast concrete manholes</v>
      </c>
      <c r="I208" t="str">
        <f t="shared" si="26"/>
        <v>900mm diameter, 3m - 6m depth</v>
      </c>
      <c r="J208" t="str">
        <f t="shared" si="27"/>
        <v>Precast concrete manholes900mm diameter, 3m - 6m depth</v>
      </c>
      <c r="K208" t="str">
        <f>IF('Emissions Factors'!E210="","",'Emissions Factors'!E210)</f>
        <v>no.</v>
      </c>
      <c r="L208" t="str">
        <f>IF('Emissions Factors'!F210="","",'Emissions Factors'!F210)</f>
        <v>Concrete</v>
      </c>
      <c r="M208">
        <f>IF('Emissions Factors'!G210="","",'Emissions Factors'!G210)</f>
        <v>0.22815841584158414</v>
      </c>
      <c r="N208" t="str">
        <f>IF('Emissions Factors'!H210="","",'Emissions Factors'!H210)</f>
        <v>tCO2e/t</v>
      </c>
      <c r="O208">
        <f>IF('[1]Emissions Factors'!I209="","",'[1]Emissions Factors'!I209)</f>
        <v>3.5350000000000001</v>
      </c>
      <c r="P208" t="str">
        <f>IF('Emissions Factors'!J210="",'Emissions Factors'!F210,'Emissions Factors'!J210)</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08">
        <v>1</v>
      </c>
      <c r="U208">
        <f t="shared" si="28"/>
        <v>25</v>
      </c>
      <c r="V208">
        <f t="shared" si="29"/>
        <v>29</v>
      </c>
    </row>
    <row r="209" spans="1:22" x14ac:dyDescent="0.3">
      <c r="A209">
        <f>'Emissions Factors'!A211</f>
        <v>0</v>
      </c>
      <c r="B209">
        <f>'Emissions Factors'!B211</f>
        <v>0</v>
      </c>
      <c r="C209">
        <f>'Emissions Factors'!C211</f>
        <v>0</v>
      </c>
      <c r="D209" t="str">
        <f>'Emissions Factors'!D211</f>
        <v>1050mm diameter, up to 3m depth</v>
      </c>
      <c r="G209" t="str">
        <f t="shared" si="24"/>
        <v>Drainage</v>
      </c>
      <c r="H209" t="str">
        <f t="shared" si="25"/>
        <v>Precast concrete manholes</v>
      </c>
      <c r="I209" t="str">
        <f t="shared" si="26"/>
        <v>1050mm diameter, up to 3m depth</v>
      </c>
      <c r="J209" t="str">
        <f t="shared" si="27"/>
        <v>Precast concrete manholes1050mm diameter, up to 3m depth</v>
      </c>
      <c r="K209" t="str">
        <f>IF('Emissions Factors'!E211="","",'Emissions Factors'!E211)</f>
        <v>no.</v>
      </c>
      <c r="L209" t="str">
        <f>IF('Emissions Factors'!F211="","",'Emissions Factors'!F211)</f>
        <v>Concrete</v>
      </c>
      <c r="M209">
        <f>IF('Emissions Factors'!G211="","",'Emissions Factors'!G211)</f>
        <v>0.25099399999999999</v>
      </c>
      <c r="N209" t="str">
        <f>IF('Emissions Factors'!H211="","",'Emissions Factors'!H211)</f>
        <v>tCO2e/t</v>
      </c>
      <c r="O209">
        <f>IF('[1]Emissions Factors'!I210="","",'[1]Emissions Factors'!I210)</f>
        <v>2.5</v>
      </c>
      <c r="P209" t="str">
        <f>IF('Emissions Factors'!J211="",'Emissions Factors'!F211,'Emissions Factors'!J211)</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09">
        <v>1</v>
      </c>
      <c r="U209">
        <f t="shared" si="28"/>
        <v>25</v>
      </c>
      <c r="V209">
        <f t="shared" si="29"/>
        <v>31</v>
      </c>
    </row>
    <row r="210" spans="1:22" x14ac:dyDescent="0.3">
      <c r="A210">
        <f>'Emissions Factors'!A212</f>
        <v>0</v>
      </c>
      <c r="B210">
        <f>'Emissions Factors'!B212</f>
        <v>0</v>
      </c>
      <c r="C210">
        <f>'Emissions Factors'!C212</f>
        <v>0</v>
      </c>
      <c r="D210" t="str">
        <f>'Emissions Factors'!D212</f>
        <v>1050mm diameter, 3m - 6m depth</v>
      </c>
      <c r="G210" t="str">
        <f t="shared" si="24"/>
        <v>Drainage</v>
      </c>
      <c r="H210" t="str">
        <f t="shared" si="25"/>
        <v>Precast concrete manholes</v>
      </c>
      <c r="I210" t="str">
        <f t="shared" si="26"/>
        <v>1050mm diameter, 3m - 6m depth</v>
      </c>
      <c r="J210" t="str">
        <f t="shared" si="27"/>
        <v>Precast concrete manholes1050mm diameter, 3m - 6m depth</v>
      </c>
      <c r="K210" t="str">
        <f>IF('Emissions Factors'!E212="","",'Emissions Factors'!E212)</f>
        <v>no.</v>
      </c>
      <c r="L210" t="str">
        <f>IF('Emissions Factors'!F212="","",'Emissions Factors'!F212)</f>
        <v>Concrete</v>
      </c>
      <c r="M210">
        <f>IF('Emissions Factors'!G212="","",'Emissions Factors'!G212)</f>
        <v>0.21511339092872567</v>
      </c>
      <c r="N210" t="str">
        <f>IF('Emissions Factors'!H212="","",'Emissions Factors'!H212)</f>
        <v>tCO2e/t</v>
      </c>
      <c r="O210">
        <f>IF('[1]Emissions Factors'!I211="","",'[1]Emissions Factors'!I211)</f>
        <v>4.63</v>
      </c>
      <c r="P210" t="str">
        <f>IF('Emissions Factors'!J212="",'Emissions Factors'!F212,'Emissions Factors'!J212)</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0">
        <v>1</v>
      </c>
      <c r="U210">
        <f t="shared" si="28"/>
        <v>25</v>
      </c>
      <c r="V210">
        <f t="shared" si="29"/>
        <v>30</v>
      </c>
    </row>
    <row r="211" spans="1:22" x14ac:dyDescent="0.3">
      <c r="A211">
        <f>'Emissions Factors'!A213</f>
        <v>0</v>
      </c>
      <c r="B211">
        <f>'Emissions Factors'!B213</f>
        <v>0</v>
      </c>
      <c r="C211">
        <f>'Emissions Factors'!C213</f>
        <v>0</v>
      </c>
      <c r="D211" t="str">
        <f>'Emissions Factors'!D213</f>
        <v>1200mm diameter, up to 3m depth</v>
      </c>
      <c r="G211" t="str">
        <f t="shared" si="24"/>
        <v>Drainage</v>
      </c>
      <c r="H211" t="str">
        <f t="shared" si="25"/>
        <v>Precast concrete manholes</v>
      </c>
      <c r="I211" t="str">
        <f t="shared" si="26"/>
        <v>1200mm diameter, up to 3m depth</v>
      </c>
      <c r="J211" t="str">
        <f t="shared" si="27"/>
        <v>Precast concrete manholes1200mm diameter, up to 3m depth</v>
      </c>
      <c r="K211" t="str">
        <f>IF('Emissions Factors'!E213="","",'Emissions Factors'!E213)</f>
        <v>no.</v>
      </c>
      <c r="L211" t="str">
        <f>IF('Emissions Factors'!F213="","",'Emissions Factors'!F213)</f>
        <v>Concrete</v>
      </c>
      <c r="M211">
        <f>IF('Emissions Factors'!G213="","",'Emissions Factors'!G213)</f>
        <v>0.23355434782608694</v>
      </c>
      <c r="N211" t="str">
        <f>IF('Emissions Factors'!H213="","",'Emissions Factors'!H213)</f>
        <v>tCO2e/t</v>
      </c>
      <c r="O211">
        <f>IF('[1]Emissions Factors'!I212="","",'[1]Emissions Factors'!I212)</f>
        <v>3.22</v>
      </c>
      <c r="P211" t="str">
        <f>IF('Emissions Factors'!J213="",'Emissions Factors'!F213,'Emissions Factors'!J213)</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1">
        <v>1</v>
      </c>
      <c r="U211">
        <f t="shared" si="28"/>
        <v>25</v>
      </c>
      <c r="V211">
        <f t="shared" si="29"/>
        <v>31</v>
      </c>
    </row>
    <row r="212" spans="1:22" x14ac:dyDescent="0.3">
      <c r="A212">
        <f>'Emissions Factors'!A214</f>
        <v>0</v>
      </c>
      <c r="B212">
        <f>'Emissions Factors'!B214</f>
        <v>0</v>
      </c>
      <c r="C212">
        <f>'Emissions Factors'!C214</f>
        <v>0</v>
      </c>
      <c r="D212" t="str">
        <f>'Emissions Factors'!D214</f>
        <v>1200mm diameter, 3m - 6m depth</v>
      </c>
      <c r="G212" t="str">
        <f t="shared" si="24"/>
        <v>Drainage</v>
      </c>
      <c r="H212" t="str">
        <f t="shared" si="25"/>
        <v>Precast concrete manholes</v>
      </c>
      <c r="I212" t="str">
        <f t="shared" si="26"/>
        <v>1200mm diameter, 3m - 6m depth</v>
      </c>
      <c r="J212" t="str">
        <f t="shared" si="27"/>
        <v>Precast concrete manholes1200mm diameter, 3m - 6m depth</v>
      </c>
      <c r="K212" t="str">
        <f>IF('Emissions Factors'!E214="","",'Emissions Factors'!E214)</f>
        <v>no.</v>
      </c>
      <c r="L212" t="str">
        <f>IF('Emissions Factors'!F214="","",'Emissions Factors'!F214)</f>
        <v>Concrete</v>
      </c>
      <c r="M212">
        <f>IF('Emissions Factors'!G214="","",'Emissions Factors'!G214)</f>
        <v>0.20577058823529407</v>
      </c>
      <c r="N212" t="str">
        <f>IF('Emissions Factors'!H214="","",'Emissions Factors'!H214)</f>
        <v>tCO2e/t</v>
      </c>
      <c r="O212">
        <f>IF('[1]Emissions Factors'!I213="","",'[1]Emissions Factors'!I213)</f>
        <v>5.95</v>
      </c>
      <c r="P212" t="str">
        <f>IF('Emissions Factors'!J214="",'Emissions Factors'!F214,'Emissions Factors'!J214)</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2">
        <v>1</v>
      </c>
      <c r="U212">
        <f t="shared" si="28"/>
        <v>25</v>
      </c>
      <c r="V212">
        <f t="shared" si="29"/>
        <v>30</v>
      </c>
    </row>
    <row r="213" spans="1:22" x14ac:dyDescent="0.3">
      <c r="A213">
        <f>'Emissions Factors'!A215</f>
        <v>0</v>
      </c>
      <c r="B213">
        <f>'Emissions Factors'!B215</f>
        <v>0</v>
      </c>
      <c r="C213">
        <f>'Emissions Factors'!C215</f>
        <v>0</v>
      </c>
      <c r="D213" t="str">
        <f>'Emissions Factors'!D215</f>
        <v>1500mm diameter, up to 3m depth</v>
      </c>
      <c r="G213" t="str">
        <f t="shared" si="24"/>
        <v>Drainage</v>
      </c>
      <c r="H213" t="str">
        <f t="shared" si="25"/>
        <v>Precast concrete manholes</v>
      </c>
      <c r="I213" t="str">
        <f t="shared" si="26"/>
        <v>1500mm diameter, up to 3m depth</v>
      </c>
      <c r="J213" t="str">
        <f t="shared" si="27"/>
        <v>Precast concrete manholes1500mm diameter, up to 3m depth</v>
      </c>
      <c r="K213" t="str">
        <f>IF('Emissions Factors'!E215="","",'Emissions Factors'!E215)</f>
        <v>no.</v>
      </c>
      <c r="L213" t="str">
        <f>IF('Emissions Factors'!F215="","",'Emissions Factors'!F215)</f>
        <v>Concrete</v>
      </c>
      <c r="M213">
        <f>IF('Emissions Factors'!G215="","",'Emissions Factors'!G215)</f>
        <v>0.21271181262729122</v>
      </c>
      <c r="N213" t="str">
        <f>IF('Emissions Factors'!H215="","",'Emissions Factors'!H215)</f>
        <v>tCO2e/t</v>
      </c>
      <c r="O213">
        <f>IF('[1]Emissions Factors'!I214="","",'[1]Emissions Factors'!I214)</f>
        <v>4.91</v>
      </c>
      <c r="P213" t="str">
        <f>IF('Emissions Factors'!J215="",'Emissions Factors'!F215,'Emissions Factors'!J215)</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3">
        <v>1</v>
      </c>
      <c r="U213">
        <f t="shared" si="28"/>
        <v>25</v>
      </c>
      <c r="V213">
        <f t="shared" si="29"/>
        <v>31</v>
      </c>
    </row>
    <row r="214" spans="1:22" x14ac:dyDescent="0.3">
      <c r="A214">
        <f>'Emissions Factors'!A216</f>
        <v>0</v>
      </c>
      <c r="B214">
        <f>'Emissions Factors'!B216</f>
        <v>0</v>
      </c>
      <c r="C214">
        <f>'Emissions Factors'!C216</f>
        <v>0</v>
      </c>
      <c r="D214" t="str">
        <f>'Emissions Factors'!D216</f>
        <v>1500mm diameter, 3m - 6m depth</v>
      </c>
      <c r="G214" t="str">
        <f t="shared" si="24"/>
        <v>Drainage</v>
      </c>
      <c r="H214" t="str">
        <f t="shared" si="25"/>
        <v>Precast concrete manholes</v>
      </c>
      <c r="I214" t="str">
        <f t="shared" si="26"/>
        <v>1500mm diameter, 3m - 6m depth</v>
      </c>
      <c r="J214" t="str">
        <f t="shared" si="27"/>
        <v>Precast concrete manholes1500mm diameter, 3m - 6m depth</v>
      </c>
      <c r="K214" t="str">
        <f>IF('Emissions Factors'!E216="","",'Emissions Factors'!E216)</f>
        <v>no.</v>
      </c>
      <c r="L214" t="str">
        <f>IF('Emissions Factors'!F216="","",'Emissions Factors'!F216)</f>
        <v>Concrete</v>
      </c>
      <c r="M214">
        <f>IF('Emissions Factors'!G216="","",'Emissions Factors'!G216)</f>
        <v>0.1949084269662921</v>
      </c>
      <c r="N214" t="str">
        <f>IF('Emissions Factors'!H216="","",'Emissions Factors'!H216)</f>
        <v>tCO2e/t</v>
      </c>
      <c r="O214">
        <f>IF('[1]Emissions Factors'!I215="","",'[1]Emissions Factors'!I215)</f>
        <v>8.9</v>
      </c>
      <c r="P214" t="str">
        <f>IF('Emissions Factors'!J216="",'Emissions Factors'!F216,'Emissions Factors'!J216)</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4">
        <v>1</v>
      </c>
      <c r="U214">
        <f t="shared" si="28"/>
        <v>25</v>
      </c>
      <c r="V214">
        <f t="shared" si="29"/>
        <v>30</v>
      </c>
    </row>
    <row r="215" spans="1:22" x14ac:dyDescent="0.3">
      <c r="A215">
        <f>'Emissions Factors'!A217</f>
        <v>0</v>
      </c>
      <c r="B215">
        <f>'Emissions Factors'!B217</f>
        <v>0</v>
      </c>
      <c r="C215">
        <f>'Emissions Factors'!C217</f>
        <v>0</v>
      </c>
      <c r="D215" t="str">
        <f>'Emissions Factors'!D217</f>
        <v>1800mm diameter, up to 3m depth</v>
      </c>
      <c r="G215" t="str">
        <f t="shared" si="24"/>
        <v>Drainage</v>
      </c>
      <c r="H215" t="str">
        <f t="shared" si="25"/>
        <v>Precast concrete manholes</v>
      </c>
      <c r="I215" t="str">
        <f t="shared" si="26"/>
        <v>1800mm diameter, up to 3m depth</v>
      </c>
      <c r="J215" t="str">
        <f t="shared" si="27"/>
        <v>Precast concrete manholes1800mm diameter, up to 3m depth</v>
      </c>
      <c r="K215" t="str">
        <f>IF('Emissions Factors'!E217="","",'Emissions Factors'!E217)</f>
        <v>no.</v>
      </c>
      <c r="L215" t="str">
        <f>IF('Emissions Factors'!F217="","",'Emissions Factors'!F217)</f>
        <v>Concrete</v>
      </c>
      <c r="M215">
        <f>IF('Emissions Factors'!G217="","",'Emissions Factors'!G217)</f>
        <v>0.20245392749244712</v>
      </c>
      <c r="N215" t="str">
        <f>IF('Emissions Factors'!H217="","",'Emissions Factors'!H217)</f>
        <v>tCO2e/t</v>
      </c>
      <c r="O215">
        <f>IF('[1]Emissions Factors'!I216="","",'[1]Emissions Factors'!I216)</f>
        <v>6.62</v>
      </c>
      <c r="P215" t="str">
        <f>IF('Emissions Factors'!J217="",'Emissions Factors'!F217,'Emissions Factors'!J217)</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5">
        <v>1</v>
      </c>
      <c r="U215">
        <f t="shared" si="28"/>
        <v>25</v>
      </c>
      <c r="V215">
        <f t="shared" si="29"/>
        <v>31</v>
      </c>
    </row>
    <row r="216" spans="1:22" x14ac:dyDescent="0.3">
      <c r="A216">
        <f>'Emissions Factors'!A218</f>
        <v>0</v>
      </c>
      <c r="B216">
        <f>'Emissions Factors'!B218</f>
        <v>0</v>
      </c>
      <c r="C216">
        <f>'Emissions Factors'!C218</f>
        <v>0</v>
      </c>
      <c r="D216" t="str">
        <f>'Emissions Factors'!D218</f>
        <v>1800mm diameter, 3m - 6m depth</v>
      </c>
      <c r="G216" t="str">
        <f t="shared" si="24"/>
        <v>Drainage</v>
      </c>
      <c r="H216" t="str">
        <f t="shared" si="25"/>
        <v>Precast concrete manholes</v>
      </c>
      <c r="I216" t="str">
        <f t="shared" si="26"/>
        <v>1800mm diameter, 3m - 6m depth</v>
      </c>
      <c r="J216" t="str">
        <f t="shared" si="27"/>
        <v>Precast concrete manholes1800mm diameter, 3m - 6m depth</v>
      </c>
      <c r="K216" t="str">
        <f>IF('Emissions Factors'!E218="","",'Emissions Factors'!E218)</f>
        <v>no.</v>
      </c>
      <c r="L216" t="str">
        <f>IF('Emissions Factors'!F218="","",'Emissions Factors'!F218)</f>
        <v>Concrete</v>
      </c>
      <c r="M216">
        <f>IF('Emissions Factors'!G218="","",'Emissions Factors'!G218)</f>
        <v>0.18938529411764704</v>
      </c>
      <c r="N216" t="str">
        <f>IF('Emissions Factors'!H218="","",'Emissions Factors'!H218)</f>
        <v>tCO2e/t</v>
      </c>
      <c r="O216">
        <f>IF('[1]Emissions Factors'!I217="","",'[1]Emissions Factors'!I217)</f>
        <v>11.9</v>
      </c>
      <c r="P216" t="str">
        <f>IF('Emissions Factors'!J218="",'Emissions Factors'!F218,'Emissions Factors'!J218)</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6">
        <v>1</v>
      </c>
      <c r="U216">
        <f t="shared" si="28"/>
        <v>25</v>
      </c>
      <c r="V216">
        <f t="shared" si="29"/>
        <v>30</v>
      </c>
    </row>
    <row r="217" spans="1:22" x14ac:dyDescent="0.3">
      <c r="A217">
        <f>'Emissions Factors'!A219</f>
        <v>0</v>
      </c>
      <c r="B217">
        <f>'Emissions Factors'!B219</f>
        <v>0</v>
      </c>
      <c r="C217">
        <f>'Emissions Factors'!C219</f>
        <v>0</v>
      </c>
      <c r="D217" t="str">
        <f>'Emissions Factors'!D219</f>
        <v>2400mm diameter, up to 3m depth</v>
      </c>
      <c r="G217" t="str">
        <f t="shared" si="24"/>
        <v>Drainage</v>
      </c>
      <c r="H217" t="str">
        <f t="shared" si="25"/>
        <v>Precast concrete manholes</v>
      </c>
      <c r="I217" t="str">
        <f t="shared" si="26"/>
        <v>2400mm diameter, up to 3m depth</v>
      </c>
      <c r="J217" t="str">
        <f t="shared" si="27"/>
        <v>Precast concrete manholes2400mm diameter, up to 3m depth</v>
      </c>
      <c r="K217" t="str">
        <f>IF('Emissions Factors'!E219="","",'Emissions Factors'!E219)</f>
        <v>no.</v>
      </c>
      <c r="L217" t="str">
        <f>IF('Emissions Factors'!F219="","",'Emissions Factors'!F219)</f>
        <v>Concrete</v>
      </c>
      <c r="M217">
        <f>IF('Emissions Factors'!G219="","",'Emissions Factors'!G219)</f>
        <v>0.19117194780987884</v>
      </c>
      <c r="N217" t="str">
        <f>IF('Emissions Factors'!H219="","",'Emissions Factors'!H219)</f>
        <v>tCO2e/t</v>
      </c>
      <c r="O217">
        <f>IF('[1]Emissions Factors'!I218="","",'[1]Emissions Factors'!I218)</f>
        <v>10.73</v>
      </c>
      <c r="P217" t="str">
        <f>IF('Emissions Factors'!J219="",'Emissions Factors'!F219,'Emissions Factors'!J219)</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7">
        <v>1</v>
      </c>
      <c r="U217">
        <f t="shared" si="28"/>
        <v>25</v>
      </c>
      <c r="V217">
        <f t="shared" si="29"/>
        <v>31</v>
      </c>
    </row>
    <row r="218" spans="1:22" x14ac:dyDescent="0.3">
      <c r="A218">
        <f>'Emissions Factors'!A220</f>
        <v>0</v>
      </c>
      <c r="B218">
        <f>'Emissions Factors'!B220</f>
        <v>0</v>
      </c>
      <c r="C218">
        <f>'Emissions Factors'!C220</f>
        <v>0</v>
      </c>
      <c r="D218" t="str">
        <f>'Emissions Factors'!D220</f>
        <v>2400mm diameter, 3m - 6m depth</v>
      </c>
      <c r="G218" t="str">
        <f t="shared" si="24"/>
        <v>Drainage</v>
      </c>
      <c r="H218" t="str">
        <f t="shared" si="25"/>
        <v>Precast concrete manholes</v>
      </c>
      <c r="I218" t="str">
        <f t="shared" si="26"/>
        <v>2400mm diameter, 3m - 6m depth</v>
      </c>
      <c r="J218" t="str">
        <f t="shared" si="27"/>
        <v>Precast concrete manholes2400mm diameter, 3m - 6m depth</v>
      </c>
      <c r="K218" t="str">
        <f>IF('Emissions Factors'!E220="","",'Emissions Factors'!E220)</f>
        <v>no.</v>
      </c>
      <c r="L218" t="str">
        <f>IF('Emissions Factors'!F220="","",'Emissions Factors'!F220)</f>
        <v>Concrete</v>
      </c>
      <c r="M218">
        <f>IF('Emissions Factors'!G220="","",'Emissions Factors'!G220)</f>
        <v>0.18328944591029023</v>
      </c>
      <c r="N218" t="str">
        <f>IF('Emissions Factors'!H220="","",'Emissions Factors'!H220)</f>
        <v>tCO2e/t</v>
      </c>
      <c r="O218">
        <f>IF('[1]Emissions Factors'!I219="","",'[1]Emissions Factors'!I219)</f>
        <v>18.95</v>
      </c>
      <c r="P218" t="str">
        <f>IF('Emissions Factors'!J220="",'Emissions Factors'!F220,'Emissions Factors'!J220)</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8">
        <v>1</v>
      </c>
      <c r="U218">
        <f t="shared" si="28"/>
        <v>25</v>
      </c>
      <c r="V218">
        <f t="shared" si="29"/>
        <v>30</v>
      </c>
    </row>
    <row r="219" spans="1:22" x14ac:dyDescent="0.3">
      <c r="A219">
        <f>'Emissions Factors'!A221</f>
        <v>0</v>
      </c>
      <c r="B219">
        <f>'Emissions Factors'!B221</f>
        <v>0</v>
      </c>
      <c r="C219">
        <f>'Emissions Factors'!C221</f>
        <v>0</v>
      </c>
      <c r="D219" t="str">
        <f>'Emissions Factors'!D221</f>
        <v>3000mm diameter, up to 3m depth</v>
      </c>
      <c r="G219" t="str">
        <f t="shared" si="24"/>
        <v>Drainage</v>
      </c>
      <c r="H219" t="str">
        <f t="shared" si="25"/>
        <v>Precast concrete manholes</v>
      </c>
      <c r="I219" t="str">
        <f t="shared" si="26"/>
        <v>3000mm diameter, up to 3m depth</v>
      </c>
      <c r="J219" t="str">
        <f t="shared" si="27"/>
        <v>Precast concrete manholes3000mm diameter, up to 3m depth</v>
      </c>
      <c r="K219" t="str">
        <f>IF('Emissions Factors'!E221="","",'Emissions Factors'!E221)</f>
        <v>no.</v>
      </c>
      <c r="L219" t="str">
        <f>IF('Emissions Factors'!F221="","",'Emissions Factors'!F221)</f>
        <v>Concrete</v>
      </c>
      <c r="M219">
        <f>IF('Emissions Factors'!G221="","",'Emissions Factors'!G221)</f>
        <v>0.18436276223776224</v>
      </c>
      <c r="N219" t="str">
        <f>IF('Emissions Factors'!H221="","",'Emissions Factors'!H221)</f>
        <v>tCO2e/t</v>
      </c>
      <c r="O219">
        <f>IF('[1]Emissions Factors'!I220="","",'[1]Emissions Factors'!I220)</f>
        <v>17.16</v>
      </c>
      <c r="P219" t="str">
        <f>IF('Emissions Factors'!J221="",'Emissions Factors'!F221,'Emissions Factors'!J221)</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19">
        <v>1</v>
      </c>
      <c r="U219">
        <f t="shared" si="28"/>
        <v>25</v>
      </c>
      <c r="V219">
        <f t="shared" si="29"/>
        <v>31</v>
      </c>
    </row>
    <row r="220" spans="1:22" x14ac:dyDescent="0.3">
      <c r="A220">
        <f>'Emissions Factors'!A222</f>
        <v>0</v>
      </c>
      <c r="B220">
        <f>'Emissions Factors'!B222</f>
        <v>0</v>
      </c>
      <c r="C220">
        <f>'Emissions Factors'!C222</f>
        <v>0</v>
      </c>
      <c r="D220" t="str">
        <f>'Emissions Factors'!D222</f>
        <v>3000mm diameter, 3m - 6m depth</v>
      </c>
      <c r="G220" t="str">
        <f t="shared" si="24"/>
        <v>Drainage</v>
      </c>
      <c r="H220" t="str">
        <f t="shared" si="25"/>
        <v>Precast concrete manholes</v>
      </c>
      <c r="I220" t="str">
        <f t="shared" si="26"/>
        <v>3000mm diameter, 3m - 6m depth</v>
      </c>
      <c r="J220" t="str">
        <f t="shared" si="27"/>
        <v>Precast concrete manholes3000mm diameter, 3m - 6m depth</v>
      </c>
      <c r="K220" t="str">
        <f>IF('Emissions Factors'!E222="","",'Emissions Factors'!E222)</f>
        <v>no.</v>
      </c>
      <c r="L220" t="str">
        <f>IF('Emissions Factors'!F222="","",'Emissions Factors'!F222)</f>
        <v>Concrete</v>
      </c>
      <c r="M220">
        <f>IF('Emissions Factors'!G222="","",'Emissions Factors'!G222)</f>
        <v>0.17959178498985798</v>
      </c>
      <c r="N220" t="str">
        <f>IF('Emissions Factors'!H222="","",'Emissions Factors'!H222)</f>
        <v>tCO2e/t</v>
      </c>
      <c r="O220">
        <f>IF('[1]Emissions Factors'!I221="","",'[1]Emissions Factors'!I221)</f>
        <v>29.58</v>
      </c>
      <c r="P220" t="str">
        <f>IF('Emissions Factors'!J222="",'Emissions Factors'!F222,'Emissions Factors'!J222)</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20">
        <v>1</v>
      </c>
      <c r="U220">
        <f t="shared" si="28"/>
        <v>25</v>
      </c>
      <c r="V220">
        <f t="shared" si="29"/>
        <v>30</v>
      </c>
    </row>
    <row r="221" spans="1:22" x14ac:dyDescent="0.3">
      <c r="A221">
        <f>'Emissions Factors'!A223</f>
        <v>0</v>
      </c>
      <c r="B221">
        <f>'Emissions Factors'!B223</f>
        <v>0</v>
      </c>
      <c r="C221">
        <f>'Emissions Factors'!C223</f>
        <v>0</v>
      </c>
      <c r="D221" t="str">
        <f>'Emissions Factors'!D223</f>
        <v>4000 diameter, up to 3m depth</v>
      </c>
      <c r="G221" t="str">
        <f t="shared" si="24"/>
        <v>Drainage</v>
      </c>
      <c r="H221" t="str">
        <f t="shared" si="25"/>
        <v>Precast concrete manholes</v>
      </c>
      <c r="I221" t="str">
        <f t="shared" si="26"/>
        <v>4000 diameter, up to 3m depth</v>
      </c>
      <c r="J221" t="str">
        <f t="shared" si="27"/>
        <v>Precast concrete manholes4000 diameter, up to 3m depth</v>
      </c>
      <c r="K221" t="str">
        <f>IF('Emissions Factors'!E223="","",'Emissions Factors'!E223)</f>
        <v>no.</v>
      </c>
      <c r="L221" t="str">
        <f>IF('Emissions Factors'!F223="","",'Emissions Factors'!F223)</f>
        <v>Concrete</v>
      </c>
      <c r="M221">
        <f>IF('Emissions Factors'!G223="","",'Emissions Factors'!G223)</f>
        <v>0.1796729979466119</v>
      </c>
      <c r="N221" t="str">
        <f>IF('Emissions Factors'!H223="","",'Emissions Factors'!H223)</f>
        <v>tCO2e/t</v>
      </c>
      <c r="O221">
        <f>IF('[1]Emissions Factors'!I222="","",'[1]Emissions Factors'!I222)</f>
        <v>29.22</v>
      </c>
      <c r="P221" t="str">
        <f>IF('Emissions Factors'!J223="",'Emissions Factors'!F223,'Emissions Factors'!J223)</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21">
        <v>1</v>
      </c>
      <c r="U221">
        <f t="shared" si="28"/>
        <v>25</v>
      </c>
      <c r="V221">
        <f t="shared" si="29"/>
        <v>29</v>
      </c>
    </row>
    <row r="222" spans="1:22" x14ac:dyDescent="0.3">
      <c r="A222">
        <f>'Emissions Factors'!A224</f>
        <v>0</v>
      </c>
      <c r="B222">
        <f>'Emissions Factors'!B224</f>
        <v>0</v>
      </c>
      <c r="C222">
        <f>'Emissions Factors'!C224</f>
        <v>0</v>
      </c>
      <c r="D222" t="str">
        <f>'Emissions Factors'!D224</f>
        <v>4000 diameter, 3m - 6m depth</v>
      </c>
      <c r="G222" t="str">
        <f t="shared" si="24"/>
        <v>Drainage</v>
      </c>
      <c r="H222" t="str">
        <f t="shared" si="25"/>
        <v>Precast concrete manholes</v>
      </c>
      <c r="I222" t="str">
        <f t="shared" si="26"/>
        <v>4000 diameter, 3m - 6m depth</v>
      </c>
      <c r="J222" t="str">
        <f t="shared" si="27"/>
        <v>Precast concrete manholes4000 diameter, 3m - 6m depth</v>
      </c>
      <c r="K222" t="str">
        <f>IF('Emissions Factors'!E224="","",'Emissions Factors'!E224)</f>
        <v>no.</v>
      </c>
      <c r="L222" t="str">
        <f>IF('Emissions Factors'!F224="","",'Emissions Factors'!F224)</f>
        <v>Concrete</v>
      </c>
      <c r="M222">
        <f>IF('Emissions Factors'!G224="","",'Emissions Factors'!G224)</f>
        <v>0.17703695652173912</v>
      </c>
      <c r="N222" t="str">
        <f>IF('Emissions Factors'!H224="","",'Emissions Factors'!H224)</f>
        <v>tCO2e/t</v>
      </c>
      <c r="O222">
        <f>IF('[1]Emissions Factors'!I223="","",'[1]Emissions Factors'!I223)</f>
        <v>48.3</v>
      </c>
      <c r="P222" t="str">
        <f>IF('Emissions Factors'!J224="",'Emissions Factors'!F224,'Emissions Factors'!J224)</f>
        <v>Carbon factor uses ICE V4: Concrete &gt; Precast RC40/50 with average UK additions. and ICE V4: ICE Summary &gt; Iron &gt; General for covers. Factor presented is weighted average based on relative estimated mass of precast concrete and ductile iron cover and frame. Conversion factor based on indicative unit mass from supplier for concrete shafts and cover slabs, assumed max. depth for category, and indicative unit mass for iron cover and frame from supplier.</v>
      </c>
      <c r="R222">
        <v>1</v>
      </c>
      <c r="U222">
        <f t="shared" si="28"/>
        <v>25</v>
      </c>
      <c r="V222">
        <f t="shared" si="29"/>
        <v>28</v>
      </c>
    </row>
    <row r="223" spans="1:22" x14ac:dyDescent="0.3">
      <c r="A223">
        <f>'Emissions Factors'!A225</f>
        <v>0</v>
      </c>
      <c r="B223">
        <f>'Emissions Factors'!B225</f>
        <v>0</v>
      </c>
      <c r="C223" t="str">
        <f>'Emissions Factors'!C225</f>
        <v>Precast concrete inspection chambers</v>
      </c>
      <c r="D223" t="str">
        <f>'Emissions Factors'!D225</f>
        <v>600mm diameter, up to 1.2m depth</v>
      </c>
      <c r="G223" t="str">
        <f t="shared" si="24"/>
        <v>Drainage</v>
      </c>
      <c r="H223" t="str">
        <f t="shared" si="25"/>
        <v>Precast concrete inspection chambers</v>
      </c>
      <c r="I223" t="str">
        <f t="shared" si="26"/>
        <v>600mm diameter, up to 1.2m depth</v>
      </c>
      <c r="J223" t="str">
        <f t="shared" si="27"/>
        <v>Precast concrete inspection chambers600mm diameter, up to 1.2m depth</v>
      </c>
      <c r="K223" t="str">
        <f>IF('Emissions Factors'!E225="","",'Emissions Factors'!E225)</f>
        <v>no.</v>
      </c>
      <c r="L223" t="str">
        <f>IF('Emissions Factors'!F225="","",'Emissions Factors'!F225)</f>
        <v>Concrete</v>
      </c>
      <c r="M223">
        <f>IF('Emissions Factors'!G225="","",'Emissions Factors'!G225)</f>
        <v>0.27503296703296698</v>
      </c>
      <c r="N223" t="str">
        <f>IF('Emissions Factors'!H225="","",'Emissions Factors'!H225)</f>
        <v>tCO2e/t</v>
      </c>
      <c r="O223">
        <f>IF('[1]Emissions Factors'!I224="","",'[1]Emissions Factors'!I224)</f>
        <v>0.36399999999999999</v>
      </c>
      <c r="P223" t="str">
        <f>IF('Emissions Factors'!J225="",'Emissions Factors'!F225,'Emissions Factors'!J225)</f>
        <v>Carbon factor taken directly from the ICE V4: Concrete &gt; 40/50mpa + precast factor. Factor presented is weighted average based on relative estimated mass of precast concrete and ductile iron cover and frame. Conversion factor based on indicative unit mass from supplier for concrete house inspection chambers.</v>
      </c>
      <c r="R223">
        <v>1</v>
      </c>
      <c r="U223">
        <f t="shared" si="28"/>
        <v>36</v>
      </c>
      <c r="V223">
        <f t="shared" si="29"/>
        <v>32</v>
      </c>
    </row>
    <row r="224" spans="1:22" x14ac:dyDescent="0.3">
      <c r="A224">
        <f>'Emissions Factors'!A226</f>
        <v>0</v>
      </c>
      <c r="B224">
        <f>'Emissions Factors'!B226</f>
        <v>0</v>
      </c>
      <c r="C224">
        <f>'Emissions Factors'!C226</f>
        <v>0</v>
      </c>
      <c r="D224" t="str">
        <f>'Emissions Factors'!D226</f>
        <v>750mm diameter, up to 1.2m depth</v>
      </c>
      <c r="G224" t="str">
        <f t="shared" si="24"/>
        <v>Drainage</v>
      </c>
      <c r="H224" t="str">
        <f t="shared" si="25"/>
        <v>Precast concrete inspection chambers</v>
      </c>
      <c r="I224" t="str">
        <f t="shared" si="26"/>
        <v>750mm diameter, up to 1.2m depth</v>
      </c>
      <c r="J224" t="str">
        <f t="shared" si="27"/>
        <v>Precast concrete inspection chambers750mm diameter, up to 1.2m depth</v>
      </c>
      <c r="K224" t="str">
        <f>IF('Emissions Factors'!E226="","",'Emissions Factors'!E226)</f>
        <v>no.</v>
      </c>
      <c r="L224" t="str">
        <f>IF('Emissions Factors'!F226="","",'Emissions Factors'!F226)</f>
        <v>Concrete</v>
      </c>
      <c r="M224">
        <f>IF('Emissions Factors'!G226="","",'Emissions Factors'!G226)</f>
        <v>0.23979856115107911</v>
      </c>
      <c r="N224" t="str">
        <f>IF('Emissions Factors'!H226="","",'Emissions Factors'!H226)</f>
        <v>tCO2e/t</v>
      </c>
      <c r="O224">
        <f>IF('[1]Emissions Factors'!I225="","",'[1]Emissions Factors'!I225)</f>
        <v>0.55600000000000005</v>
      </c>
      <c r="P224" t="str">
        <f>IF('Emissions Factors'!J226="",'Emissions Factors'!F226,'Emissions Factors'!J226)</f>
        <v>Carbon factor taken directly from the ICE V4: Concrete &gt; 40/50mpa + precast factor. Factor presented is weighted average based on relative estimated mass of precast concrete and ductile iron cover and frame. Conversion factor based on indicative unit mass from supplier for concrete house inspection chambers.</v>
      </c>
      <c r="R224">
        <v>1</v>
      </c>
      <c r="U224">
        <f t="shared" si="28"/>
        <v>36</v>
      </c>
      <c r="V224">
        <f t="shared" si="29"/>
        <v>32</v>
      </c>
    </row>
    <row r="225" spans="1:22" x14ac:dyDescent="0.3">
      <c r="A225">
        <f>'Emissions Factors'!A227</f>
        <v>0</v>
      </c>
      <c r="B225">
        <f>'Emissions Factors'!B227</f>
        <v>0</v>
      </c>
      <c r="C225">
        <f>'Emissions Factors'!C227</f>
        <v>0</v>
      </c>
      <c r="D225" t="str">
        <f>'Emissions Factors'!D227</f>
        <v>1000mm diameter, 1.2m - 3m depth</v>
      </c>
      <c r="G225" t="str">
        <f t="shared" si="24"/>
        <v>Drainage</v>
      </c>
      <c r="H225" t="str">
        <f t="shared" si="25"/>
        <v>Precast concrete inspection chambers</v>
      </c>
      <c r="I225" t="str">
        <f t="shared" si="26"/>
        <v>1000mm diameter, 1.2m - 3m depth</v>
      </c>
      <c r="J225" t="str">
        <f t="shared" si="27"/>
        <v>Precast concrete inspection chambers1000mm diameter, 1.2m - 3m depth</v>
      </c>
      <c r="K225" t="str">
        <f>IF('Emissions Factors'!E227="","",'Emissions Factors'!E227)</f>
        <v>no.</v>
      </c>
      <c r="L225" t="str">
        <f>IF('Emissions Factors'!F227="","",'Emissions Factors'!F227)</f>
        <v>Concrete</v>
      </c>
      <c r="M225">
        <f>IF('Emissions Factors'!G227="","",'Emissions Factors'!G227)</f>
        <v>0.19418653736451794</v>
      </c>
      <c r="N225" t="str">
        <f>IF('Emissions Factors'!H227="","",'Emissions Factors'!H227)</f>
        <v>tCO2e/t</v>
      </c>
      <c r="O225">
        <f>IF('[1]Emissions Factors'!I226="","",'[1]Emissions Factors'!I226)</f>
        <v>1.7530000000000001</v>
      </c>
      <c r="P225" t="str">
        <f>IF('Emissions Factors'!J227="",'Emissions Factors'!F227,'Emissions Factors'!J227)</f>
        <v>Carbon factor taken directly from the ICE V4: Concrete &gt; 40/50mpa + precast factor. Factor presented is weighted average based on relative estimated mass of precast concrete and ductile iron cover and frame. Conversion factor based on indicative unit mass from supplier for concrete house inspection chambers.</v>
      </c>
      <c r="R225">
        <v>1</v>
      </c>
      <c r="U225">
        <f t="shared" si="28"/>
        <v>36</v>
      </c>
      <c r="V225">
        <f t="shared" si="29"/>
        <v>32</v>
      </c>
    </row>
    <row r="226" spans="1:22" x14ac:dyDescent="0.3">
      <c r="A226">
        <f>'Emissions Factors'!A228</f>
        <v>0</v>
      </c>
      <c r="B226">
        <f>'Emissions Factors'!B228</f>
        <v>0</v>
      </c>
      <c r="C226" t="str">
        <f>'Emissions Factors'!C228</f>
        <v>Plastic inspection chambers</v>
      </c>
      <c r="D226" t="str">
        <f>'Emissions Factors'!D228</f>
        <v>450mm diameter, up to 1.2m depth</v>
      </c>
      <c r="G226" t="str">
        <f t="shared" si="24"/>
        <v>Drainage</v>
      </c>
      <c r="H226" t="str">
        <f t="shared" si="25"/>
        <v>Plastic inspection chambers</v>
      </c>
      <c r="I226" t="str">
        <f t="shared" si="26"/>
        <v>450mm diameter, up to 1.2m depth</v>
      </c>
      <c r="J226" t="str">
        <f t="shared" si="27"/>
        <v>Plastic inspection chambers450mm diameter, up to 1.2m depth</v>
      </c>
      <c r="K226" t="str">
        <f>IF('Emissions Factors'!E228="","",'Emissions Factors'!E228)</f>
        <v>no.</v>
      </c>
      <c r="L226" t="str">
        <f>IF('Emissions Factors'!F228="","",'Emissions Factors'!F228)</f>
        <v>Steel</v>
      </c>
      <c r="M226">
        <f>IF('Emissions Factors'!G228="","",'Emissions Factors'!G228)</f>
        <v>3.0663888888888886</v>
      </c>
      <c r="N226" t="str">
        <f>IF('Emissions Factors'!H228="","",'Emissions Factors'!H228)</f>
        <v>tCO2e/t</v>
      </c>
      <c r="O226">
        <f>IF('[1]Emissions Factors'!I227="","",'[1]Emissions Factors'!I227)</f>
        <v>3.456E-2</v>
      </c>
      <c r="P226" t="str">
        <f>IF('Emissions Factors'!J228="",'Emissions Factors'!F228,'Emissions Factors'!J228)</f>
        <v>Carbon factor uses ICE V4: ICE Summary &gt; Plastic &gt; Polypropylene, injection moulding for plastic module and ICE V4: ICE Summary &gt; Iron &gt; General for covers and frames. Factor presented is weighted average based on estimated relative masses of plastic pot and ductile iron cover and frame. Conversion factor based on indicative unit masses for plastic chamber from supplier and ductile iron cover and frame from supplier. Concrete elements for cover and frame support are assumed to be cast in-situ and thus included in bulk materials category; concrete elements here are excluded.</v>
      </c>
      <c r="R226">
        <v>1</v>
      </c>
      <c r="U226">
        <f t="shared" si="28"/>
        <v>27</v>
      </c>
      <c r="V226">
        <f t="shared" si="29"/>
        <v>32</v>
      </c>
    </row>
    <row r="227" spans="1:22" x14ac:dyDescent="0.3">
      <c r="A227">
        <f>'Emissions Factors'!A229</f>
        <v>0</v>
      </c>
      <c r="B227">
        <f>'Emissions Factors'!B229</f>
        <v>0</v>
      </c>
      <c r="C227">
        <f>'Emissions Factors'!C229</f>
        <v>0</v>
      </c>
      <c r="D227" t="str">
        <f>'Emissions Factors'!D229</f>
        <v>600mm diameter, up to 1.2m depth</v>
      </c>
      <c r="G227" t="str">
        <f t="shared" si="24"/>
        <v>Drainage</v>
      </c>
      <c r="H227" t="str">
        <f t="shared" si="25"/>
        <v>Plastic inspection chambers</v>
      </c>
      <c r="I227" t="str">
        <f t="shared" si="26"/>
        <v>600mm diameter, up to 1.2m depth</v>
      </c>
      <c r="J227" t="str">
        <f t="shared" si="27"/>
        <v>Plastic inspection chambers600mm diameter, up to 1.2m depth</v>
      </c>
      <c r="K227" t="str">
        <f>IF('Emissions Factors'!E229="","",'Emissions Factors'!E229)</f>
        <v>no.</v>
      </c>
      <c r="L227" t="str">
        <f>IF('Emissions Factors'!F229="","",'Emissions Factors'!F229)</f>
        <v>Plastic</v>
      </c>
      <c r="M227">
        <f>IF('Emissions Factors'!G229="","",'Emissions Factors'!G229)</f>
        <v>4.2296825396825399</v>
      </c>
      <c r="N227" t="str">
        <f>IF('Emissions Factors'!H229="","",'Emissions Factors'!H229)</f>
        <v>tCO2e/t</v>
      </c>
      <c r="O227">
        <f>IF('[1]Emissions Factors'!I228="","",'[1]Emissions Factors'!I228)</f>
        <v>0.189</v>
      </c>
      <c r="P227" t="str">
        <f>IF('Emissions Factors'!J229="",'Emissions Factors'!F229,'Emissions Factors'!J229)</f>
        <v>Carbon factor uses ICE V4: ICE Summary &gt; Plastic &gt; Polypropylene, injection moulding for plastic module and ICE V4: ICE Summary &gt; Iron &gt; General for covers and frames. Factor presented is weighted average based on estimated relative masses of plastic pot and ductile iron cover and frame. Conversion factor based on indicative unit masses for plastic chamber from supplier and ductile iron cover and frame from supplier. Concrete elements for cover and frame support are assumed to be cast in-situ and thus included in bulk materials category; concrete elements here are excluded.</v>
      </c>
      <c r="R227">
        <v>1</v>
      </c>
      <c r="U227">
        <f t="shared" si="28"/>
        <v>27</v>
      </c>
      <c r="V227">
        <f t="shared" si="29"/>
        <v>32</v>
      </c>
    </row>
    <row r="228" spans="1:22" x14ac:dyDescent="0.3">
      <c r="A228">
        <f>'Emissions Factors'!A230</f>
        <v>0</v>
      </c>
      <c r="B228">
        <f>'Emissions Factors'!B230</f>
        <v>0</v>
      </c>
      <c r="C228">
        <f>'Emissions Factors'!C230</f>
        <v>0</v>
      </c>
      <c r="D228" t="str">
        <f>'Emissions Factors'!D230</f>
        <v>600mm diameter, 1.2m - 3m depth</v>
      </c>
      <c r="G228" t="str">
        <f t="shared" si="24"/>
        <v>Drainage</v>
      </c>
      <c r="H228" t="str">
        <f t="shared" si="25"/>
        <v>Plastic inspection chambers</v>
      </c>
      <c r="I228" t="str">
        <f t="shared" si="26"/>
        <v>600mm diameter, 1.2m - 3m depth</v>
      </c>
      <c r="J228" t="str">
        <f t="shared" si="27"/>
        <v>Plastic inspection chambers600mm diameter, 1.2m - 3m depth</v>
      </c>
      <c r="K228" t="str">
        <f>IF('Emissions Factors'!E230="","",'Emissions Factors'!E230)</f>
        <v>no.</v>
      </c>
      <c r="L228" t="str">
        <f>IF('Emissions Factors'!F230="","",'Emissions Factors'!F230)</f>
        <v>Plastic</v>
      </c>
      <c r="M228">
        <f>IF('Emissions Factors'!G230="","",'Emissions Factors'!G230)</f>
        <v>4.3389407430150442</v>
      </c>
      <c r="N228" t="str">
        <f>IF('Emissions Factors'!H230="","",'Emissions Factors'!H230)</f>
        <v>tCO2e/t</v>
      </c>
      <c r="O228">
        <f>IF('[1]Emissions Factors'!I229="","",'[1]Emissions Factors'!I229)</f>
        <v>0.32569999999999999</v>
      </c>
      <c r="P228" t="str">
        <f>IF('Emissions Factors'!J230="",'Emissions Factors'!F230,'Emissions Factors'!J230)</f>
        <v>Carbon factor uses ICE V4: ICE Summary &gt; Plastic &gt; Polypropylene, injection moulding for plastic module and ICE V4: ICE Summary &gt; Iron &gt; General for covers and frames. Factor presented is weighted average based on estimated relative masses of plastic pot and ductile iron cover and frame. Conversion factor based on indicative unit masses for plastic chamber from supplier and ductile iron cover and frame from supplier. Concrete elements for cover and frame support are assumed to be cast in-situ and thus included in bulk materials category; concrete elements here are excluded.</v>
      </c>
      <c r="R228">
        <v>1</v>
      </c>
      <c r="U228">
        <f t="shared" si="28"/>
        <v>27</v>
      </c>
      <c r="V228">
        <f t="shared" si="29"/>
        <v>31</v>
      </c>
    </row>
    <row r="229" spans="1:22" x14ac:dyDescent="0.3">
      <c r="A229">
        <f>'Emissions Factors'!A231</f>
        <v>0</v>
      </c>
      <c r="B229">
        <f>'Emissions Factors'!B231</f>
        <v>0</v>
      </c>
      <c r="C229" t="str">
        <f>'Emissions Factors'!C231</f>
        <v>Gullies</v>
      </c>
      <c r="D229" t="str">
        <f>'Emissions Factors'!D231</f>
        <v>Plastic gully pots - PVC</v>
      </c>
      <c r="G229" t="str">
        <f t="shared" si="24"/>
        <v>Drainage</v>
      </c>
      <c r="H229" t="str">
        <f t="shared" si="25"/>
        <v>Gullies</v>
      </c>
      <c r="I229" t="str">
        <f t="shared" si="26"/>
        <v>Plastic gully pots - PVC</v>
      </c>
      <c r="J229" t="str">
        <f t="shared" si="27"/>
        <v>GulliesPlastic gully pots - PVC</v>
      </c>
      <c r="K229" t="str">
        <f>IF('Emissions Factors'!E231="","",'Emissions Factors'!E231)</f>
        <v>no.</v>
      </c>
      <c r="L229" t="str">
        <f>IF('Emissions Factors'!F231="","",'Emissions Factors'!F231)</f>
        <v>Plastic</v>
      </c>
      <c r="M229">
        <f>IF('Emissions Factors'!G231="","",'Emissions Factors'!G231)</f>
        <v>2.5952830188679243</v>
      </c>
      <c r="N229" t="str">
        <f>IF('Emissions Factors'!H231="","",'Emissions Factors'!H231)</f>
        <v>tCO2e/t</v>
      </c>
      <c r="O229">
        <f>IF('[1]Emissions Factors'!I230="","",'[1]Emissions Factors'!I230)</f>
        <v>2.12E-2</v>
      </c>
      <c r="P229" t="str">
        <f>IF('Emissions Factors'!J231="",'Emissions Factors'!F231,'Emissions Factors'!J231)</f>
        <v>Carbon factor uses ICE V4: ICE Summary &gt; Plastic &gt; PVC Injection Moulding for plastic pot and ICE V4:  ICE Summary &gt; Iron &gt; General for covers. Factor presented is weighted average based on relative estimated mass of plastic pot and ductile iron cover and frame. Conversion factor based on indicative plastic volume in gully pot DN150 and 300mm depth, PVC density of approximately 1.3t/m3, and indicative unit mass for DN150 grating from supplier.</v>
      </c>
      <c r="R229">
        <v>1</v>
      </c>
      <c r="U229">
        <f t="shared" si="28"/>
        <v>7</v>
      </c>
      <c r="V229">
        <f t="shared" si="29"/>
        <v>24</v>
      </c>
    </row>
    <row r="230" spans="1:22" x14ac:dyDescent="0.3">
      <c r="A230">
        <f>'Emissions Factors'!A232</f>
        <v>0</v>
      </c>
      <c r="B230">
        <f>'Emissions Factors'!B232</f>
        <v>0</v>
      </c>
      <c r="C230">
        <f>'Emissions Factors'!C232</f>
        <v>0</v>
      </c>
      <c r="D230" t="str">
        <f>'Emissions Factors'!D232</f>
        <v>Plastic gully pots - PE</v>
      </c>
      <c r="G230" t="str">
        <f t="shared" si="24"/>
        <v>Drainage</v>
      </c>
      <c r="H230" t="str">
        <f t="shared" si="25"/>
        <v>Gullies</v>
      </c>
      <c r="I230" t="str">
        <f t="shared" si="26"/>
        <v>Plastic gully pots - PE</v>
      </c>
      <c r="J230" t="str">
        <f t="shared" si="27"/>
        <v>GulliesPlastic gully pots - PE</v>
      </c>
      <c r="K230" t="str">
        <f>IF('Emissions Factors'!E232="","",'Emissions Factors'!E232)</f>
        <v>no.</v>
      </c>
      <c r="L230" t="str">
        <f>IF('Emissions Factors'!F232="","",'Emissions Factors'!F232)</f>
        <v>Plastic</v>
      </c>
      <c r="M230">
        <f>IF('Emissions Factors'!G232="","",'Emissions Factors'!G232)</f>
        <v>2.2959808612440189</v>
      </c>
      <c r="N230" t="str">
        <f>IF('Emissions Factors'!H232="","",'Emissions Factors'!H232)</f>
        <v>tCO2e/t</v>
      </c>
      <c r="O230">
        <f>IF('[1]Emissions Factors'!I231="","",'[1]Emissions Factors'!I231)</f>
        <v>2.0899999999999998E-2</v>
      </c>
      <c r="P230" t="str">
        <f>IF('Emissions Factors'!J232="",'Emissions Factors'!F232,'Emissions Factors'!J232)</f>
        <v>Carbon factor uses ICE V4: ICE Summary &gt;  Plastic &gt; Polyethylene for plastic pot and ICE V4:  ICE Summary &gt; Iron &gt; General for covers. Factor presented is weighted average based on relative estimated mass of plastic pot and ductile iron cover and frame. Conversion factor based on indicative plastic volume in gully pot DN150 and 300mm depth, HDPE density of approximately 0.97t/m3, and indicative unit mass for DN150 grating from supplier.</v>
      </c>
      <c r="R230">
        <v>1</v>
      </c>
      <c r="U230">
        <f t="shared" si="28"/>
        <v>7</v>
      </c>
      <c r="V230">
        <f t="shared" si="29"/>
        <v>23</v>
      </c>
    </row>
    <row r="231" spans="1:22" x14ac:dyDescent="0.3">
      <c r="A231">
        <f>'Emissions Factors'!A233</f>
        <v>0</v>
      </c>
      <c r="B231">
        <f>'Emissions Factors'!B233</f>
        <v>0</v>
      </c>
      <c r="C231">
        <f>'Emissions Factors'!C233</f>
        <v>0</v>
      </c>
      <c r="D231" t="str">
        <f>'Emissions Factors'!D233</f>
        <v>Plastic gully pots - PP</v>
      </c>
      <c r="G231" t="str">
        <f t="shared" si="24"/>
        <v>Drainage</v>
      </c>
      <c r="H231" t="str">
        <f t="shared" si="25"/>
        <v>Gullies</v>
      </c>
      <c r="I231" t="str">
        <f t="shared" si="26"/>
        <v>Plastic gully pots - PP</v>
      </c>
      <c r="J231" t="str">
        <f t="shared" si="27"/>
        <v>GulliesPlastic gully pots - PP</v>
      </c>
      <c r="K231" t="str">
        <f>IF('Emissions Factors'!E233="","",'Emissions Factors'!E233)</f>
        <v>no.</v>
      </c>
      <c r="L231" t="str">
        <f>IF('Emissions Factors'!F233="","",'Emissions Factors'!F233)</f>
        <v>Plastic</v>
      </c>
      <c r="M231">
        <f>IF('Emissions Factors'!G233="","",'Emissions Factors'!G233)</f>
        <v>3.3129665071770336</v>
      </c>
      <c r="N231" t="str">
        <f>IF('Emissions Factors'!H233="","",'Emissions Factors'!H233)</f>
        <v>tCO2e/t</v>
      </c>
      <c r="O231">
        <f>IF('[1]Emissions Factors'!I232="","",'[1]Emissions Factors'!I232)</f>
        <v>2.0899999999999998E-2</v>
      </c>
      <c r="P231" t="str">
        <f>IF('Emissions Factors'!J233="",'Emissions Factors'!F233,'Emissions Factors'!J233)</f>
        <v>Carbon factor uses ICE V4:  ICE Summary &gt; Plastic &gt; Polypropylene Injection Moulding for plastic pot and ICE V4:  ICE Summary &gt; Iron &gt; General for covers. Factor presented is weighted average based on relative estimated mass of plastic pot and ductile iron cover and frame. Conversion factor based on indicative plastic volume in gully pot DN150 and 300mm depth, PP density of approximately 0.946t/m3, and indicative unit mass for DN150 grating from supplier.</v>
      </c>
      <c r="R231">
        <v>1</v>
      </c>
      <c r="U231">
        <f t="shared" si="28"/>
        <v>7</v>
      </c>
      <c r="V231">
        <f t="shared" si="29"/>
        <v>23</v>
      </c>
    </row>
    <row r="232" spans="1:22" x14ac:dyDescent="0.3">
      <c r="A232">
        <f>'Emissions Factors'!A234</f>
        <v>0</v>
      </c>
      <c r="B232">
        <f>'Emissions Factors'!B234</f>
        <v>0</v>
      </c>
      <c r="C232">
        <f>'Emissions Factors'!C234</f>
        <v>0</v>
      </c>
      <c r="D232" t="str">
        <f>'Emissions Factors'!D234</f>
        <v>Precast concrete gully pots (heavy duty)</v>
      </c>
      <c r="G232" t="str">
        <f t="shared" si="24"/>
        <v>Drainage</v>
      </c>
      <c r="H232" t="str">
        <f t="shared" si="25"/>
        <v>Gullies</v>
      </c>
      <c r="I232" t="str">
        <f t="shared" si="26"/>
        <v>Precast concrete gully pots (heavy duty)</v>
      </c>
      <c r="J232" t="str">
        <f t="shared" si="27"/>
        <v>GulliesPrecast concrete gully pots (heavy duty)</v>
      </c>
      <c r="K232" t="str">
        <f>IF('Emissions Factors'!E234="","",'Emissions Factors'!E234)</f>
        <v>no.</v>
      </c>
      <c r="L232" t="str">
        <f>IF('Emissions Factors'!F234="","",'Emissions Factors'!F234)</f>
        <v>Concrete</v>
      </c>
      <c r="M232">
        <f>IF('Emissions Factors'!G234="","",'Emissions Factors'!G234)</f>
        <v>0.17899999999999999</v>
      </c>
      <c r="N232" t="str">
        <f>IF('Emissions Factors'!H234="","",'Emissions Factors'!H234)</f>
        <v>tCO2e/t</v>
      </c>
      <c r="O232">
        <f>IF('[1]Emissions Factors'!I233="","",'[1]Emissions Factors'!I233)</f>
        <v>0.46500000000000002</v>
      </c>
      <c r="P232" t="str">
        <f>IF('Emissions Factors'!J234="",'Emissions Factors'!F234,'Emissions Factors'!J234)</f>
        <v>Carbon factor uses ICE V4: Concrete &gt; OPC precast concrete and ICE V4: ICE Summary &gt; Iron &gt; General for covers. Factor presented is weighted average based on relative estimated mass of precast concrete and ductile iron cover and frame. Conversion factor based on indicative unit mass from supplier for typical concrete gully pot DN450 and 900mm depth and suitable cover slab, and indicative unit mass for iron cover and frame from supplier.</v>
      </c>
      <c r="R232">
        <v>1</v>
      </c>
      <c r="U232">
        <f t="shared" si="28"/>
        <v>7</v>
      </c>
      <c r="V232">
        <f t="shared" si="29"/>
        <v>40</v>
      </c>
    </row>
    <row r="233" spans="1:22" x14ac:dyDescent="0.3">
      <c r="A233">
        <f>'Emissions Factors'!A235</f>
        <v>0</v>
      </c>
      <c r="B233">
        <f>'Emissions Factors'!B235</f>
        <v>0</v>
      </c>
      <c r="C233" t="str">
        <f>'Emissions Factors'!C235</f>
        <v>Channel &amp; slot drains</v>
      </c>
      <c r="D233" t="str">
        <f>'Emissions Factors'!D235</f>
        <v>Plastic (Polypropylene) channel (light duty)</v>
      </c>
      <c r="G233" t="str">
        <f t="shared" si="24"/>
        <v>Drainage</v>
      </c>
      <c r="H233" t="str">
        <f t="shared" si="25"/>
        <v>Channel &amp; slot drains</v>
      </c>
      <c r="I233" t="str">
        <f t="shared" si="26"/>
        <v>Plastic (Polypropylene) channel (light duty)</v>
      </c>
      <c r="J233" t="str">
        <f t="shared" si="27"/>
        <v>Channel &amp; slot drainsPlastic (Polypropylene) channel (light duty)</v>
      </c>
      <c r="K233" t="str">
        <f>IF('Emissions Factors'!E235="","",'Emissions Factors'!E235)</f>
        <v>metres</v>
      </c>
      <c r="L233" t="str">
        <f>IF('Emissions Factors'!F235="","",'Emissions Factors'!F235)</f>
        <v>Steel</v>
      </c>
      <c r="M233">
        <f>IF('Emissions Factors'!G235="","",'Emissions Factors'!G235)</f>
        <v>3.3719999999999999</v>
      </c>
      <c r="N233" t="str">
        <f>IF('Emissions Factors'!H235="","",'Emissions Factors'!H235)</f>
        <v>tCO2e/t</v>
      </c>
      <c r="O233">
        <f>IF('[1]Emissions Factors'!I234="","",'[1]Emissions Factors'!I234)</f>
        <v>2.1999999999999999E-2</v>
      </c>
      <c r="P233" t="str">
        <f>IF('Emissions Factors'!J235="",'Emissions Factors'!F235,'Emissions Factors'!J235)</f>
        <v>Carbon factor uses ICE V4: ICE Summary &gt; Plastic &gt; Polypropylene Injection Moulding for plastic channel and ICE V4: ICE Summary &gt; Iron &gt; General for channel gratings. Factor presented is weighted average based on relative estimated mass of plastic and ductile iron. Conversion factor based on indicative unit mass from supplier for light duty polypropylene 150mm channel, and indicative unit mass for C250 rated ductile iron grating from supplier.</v>
      </c>
      <c r="R233">
        <v>1</v>
      </c>
      <c r="U233">
        <f t="shared" si="28"/>
        <v>21</v>
      </c>
      <c r="V233">
        <f t="shared" si="29"/>
        <v>44</v>
      </c>
    </row>
    <row r="234" spans="1:22" x14ac:dyDescent="0.3">
      <c r="A234">
        <f>'Emissions Factors'!A236</f>
        <v>0</v>
      </c>
      <c r="B234">
        <f>'Emissions Factors'!B236</f>
        <v>0</v>
      </c>
      <c r="C234">
        <f>'Emissions Factors'!C236</f>
        <v>0</v>
      </c>
      <c r="D234" t="str">
        <f>'Emissions Factors'!D236</f>
        <v>Precast concrete channel (heavy duty)</v>
      </c>
      <c r="G234" t="str">
        <f t="shared" si="24"/>
        <v>Drainage</v>
      </c>
      <c r="H234" t="str">
        <f t="shared" si="25"/>
        <v>Channel &amp; slot drains</v>
      </c>
      <c r="I234" t="str">
        <f t="shared" si="26"/>
        <v>Precast concrete channel (heavy duty)</v>
      </c>
      <c r="J234" t="str">
        <f t="shared" si="27"/>
        <v>Channel &amp; slot drainsPrecast concrete channel (heavy duty)</v>
      </c>
      <c r="K234" t="str">
        <f>IF('Emissions Factors'!E236="","",'Emissions Factors'!E236)</f>
        <v>metres</v>
      </c>
      <c r="L234" t="str">
        <f>IF('Emissions Factors'!F236="","",'Emissions Factors'!F236)</f>
        <v>Concrete</v>
      </c>
      <c r="M234">
        <f>IF('Emissions Factors'!G236="","",'Emissions Factors'!G236)</f>
        <v>0.29699999999999999</v>
      </c>
      <c r="N234" t="str">
        <f>IF('Emissions Factors'!H236="","",'Emissions Factors'!H236)</f>
        <v>tCO2e/t</v>
      </c>
      <c r="O234">
        <f>IF('[1]Emissions Factors'!I235="","",'[1]Emissions Factors'!I235)</f>
        <v>0.15</v>
      </c>
      <c r="P234" t="str">
        <f>IF('Emissions Factors'!J236="",'Emissions Factors'!F236,'Emissions Factors'!J236)</f>
        <v>Carbon factor uses ICE V4: Concrete &gt; Precast RC40/50 with average UK additions and ICE V4: ICE Summary &gt; Iron &gt; General for channel gratings. Factor presented is weighted average based on relative estimated mass of precast concrete and ductile iron. Conversion factor estimated based on technical specs from ACO for heavy duty 200mm channel, and indicative unit mass for D400 rated ductile iron grating from supplier.</v>
      </c>
      <c r="R234">
        <v>1</v>
      </c>
      <c r="U234">
        <f t="shared" si="28"/>
        <v>21</v>
      </c>
      <c r="V234">
        <f t="shared" si="29"/>
        <v>37</v>
      </c>
    </row>
    <row r="235" spans="1:22" x14ac:dyDescent="0.3">
      <c r="A235">
        <f>'Emissions Factors'!A237</f>
        <v>0</v>
      </c>
      <c r="B235">
        <f>'Emissions Factors'!B237</f>
        <v>0</v>
      </c>
      <c r="C235" t="str">
        <f>'Emissions Factors'!C237</f>
        <v>Headwalls</v>
      </c>
      <c r="D235" t="str">
        <f>'Emissions Factors'!D237</f>
        <v>Brick (includes mortar)</v>
      </c>
      <c r="G235" t="str">
        <f t="shared" si="24"/>
        <v>Drainage</v>
      </c>
      <c r="H235" t="str">
        <f t="shared" si="25"/>
        <v>Headwalls</v>
      </c>
      <c r="I235" t="str">
        <f t="shared" si="26"/>
        <v>Brick (includes mortar)</v>
      </c>
      <c r="J235" t="str">
        <f t="shared" si="27"/>
        <v>HeadwallsBrick (includes mortar)</v>
      </c>
      <c r="K235" t="str">
        <f>IF('Emissions Factors'!E237="","",'Emissions Factors'!E237)</f>
        <v>no.</v>
      </c>
      <c r="L235" t="str">
        <f>IF('Emissions Factors'!F237="","",'Emissions Factors'!F237)</f>
        <v>Brick and Blockwork</v>
      </c>
      <c r="M235">
        <f>IF('Emissions Factors'!G237="","",'Emissions Factors'!G237)</f>
        <v>0.20130000000000001</v>
      </c>
      <c r="N235" t="str">
        <f>IF('Emissions Factors'!H237="","",'Emissions Factors'!H237)</f>
        <v>tCO2e/t</v>
      </c>
      <c r="O235">
        <f>IF('[1]Emissions Factors'!I236="","",'[1]Emissions Factors'!I236)</f>
        <v>2.5834349999999998E-3</v>
      </c>
      <c r="P235" t="str">
        <f>IF('Emissions Factors'!J237="",'Emissions Factors'!F237,'Emissions Factors'!J237)</f>
        <v>Carbon factor taken directly from the ICE V4: Brick &gt; General. Assumed weight of brick is 2.13kg and 10mm of mortar.</v>
      </c>
      <c r="R235">
        <v>1</v>
      </c>
      <c r="U235">
        <f t="shared" si="28"/>
        <v>9</v>
      </c>
      <c r="V235">
        <f t="shared" si="29"/>
        <v>23</v>
      </c>
    </row>
    <row r="236" spans="1:22" x14ac:dyDescent="0.3">
      <c r="A236">
        <f>'Emissions Factors'!A238</f>
        <v>0</v>
      </c>
      <c r="B236">
        <f>'Emissions Factors'!B238</f>
        <v>0</v>
      </c>
      <c r="C236">
        <f>'Emissions Factors'!C238</f>
        <v>0</v>
      </c>
      <c r="D236" t="str">
        <f>'Emissions Factors'!D238</f>
        <v>In-situ reinforced concrete</v>
      </c>
      <c r="G236" t="str">
        <f t="shared" si="24"/>
        <v>Drainage</v>
      </c>
      <c r="H236" t="str">
        <f t="shared" si="25"/>
        <v>Headwalls</v>
      </c>
      <c r="I236" t="str">
        <f t="shared" si="26"/>
        <v>In-situ reinforced concrete</v>
      </c>
      <c r="J236" t="str">
        <f t="shared" si="27"/>
        <v>HeadwallsIn-situ reinforced concrete</v>
      </c>
      <c r="K236" t="str">
        <f>IF('Emissions Factors'!E238="","",'Emissions Factors'!E238)</f>
        <v/>
      </c>
      <c r="L236" t="str">
        <f>IF('Emissions Factors'!F238="","",'Emissions Factors'!F238)</f>
        <v>Please include this within the bulk materials category.</v>
      </c>
      <c r="M236" t="str">
        <f>IF('Emissions Factors'!G238="","",'Emissions Factors'!G238)</f>
        <v/>
      </c>
      <c r="N236" t="str">
        <f>IF('Emissions Factors'!H238="","",'Emissions Factors'!H238)</f>
        <v/>
      </c>
      <c r="O236" t="str">
        <f>IF('[1]Emissions Factors'!I237="","",'[1]Emissions Factors'!I237)</f>
        <v/>
      </c>
      <c r="P236" t="str">
        <f>IF('Emissions Factors'!J238="",'Emissions Factors'!F238,'Emissions Factors'!J238)</f>
        <v>Please include this within the bulk materials category.</v>
      </c>
      <c r="R236">
        <v>1</v>
      </c>
      <c r="U236">
        <f t="shared" si="28"/>
        <v>9</v>
      </c>
      <c r="V236">
        <f t="shared" si="29"/>
        <v>27</v>
      </c>
    </row>
    <row r="237" spans="1:22" x14ac:dyDescent="0.3">
      <c r="A237">
        <f>'Emissions Factors'!A239</f>
        <v>0</v>
      </c>
      <c r="B237">
        <f>'Emissions Factors'!B239</f>
        <v>0</v>
      </c>
      <c r="C237" t="str">
        <f>'Emissions Factors'!C239</f>
        <v>Petrol interceptor</v>
      </c>
      <c r="D237" t="str">
        <f>'Emissions Factors'!D239</f>
        <v>Plastic (Polyethylene)</v>
      </c>
      <c r="G237" t="str">
        <f t="shared" si="24"/>
        <v>Drainage</v>
      </c>
      <c r="H237" t="str">
        <f t="shared" si="25"/>
        <v>Petrol interceptor</v>
      </c>
      <c r="I237" t="str">
        <f t="shared" si="26"/>
        <v>Plastic (Polyethylene)</v>
      </c>
      <c r="J237" t="str">
        <f t="shared" si="27"/>
        <v>Petrol interceptorPlastic (Polyethylene)</v>
      </c>
      <c r="K237" t="str">
        <f>IF('Emissions Factors'!E239="","",'Emissions Factors'!E239)</f>
        <v>no.</v>
      </c>
      <c r="L237" t="str">
        <f>IF('Emissions Factors'!F239="","",'Emissions Factors'!F239)</f>
        <v>Plastic</v>
      </c>
      <c r="M237">
        <f>IF('Emissions Factors'!G239="","",'Emissions Factors'!G239)</f>
        <v>2.54</v>
      </c>
      <c r="N237" t="str">
        <f>IF('Emissions Factors'!H239="","",'Emissions Factors'!H239)</f>
        <v>tCO2e/t</v>
      </c>
      <c r="O237">
        <f>IF('[1]Emissions Factors'!I238="","",'[1]Emissions Factors'!I238)</f>
        <v>0.5</v>
      </c>
      <c r="P237" t="str">
        <f>IF('Emissions Factors'!J239="",'Emissions Factors'!F239,'Emissions Factors'!J239)</f>
        <v>Carbon factor taken directly from the ICE V4: ICE Summary &gt; Plastic &gt; General Polyethylene. Weight of petrol interceptor taken to be 0.5 tonnes based on supplier information for a 52l/s bypass interceptor.</v>
      </c>
      <c r="R237">
        <v>1</v>
      </c>
      <c r="U237">
        <f t="shared" si="28"/>
        <v>18</v>
      </c>
      <c r="V237">
        <f t="shared" si="29"/>
        <v>22</v>
      </c>
    </row>
    <row r="238" spans="1:22" x14ac:dyDescent="0.3">
      <c r="A238">
        <f>'Emissions Factors'!A240</f>
        <v>0</v>
      </c>
      <c r="B238">
        <f>'Emissions Factors'!B240</f>
        <v>0</v>
      </c>
      <c r="C238">
        <f>'Emissions Factors'!C240</f>
        <v>0</v>
      </c>
      <c r="D238" t="str">
        <f>'Emissions Factors'!D240</f>
        <v>Glass reinforced plastic GRP (Fiberglass)</v>
      </c>
      <c r="G238" t="str">
        <f t="shared" si="24"/>
        <v>Drainage</v>
      </c>
      <c r="H238" t="str">
        <f t="shared" si="25"/>
        <v>Petrol interceptor</v>
      </c>
      <c r="I238" t="str">
        <f t="shared" si="26"/>
        <v>Glass reinforced plastic GRP (Fiberglass)</v>
      </c>
      <c r="J238" t="str">
        <f t="shared" si="27"/>
        <v>Petrol interceptorGlass reinforced plastic GRP (Fiberglass)</v>
      </c>
      <c r="K238" t="str">
        <f>IF('Emissions Factors'!E240="","",'Emissions Factors'!E240)</f>
        <v>no.</v>
      </c>
      <c r="L238" t="str">
        <f>IF('Emissions Factors'!F240="","",'Emissions Factors'!F240)</f>
        <v>Plastic</v>
      </c>
      <c r="M238">
        <f>IF('Emissions Factors'!G240="","",'Emissions Factors'!G240)</f>
        <v>8.1</v>
      </c>
      <c r="N238" t="str">
        <f>IF('Emissions Factors'!H240="","",'Emissions Factors'!H240)</f>
        <v>tCO2e/t</v>
      </c>
      <c r="O238">
        <f>IF('[1]Emissions Factors'!I239="","",'[1]Emissions Factors'!I239)</f>
        <v>0.5</v>
      </c>
      <c r="P238" t="str">
        <f>IF('Emissions Factors'!J240="",'Emissions Factors'!F240,'Emissions Factors'!J240)</f>
        <v>Carbon factor taken directly from the ICE V3: Miscellaneous &gt; GRP. Weight of petrol interceptor taken to be 0.5 tonnes based on supplier information for a 52 l/s bypass interceptor.</v>
      </c>
      <c r="R238">
        <v>1</v>
      </c>
      <c r="U238">
        <f t="shared" si="28"/>
        <v>18</v>
      </c>
      <c r="V238">
        <f t="shared" si="29"/>
        <v>41</v>
      </c>
    </row>
    <row r="239" spans="1:22" x14ac:dyDescent="0.3">
      <c r="A239">
        <f>'Emissions Factors'!A241</f>
        <v>0</v>
      </c>
      <c r="B239">
        <f>'Emissions Factors'!B241</f>
        <v>0</v>
      </c>
      <c r="C239" t="str">
        <f>'Emissions Factors'!C241</f>
        <v>Damp proof course and impermeable membrane</v>
      </c>
      <c r="D239" t="str">
        <f>'Emissions Factors'!D241</f>
        <v>Polyethylene membrane</v>
      </c>
      <c r="G239" t="str">
        <f t="shared" si="24"/>
        <v>Drainage</v>
      </c>
      <c r="H239" t="str">
        <f t="shared" si="25"/>
        <v>Damp proof course and impermeable membrane</v>
      </c>
      <c r="I239" t="str">
        <f t="shared" si="26"/>
        <v>Polyethylene membrane</v>
      </c>
      <c r="J239" t="str">
        <f t="shared" si="27"/>
        <v>Damp proof course and impermeable membranePolyethylene membrane</v>
      </c>
      <c r="K239" t="str">
        <f>IF('Emissions Factors'!E241="","",'Emissions Factors'!E241)</f>
        <v>m2</v>
      </c>
      <c r="L239" t="str">
        <f>IF('Emissions Factors'!F241="","",'Emissions Factors'!F241)</f>
        <v>Plastic</v>
      </c>
      <c r="M239">
        <f>IF('Emissions Factors'!G241="","",'Emissions Factors'!G241)</f>
        <v>2.54</v>
      </c>
      <c r="N239" t="str">
        <f>IF('Emissions Factors'!H241="","",'Emissions Factors'!H241)</f>
        <v>tCO2e/t</v>
      </c>
      <c r="O239">
        <f>IF('[1]Emissions Factors'!I240="","",'[1]Emissions Factors'!I240)</f>
        <v>9.5E-4</v>
      </c>
      <c r="P239" t="str">
        <f>IF('Emissions Factors'!J241="",'Emissions Factors'!F241,'Emissions Factors'!J241)</f>
        <v>Carbon factor taken from the ICE V4: ICE Summary &gt; Plastic &gt; Polyethylene. Conversion factor has assumed membrane thickness is approximately 1mm. General PE value given. Density of PE = 950 kg/m3 used.</v>
      </c>
      <c r="R239">
        <v>1</v>
      </c>
      <c r="U239">
        <f t="shared" si="28"/>
        <v>42</v>
      </c>
      <c r="V239">
        <f t="shared" si="29"/>
        <v>21</v>
      </c>
    </row>
    <row r="240" spans="1:22" x14ac:dyDescent="0.3">
      <c r="A240">
        <f>'Emissions Factors'!A242</f>
        <v>0</v>
      </c>
      <c r="B240" t="str">
        <f>'Emissions Factors'!B242</f>
        <v>Road Pavements</v>
      </c>
      <c r="C240" t="str">
        <f>'Emissions Factors'!C242</f>
        <v>Bitumen / surface treatment</v>
      </c>
      <c r="D240" t="str">
        <f>'Emissions Factors'!D242</f>
        <v>Straight-run bitumen</v>
      </c>
      <c r="G240" t="str">
        <f t="shared" si="24"/>
        <v>Road Pavements</v>
      </c>
      <c r="H240" t="str">
        <f t="shared" si="25"/>
        <v>Bitumen / surface treatment</v>
      </c>
      <c r="I240" t="str">
        <f t="shared" si="26"/>
        <v>Straight-run bitumen</v>
      </c>
      <c r="J240" t="str">
        <f t="shared" si="27"/>
        <v>Bitumen / surface treatmentStraight-run bitumen</v>
      </c>
      <c r="K240" t="str">
        <f>IF('Emissions Factors'!E242="","",'Emissions Factors'!E242)</f>
        <v>tonnes</v>
      </c>
      <c r="L240" t="str">
        <f>IF('Emissions Factors'!F242="","",'Emissions Factors'!F242)</f>
        <v>Asphalt and bitumen</v>
      </c>
      <c r="M240">
        <f>IF('Emissions Factors'!G242="","",'Emissions Factors'!G242)</f>
        <v>0.19086</v>
      </c>
      <c r="N240" t="str">
        <f>IF('Emissions Factors'!H242="","",'Emissions Factors'!H242)</f>
        <v>tCO2e/t</v>
      </c>
      <c r="O240">
        <f>IF('[1]Emissions Factors'!I241="","",'[1]Emissions Factors'!I241)</f>
        <v>1</v>
      </c>
      <c r="P240" t="str">
        <f>IF('Emissions Factors'!J242="",'Emissions Factors'!F242,'Emissions Factors'!J242)</f>
        <v>Carbon factor taken directly from the ICE V4: Bitumen &gt; Straight-run bitumen.</v>
      </c>
      <c r="R240">
        <v>1</v>
      </c>
      <c r="U240">
        <f t="shared" si="28"/>
        <v>27</v>
      </c>
      <c r="V240">
        <f t="shared" si="29"/>
        <v>20</v>
      </c>
    </row>
    <row r="241" spans="1:22" x14ac:dyDescent="0.3">
      <c r="A241">
        <f>'Emissions Factors'!A243</f>
        <v>0</v>
      </c>
      <c r="B241">
        <f>'Emissions Factors'!B243</f>
        <v>0</v>
      </c>
      <c r="C241">
        <f>'Emissions Factors'!C243</f>
        <v>0</v>
      </c>
      <c r="D241" t="str">
        <f>'Emissions Factors'!D243</f>
        <v>Bitumen emulsion</v>
      </c>
      <c r="G241" t="str">
        <f t="shared" si="24"/>
        <v>Road Pavements</v>
      </c>
      <c r="H241" t="str">
        <f t="shared" si="25"/>
        <v>Bitumen / surface treatment</v>
      </c>
      <c r="I241" t="str">
        <f t="shared" si="26"/>
        <v>Bitumen emulsion</v>
      </c>
      <c r="J241" t="str">
        <f t="shared" si="27"/>
        <v>Bitumen / surface treatmentBitumen emulsion</v>
      </c>
      <c r="K241" t="str">
        <f>IF('Emissions Factors'!E243="","",'Emissions Factors'!E243)</f>
        <v>tonnes</v>
      </c>
      <c r="L241" t="str">
        <f>IF('Emissions Factors'!F243="","",'Emissions Factors'!F243)</f>
        <v>Asphalt and bitumen</v>
      </c>
      <c r="M241">
        <f>IF('Emissions Factors'!G243="","",'Emissions Factors'!G243)</f>
        <v>0.221666</v>
      </c>
      <c r="N241" t="str">
        <f>IF('Emissions Factors'!H243="","",'Emissions Factors'!H243)</f>
        <v>tCO2e/t</v>
      </c>
      <c r="O241">
        <f>IF('[1]Emissions Factors'!I242="","",'[1]Emissions Factors'!I242)</f>
        <v>1</v>
      </c>
      <c r="P241" t="str">
        <f>IF('Emissions Factors'!J243="",'Emissions Factors'!F243,'Emissions Factors'!J243)</f>
        <v xml:space="preserve">Carbon factor taken directly from the ICE V4: Bitumen &gt; Bitumen emulsion. Include only the weight of set bitumen not water. </v>
      </c>
      <c r="R241">
        <v>1</v>
      </c>
      <c r="U241">
        <f t="shared" si="28"/>
        <v>27</v>
      </c>
      <c r="V241">
        <f t="shared" si="29"/>
        <v>16</v>
      </c>
    </row>
    <row r="242" spans="1:22" x14ac:dyDescent="0.3">
      <c r="A242">
        <f>'Emissions Factors'!A244</f>
        <v>0</v>
      </c>
      <c r="B242">
        <f>'Emissions Factors'!B244</f>
        <v>0</v>
      </c>
      <c r="C242">
        <f>'Emissions Factors'!C244</f>
        <v>0</v>
      </c>
      <c r="D242" t="str">
        <f>'Emissions Factors'!D244</f>
        <v>RAP (recycled asphalt pavement)</v>
      </c>
      <c r="G242" t="str">
        <f t="shared" si="24"/>
        <v>Road Pavements</v>
      </c>
      <c r="H242" t="str">
        <f t="shared" si="25"/>
        <v>Bitumen / surface treatment</v>
      </c>
      <c r="I242" t="str">
        <f t="shared" si="26"/>
        <v>RAP (recycled asphalt pavement)</v>
      </c>
      <c r="J242" t="str">
        <f t="shared" si="27"/>
        <v>Bitumen / surface treatmentRAP (recycled asphalt pavement)</v>
      </c>
      <c r="K242" t="str">
        <f>IF('Emissions Factors'!E244="","",'Emissions Factors'!E244)</f>
        <v>tonnes</v>
      </c>
      <c r="L242" t="str">
        <f>IF('Emissions Factors'!F244="","",'Emissions Factors'!F244)</f>
        <v>Asphalt and bitumen</v>
      </c>
      <c r="M242">
        <f>IF('Emissions Factors'!G244="","",'Emissions Factors'!G244)</f>
        <v>0</v>
      </c>
      <c r="N242" t="str">
        <f>IF('Emissions Factors'!H244="","",'Emissions Factors'!H244)</f>
        <v>tCO2e/t</v>
      </c>
      <c r="O242">
        <f>IF('[1]Emissions Factors'!I243="","",'[1]Emissions Factors'!I243)</f>
        <v>1</v>
      </c>
      <c r="P242" t="str">
        <f>IF('Emissions Factors'!J244="",'Emissions Factors'!F244,'Emissions Factors'!J244)</f>
        <v xml:space="preserve">Carbon factor assumed to be zero for site won material. Additives or energy use to be recorded separately. </v>
      </c>
      <c r="R242">
        <v>1</v>
      </c>
      <c r="U242">
        <f t="shared" si="28"/>
        <v>27</v>
      </c>
      <c r="V242">
        <f t="shared" si="29"/>
        <v>31</v>
      </c>
    </row>
    <row r="243" spans="1:22" x14ac:dyDescent="0.3">
      <c r="A243">
        <f>'Emissions Factors'!A245</f>
        <v>0</v>
      </c>
      <c r="B243">
        <f>'Emissions Factors'!B245</f>
        <v>0</v>
      </c>
      <c r="C243">
        <f>'Emissions Factors'!C245</f>
        <v>0</v>
      </c>
      <c r="D243" t="str">
        <f>'Emissions Factors'!D245</f>
        <v>High friction surfacing</v>
      </c>
      <c r="G243" t="str">
        <f t="shared" si="24"/>
        <v>Road Pavements</v>
      </c>
      <c r="H243" t="str">
        <f t="shared" si="25"/>
        <v>Bitumen / surface treatment</v>
      </c>
      <c r="I243" t="str">
        <f t="shared" si="26"/>
        <v>High friction surfacing</v>
      </c>
      <c r="J243" t="str">
        <f t="shared" si="27"/>
        <v>Bitumen / surface treatmentHigh friction surfacing</v>
      </c>
      <c r="K243" t="str">
        <f>IF('Emissions Factors'!E245="","",'Emissions Factors'!E245)</f>
        <v>tonnes</v>
      </c>
      <c r="L243" t="str">
        <f>IF('Emissions Factors'!F245="","",'Emissions Factors'!F245)</f>
        <v>Plastic</v>
      </c>
      <c r="M243">
        <f>IF('Emissions Factors'!G245="","",'Emissions Factors'!G245)</f>
        <v>5.7</v>
      </c>
      <c r="N243" t="str">
        <f>IF('Emissions Factors'!H245="","",'Emissions Factors'!H245)</f>
        <v>tCO2/t</v>
      </c>
      <c r="O243">
        <f>IF('[1]Emissions Factors'!I244="","",'[1]Emissions Factors'!I244)</f>
        <v>1</v>
      </c>
      <c r="P243" t="str">
        <f>IF('Emissions Factors'!J245="",'Emissions Factors'!F245,'Emissions Factors'!J245)</f>
        <v>Carbon factor taken directly from ICE V4: ICE Summary &gt; Sealants and adhesives &gt; Epoxide resin. Note the carbon factor is for CO2 only and not CO2e.</v>
      </c>
      <c r="R243">
        <v>1</v>
      </c>
      <c r="U243">
        <f t="shared" si="28"/>
        <v>27</v>
      </c>
      <c r="V243">
        <f t="shared" si="29"/>
        <v>23</v>
      </c>
    </row>
    <row r="244" spans="1:22" x14ac:dyDescent="0.3">
      <c r="A244">
        <f>'Emissions Factors'!A246</f>
        <v>0</v>
      </c>
      <c r="B244">
        <f>'Emissions Factors'!B246</f>
        <v>0</v>
      </c>
      <c r="C244" t="str">
        <f>'Emissions Factors'!C246</f>
        <v>Kerb</v>
      </c>
      <c r="D244" t="str">
        <f>'Emissions Factors'!D246</f>
        <v>Pre-cast concrete 125x150mm</v>
      </c>
      <c r="G244" t="str">
        <f t="shared" si="24"/>
        <v>Road Pavements</v>
      </c>
      <c r="H244" t="str">
        <f t="shared" si="25"/>
        <v>Kerb</v>
      </c>
      <c r="I244" t="str">
        <f t="shared" si="26"/>
        <v>Pre-cast concrete 125x150mm</v>
      </c>
      <c r="J244" t="str">
        <f t="shared" si="27"/>
        <v>KerbPre-cast concrete 125x150mm</v>
      </c>
      <c r="K244" t="str">
        <f>IF('Emissions Factors'!E246="","",'Emissions Factors'!E246)</f>
        <v>metres</v>
      </c>
      <c r="L244" t="str">
        <f>IF('Emissions Factors'!F246="","",'Emissions Factors'!F246)</f>
        <v>Concrete</v>
      </c>
      <c r="M244">
        <f>IF('Emissions Factors'!G246="","",'Emissions Factors'!G246)</f>
        <v>0.12288693976537292</v>
      </c>
      <c r="N244" t="str">
        <f>IF('Emissions Factors'!H246="","",'Emissions Factors'!H246)</f>
        <v>tCO2e/t</v>
      </c>
      <c r="O244">
        <f>IF('[1]Emissions Factors'!I245="","",'[1]Emissions Factors'!I245)</f>
        <v>4.3099999999999999E-2</v>
      </c>
      <c r="P244" t="str">
        <f>IF('Emissions Factors'!J246="",'Emissions Factors'!F246,'Emissions Factors'!J246)</f>
        <v>Carbon factor taken directly from the ICE V4: Concrete &gt; Precast concrete paving (Blocks, Slabs, Channels and Kerbs). Dimensions of kerbs taken from supplier.</v>
      </c>
      <c r="R244">
        <v>1</v>
      </c>
      <c r="U244">
        <f t="shared" si="28"/>
        <v>4</v>
      </c>
      <c r="V244">
        <f t="shared" si="29"/>
        <v>27</v>
      </c>
    </row>
    <row r="245" spans="1:22" x14ac:dyDescent="0.3">
      <c r="A245">
        <f>'Emissions Factors'!A247</f>
        <v>0</v>
      </c>
      <c r="B245">
        <f>'Emissions Factors'!B247</f>
        <v>0</v>
      </c>
      <c r="C245">
        <f>'Emissions Factors'!C247</f>
        <v>0</v>
      </c>
      <c r="D245" t="str">
        <f>'Emissions Factors'!D247</f>
        <v>Pre-cast concrete 125x255mm</v>
      </c>
      <c r="G245" t="str">
        <f t="shared" si="24"/>
        <v>Road Pavements</v>
      </c>
      <c r="H245" t="str">
        <f t="shared" si="25"/>
        <v>Kerb</v>
      </c>
      <c r="I245" t="str">
        <f t="shared" si="26"/>
        <v>Pre-cast concrete 125x255mm</v>
      </c>
      <c r="J245" t="str">
        <f t="shared" si="27"/>
        <v>KerbPre-cast concrete 125x255mm</v>
      </c>
      <c r="K245" t="str">
        <f>IF('Emissions Factors'!E247="","",'Emissions Factors'!E247)</f>
        <v>metres</v>
      </c>
      <c r="L245" t="str">
        <f>IF('Emissions Factors'!F247="","",'Emissions Factors'!F247)</f>
        <v>Concrete</v>
      </c>
      <c r="M245">
        <f>IF('Emissions Factors'!G247="","",'Emissions Factors'!G247)</f>
        <v>0.12288693976537292</v>
      </c>
      <c r="N245" t="str">
        <f>IF('Emissions Factors'!H247="","",'Emissions Factors'!H247)</f>
        <v>tCO2e/t</v>
      </c>
      <c r="O245">
        <f>IF('[1]Emissions Factors'!I246="","",'[1]Emissions Factors'!I246)</f>
        <v>7.3300000000000004E-2</v>
      </c>
      <c r="P245" t="str">
        <f>IF('Emissions Factors'!J247="",'Emissions Factors'!F247,'Emissions Factors'!J247)</f>
        <v>Carbon factor taken directly from the ICE V4: Concrete &gt; Precast concrete paving (Blocks, Slabs, Channels and Kerbs). Dimensions of kerbs taken from supplier.</v>
      </c>
      <c r="R245">
        <v>1</v>
      </c>
      <c r="U245">
        <f t="shared" si="28"/>
        <v>4</v>
      </c>
      <c r="V245">
        <f t="shared" si="29"/>
        <v>27</v>
      </c>
    </row>
    <row r="246" spans="1:22" x14ac:dyDescent="0.3">
      <c r="A246">
        <f>'Emissions Factors'!A248</f>
        <v>0</v>
      </c>
      <c r="B246">
        <f>'Emissions Factors'!B248</f>
        <v>0</v>
      </c>
      <c r="C246">
        <f>'Emissions Factors'!C248</f>
        <v>0</v>
      </c>
      <c r="D246" t="str">
        <f>'Emissions Factors'!D248</f>
        <v>Pre-cast concrete 125x305mm</v>
      </c>
      <c r="G246" t="str">
        <f t="shared" si="24"/>
        <v>Road Pavements</v>
      </c>
      <c r="H246" t="str">
        <f t="shared" si="25"/>
        <v>Kerb</v>
      </c>
      <c r="I246" t="str">
        <f t="shared" si="26"/>
        <v>Pre-cast concrete 125x305mm</v>
      </c>
      <c r="J246" t="str">
        <f t="shared" si="27"/>
        <v>KerbPre-cast concrete 125x305mm</v>
      </c>
      <c r="K246" t="str">
        <f>IF('Emissions Factors'!E248="","",'Emissions Factors'!E248)</f>
        <v>metres</v>
      </c>
      <c r="L246" t="str">
        <f>IF('Emissions Factors'!F248="","",'Emissions Factors'!F248)</f>
        <v>Concrete</v>
      </c>
      <c r="M246">
        <f>IF('Emissions Factors'!G248="","",'Emissions Factors'!G248)</f>
        <v>0.12288693976537292</v>
      </c>
      <c r="N246" t="str">
        <f>IF('Emissions Factors'!H248="","",'Emissions Factors'!H248)</f>
        <v>tCO2e/t</v>
      </c>
      <c r="O246">
        <f>IF('[1]Emissions Factors'!I247="","",'[1]Emissions Factors'!I247)</f>
        <v>8.77E-2</v>
      </c>
      <c r="P246" t="str">
        <f>IF('Emissions Factors'!J248="",'Emissions Factors'!F248,'Emissions Factors'!J248)</f>
        <v>Carbon factor taken directly from the ICE V4: Concrete &gt; Precast concrete paving (Blocks, Slabs, Channels and Kerbs). Dimensions of kerbs taken from supplier.</v>
      </c>
      <c r="R246">
        <v>1</v>
      </c>
      <c r="U246">
        <f t="shared" si="28"/>
        <v>4</v>
      </c>
      <c r="V246">
        <f t="shared" si="29"/>
        <v>27</v>
      </c>
    </row>
    <row r="247" spans="1:22" x14ac:dyDescent="0.3">
      <c r="A247">
        <f>'Emissions Factors'!A249</f>
        <v>0</v>
      </c>
      <c r="B247">
        <f>'Emissions Factors'!B249</f>
        <v>0</v>
      </c>
      <c r="C247" t="str">
        <f>'Emissions Factors'!C249</f>
        <v>Road markings</v>
      </c>
      <c r="D247" t="str">
        <f>'Emissions Factors'!D249</f>
        <v>Thermoplastic road marking</v>
      </c>
      <c r="G247" t="str">
        <f t="shared" si="24"/>
        <v>Road Pavements</v>
      </c>
      <c r="H247" t="str">
        <f t="shared" si="25"/>
        <v>Road markings</v>
      </c>
      <c r="I247" t="str">
        <f t="shared" si="26"/>
        <v>Thermoplastic road marking</v>
      </c>
      <c r="J247" t="str">
        <f t="shared" si="27"/>
        <v>Road markingsThermoplastic road marking</v>
      </c>
      <c r="K247" t="str">
        <f>IF('Emissions Factors'!E249="","",'Emissions Factors'!E249)</f>
        <v>tonnes</v>
      </c>
      <c r="L247" t="str">
        <f>IF('Emissions Factors'!F249="","",'Emissions Factors'!F249)</f>
        <v>Plastic</v>
      </c>
      <c r="M247">
        <f>IF('Emissions Factors'!G249="","",'Emissions Factors'!G249)</f>
        <v>5.7</v>
      </c>
      <c r="N247" t="str">
        <f>IF('Emissions Factors'!H249="","",'Emissions Factors'!H249)</f>
        <v>tCO2/t</v>
      </c>
      <c r="O247">
        <f>IF('[1]Emissions Factors'!I248="","",'[1]Emissions Factors'!I248)</f>
        <v>1</v>
      </c>
      <c r="P247" t="str">
        <f>IF('Emissions Factors'!J249="",'Emissions Factors'!F249,'Emissions Factors'!J249)</f>
        <v>Carbon factor taken directly from ICE V4: ICE Summary &gt; Sealants and adhesives &gt; Epoxide resin.</v>
      </c>
      <c r="R247">
        <v>1</v>
      </c>
      <c r="U247">
        <f t="shared" si="28"/>
        <v>13</v>
      </c>
      <c r="V247">
        <f t="shared" si="29"/>
        <v>26</v>
      </c>
    </row>
    <row r="248" spans="1:22" x14ac:dyDescent="0.3">
      <c r="A248">
        <f>'Emissions Factors'!A250</f>
        <v>0</v>
      </c>
      <c r="B248" t="str">
        <f>'Emissions Factors'!B250</f>
        <v>Street Furniture &amp; Electrical Equipment</v>
      </c>
      <c r="C248" t="str">
        <f>'Emissions Factors'!C250</f>
        <v>Traffic signs</v>
      </c>
      <c r="D248" t="str">
        <f>'Emissions Factors'!D250</f>
        <v xml:space="preserve">Aluminium </v>
      </c>
      <c r="G248" t="str">
        <f t="shared" si="24"/>
        <v>Street Furniture &amp; Electrical Equipment</v>
      </c>
      <c r="H248" t="str">
        <f t="shared" si="25"/>
        <v>Traffic signs</v>
      </c>
      <c r="I248" t="str">
        <f t="shared" si="26"/>
        <v xml:space="preserve">Aluminium </v>
      </c>
      <c r="J248" t="str">
        <f t="shared" si="27"/>
        <v xml:space="preserve">Traffic signsAluminium </v>
      </c>
      <c r="K248" t="str">
        <f>IF('Emissions Factors'!E250="","",'Emissions Factors'!E250)</f>
        <v>m2</v>
      </c>
      <c r="L248" t="str">
        <f>IF('Emissions Factors'!F250="","",'Emissions Factors'!F250)</f>
        <v>Aluminium</v>
      </c>
      <c r="M248">
        <f>IF('Emissions Factors'!G250="","",'Emissions Factors'!G250)</f>
        <v>6.668717530534737</v>
      </c>
      <c r="N248" t="str">
        <f>IF('Emissions Factors'!H250="","",'Emissions Factors'!H250)</f>
        <v>tCO2e/t</v>
      </c>
      <c r="O248">
        <f>IF('[1]Emissions Factors'!I249="","",'[1]Emissions Factors'!I249)</f>
        <v>0.05</v>
      </c>
      <c r="P248" t="str">
        <f>IF('Emissions Factors'!J250="",'Emissions Factors'!F250,'Emissions Factors'!J250)</f>
        <v>Carbon factor taken directly from the ICE V4: Aluminium &gt; Aluminium general European mix. Weight of sign taken from supplier to be approximately 50kg per m2.</v>
      </c>
      <c r="R248">
        <v>1</v>
      </c>
      <c r="U248">
        <f t="shared" si="28"/>
        <v>13</v>
      </c>
      <c r="V248">
        <f t="shared" si="29"/>
        <v>10</v>
      </c>
    </row>
    <row r="249" spans="1:22" x14ac:dyDescent="0.3">
      <c r="A249">
        <f>'Emissions Factors'!A251</f>
        <v>0</v>
      </c>
      <c r="B249">
        <f>'Emissions Factors'!B251</f>
        <v>0</v>
      </c>
      <c r="C249">
        <f>'Emissions Factors'!C251</f>
        <v>0</v>
      </c>
      <c r="D249" t="str">
        <f>'Emissions Factors'!D251</f>
        <v>Steel</v>
      </c>
      <c r="G249" t="str">
        <f t="shared" si="24"/>
        <v>Street Furniture &amp; Electrical Equipment</v>
      </c>
      <c r="H249" t="str">
        <f t="shared" si="25"/>
        <v>Traffic signs</v>
      </c>
      <c r="I249" t="str">
        <f t="shared" si="26"/>
        <v>Steel</v>
      </c>
      <c r="J249" t="str">
        <f t="shared" si="27"/>
        <v>Traffic signsSteel</v>
      </c>
      <c r="K249" t="str">
        <f>IF('Emissions Factors'!E251="","",'Emissions Factors'!E251)</f>
        <v>m2</v>
      </c>
      <c r="L249" t="str">
        <f>IF('Emissions Factors'!F251="","",'Emissions Factors'!F251)</f>
        <v>Steel</v>
      </c>
      <c r="M249">
        <f>IF('Emissions Factors'!G251="","",'Emissions Factors'!G251)</f>
        <v>2.62</v>
      </c>
      <c r="N249" t="str">
        <f>IF('Emissions Factors'!H251="","",'Emissions Factors'!H251)</f>
        <v>tCO2e/t</v>
      </c>
      <c r="O249">
        <f>IF('[1]Emissions Factors'!I250="","",'[1]Emissions Factors'!I250)</f>
        <v>0.05</v>
      </c>
      <c r="P249" t="str">
        <f>IF('Emissions Factors'!J251="",'Emissions Factors'!F251,'Emissions Factors'!J251)</f>
        <v>Carbon factor taken directly from the ICE V4: World average Steel &gt; Hot dipped galvanised steel. Weight of sign taken from supplier to be approximately 50kg per m2.</v>
      </c>
      <c r="R249">
        <v>1</v>
      </c>
      <c r="U249">
        <f t="shared" si="28"/>
        <v>13</v>
      </c>
      <c r="V249">
        <f t="shared" si="29"/>
        <v>5</v>
      </c>
    </row>
    <row r="250" spans="1:22" x14ac:dyDescent="0.3">
      <c r="A250">
        <f>'Emissions Factors'!A252</f>
        <v>0</v>
      </c>
      <c r="B250">
        <f>'Emissions Factors'!B252</f>
        <v>0</v>
      </c>
      <c r="C250" t="str">
        <f>'Emissions Factors'!C252</f>
        <v xml:space="preserve">Variable Message Signs (VMS) </v>
      </c>
      <c r="D250" t="str">
        <f>'Emissions Factors'!D252</f>
        <v>MS4 Sign</v>
      </c>
      <c r="G250" t="str">
        <f t="shared" si="24"/>
        <v>Street Furniture &amp; Electrical Equipment</v>
      </c>
      <c r="H250" t="str">
        <f t="shared" si="25"/>
        <v xml:space="preserve">Variable Message Signs (VMS) </v>
      </c>
      <c r="I250" t="str">
        <f t="shared" si="26"/>
        <v>MS4 Sign</v>
      </c>
      <c r="J250" t="str">
        <f t="shared" si="27"/>
        <v>Variable Message Signs (VMS) MS4 Sign</v>
      </c>
      <c r="K250" t="str">
        <f>IF('Emissions Factors'!E252="","",'Emissions Factors'!E252)</f>
        <v>no.</v>
      </c>
      <c r="L250" t="str">
        <f>IF('Emissions Factors'!F252="","",'Emissions Factors'!F252)</f>
        <v>Electrical Equipment</v>
      </c>
      <c r="M250">
        <f>IF('Emissions Factors'!G252="","",'Emissions Factors'!G252)</f>
        <v>4.5940000000000003</v>
      </c>
      <c r="N250" t="str">
        <f>IF('Emissions Factors'!H252="","",'Emissions Factors'!H252)</f>
        <v>tCO2e/t</v>
      </c>
      <c r="O250">
        <f>IF('[1]Emissions Factors'!I251="","",'[1]Emissions Factors'!I251)</f>
        <v>0.72499999999999998</v>
      </c>
      <c r="P250" t="str">
        <f>IF('Emissions Factors'!J252="",'Emissions Factors'!F252,'Emissions Factors'!J252)</f>
        <v>Carbon factor taken for ICE V4: Aluminium &gt; Aluminium general. ICE Summary &gt; Copper &gt;EU tube and sheet and  ICE Summary &gt; Plastic &gt; General Plastic. Supplier gives VMS MS4 to be 725kg. Assumed relative proportions are, 40% aluminium, 50% plastic and 10% copper.</v>
      </c>
      <c r="R250">
        <v>1</v>
      </c>
      <c r="U250">
        <f t="shared" si="28"/>
        <v>29</v>
      </c>
      <c r="V250">
        <f t="shared" si="29"/>
        <v>8</v>
      </c>
    </row>
    <row r="251" spans="1:22" x14ac:dyDescent="0.3">
      <c r="A251">
        <f>'Emissions Factors'!A253</f>
        <v>0</v>
      </c>
      <c r="B251">
        <f>'Emissions Factors'!B253</f>
        <v>0</v>
      </c>
      <c r="C251">
        <f>'Emissions Factors'!C253</f>
        <v>0</v>
      </c>
      <c r="D251" t="str">
        <f>'Emissions Factors'!D253</f>
        <v>AMI (advanced motorway indicator)</v>
      </c>
      <c r="G251" t="str">
        <f t="shared" si="24"/>
        <v>Street Furniture &amp; Electrical Equipment</v>
      </c>
      <c r="H251" t="str">
        <f t="shared" si="25"/>
        <v xml:space="preserve">Variable Message Signs (VMS) </v>
      </c>
      <c r="I251" t="str">
        <f t="shared" si="26"/>
        <v>AMI (advanced motorway indicator)</v>
      </c>
      <c r="J251" t="str">
        <f t="shared" si="27"/>
        <v>Variable Message Signs (VMS) AMI (advanced motorway indicator)</v>
      </c>
      <c r="K251" t="str">
        <f>IF('Emissions Factors'!E253="","",'Emissions Factors'!E253)</f>
        <v>no.</v>
      </c>
      <c r="L251" t="str">
        <f>IF('Emissions Factors'!F253="","",'Emissions Factors'!F253)</f>
        <v>Electrical Equipment</v>
      </c>
      <c r="M251">
        <f>IF('Emissions Factors'!G253="","",'Emissions Factors'!G253)</f>
        <v>4.5940000000000003</v>
      </c>
      <c r="N251" t="str">
        <f>IF('Emissions Factors'!H253="","",'Emissions Factors'!H253)</f>
        <v>tCO2e/t</v>
      </c>
      <c r="O251">
        <f>IF('[1]Emissions Factors'!I252="","",'[1]Emissions Factors'!I252)</f>
        <v>9.9999999999999992E-2</v>
      </c>
      <c r="P251" t="str">
        <f>IF('Emissions Factors'!J253="",'Emissions Factors'!F253,'Emissions Factors'!J253)</f>
        <v>Carbon factor taken for ICE V4: Aluminium &gt; Aluminium general. ICE Summary &gt; Copper &gt;EU tube and sheet and  ICE Summary &gt; Plastic &gt; General Plastic. Supplier gives VMS MS4 to be 725kg. Assumed relative proportions are, 40% aluminium, 50% plastic and 10% copper.</v>
      </c>
      <c r="R251">
        <v>1</v>
      </c>
      <c r="U251">
        <f t="shared" si="28"/>
        <v>29</v>
      </c>
      <c r="V251">
        <f t="shared" si="29"/>
        <v>33</v>
      </c>
    </row>
    <row r="252" spans="1:22" x14ac:dyDescent="0.3">
      <c r="A252">
        <f>'Emissions Factors'!A254</f>
        <v>0</v>
      </c>
      <c r="B252">
        <f>'Emissions Factors'!B254</f>
        <v>0</v>
      </c>
      <c r="C252" t="str">
        <f>'Emissions Factors'!C254</f>
        <v>Road lighting and columns</v>
      </c>
      <c r="D252" t="str">
        <f>'Emissions Factors'!D254</f>
        <v>LED light</v>
      </c>
      <c r="G252" t="str">
        <f t="shared" si="24"/>
        <v>Street Furniture &amp; Electrical Equipment</v>
      </c>
      <c r="H252" t="str">
        <f t="shared" si="25"/>
        <v>Road lighting and columns</v>
      </c>
      <c r="I252" t="str">
        <f t="shared" si="26"/>
        <v>LED light</v>
      </c>
      <c r="J252" t="str">
        <f t="shared" si="27"/>
        <v>Road lighting and columnsLED light</v>
      </c>
      <c r="K252" t="str">
        <f>IF('Emissions Factors'!E254="","",'Emissions Factors'!E254)</f>
        <v>no.</v>
      </c>
      <c r="L252" t="str">
        <f>IF('Emissions Factors'!F254="","",'Emissions Factors'!F254)</f>
        <v>Aluminium</v>
      </c>
      <c r="M252">
        <f>IF('Emissions Factors'!G254="","",'Emissions Factors'!G254)</f>
        <v>6.668717530534737</v>
      </c>
      <c r="N252" t="str">
        <f>IF('Emissions Factors'!H254="","",'Emissions Factors'!H254)</f>
        <v>tCO2e/t</v>
      </c>
      <c r="O252">
        <f>IF('[1]Emissions Factors'!I253="","",'[1]Emissions Factors'!I253)</f>
        <v>1.2E-2</v>
      </c>
      <c r="P252" t="str">
        <f>IF('Emissions Factors'!J254="",'Emissions Factors'!F254,'Emissions Factors'!J254)</f>
        <v>Carbon factor taken from the ICE V4: Aluminium &gt; General aluminium  general European mix. Supplier of highway LED lights gives a standard weight of 12kg.</v>
      </c>
      <c r="R252">
        <v>1</v>
      </c>
      <c r="U252">
        <f t="shared" si="28"/>
        <v>25</v>
      </c>
      <c r="V252">
        <f t="shared" si="29"/>
        <v>9</v>
      </c>
    </row>
    <row r="253" spans="1:22" x14ac:dyDescent="0.3">
      <c r="A253">
        <f>'Emissions Factors'!A255</f>
        <v>0</v>
      </c>
      <c r="B253">
        <f>'Emissions Factors'!B255</f>
        <v>0</v>
      </c>
      <c r="C253">
        <f>'Emissions Factors'!C255</f>
        <v>0</v>
      </c>
      <c r="D253" t="str">
        <f>'Emissions Factors'!D255</f>
        <v>Steel columns 8m</v>
      </c>
      <c r="G253" t="str">
        <f t="shared" si="24"/>
        <v>Street Furniture &amp; Electrical Equipment</v>
      </c>
      <c r="H253" t="str">
        <f t="shared" si="25"/>
        <v>Road lighting and columns</v>
      </c>
      <c r="I253" t="str">
        <f t="shared" si="26"/>
        <v>Steel columns 8m</v>
      </c>
      <c r="J253" t="str">
        <f t="shared" si="27"/>
        <v>Road lighting and columnsSteel columns 8m</v>
      </c>
      <c r="K253" t="str">
        <f>IF('Emissions Factors'!E255="","",'Emissions Factors'!E255)</f>
        <v>no.</v>
      </c>
      <c r="L253" t="str">
        <f>IF('Emissions Factors'!F255="","",'Emissions Factors'!F255)</f>
        <v>Steel</v>
      </c>
      <c r="M253">
        <f>IF('Emissions Factors'!G255="","",'Emissions Factors'!G255)</f>
        <v>2.62</v>
      </c>
      <c r="N253" t="str">
        <f>IF('Emissions Factors'!H255="","",'Emissions Factors'!H255)</f>
        <v>tCO2e/t</v>
      </c>
      <c r="O253">
        <f>IF('[1]Emissions Factors'!I254="","",'[1]Emissions Factors'!I254)</f>
        <v>0.13200000000000001</v>
      </c>
      <c r="P253" t="str">
        <f>IF('Emissions Factors'!J255="",'Emissions Factors'!F255,'Emissions Factors'!J255)</f>
        <v>Carbon factor taken from the ICE V4: World average Steel &gt;  Hot dipped galvanised steel. The weight of a 8m steel column plus double lighting bracket is taken from a supplier to be 132kg.</v>
      </c>
      <c r="R253">
        <v>1</v>
      </c>
      <c r="U253">
        <f t="shared" si="28"/>
        <v>25</v>
      </c>
      <c r="V253">
        <f t="shared" si="29"/>
        <v>16</v>
      </c>
    </row>
    <row r="254" spans="1:22" x14ac:dyDescent="0.3">
      <c r="A254">
        <f>'Emissions Factors'!A256</f>
        <v>0</v>
      </c>
      <c r="B254">
        <f>'Emissions Factors'!B256</f>
        <v>0</v>
      </c>
      <c r="C254">
        <f>'Emissions Factors'!C256</f>
        <v>0</v>
      </c>
      <c r="D254" t="str">
        <f>'Emissions Factors'!D256</f>
        <v>Steel columns 10m</v>
      </c>
      <c r="G254" t="str">
        <f t="shared" si="24"/>
        <v>Street Furniture &amp; Electrical Equipment</v>
      </c>
      <c r="H254" t="str">
        <f t="shared" si="25"/>
        <v>Road lighting and columns</v>
      </c>
      <c r="I254" t="str">
        <f t="shared" si="26"/>
        <v>Steel columns 10m</v>
      </c>
      <c r="J254" t="str">
        <f t="shared" si="27"/>
        <v>Road lighting and columnsSteel columns 10m</v>
      </c>
      <c r="K254" t="str">
        <f>IF('Emissions Factors'!E256="","",'Emissions Factors'!E256)</f>
        <v>no.</v>
      </c>
      <c r="L254" t="str">
        <f>IF('Emissions Factors'!F256="","",'Emissions Factors'!F256)</f>
        <v>Steel</v>
      </c>
      <c r="M254">
        <f>IF('Emissions Factors'!G256="","",'Emissions Factors'!G256)</f>
        <v>2.62</v>
      </c>
      <c r="N254" t="str">
        <f>IF('Emissions Factors'!H256="","",'Emissions Factors'!H256)</f>
        <v>tCO2e/t</v>
      </c>
      <c r="O254">
        <f>IF('[1]Emissions Factors'!I255="","",'[1]Emissions Factors'!I255)</f>
        <v>0.189</v>
      </c>
      <c r="P254" t="str">
        <f>IF('Emissions Factors'!J256="",'Emissions Factors'!F256,'Emissions Factors'!J256)</f>
        <v>Carbon factor taken from the ICE V4: World average Steel &gt;  Hot dipped galvanised steel. The weight of a 10m steel column plus double lighting bracket is taken from a supplier to be 189kg.</v>
      </c>
      <c r="R254">
        <v>1</v>
      </c>
      <c r="U254">
        <f t="shared" si="28"/>
        <v>25</v>
      </c>
      <c r="V254">
        <f t="shared" si="29"/>
        <v>17</v>
      </c>
    </row>
    <row r="255" spans="1:22" x14ac:dyDescent="0.3">
      <c r="A255">
        <f>'Emissions Factors'!A257</f>
        <v>0</v>
      </c>
      <c r="B255">
        <f>'Emissions Factors'!B257</f>
        <v>0</v>
      </c>
      <c r="C255">
        <f>'Emissions Factors'!C257</f>
        <v>0</v>
      </c>
      <c r="D255" t="str">
        <f>'Emissions Factors'!D257</f>
        <v>Steel columns 12m</v>
      </c>
      <c r="G255" t="str">
        <f t="shared" si="24"/>
        <v>Street Furniture &amp; Electrical Equipment</v>
      </c>
      <c r="H255" t="str">
        <f t="shared" si="25"/>
        <v>Road lighting and columns</v>
      </c>
      <c r="I255" t="str">
        <f t="shared" si="26"/>
        <v>Steel columns 12m</v>
      </c>
      <c r="J255" t="str">
        <f t="shared" si="27"/>
        <v>Road lighting and columnsSteel columns 12m</v>
      </c>
      <c r="K255" t="str">
        <f>IF('Emissions Factors'!E257="","",'Emissions Factors'!E257)</f>
        <v>no.</v>
      </c>
      <c r="L255" t="str">
        <f>IF('Emissions Factors'!F257="","",'Emissions Factors'!F257)</f>
        <v>Steel</v>
      </c>
      <c r="M255">
        <f>IF('Emissions Factors'!G257="","",'Emissions Factors'!G257)</f>
        <v>2.62</v>
      </c>
      <c r="N255" t="str">
        <f>IF('Emissions Factors'!H257="","",'Emissions Factors'!H257)</f>
        <v>tCO2e/t</v>
      </c>
      <c r="O255">
        <f>IF('[1]Emissions Factors'!I256="","",'[1]Emissions Factors'!I256)</f>
        <v>0.28799999999999998</v>
      </c>
      <c r="P255" t="str">
        <f>IF('Emissions Factors'!J257="",'Emissions Factors'!F257,'Emissions Factors'!J257)</f>
        <v>Carbon factor taken from the ICE V4: World average Steel &gt;  Hot dipped galvanised steel. The weight of a 12m steel column plus double lighting bracket is taken from a supplier to be 288kg.</v>
      </c>
      <c r="R255">
        <v>1</v>
      </c>
      <c r="U255">
        <f t="shared" si="28"/>
        <v>25</v>
      </c>
      <c r="V255">
        <f t="shared" si="29"/>
        <v>17</v>
      </c>
    </row>
    <row r="256" spans="1:22" x14ac:dyDescent="0.3">
      <c r="A256">
        <f>'Emissions Factors'!A258</f>
        <v>0</v>
      </c>
      <c r="B256">
        <f>'Emissions Factors'!B258</f>
        <v>0</v>
      </c>
      <c r="C256">
        <f>'Emissions Factors'!C258</f>
        <v>0</v>
      </c>
      <c r="D256" t="str">
        <f>'Emissions Factors'!D258</f>
        <v>Aluminium columns 8m</v>
      </c>
      <c r="G256" t="str">
        <f t="shared" si="24"/>
        <v>Street Furniture &amp; Electrical Equipment</v>
      </c>
      <c r="H256" t="str">
        <f t="shared" si="25"/>
        <v>Road lighting and columns</v>
      </c>
      <c r="I256" t="str">
        <f t="shared" si="26"/>
        <v>Aluminium columns 8m</v>
      </c>
      <c r="J256" t="str">
        <f t="shared" si="27"/>
        <v>Road lighting and columnsAluminium columns 8m</v>
      </c>
      <c r="K256" t="str">
        <f>IF('Emissions Factors'!E258="","",'Emissions Factors'!E258)</f>
        <v>no.</v>
      </c>
      <c r="L256" t="str">
        <f>IF('Emissions Factors'!F258="","",'Emissions Factors'!F258)</f>
        <v>Aluminium</v>
      </c>
      <c r="M256">
        <f>IF('Emissions Factors'!G258="","",'Emissions Factors'!G258)</f>
        <v>6.6687175305347397</v>
      </c>
      <c r="N256" t="str">
        <f>IF('Emissions Factors'!H258="","",'Emissions Factors'!H258)</f>
        <v>tCO2e/t</v>
      </c>
      <c r="O256">
        <f>IF('[1]Emissions Factors'!I257="","",'[1]Emissions Factors'!I257)</f>
        <v>0.1</v>
      </c>
      <c r="P256" t="str">
        <f>IF('Emissions Factors'!J258="",'Emissions Factors'!F258,'Emissions Factors'!J258)</f>
        <v>Carbon factor taken from the ICE V4: Aluminium &gt; Aluminium general  European mix. The weight of a 8m aluminium column plus double lighting bracket is taken from a supplier to be 100kg.</v>
      </c>
      <c r="R256">
        <v>1</v>
      </c>
      <c r="U256">
        <f t="shared" si="28"/>
        <v>25</v>
      </c>
      <c r="V256">
        <f t="shared" si="29"/>
        <v>20</v>
      </c>
    </row>
    <row r="257" spans="1:22" x14ac:dyDescent="0.3">
      <c r="A257">
        <f>'Emissions Factors'!A259</f>
        <v>0</v>
      </c>
      <c r="B257">
        <f>'Emissions Factors'!B259</f>
        <v>0</v>
      </c>
      <c r="C257">
        <f>'Emissions Factors'!C259</f>
        <v>0</v>
      </c>
      <c r="D257" t="str">
        <f>'Emissions Factors'!D259</f>
        <v>Aluminium columns 10m</v>
      </c>
      <c r="G257" t="str">
        <f t="shared" si="24"/>
        <v>Street Furniture &amp; Electrical Equipment</v>
      </c>
      <c r="H257" t="str">
        <f t="shared" si="25"/>
        <v>Road lighting and columns</v>
      </c>
      <c r="I257" t="str">
        <f t="shared" si="26"/>
        <v>Aluminium columns 10m</v>
      </c>
      <c r="J257" t="str">
        <f t="shared" si="27"/>
        <v>Road lighting and columnsAluminium columns 10m</v>
      </c>
      <c r="K257" t="str">
        <f>IF('Emissions Factors'!E259="","",'Emissions Factors'!E259)</f>
        <v>no.</v>
      </c>
      <c r="L257" t="str">
        <f>IF('Emissions Factors'!F259="","",'Emissions Factors'!F259)</f>
        <v>Aluminium</v>
      </c>
      <c r="M257">
        <f>IF('Emissions Factors'!G259="","",'Emissions Factors'!G259)</f>
        <v>6.6687175305347397</v>
      </c>
      <c r="N257" t="str">
        <f>IF('Emissions Factors'!H259="","",'Emissions Factors'!H259)</f>
        <v>tCO2e/t</v>
      </c>
      <c r="O257">
        <f>IF('[1]Emissions Factors'!I258="","",'[1]Emissions Factors'!I258)</f>
        <v>0.14199999999999999</v>
      </c>
      <c r="P257" t="str">
        <f>IF('Emissions Factors'!J259="",'Emissions Factors'!F259,'Emissions Factors'!J259)</f>
        <v>Carbon factor taken from the ICE V4: Aluminium &gt; Aluminium general  European mix. The weight of a 10m aluminium column plus double lighting bracket is taken from a supplier to be 142kg.</v>
      </c>
      <c r="R257">
        <v>1</v>
      </c>
      <c r="U257">
        <f t="shared" si="28"/>
        <v>25</v>
      </c>
      <c r="V257">
        <f t="shared" si="29"/>
        <v>21</v>
      </c>
    </row>
    <row r="258" spans="1:22" x14ac:dyDescent="0.3">
      <c r="A258">
        <f>'Emissions Factors'!A260</f>
        <v>0</v>
      </c>
      <c r="B258">
        <f>'Emissions Factors'!B260</f>
        <v>0</v>
      </c>
      <c r="C258">
        <f>'Emissions Factors'!C260</f>
        <v>0</v>
      </c>
      <c r="D258" t="str">
        <f>'Emissions Factors'!D260</f>
        <v>Aluminium columns 12m</v>
      </c>
      <c r="G258" t="str">
        <f t="shared" si="24"/>
        <v>Street Furniture &amp; Electrical Equipment</v>
      </c>
      <c r="H258" t="str">
        <f t="shared" si="25"/>
        <v>Road lighting and columns</v>
      </c>
      <c r="I258" t="str">
        <f t="shared" si="26"/>
        <v>Aluminium columns 12m</v>
      </c>
      <c r="J258" t="str">
        <f t="shared" si="27"/>
        <v>Road lighting and columnsAluminium columns 12m</v>
      </c>
      <c r="K258" t="str">
        <f>IF('Emissions Factors'!E260="","",'Emissions Factors'!E260)</f>
        <v>no.</v>
      </c>
      <c r="L258" t="str">
        <f>IF('Emissions Factors'!F260="","",'Emissions Factors'!F260)</f>
        <v>Aluminium</v>
      </c>
      <c r="M258">
        <f>IF('Emissions Factors'!G260="","",'Emissions Factors'!G260)</f>
        <v>6.6687175305347397</v>
      </c>
      <c r="N258" t="str">
        <f>IF('Emissions Factors'!H260="","",'Emissions Factors'!H260)</f>
        <v>tCO2e/t</v>
      </c>
      <c r="O258">
        <f>IF('[1]Emissions Factors'!I259="","",'[1]Emissions Factors'!I259)</f>
        <v>0.20499999999999999</v>
      </c>
      <c r="P258" t="str">
        <f>IF('Emissions Factors'!J260="",'Emissions Factors'!F260,'Emissions Factors'!J260)</f>
        <v>Carbon factor taken from the ICE V4: Aluminium &gt; Aluminium general European mix. The weight of a 12m aluminium column plus double lighting bracket is taken from a supplier to be 205kg.</v>
      </c>
      <c r="R258">
        <v>1</v>
      </c>
      <c r="U258">
        <f t="shared" si="28"/>
        <v>25</v>
      </c>
      <c r="V258">
        <f t="shared" si="29"/>
        <v>21</v>
      </c>
    </row>
    <row r="259" spans="1:22" x14ac:dyDescent="0.3">
      <c r="A259">
        <f>'Emissions Factors'!A261</f>
        <v>0</v>
      </c>
      <c r="B259">
        <f>'Emissions Factors'!B261</f>
        <v>0</v>
      </c>
      <c r="C259" t="str">
        <f>'Emissions Factors'!C261</f>
        <v>Cable</v>
      </c>
      <c r="D259" t="str">
        <f>'Emissions Factors'!D261</f>
        <v>Armoured cable / Power cable</v>
      </c>
      <c r="G259" t="str">
        <f t="shared" si="24"/>
        <v>Street Furniture &amp; Electrical Equipment</v>
      </c>
      <c r="H259" t="str">
        <f t="shared" si="25"/>
        <v>Cable</v>
      </c>
      <c r="I259" t="str">
        <f t="shared" si="26"/>
        <v>Armoured cable / Power cable</v>
      </c>
      <c r="J259" t="str">
        <f t="shared" si="27"/>
        <v>CableArmoured cable / Power cable</v>
      </c>
      <c r="K259" t="str">
        <f>IF('Emissions Factors'!E261="","",'Emissions Factors'!E261)</f>
        <v>metres</v>
      </c>
      <c r="L259" t="str">
        <f>IF('Emissions Factors'!F261="","",'Emissions Factors'!F261)</f>
        <v>Electrical Equipment</v>
      </c>
      <c r="M259">
        <f>IF('Emissions Factors'!G261="","",'Emissions Factors'!G261)</f>
        <v>2.726666666666667</v>
      </c>
      <c r="N259" t="str">
        <f>IF('Emissions Factors'!H261="","",'Emissions Factors'!H261)</f>
        <v>tCO2e/t</v>
      </c>
      <c r="O259">
        <f>IF('[1]Emissions Factors'!I260="","",'[1]Emissions Factors'!I260)</f>
        <v>7.3999999999999999E-4</v>
      </c>
      <c r="P259" t="str">
        <f>IF('Emissions Factors'!J261="",'Emissions Factors'!F261,'Emissions Factors'!J261)</f>
        <v>Carbon factor taken from ICE V4: ICE Summary &gt; Copper &gt; EU tube and sheet, Steel &gt; wire rod and ICE V4: ICE Summary &gt; Plastic &gt; General plastic. Weight of medium copper armoured power cable taken from supplier to be 0.74kg per meter. Weight of copper , steel and plastic assumed to be equal.</v>
      </c>
      <c r="R259">
        <v>1</v>
      </c>
      <c r="U259">
        <f t="shared" si="28"/>
        <v>5</v>
      </c>
      <c r="V259">
        <f t="shared" si="29"/>
        <v>28</v>
      </c>
    </row>
    <row r="260" spans="1:22" x14ac:dyDescent="0.3">
      <c r="A260">
        <f>'Emissions Factors'!A262</f>
        <v>0</v>
      </c>
      <c r="B260">
        <f>'Emissions Factors'!B262</f>
        <v>0</v>
      </c>
      <c r="C260">
        <f>'Emissions Factors'!C262</f>
        <v>0</v>
      </c>
      <c r="D260" t="str">
        <f>'Emissions Factors'!D262</f>
        <v>Miscellaneous cable</v>
      </c>
      <c r="G260" t="str">
        <f t="shared" si="24"/>
        <v>Street Furniture &amp; Electrical Equipment</v>
      </c>
      <c r="H260" t="str">
        <f t="shared" si="25"/>
        <v>Cable</v>
      </c>
      <c r="I260" t="str">
        <f t="shared" si="26"/>
        <v>Miscellaneous cable</v>
      </c>
      <c r="J260" t="str">
        <f t="shared" si="27"/>
        <v>CableMiscellaneous cable</v>
      </c>
      <c r="K260" t="str">
        <f>IF('Emissions Factors'!E262="","",'Emissions Factors'!E262)</f>
        <v>metres</v>
      </c>
      <c r="L260" t="str">
        <f>IF('Emissions Factors'!F262="","",'Emissions Factors'!F262)</f>
        <v>Electrical Equipment</v>
      </c>
      <c r="M260">
        <f>IF('Emissions Factors'!G262="","",'Emissions Factors'!G262)</f>
        <v>2.726666666666667</v>
      </c>
      <c r="N260" t="str">
        <f>IF('Emissions Factors'!H262="","",'Emissions Factors'!H262)</f>
        <v>tCO2e/t</v>
      </c>
      <c r="O260">
        <f>IF('[1]Emissions Factors'!I261="","",'[1]Emissions Factors'!I261)</f>
        <v>4.2499999999999998E-4</v>
      </c>
      <c r="P260" t="str">
        <f>IF('Emissions Factors'!J262="",'Emissions Factors'!F262,'Emissions Factors'!J262)</f>
        <v>Carbon factor taken from ICE V4: ICE Summary &gt; Copper &gt; EU tube and sheet, Steel &gt; wire rod and ICE V4: ICE Summary &gt; Plastic &gt; General plastic. Weight of medium copper armoured power cable taken from supplier to be 0.425kg per meter. Weight of copper , steel and plastic assumed to be equal.</v>
      </c>
      <c r="R260">
        <v>1</v>
      </c>
      <c r="U260">
        <f t="shared" si="28"/>
        <v>5</v>
      </c>
      <c r="V260">
        <f t="shared" si="29"/>
        <v>19</v>
      </c>
    </row>
    <row r="261" spans="1:22" x14ac:dyDescent="0.3">
      <c r="A261">
        <f>'Emissions Factors'!A263</f>
        <v>0</v>
      </c>
      <c r="B261">
        <f>'Emissions Factors'!B263</f>
        <v>0</v>
      </c>
      <c r="C261" t="str">
        <f>'Emissions Factors'!C263</f>
        <v>Plastic cable ducting</v>
      </c>
      <c r="D261" t="str">
        <f>'Emissions Factors'!D263</f>
        <v xml:space="preserve">50mm diameter </v>
      </c>
      <c r="G261" t="str">
        <f t="shared" ref="G261:G324" si="30">IF(B261=0,G260,B261)</f>
        <v>Street Furniture &amp; Electrical Equipment</v>
      </c>
      <c r="H261" t="str">
        <f t="shared" ref="H261:H324" si="31">IF(C261=0,H260,C261)</f>
        <v>Plastic cable ducting</v>
      </c>
      <c r="I261" t="str">
        <f t="shared" ref="I261:I324" si="32">IF(D261=0,I260,D261)</f>
        <v xml:space="preserve">50mm diameter </v>
      </c>
      <c r="J261" t="str">
        <f t="shared" ref="J261:J324" si="33">H261&amp;I261</f>
        <v xml:space="preserve">Plastic cable ducting50mm diameter </v>
      </c>
      <c r="K261" t="str">
        <f>IF('Emissions Factors'!E263="","",'Emissions Factors'!E263)</f>
        <v>metres</v>
      </c>
      <c r="L261" t="str">
        <f>IF('Emissions Factors'!F263="","",'Emissions Factors'!F263)</f>
        <v>Plastic</v>
      </c>
      <c r="M261">
        <f>IF('Emissions Factors'!G263="","",'Emissions Factors'!G263)</f>
        <v>2.52</v>
      </c>
      <c r="N261" t="str">
        <f>IF('Emissions Factors'!H263="","",'Emissions Factors'!H263)</f>
        <v>tCO2e/t</v>
      </c>
      <c r="O261">
        <f>IF('[1]Emissions Factors'!I262="","",'[1]Emissions Factors'!I262)</f>
        <v>3.9996401471015068E-4</v>
      </c>
      <c r="P261" t="str">
        <f>IF('Emissions Factors'!J263="",'Emissions Factors'!F263,'Emissions Factors'!J263)</f>
        <v>Carbon factor taken directly from the ICE V4: ICE Summary &gt; Plastic &gt; HDPE Pipe. Conversion factor calculated from approximate 50mm pipe wall thickness of 5mm and HDPE density 0.97 t/m3.</v>
      </c>
      <c r="R261">
        <v>1</v>
      </c>
      <c r="U261">
        <f t="shared" ref="U261:U324" si="34">LEN(H261)</f>
        <v>21</v>
      </c>
      <c r="V261">
        <f t="shared" ref="V261:V324" si="35">LEN(I261)</f>
        <v>14</v>
      </c>
    </row>
    <row r="262" spans="1:22" x14ac:dyDescent="0.3">
      <c r="A262">
        <f>'Emissions Factors'!A264</f>
        <v>0</v>
      </c>
      <c r="B262">
        <f>'Emissions Factors'!B264</f>
        <v>0</v>
      </c>
      <c r="C262">
        <f>'Emissions Factors'!C264</f>
        <v>0</v>
      </c>
      <c r="D262" t="str">
        <f>'Emissions Factors'!D264</f>
        <v>150mm diameter</v>
      </c>
      <c r="G262" t="str">
        <f t="shared" si="30"/>
        <v>Street Furniture &amp; Electrical Equipment</v>
      </c>
      <c r="H262" t="str">
        <f t="shared" si="31"/>
        <v>Plastic cable ducting</v>
      </c>
      <c r="I262" t="str">
        <f t="shared" si="32"/>
        <v>150mm diameter</v>
      </c>
      <c r="J262" t="str">
        <f t="shared" si="33"/>
        <v>Plastic cable ducting150mm diameter</v>
      </c>
      <c r="K262" t="str">
        <f>IF('Emissions Factors'!E264="","",'Emissions Factors'!E264)</f>
        <v>metres</v>
      </c>
      <c r="L262" t="str">
        <f>IF('Emissions Factors'!F264="","",'Emissions Factors'!F264)</f>
        <v>Plastic</v>
      </c>
      <c r="M262">
        <f>IF('Emissions Factors'!G264="","",'Emissions Factors'!G264)</f>
        <v>2.52</v>
      </c>
      <c r="N262" t="str">
        <f>IF('Emissions Factors'!H264="","",'Emissions Factors'!H264)</f>
        <v>tCO2e/t</v>
      </c>
      <c r="O262">
        <f>IF('[1]Emissions Factors'!I263="","",'[1]Emissions Factors'!I263)</f>
        <v>2.3616922773361266E-3</v>
      </c>
      <c r="P262" t="str">
        <f>IF('Emissions Factors'!J264="",'Emissions Factors'!F264,'Emissions Factors'!J264)</f>
        <v>Carbon factor taken directly from the ICE V4:  ICE Summary &gt; Plastic &gt; HDPE Pipe. Conversion factor calculated from approximate 150mm pipe wall thickness of 5mm and HDPE density 0.97 t/m3.</v>
      </c>
      <c r="R262">
        <v>1</v>
      </c>
      <c r="U262">
        <f t="shared" si="34"/>
        <v>21</v>
      </c>
      <c r="V262">
        <f t="shared" si="35"/>
        <v>14</v>
      </c>
    </row>
    <row r="263" spans="1:22" x14ac:dyDescent="0.3">
      <c r="A263">
        <f>'Emissions Factors'!A265</f>
        <v>0</v>
      </c>
      <c r="B263">
        <f>'Emissions Factors'!B265</f>
        <v>0</v>
      </c>
      <c r="C263" t="str">
        <f>'Emissions Factors'!C265</f>
        <v>Cabinets</v>
      </c>
      <c r="D263" t="str">
        <f>'Emissions Factors'!D265</f>
        <v>Average roadside cabinet type</v>
      </c>
      <c r="G263" t="str">
        <f t="shared" si="30"/>
        <v>Street Furniture &amp; Electrical Equipment</v>
      </c>
      <c r="H263" t="str">
        <f t="shared" si="31"/>
        <v>Cabinets</v>
      </c>
      <c r="I263" t="str">
        <f t="shared" si="32"/>
        <v>Average roadside cabinet type</v>
      </c>
      <c r="J263" t="str">
        <f t="shared" si="33"/>
        <v>CabinetsAverage roadside cabinet type</v>
      </c>
      <c r="K263" t="str">
        <f>IF('Emissions Factors'!E265="","",'Emissions Factors'!E265)</f>
        <v>no.</v>
      </c>
      <c r="L263" t="str">
        <f>IF('Emissions Factors'!F265="","",'Emissions Factors'!F265)</f>
        <v>Steel</v>
      </c>
      <c r="M263">
        <f>IF('Emissions Factors'!G265="","",'Emissions Factors'!G265)</f>
        <v>2.62</v>
      </c>
      <c r="N263" t="str">
        <f>IF('Emissions Factors'!H265="","",'Emissions Factors'!H265)</f>
        <v>tCO2e/t</v>
      </c>
      <c r="O263">
        <f>IF('[1]Emissions Factors'!I264="","",'[1]Emissions Factors'!I264)</f>
        <v>0.2</v>
      </c>
      <c r="P263" t="str">
        <f>IF('Emissions Factors'!J265="",'Emissions Factors'!F265,'Emissions Factors'!J265)</f>
        <v>Carbon factor taken from the ICE V4: Steel &gt; Hot dipped galvanised steel. Weight of a 609 type cabinet taken from supplier to be an average cabinet of approximately 200kg.</v>
      </c>
      <c r="R263">
        <v>1</v>
      </c>
      <c r="U263">
        <f t="shared" si="34"/>
        <v>8</v>
      </c>
      <c r="V263">
        <f t="shared" si="35"/>
        <v>29</v>
      </c>
    </row>
    <row r="264" spans="1:22" x14ac:dyDescent="0.3">
      <c r="A264">
        <f>'Emissions Factors'!A266</f>
        <v>0</v>
      </c>
      <c r="B264">
        <f>'Emissions Factors'!B266</f>
        <v>0</v>
      </c>
      <c r="C264" t="str">
        <f>'Emissions Factors'!C266</f>
        <v>Cameras</v>
      </c>
      <c r="D264" t="str">
        <f>'Emissions Factors'!D266</f>
        <v>Hard shoulder camera and steel pole</v>
      </c>
      <c r="G264" t="str">
        <f t="shared" si="30"/>
        <v>Street Furniture &amp; Electrical Equipment</v>
      </c>
      <c r="H264" t="str">
        <f t="shared" si="31"/>
        <v>Cameras</v>
      </c>
      <c r="I264" t="str">
        <f t="shared" si="32"/>
        <v>Hard shoulder camera and steel pole</v>
      </c>
      <c r="J264" t="str">
        <f t="shared" si="33"/>
        <v>CamerasHard shoulder camera and steel pole</v>
      </c>
      <c r="K264" t="str">
        <f>IF('Emissions Factors'!E266="","",'Emissions Factors'!E266)</f>
        <v>no.</v>
      </c>
      <c r="L264" t="str">
        <f>IF('Emissions Factors'!F266="","",'Emissions Factors'!F266)</f>
        <v>Steel</v>
      </c>
      <c r="M264">
        <f>IF('Emissions Factors'!G266="","",'Emissions Factors'!G266)</f>
        <v>2.62</v>
      </c>
      <c r="N264" t="str">
        <f>IF('Emissions Factors'!H266="","",'Emissions Factors'!H266)</f>
        <v>tCO2e/t</v>
      </c>
      <c r="O264">
        <f>IF('[1]Emissions Factors'!I265="","",'[1]Emissions Factors'!I265)</f>
        <v>1.0960000000000001</v>
      </c>
      <c r="P264" t="str">
        <f>IF('Emissions Factors'!J266="",'Emissions Factors'!F266,'Emissions Factors'!J266)</f>
        <v>Carbon factor taken from the ICE V4: Steel &gt; Hot dipped galvanised steel. The weight of a 12m steel column plus camera bracket is taken from a supplier to be 1.096t.</v>
      </c>
      <c r="R264">
        <v>1</v>
      </c>
      <c r="U264">
        <f t="shared" si="34"/>
        <v>7</v>
      </c>
      <c r="V264">
        <f t="shared" si="35"/>
        <v>35</v>
      </c>
    </row>
    <row r="265" spans="1:22" x14ac:dyDescent="0.3">
      <c r="A265">
        <f>'Emissions Factors'!A267</f>
        <v>0</v>
      </c>
      <c r="B265">
        <f>'Emissions Factors'!B267</f>
        <v>0</v>
      </c>
      <c r="C265">
        <f>'Emissions Factors'!C267</f>
        <v>0</v>
      </c>
      <c r="D265" t="str">
        <f>'Emissions Factors'!D267</f>
        <v>Camera unit</v>
      </c>
      <c r="G265" t="str">
        <f t="shared" si="30"/>
        <v>Street Furniture &amp; Electrical Equipment</v>
      </c>
      <c r="H265" t="str">
        <f t="shared" si="31"/>
        <v>Cameras</v>
      </c>
      <c r="I265" t="str">
        <f t="shared" si="32"/>
        <v>Camera unit</v>
      </c>
      <c r="J265" t="str">
        <f t="shared" si="33"/>
        <v>CamerasCamera unit</v>
      </c>
      <c r="K265" t="str">
        <f>IF('Emissions Factors'!E267="","",'Emissions Factors'!E267)</f>
        <v>no.</v>
      </c>
      <c r="L265" t="str">
        <f>IF('Emissions Factors'!F267="","",'Emissions Factors'!F267)</f>
        <v>Electrical Equipment</v>
      </c>
      <c r="M265">
        <f>IF('Emissions Factors'!G267="","",'Emissions Factors'!G267)</f>
        <v>3.1949999999999998</v>
      </c>
      <c r="N265" t="str">
        <f>IF('Emissions Factors'!H267="","",'Emissions Factors'!H267)</f>
        <v>tCO2e/unit</v>
      </c>
      <c r="O265">
        <f>IF('[1]Emissions Factors'!I266="","",'[1]Emissions Factors'!I266)</f>
        <v>2.5000000000000001E-2</v>
      </c>
      <c r="P265" t="str">
        <f>IF('Emissions Factors'!J267="",'Emissions Factors'!F267,'Emissions Factors'!J267)</f>
        <v>Carbon factor taken directly from the ICE V4:  ICE Summary &gt; Plastic &gt; General plastic, Steel; &gt; wire rod. Weight of camera taken from supplier to be 25kg. Assumed main constituent materials to be 90% plastic and 10% steel.</v>
      </c>
      <c r="R265">
        <v>1</v>
      </c>
      <c r="U265">
        <f t="shared" si="34"/>
        <v>7</v>
      </c>
      <c r="V265">
        <f t="shared" si="35"/>
        <v>11</v>
      </c>
    </row>
    <row r="266" spans="1:22" x14ac:dyDescent="0.3">
      <c r="A266">
        <f>'Emissions Factors'!A268</f>
        <v>0</v>
      </c>
      <c r="B266">
        <f>'Emissions Factors'!B268</f>
        <v>0</v>
      </c>
      <c r="C266" t="str">
        <f>'Emissions Factors'!C268</f>
        <v>Marker posts/signs</v>
      </c>
      <c r="D266" t="str">
        <f>'Emissions Factors'!D268</f>
        <v>Aluminium marker sign</v>
      </c>
      <c r="G266" t="str">
        <f t="shared" si="30"/>
        <v>Street Furniture &amp; Electrical Equipment</v>
      </c>
      <c r="H266" t="str">
        <f t="shared" si="31"/>
        <v>Marker posts/signs</v>
      </c>
      <c r="I266" t="str">
        <f t="shared" si="32"/>
        <v>Aluminium marker sign</v>
      </c>
      <c r="J266" t="str">
        <f t="shared" si="33"/>
        <v>Marker posts/signsAluminium marker sign</v>
      </c>
      <c r="K266" t="str">
        <f>IF('Emissions Factors'!E268="","",'Emissions Factors'!E268)</f>
        <v>no.</v>
      </c>
      <c r="L266" t="str">
        <f>IF('Emissions Factors'!F268="","",'Emissions Factors'!F268)</f>
        <v>Aluminium</v>
      </c>
      <c r="M266">
        <f>IF('Emissions Factors'!G268="","",'Emissions Factors'!G268)</f>
        <v>6.67</v>
      </c>
      <c r="N266" t="str">
        <f>IF('Emissions Factors'!H268="","",'Emissions Factors'!H268)</f>
        <v>tCO2e/t</v>
      </c>
      <c r="O266">
        <f>IF('[1]Emissions Factors'!I267="","",'[1]Emissions Factors'!I267)</f>
        <v>0.01</v>
      </c>
      <c r="P266" t="str">
        <f>IF('Emissions Factors'!J268="",'Emissions Factors'!F268,'Emissions Factors'!J268)</f>
        <v>Carbon factor taken directly from the ICE V4: Aluminium &gt; Aluminium general European mix. Weight of sign taken from supplier to be 10kg.</v>
      </c>
      <c r="R266">
        <v>1</v>
      </c>
      <c r="U266">
        <f t="shared" si="34"/>
        <v>18</v>
      </c>
      <c r="V266">
        <f t="shared" si="35"/>
        <v>21</v>
      </c>
    </row>
    <row r="267" spans="1:22" x14ac:dyDescent="0.3">
      <c r="A267">
        <f>'Emissions Factors'!A269</f>
        <v>0</v>
      </c>
      <c r="B267">
        <f>'Emissions Factors'!B269</f>
        <v>0</v>
      </c>
      <c r="C267">
        <f>'Emissions Factors'!C269</f>
        <v>0</v>
      </c>
      <c r="D267" t="str">
        <f>'Emissions Factors'!D269</f>
        <v>Plastic marker post</v>
      </c>
      <c r="G267" t="str">
        <f t="shared" si="30"/>
        <v>Street Furniture &amp; Electrical Equipment</v>
      </c>
      <c r="H267" t="str">
        <f t="shared" si="31"/>
        <v>Marker posts/signs</v>
      </c>
      <c r="I267" t="str">
        <f t="shared" si="32"/>
        <v>Plastic marker post</v>
      </c>
      <c r="J267" t="str">
        <f t="shared" si="33"/>
        <v>Marker posts/signsPlastic marker post</v>
      </c>
      <c r="K267" t="str">
        <f>IF('Emissions Factors'!E269="","",'Emissions Factors'!E269)</f>
        <v>no.</v>
      </c>
      <c r="L267" t="str">
        <f>IF('Emissions Factors'!F269="","",'Emissions Factors'!F269)</f>
        <v>Plastic</v>
      </c>
      <c r="M267">
        <f>IF('Emissions Factors'!G269="","",'Emissions Factors'!G269)</f>
        <v>3.31</v>
      </c>
      <c r="N267" t="str">
        <f>IF('Emissions Factors'!H269="","",'Emissions Factors'!H269)</f>
        <v>tCO2e/unit</v>
      </c>
      <c r="O267">
        <f>IF('[1]Emissions Factors'!I268="","",'[1]Emissions Factors'!I268)</f>
        <v>1.63E-4</v>
      </c>
      <c r="P267" t="str">
        <f>IF('Emissions Factors'!J269="",'Emissions Factors'!F269,'Emissions Factors'!J269)</f>
        <v>Carbon factor taken directly from the ICE V4: ICE Summary &gt; Plastic &gt; General plastic. Weight of  plastic per distance marker taken from Specification for Highways Works - Volume 3 E series drawings to be 163 grams.</v>
      </c>
      <c r="R267">
        <v>1</v>
      </c>
      <c r="U267">
        <f t="shared" si="34"/>
        <v>18</v>
      </c>
      <c r="V267">
        <f t="shared" si="35"/>
        <v>19</v>
      </c>
    </row>
    <row r="268" spans="1:22" x14ac:dyDescent="0.3">
      <c r="A268">
        <f>'Emissions Factors'!A270</f>
        <v>0</v>
      </c>
      <c r="B268">
        <f>'Emissions Factors'!B270</f>
        <v>0</v>
      </c>
      <c r="C268" t="str">
        <f>'Emissions Factors'!C270</f>
        <v>Road Studs</v>
      </c>
      <c r="D268" t="str">
        <f>'Emissions Factors'!D270</f>
        <v>Any type</v>
      </c>
      <c r="G268" t="str">
        <f t="shared" si="30"/>
        <v>Street Furniture &amp; Electrical Equipment</v>
      </c>
      <c r="H268" t="str">
        <f t="shared" si="31"/>
        <v>Road Studs</v>
      </c>
      <c r="I268" t="str">
        <f t="shared" si="32"/>
        <v>Any type</v>
      </c>
      <c r="J268" t="str">
        <f t="shared" si="33"/>
        <v>Road StudsAny type</v>
      </c>
      <c r="K268" t="str">
        <f>IF('Emissions Factors'!E270="","",'Emissions Factors'!E270)</f>
        <v>no.</v>
      </c>
      <c r="L268" t="str">
        <f>IF('Emissions Factors'!F270="","",'Emissions Factors'!F270)</f>
        <v>Plastic</v>
      </c>
      <c r="M268">
        <f>IF('Emissions Factors'!G270="","",'Emissions Factors'!G270)</f>
        <v>3.31</v>
      </c>
      <c r="N268" t="str">
        <f>IF('Emissions Factors'!H270="","",'Emissions Factors'!H270)</f>
        <v>tCO2e/unit</v>
      </c>
      <c r="O268">
        <f>IF('[1]Emissions Factors'!I269="","",'[1]Emissions Factors'!I269)</f>
        <v>5.0000000000000002E-5</v>
      </c>
      <c r="P268" t="str">
        <f>IF('Emissions Factors'!J270="",'Emissions Factors'!F270,'Emissions Factors'!J270)</f>
        <v>carbon factor taken directly from the ICE V4: ICE Summary &gt; Plastic &gt; General plastic. Weight of road stud taken as an average of multiple road stud designs from suppliers.</v>
      </c>
      <c r="R268">
        <v>1</v>
      </c>
      <c r="U268">
        <f t="shared" si="34"/>
        <v>10</v>
      </c>
      <c r="V268">
        <f t="shared" si="35"/>
        <v>8</v>
      </c>
    </row>
    <row r="269" spans="1:22" x14ac:dyDescent="0.3">
      <c r="A269">
        <f>'Emissions Factors'!A271</f>
        <v>0</v>
      </c>
      <c r="B269">
        <f>'Emissions Factors'!B271</f>
        <v>0</v>
      </c>
      <c r="C269" t="str">
        <f>'Emissions Factors'!C271</f>
        <v>Handrail</v>
      </c>
      <c r="D269" t="str">
        <f>'Emissions Factors'!D271</f>
        <v>Galvanised steel</v>
      </c>
      <c r="G269" t="str">
        <f t="shared" si="30"/>
        <v>Street Furniture &amp; Electrical Equipment</v>
      </c>
      <c r="H269" t="str">
        <f t="shared" si="31"/>
        <v>Handrail</v>
      </c>
      <c r="I269" t="str">
        <f t="shared" si="32"/>
        <v>Galvanised steel</v>
      </c>
      <c r="J269" t="str">
        <f t="shared" si="33"/>
        <v>HandrailGalvanised steel</v>
      </c>
      <c r="K269" t="str">
        <f>IF('Emissions Factors'!E271="","",'Emissions Factors'!E271)</f>
        <v>tonnes</v>
      </c>
      <c r="L269" t="str">
        <f>IF('Emissions Factors'!F271="","",'Emissions Factors'!F271)</f>
        <v>Steel</v>
      </c>
      <c r="M269">
        <f>IF('Emissions Factors'!G271="","",'Emissions Factors'!G271)</f>
        <v>2.62</v>
      </c>
      <c r="N269" t="str">
        <f>IF('Emissions Factors'!H271="","",'Emissions Factors'!H271)</f>
        <v>tCO2e/t</v>
      </c>
      <c r="O269">
        <f>IF('[1]Emissions Factors'!I270="","",'[1]Emissions Factors'!I270)</f>
        <v>1</v>
      </c>
      <c r="P269" t="str">
        <f>IF('Emissions Factors'!J271="",'Emissions Factors'!F271,'Emissions Factors'!J271)</f>
        <v>Carbon factor taken directly from the ICE V4: Steel &gt; Hot dipped galvanised steel.</v>
      </c>
      <c r="R269">
        <v>1</v>
      </c>
      <c r="U269">
        <f t="shared" si="34"/>
        <v>8</v>
      </c>
      <c r="V269">
        <f t="shared" si="35"/>
        <v>16</v>
      </c>
    </row>
    <row r="270" spans="1:22" x14ac:dyDescent="0.3">
      <c r="A270">
        <f>'Emissions Factors'!A272</f>
        <v>0</v>
      </c>
      <c r="B270" t="str">
        <f>'Emissions Factors'!B272</f>
        <v>Civils Structures &amp; Retaining Walls</v>
      </c>
      <c r="C270" t="str">
        <f>'Emissions Factors'!C272</f>
        <v>Formwork / Shuttering</v>
      </c>
      <c r="D270" t="str">
        <f>'Emissions Factors'!D272</f>
        <v>Plywood</v>
      </c>
      <c r="G270" t="str">
        <f t="shared" si="30"/>
        <v>Civils Structures &amp; Retaining Walls</v>
      </c>
      <c r="H270" t="str">
        <f t="shared" si="31"/>
        <v>Formwork / Shuttering</v>
      </c>
      <c r="I270" t="str">
        <f t="shared" si="32"/>
        <v>Plywood</v>
      </c>
      <c r="J270" t="str">
        <f t="shared" si="33"/>
        <v>Formwork / ShutteringPlywood</v>
      </c>
      <c r="K270" t="str">
        <f>IF('Emissions Factors'!E272="","",'Emissions Factors'!E272)</f>
        <v>m3</v>
      </c>
      <c r="L270" t="str">
        <f>IF('Emissions Factors'!F272="","",'Emissions Factors'!F272)</f>
        <v>Timber</v>
      </c>
      <c r="M270">
        <f>IF('Emissions Factors'!G272="","",'Emissions Factors'!G272)</f>
        <v>0.68146428598875564</v>
      </c>
      <c r="N270" t="str">
        <f>IF('Emissions Factors'!H272="","",'Emissions Factors'!H272)</f>
        <v>tCO2e/t</v>
      </c>
      <c r="O270">
        <f>IF('[1]Emissions Factors'!I271="","",'[1]Emissions Factors'!I271)</f>
        <v>0.54</v>
      </c>
      <c r="P270" t="str">
        <f>IF('Emissions Factors'!J272="",'Emissions Factors'!F272,'Emissions Factors'!J272)</f>
        <v>Carbon factor taken directly from the ICE V4: Timber &gt; Plywood.</v>
      </c>
      <c r="R270">
        <v>1</v>
      </c>
      <c r="U270">
        <f t="shared" si="34"/>
        <v>21</v>
      </c>
      <c r="V270">
        <f t="shared" si="35"/>
        <v>7</v>
      </c>
    </row>
    <row r="271" spans="1:22" x14ac:dyDescent="0.3">
      <c r="A271">
        <f>'Emissions Factors'!A273</f>
        <v>0</v>
      </c>
      <c r="B271">
        <f>'Emissions Factors'!B273</f>
        <v>0</v>
      </c>
      <c r="C271">
        <f>'Emissions Factors'!C273</f>
        <v>0</v>
      </c>
      <c r="D271" t="str">
        <f>'Emissions Factors'!D273</f>
        <v>Softwood</v>
      </c>
      <c r="G271" t="str">
        <f t="shared" si="30"/>
        <v>Civils Structures &amp; Retaining Walls</v>
      </c>
      <c r="H271" t="str">
        <f t="shared" si="31"/>
        <v>Formwork / Shuttering</v>
      </c>
      <c r="I271" t="str">
        <f t="shared" si="32"/>
        <v>Softwood</v>
      </c>
      <c r="J271" t="str">
        <f t="shared" si="33"/>
        <v>Formwork / ShutteringSoftwood</v>
      </c>
      <c r="K271" t="str">
        <f>IF('Emissions Factors'!E273="","",'Emissions Factors'!E273)</f>
        <v>m3</v>
      </c>
      <c r="L271" t="str">
        <f>IF('Emissions Factors'!F273="","",'Emissions Factors'!F273)</f>
        <v>Timber</v>
      </c>
      <c r="M271">
        <f>IF('Emissions Factors'!G273="","",'Emissions Factors'!G273)</f>
        <v>0.26259445783377083</v>
      </c>
      <c r="N271" t="str">
        <f>IF('Emissions Factors'!H273="","",'Emissions Factors'!H273)</f>
        <v>tCO2e/t</v>
      </c>
      <c r="O271">
        <f>IF('[1]Emissions Factors'!I272="","",'[1]Emissions Factors'!I272)</f>
        <v>0.5</v>
      </c>
      <c r="P271" t="str">
        <f>IF('Emissions Factors'!J273="",'Emissions Factors'!F273,'Emissions Factors'!J273)</f>
        <v>Carbon factor taken directly from the ICE V4: Timber &gt; Softwood no carbon storage. Alternative ICE carbon factors are presented for sustainable timber which may be used where a chain of custody of timber provides sufficient justification.</v>
      </c>
      <c r="R271">
        <v>1</v>
      </c>
      <c r="U271">
        <f t="shared" si="34"/>
        <v>21</v>
      </c>
      <c r="V271">
        <f t="shared" si="35"/>
        <v>8</v>
      </c>
    </row>
    <row r="272" spans="1:22" x14ac:dyDescent="0.3">
      <c r="A272">
        <f>'Emissions Factors'!A274</f>
        <v>0</v>
      </c>
      <c r="B272">
        <f>'Emissions Factors'!B274</f>
        <v>0</v>
      </c>
      <c r="C272">
        <f>'Emissions Factors'!C274</f>
        <v>0</v>
      </c>
      <c r="D272" t="str">
        <f>'Emissions Factors'!D274</f>
        <v>Particle board</v>
      </c>
      <c r="G272" t="str">
        <f t="shared" si="30"/>
        <v>Civils Structures &amp; Retaining Walls</v>
      </c>
      <c r="H272" t="str">
        <f t="shared" si="31"/>
        <v>Formwork / Shuttering</v>
      </c>
      <c r="I272" t="str">
        <f t="shared" si="32"/>
        <v>Particle board</v>
      </c>
      <c r="J272" t="str">
        <f t="shared" si="33"/>
        <v>Formwork / ShutteringParticle board</v>
      </c>
      <c r="K272" t="str">
        <f>IF('Emissions Factors'!E274="","",'Emissions Factors'!E274)</f>
        <v>m3</v>
      </c>
      <c r="L272" t="str">
        <f>IF('Emissions Factors'!F274="","",'Emissions Factors'!F274)</f>
        <v>Timber</v>
      </c>
      <c r="M272">
        <f>IF('Emissions Factors'!G274="","",'Emissions Factors'!G274)</f>
        <v>0.66426594282792939</v>
      </c>
      <c r="N272" t="str">
        <f>IF('Emissions Factors'!H274="","",'Emissions Factors'!H274)</f>
        <v>tCO2e/t</v>
      </c>
      <c r="O272">
        <f>IF('[1]Emissions Factors'!I273="","",'[1]Emissions Factors'!I273)</f>
        <v>0.75</v>
      </c>
      <c r="P272" t="str">
        <f>IF('Emissions Factors'!J274="",'Emissions Factors'!F274,'Emissions Factors'!J274)</f>
        <v>Carbon factor taken directly from the ICE V4: Timber &gt; Particle board .</v>
      </c>
      <c r="R272">
        <v>1</v>
      </c>
      <c r="U272">
        <f t="shared" si="34"/>
        <v>21</v>
      </c>
      <c r="V272">
        <f t="shared" si="35"/>
        <v>14</v>
      </c>
    </row>
    <row r="273" spans="1:22" x14ac:dyDescent="0.3">
      <c r="A273">
        <f>'Emissions Factors'!A275</f>
        <v>0</v>
      </c>
      <c r="B273">
        <f>'Emissions Factors'!B275</f>
        <v>0</v>
      </c>
      <c r="C273">
        <f>'Emissions Factors'!C275</f>
        <v>0</v>
      </c>
      <c r="D273" t="str">
        <f>'Emissions Factors'!D275</f>
        <v>Plastic formwork (disposable)</v>
      </c>
      <c r="G273" t="str">
        <f t="shared" si="30"/>
        <v>Civils Structures &amp; Retaining Walls</v>
      </c>
      <c r="H273" t="str">
        <f t="shared" si="31"/>
        <v>Formwork / Shuttering</v>
      </c>
      <c r="I273" t="str">
        <f t="shared" si="32"/>
        <v>Plastic formwork (disposable)</v>
      </c>
      <c r="J273" t="str">
        <f t="shared" si="33"/>
        <v>Formwork / ShutteringPlastic formwork (disposable)</v>
      </c>
      <c r="K273" t="str">
        <f>IF('Emissions Factors'!E275="","",'Emissions Factors'!E275)</f>
        <v>tonnes</v>
      </c>
      <c r="L273" t="str">
        <f>IF('Emissions Factors'!F275="","",'Emissions Factors'!F275)</f>
        <v>Plastic</v>
      </c>
      <c r="M273">
        <f>IF('Emissions Factors'!G275="","",'Emissions Factors'!G275)</f>
        <v>2.52</v>
      </c>
      <c r="N273" t="str">
        <f>IF('Emissions Factors'!H275="","",'Emissions Factors'!H275)</f>
        <v>tCO2e/t</v>
      </c>
      <c r="O273">
        <f>IF('[1]Emissions Factors'!I274="","",'[1]Emissions Factors'!I274)</f>
        <v>1</v>
      </c>
      <c r="P273" t="str">
        <f>IF('Emissions Factors'!J275="",'Emissions Factors'!F275,'Emissions Factors'!J275)</f>
        <v>Carbon factor taken directly from the ICE V4: Plastic &gt; HDPE Pipe.</v>
      </c>
      <c r="R273">
        <v>1</v>
      </c>
      <c r="U273">
        <f t="shared" si="34"/>
        <v>21</v>
      </c>
      <c r="V273">
        <f t="shared" si="35"/>
        <v>29</v>
      </c>
    </row>
    <row r="274" spans="1:22" x14ac:dyDescent="0.3">
      <c r="A274">
        <f>'Emissions Factors'!A276</f>
        <v>0</v>
      </c>
      <c r="B274">
        <f>'Emissions Factors'!B276</f>
        <v>0</v>
      </c>
      <c r="C274" t="str">
        <f>'Emissions Factors'!C276</f>
        <v>Piling</v>
      </c>
      <c r="D274" t="str">
        <f>'Emissions Factors'!D276</f>
        <v>Steel piles</v>
      </c>
      <c r="G274" t="str">
        <f t="shared" si="30"/>
        <v>Civils Structures &amp; Retaining Walls</v>
      </c>
      <c r="H274" t="str">
        <f t="shared" si="31"/>
        <v>Piling</v>
      </c>
      <c r="I274" t="str">
        <f t="shared" si="32"/>
        <v>Steel piles</v>
      </c>
      <c r="J274" t="str">
        <f t="shared" si="33"/>
        <v>PilingSteel piles</v>
      </c>
      <c r="K274" t="str">
        <f>IF('Emissions Factors'!E276="","",'Emissions Factors'!E276)</f>
        <v>tonnes</v>
      </c>
      <c r="L274" t="str">
        <f>IF('Emissions Factors'!F276="","",'Emissions Factors'!F276)</f>
        <v>Steel</v>
      </c>
      <c r="M274">
        <f>IF('Emissions Factors'!G276="","",'Emissions Factors'!G276)</f>
        <v>2.62</v>
      </c>
      <c r="N274" t="str">
        <f>IF('Emissions Factors'!H276="","",'Emissions Factors'!H276)</f>
        <v>tCO2e/t</v>
      </c>
      <c r="O274">
        <f>IF('[1]Emissions Factors'!I275="","",'[1]Emissions Factors'!I275)</f>
        <v>1</v>
      </c>
      <c r="P274" t="str">
        <f>IF('Emissions Factors'!J276="",'Emissions Factors'!F276,'Emissions Factors'!J276)</f>
        <v>Carbon factor taken directly from the ICE V4: Steel &gt; Hot dipped galvanised steel.</v>
      </c>
      <c r="R274">
        <v>1</v>
      </c>
      <c r="U274">
        <f t="shared" si="34"/>
        <v>6</v>
      </c>
      <c r="V274">
        <f t="shared" si="35"/>
        <v>11</v>
      </c>
    </row>
    <row r="275" spans="1:22" x14ac:dyDescent="0.3">
      <c r="A275">
        <f>'Emissions Factors'!A277</f>
        <v>0</v>
      </c>
      <c r="B275">
        <f>'Emissions Factors'!B277</f>
        <v>0</v>
      </c>
      <c r="C275">
        <f>'Emissions Factors'!C277</f>
        <v>0</v>
      </c>
      <c r="D275" t="str">
        <f>'Emissions Factors'!D277</f>
        <v xml:space="preserve">Pre-cast concrete piles </v>
      </c>
      <c r="G275" t="str">
        <f t="shared" si="30"/>
        <v>Civils Structures &amp; Retaining Walls</v>
      </c>
      <c r="H275" t="str">
        <f t="shared" si="31"/>
        <v>Piling</v>
      </c>
      <c r="I275" t="str">
        <f t="shared" si="32"/>
        <v xml:space="preserve">Pre-cast concrete piles </v>
      </c>
      <c r="J275" t="str">
        <f t="shared" si="33"/>
        <v xml:space="preserve">PilingPre-cast concrete piles </v>
      </c>
      <c r="K275" t="str">
        <f>IF('Emissions Factors'!E277="","",'Emissions Factors'!E277)</f>
        <v>tonnes</v>
      </c>
      <c r="L275" t="str">
        <f>IF('Emissions Factors'!F277="","",'Emissions Factors'!F277)</f>
        <v>Concrete</v>
      </c>
      <c r="M275">
        <f>IF('Emissions Factors'!G277="","",'Emissions Factors'!G277)</f>
        <v>0.23577719722910626</v>
      </c>
      <c r="N275" t="str">
        <f>IF('Emissions Factors'!H277="","",'Emissions Factors'!H277)</f>
        <v>tCO2e/t</v>
      </c>
      <c r="O275">
        <f>IF('[1]Emissions Factors'!I276="","",'[1]Emissions Factors'!I276)</f>
        <v>1</v>
      </c>
      <c r="P275" t="str">
        <f>IF('Emissions Factors'!J277="",'Emissions Factors'!F277,'Emissions Factors'!J277)</f>
        <v>Carbon factor taken directly from the ICE V4: Concrete &gt; Precast concrete beams and columns - steel reinforced with 100kg world average steel per m3.</v>
      </c>
      <c r="R275">
        <v>1</v>
      </c>
      <c r="U275">
        <f t="shared" si="34"/>
        <v>6</v>
      </c>
      <c r="V275">
        <f t="shared" si="35"/>
        <v>24</v>
      </c>
    </row>
    <row r="276" spans="1:22" x14ac:dyDescent="0.3">
      <c r="A276">
        <f>'Emissions Factors'!A278</f>
        <v>0</v>
      </c>
      <c r="B276">
        <f>'Emissions Factors'!B278</f>
        <v>0</v>
      </c>
      <c r="C276">
        <f>'Emissions Factors'!C278</f>
        <v>0</v>
      </c>
      <c r="D276" t="str">
        <f>'Emissions Factors'!D278</f>
        <v>In-situ concrete piles</v>
      </c>
      <c r="G276" t="str">
        <f t="shared" si="30"/>
        <v>Civils Structures &amp; Retaining Walls</v>
      </c>
      <c r="H276" t="str">
        <f t="shared" si="31"/>
        <v>Piling</v>
      </c>
      <c r="I276" t="str">
        <f t="shared" si="32"/>
        <v>In-situ concrete piles</v>
      </c>
      <c r="J276" t="str">
        <f t="shared" si="33"/>
        <v>PilingIn-situ concrete piles</v>
      </c>
      <c r="K276" t="str">
        <f>IF('Emissions Factors'!E278="","",'Emissions Factors'!E278)</f>
        <v>tonnes</v>
      </c>
      <c r="L276" t="str">
        <f>IF('Emissions Factors'!F278="","",'Emissions Factors'!F278)</f>
        <v>Please include this within the bulk materials category under concrete.</v>
      </c>
      <c r="M276" t="str">
        <f>IF('Emissions Factors'!G278="","",'Emissions Factors'!G278)</f>
        <v/>
      </c>
      <c r="N276" t="str">
        <f>IF('Emissions Factors'!H278="","",'Emissions Factors'!H278)</f>
        <v/>
      </c>
      <c r="O276" t="str">
        <f>IF('[1]Emissions Factors'!I277="","",'[1]Emissions Factors'!I277)</f>
        <v/>
      </c>
      <c r="P276" t="str">
        <f>IF('Emissions Factors'!J278="",'Emissions Factors'!F278,'Emissions Factors'!J278)</f>
        <v>Please include this within the bulk materials category under concrete.</v>
      </c>
      <c r="R276">
        <v>1</v>
      </c>
      <c r="U276">
        <f t="shared" si="34"/>
        <v>6</v>
      </c>
      <c r="V276">
        <f t="shared" si="35"/>
        <v>22</v>
      </c>
    </row>
    <row r="277" spans="1:22" x14ac:dyDescent="0.3">
      <c r="A277">
        <f>'Emissions Factors'!A279</f>
        <v>0</v>
      </c>
      <c r="B277">
        <f>'Emissions Factors'!B279</f>
        <v>0</v>
      </c>
      <c r="C277" t="str">
        <f>'Emissions Factors'!C279</f>
        <v>Retaining walls</v>
      </c>
      <c r="D277" t="str">
        <f>'Emissions Factors'!D279</f>
        <v>Steel sheet piles</v>
      </c>
      <c r="G277" t="str">
        <f t="shared" si="30"/>
        <v>Civils Structures &amp; Retaining Walls</v>
      </c>
      <c r="H277" t="str">
        <f t="shared" si="31"/>
        <v>Retaining walls</v>
      </c>
      <c r="I277" t="str">
        <f t="shared" si="32"/>
        <v>Steel sheet piles</v>
      </c>
      <c r="J277" t="str">
        <f t="shared" si="33"/>
        <v>Retaining wallsSteel sheet piles</v>
      </c>
      <c r="K277" t="str">
        <f>IF('Emissions Factors'!E279="","",'Emissions Factors'!E279)</f>
        <v>tonnes</v>
      </c>
      <c r="L277" t="str">
        <f>IF('Emissions Factors'!F279="","",'Emissions Factors'!F279)</f>
        <v>Steel</v>
      </c>
      <c r="M277">
        <f>IF('Emissions Factors'!G279="","",'Emissions Factors'!G279)</f>
        <v>2.62</v>
      </c>
      <c r="N277" t="str">
        <f>IF('Emissions Factors'!H279="","",'Emissions Factors'!H279)</f>
        <v>tCO2e/t</v>
      </c>
      <c r="O277">
        <f>IF('[1]Emissions Factors'!I278="","",'[1]Emissions Factors'!I278)</f>
        <v>1</v>
      </c>
      <c r="P277" t="str">
        <f>IF('Emissions Factors'!J279="",'Emissions Factors'!F279,'Emissions Factors'!J279)</f>
        <v>Carbon factor taken directly from the ICE V4: Steel &gt; Hot dipped galvanised steel.</v>
      </c>
      <c r="R277">
        <v>1</v>
      </c>
      <c r="U277">
        <f t="shared" si="34"/>
        <v>15</v>
      </c>
      <c r="V277">
        <f t="shared" si="35"/>
        <v>17</v>
      </c>
    </row>
    <row r="278" spans="1:22" x14ac:dyDescent="0.3">
      <c r="A278">
        <f>'Emissions Factors'!A280</f>
        <v>0</v>
      </c>
      <c r="B278">
        <f>'Emissions Factors'!B280</f>
        <v>0</v>
      </c>
      <c r="C278">
        <f>'Emissions Factors'!C280</f>
        <v>0</v>
      </c>
      <c r="D278" t="str">
        <f>'Emissions Factors'!D280</f>
        <v>Plastic sheet piles</v>
      </c>
      <c r="G278" t="str">
        <f t="shared" si="30"/>
        <v>Civils Structures &amp; Retaining Walls</v>
      </c>
      <c r="H278" t="str">
        <f t="shared" si="31"/>
        <v>Retaining walls</v>
      </c>
      <c r="I278" t="str">
        <f t="shared" si="32"/>
        <v>Plastic sheet piles</v>
      </c>
      <c r="J278" t="str">
        <f t="shared" si="33"/>
        <v>Retaining wallsPlastic sheet piles</v>
      </c>
      <c r="K278" t="str">
        <f>IF('Emissions Factors'!E280="","",'Emissions Factors'!E280)</f>
        <v>tonnes</v>
      </c>
      <c r="L278" t="str">
        <f>IF('Emissions Factors'!F280="","",'Emissions Factors'!F280)</f>
        <v>Plastic</v>
      </c>
      <c r="M278">
        <f>IF('Emissions Factors'!G280="","",'Emissions Factors'!G280)</f>
        <v>3.1</v>
      </c>
      <c r="N278" t="str">
        <f>IF('Emissions Factors'!H280="","",'Emissions Factors'!H280)</f>
        <v>tCO2e/t</v>
      </c>
      <c r="O278">
        <f>IF('[1]Emissions Factors'!I279="","",'[1]Emissions Factors'!I279)</f>
        <v>1</v>
      </c>
      <c r="P278" t="str">
        <f>IF('Emissions Factors'!J280="",'Emissions Factors'!F280,'Emissions Factors'!J280)</f>
        <v>Carbon factor taken directly from the ICE V4: ICE Summary &gt; Plastic &gt; PVC General.</v>
      </c>
      <c r="R278">
        <v>1</v>
      </c>
      <c r="U278">
        <f t="shared" si="34"/>
        <v>15</v>
      </c>
      <c r="V278">
        <f t="shared" si="35"/>
        <v>19</v>
      </c>
    </row>
    <row r="279" spans="1:22" x14ac:dyDescent="0.3">
      <c r="A279">
        <f>'Emissions Factors'!A281</f>
        <v>0</v>
      </c>
      <c r="B279">
        <f>'Emissions Factors'!B281</f>
        <v>0</v>
      </c>
      <c r="C279">
        <f>'Emissions Factors'!C281</f>
        <v>0</v>
      </c>
      <c r="D279" t="str">
        <f>'Emissions Factors'!D281</f>
        <v>Gabion wall (stone and wire mesh)</v>
      </c>
      <c r="G279" t="str">
        <f t="shared" si="30"/>
        <v>Civils Structures &amp; Retaining Walls</v>
      </c>
      <c r="H279" t="str">
        <f t="shared" si="31"/>
        <v>Retaining walls</v>
      </c>
      <c r="I279" t="str">
        <f t="shared" si="32"/>
        <v>Gabion wall (stone and wire mesh)</v>
      </c>
      <c r="J279" t="str">
        <f t="shared" si="33"/>
        <v>Retaining wallsGabion wall (stone and wire mesh)</v>
      </c>
      <c r="K279" t="str">
        <f>IF('Emissions Factors'!E281="","",'Emissions Factors'!E281)</f>
        <v>tonnes</v>
      </c>
      <c r="L279" t="str">
        <f>IF('Emissions Factors'!F281="","",'Emissions Factors'!F281)</f>
        <v>Inert</v>
      </c>
      <c r="M279">
        <f>IF('Emissions Factors'!G281="","",'Emissions Factors'!G281)</f>
        <v>8.5224327018943183E-2</v>
      </c>
      <c r="N279" t="str">
        <f>IF('Emissions Factors'!H281="","",'Emissions Factors'!H281)</f>
        <v>tCO2e/t</v>
      </c>
      <c r="O279">
        <f>IF('[1]Emissions Factors'!I280="","",'[1]Emissions Factors'!I280)</f>
        <v>1.0029999999999999</v>
      </c>
      <c r="P279" t="str">
        <f>IF('Emissions Factors'!J281="",'Emissions Factors'!F281,'Emissions Factors'!J281)</f>
        <v>Carbon factor taken from the ICE V4: ICE Summary &gt; Stone &gt; General. It has been assumed there is 3kg of steel per tonne of stone.</v>
      </c>
      <c r="R279">
        <v>1</v>
      </c>
      <c r="U279">
        <f t="shared" si="34"/>
        <v>15</v>
      </c>
      <c r="V279">
        <f t="shared" si="35"/>
        <v>33</v>
      </c>
    </row>
    <row r="280" spans="1:22" x14ac:dyDescent="0.3">
      <c r="A280">
        <f>'Emissions Factors'!A282</f>
        <v>0</v>
      </c>
      <c r="B280">
        <f>'Emissions Factors'!B282</f>
        <v>0</v>
      </c>
      <c r="C280" t="str">
        <f>'Emissions Factors'!C282</f>
        <v>Gantries</v>
      </c>
      <c r="D280" t="str">
        <f>'Emissions Factors'!D282</f>
        <v>‘Bendy Pole’ MS4</v>
      </c>
      <c r="G280" t="str">
        <f t="shared" si="30"/>
        <v>Civils Structures &amp; Retaining Walls</v>
      </c>
      <c r="H280" t="str">
        <f t="shared" si="31"/>
        <v>Gantries</v>
      </c>
      <c r="I280" t="str">
        <f t="shared" si="32"/>
        <v>‘Bendy Pole’ MS4</v>
      </c>
      <c r="J280" t="str">
        <f t="shared" si="33"/>
        <v>Gantries‘Bendy Pole’ MS4</v>
      </c>
      <c r="K280" t="str">
        <f>IF('Emissions Factors'!E282="","",'Emissions Factors'!E282)</f>
        <v>no.</v>
      </c>
      <c r="L280" t="str">
        <f>IF('Emissions Factors'!F282="","",'Emissions Factors'!F282)</f>
        <v>Steel</v>
      </c>
      <c r="M280">
        <f>IF('Emissions Factors'!G282="","",'Emissions Factors'!G282)</f>
        <v>2.62</v>
      </c>
      <c r="N280" t="str">
        <f>IF('Emissions Factors'!H282="","",'Emissions Factors'!H282)</f>
        <v>tCO2e/t</v>
      </c>
      <c r="O280">
        <f>IF('[1]Emissions Factors'!I281="","",'[1]Emissions Factors'!I281)</f>
        <v>5</v>
      </c>
      <c r="P280" t="str">
        <f>IF('Emissions Factors'!J282="",'Emissions Factors'!F282,'Emissions Factors'!J282)</f>
        <v>Carbon factor taken from the ICE V4: Steel &gt; Hot dipped galvanised steel. Average weight taken from gantry fabricator to be 5 tonnes.</v>
      </c>
      <c r="R280">
        <v>1</v>
      </c>
      <c r="U280">
        <f t="shared" si="34"/>
        <v>8</v>
      </c>
      <c r="V280">
        <f t="shared" si="35"/>
        <v>16</v>
      </c>
    </row>
    <row r="281" spans="1:22" x14ac:dyDescent="0.3">
      <c r="A281">
        <f>'Emissions Factors'!A283</f>
        <v>0</v>
      </c>
      <c r="B281">
        <f>'Emissions Factors'!B283</f>
        <v>0</v>
      </c>
      <c r="C281">
        <f>'Emissions Factors'!C283</f>
        <v>0</v>
      </c>
      <c r="D281" t="str">
        <f>'Emissions Factors'!D283</f>
        <v>9m ‘Flagpole’ MS4</v>
      </c>
      <c r="G281" t="str">
        <f t="shared" si="30"/>
        <v>Civils Structures &amp; Retaining Walls</v>
      </c>
      <c r="H281" t="str">
        <f t="shared" si="31"/>
        <v>Gantries</v>
      </c>
      <c r="I281" t="str">
        <f t="shared" si="32"/>
        <v>9m ‘Flagpole’ MS4</v>
      </c>
      <c r="J281" t="str">
        <f t="shared" si="33"/>
        <v>Gantries9m ‘Flagpole’ MS4</v>
      </c>
      <c r="K281" t="str">
        <f>IF('Emissions Factors'!E283="","",'Emissions Factors'!E283)</f>
        <v>no.</v>
      </c>
      <c r="L281" t="str">
        <f>IF('Emissions Factors'!F283="","",'Emissions Factors'!F283)</f>
        <v>Steel</v>
      </c>
      <c r="M281">
        <f>IF('Emissions Factors'!G283="","",'Emissions Factors'!G283)</f>
        <v>2.62</v>
      </c>
      <c r="N281" t="str">
        <f>IF('Emissions Factors'!H283="","",'Emissions Factors'!H283)</f>
        <v>tCO2e/t</v>
      </c>
      <c r="O281">
        <f>IF('[1]Emissions Factors'!I282="","",'[1]Emissions Factors'!I282)</f>
        <v>8</v>
      </c>
      <c r="P281" t="str">
        <f>IF('Emissions Factors'!J283="",'Emissions Factors'!F283,'Emissions Factors'!J283)</f>
        <v>Carbon factor taken from the ICE V4: Steel &gt; Hot dipped galvanised steel. Average weight taken from gantry fabricator to be 8 tonnes.</v>
      </c>
      <c r="R281">
        <v>1</v>
      </c>
      <c r="U281">
        <f t="shared" si="34"/>
        <v>8</v>
      </c>
      <c r="V281">
        <f t="shared" si="35"/>
        <v>17</v>
      </c>
    </row>
    <row r="282" spans="1:22" x14ac:dyDescent="0.3">
      <c r="A282">
        <f>'Emissions Factors'!A284</f>
        <v>0</v>
      </c>
      <c r="B282">
        <f>'Emissions Factors'!B284</f>
        <v>0</v>
      </c>
      <c r="C282">
        <f>'Emissions Factors'!C284</f>
        <v>0</v>
      </c>
      <c r="D282" t="str">
        <f>'Emissions Factors'!D284</f>
        <v>14m ADS Tubular Cantilever</v>
      </c>
      <c r="G282" t="str">
        <f t="shared" si="30"/>
        <v>Civils Structures &amp; Retaining Walls</v>
      </c>
      <c r="H282" t="str">
        <f t="shared" si="31"/>
        <v>Gantries</v>
      </c>
      <c r="I282" t="str">
        <f t="shared" si="32"/>
        <v>14m ADS Tubular Cantilever</v>
      </c>
      <c r="J282" t="str">
        <f t="shared" si="33"/>
        <v>Gantries14m ADS Tubular Cantilever</v>
      </c>
      <c r="K282" t="str">
        <f>IF('Emissions Factors'!E284="","",'Emissions Factors'!E284)</f>
        <v>no.</v>
      </c>
      <c r="L282" t="str">
        <f>IF('Emissions Factors'!F284="","",'Emissions Factors'!F284)</f>
        <v>Steel</v>
      </c>
      <c r="M282">
        <f>IF('Emissions Factors'!G284="","",'Emissions Factors'!G284)</f>
        <v>2.62</v>
      </c>
      <c r="N282" t="str">
        <f>IF('Emissions Factors'!H284="","",'Emissions Factors'!H284)</f>
        <v>tCO2e/t</v>
      </c>
      <c r="O282">
        <f>IF('[1]Emissions Factors'!I283="","",'[1]Emissions Factors'!I283)</f>
        <v>11.5</v>
      </c>
      <c r="P282" t="str">
        <f>IF('Emissions Factors'!J284="",'Emissions Factors'!F284,'Emissions Factors'!J284)</f>
        <v>Carbon factor taken from the ICE V4: Steel &gt; Hot dipped galvanised steel. Average weight taken from gantry fabricator to be 11.5 tonnes.</v>
      </c>
      <c r="R282">
        <v>1</v>
      </c>
      <c r="U282">
        <f t="shared" si="34"/>
        <v>8</v>
      </c>
      <c r="V282">
        <f t="shared" si="35"/>
        <v>26</v>
      </c>
    </row>
    <row r="283" spans="1:22" x14ac:dyDescent="0.3">
      <c r="A283">
        <f>'Emissions Factors'!A285</f>
        <v>0</v>
      </c>
      <c r="B283">
        <f>'Emissions Factors'!B285</f>
        <v>0</v>
      </c>
      <c r="C283">
        <f>'Emissions Factors'!C285</f>
        <v>0</v>
      </c>
      <c r="D283" t="str">
        <f>'Emissions Factors'!D285</f>
        <v>19m Sign/Signal Cantilever</v>
      </c>
      <c r="G283" t="str">
        <f t="shared" si="30"/>
        <v>Civils Structures &amp; Retaining Walls</v>
      </c>
      <c r="H283" t="str">
        <f t="shared" si="31"/>
        <v>Gantries</v>
      </c>
      <c r="I283" t="str">
        <f t="shared" si="32"/>
        <v>19m Sign/Signal Cantilever</v>
      </c>
      <c r="J283" t="str">
        <f t="shared" si="33"/>
        <v>Gantries19m Sign/Signal Cantilever</v>
      </c>
      <c r="K283" t="str">
        <f>IF('Emissions Factors'!E285="","",'Emissions Factors'!E285)</f>
        <v>no.</v>
      </c>
      <c r="L283" t="str">
        <f>IF('Emissions Factors'!F285="","",'Emissions Factors'!F285)</f>
        <v>Steel</v>
      </c>
      <c r="M283">
        <f>IF('Emissions Factors'!G285="","",'Emissions Factors'!G285)</f>
        <v>2.62</v>
      </c>
      <c r="N283" t="str">
        <f>IF('Emissions Factors'!H285="","",'Emissions Factors'!H285)</f>
        <v>tCO2e/t</v>
      </c>
      <c r="O283">
        <f>IF('[1]Emissions Factors'!I284="","",'[1]Emissions Factors'!I284)</f>
        <v>21.5</v>
      </c>
      <c r="P283" t="str">
        <f>IF('Emissions Factors'!J285="",'Emissions Factors'!F285,'Emissions Factors'!J285)</f>
        <v>Carbon factor taken from the ICE V4: Steel &gt; Hot dipped galvanised steel. Average weight taken from gantry fabricator to be 21.5 tonnes.</v>
      </c>
      <c r="R283">
        <v>1</v>
      </c>
      <c r="U283">
        <f t="shared" si="34"/>
        <v>8</v>
      </c>
      <c r="V283">
        <f t="shared" si="35"/>
        <v>26</v>
      </c>
    </row>
    <row r="284" spans="1:22" x14ac:dyDescent="0.3">
      <c r="A284">
        <f>'Emissions Factors'!A286</f>
        <v>0</v>
      </c>
      <c r="B284">
        <f>'Emissions Factors'!B286</f>
        <v>0</v>
      </c>
      <c r="C284">
        <f>'Emissions Factors'!C286</f>
        <v>0</v>
      </c>
      <c r="D284" t="str">
        <f>'Emissions Factors'!D286</f>
        <v>Up to 33m Portal</v>
      </c>
      <c r="G284" t="str">
        <f t="shared" si="30"/>
        <v>Civils Structures &amp; Retaining Walls</v>
      </c>
      <c r="H284" t="str">
        <f t="shared" si="31"/>
        <v>Gantries</v>
      </c>
      <c r="I284" t="str">
        <f t="shared" si="32"/>
        <v>Up to 33m Portal</v>
      </c>
      <c r="J284" t="str">
        <f t="shared" si="33"/>
        <v>GantriesUp to 33m Portal</v>
      </c>
      <c r="K284" t="str">
        <f>IF('Emissions Factors'!E286="","",'Emissions Factors'!E286)</f>
        <v>no.</v>
      </c>
      <c r="L284" t="str">
        <f>IF('Emissions Factors'!F286="","",'Emissions Factors'!F286)</f>
        <v>Steel</v>
      </c>
      <c r="M284">
        <f>IF('Emissions Factors'!G286="","",'Emissions Factors'!G286)</f>
        <v>2.62</v>
      </c>
      <c r="N284" t="str">
        <f>IF('Emissions Factors'!H286="","",'Emissions Factors'!H286)</f>
        <v>tCO2e/t</v>
      </c>
      <c r="O284">
        <f>IF('[1]Emissions Factors'!I285="","",'[1]Emissions Factors'!I285)</f>
        <v>22</v>
      </c>
      <c r="P284" t="str">
        <f>IF('Emissions Factors'!J286="",'Emissions Factors'!F286,'Emissions Factors'!J286)</f>
        <v>Carbon factor taken from the ICE V4: Steel &gt; Hot dipped galvanised steel. Average weight taken from gantry fabricator to be 22 tonnes.</v>
      </c>
      <c r="R284">
        <v>1</v>
      </c>
      <c r="U284">
        <f t="shared" si="34"/>
        <v>8</v>
      </c>
      <c r="V284">
        <f t="shared" si="35"/>
        <v>16</v>
      </c>
    </row>
    <row r="285" spans="1:22" x14ac:dyDescent="0.3">
      <c r="A285">
        <f>'Emissions Factors'!A287</f>
        <v>0</v>
      </c>
      <c r="B285">
        <f>'Emissions Factors'!B287</f>
        <v>0</v>
      </c>
      <c r="C285">
        <f>'Emissions Factors'!C287</f>
        <v>0</v>
      </c>
      <c r="D285" t="str">
        <f>'Emissions Factors'!D287</f>
        <v>33m to 45m Portal</v>
      </c>
      <c r="G285" t="str">
        <f t="shared" si="30"/>
        <v>Civils Structures &amp; Retaining Walls</v>
      </c>
      <c r="H285" t="str">
        <f t="shared" si="31"/>
        <v>Gantries</v>
      </c>
      <c r="I285" t="str">
        <f t="shared" si="32"/>
        <v>33m to 45m Portal</v>
      </c>
      <c r="J285" t="str">
        <f t="shared" si="33"/>
        <v>Gantries33m to 45m Portal</v>
      </c>
      <c r="K285" t="str">
        <f>IF('Emissions Factors'!E287="","",'Emissions Factors'!E287)</f>
        <v>no.</v>
      </c>
      <c r="L285" t="str">
        <f>IF('Emissions Factors'!F287="","",'Emissions Factors'!F287)</f>
        <v>Steel</v>
      </c>
      <c r="M285">
        <f>IF('Emissions Factors'!G287="","",'Emissions Factors'!G287)</f>
        <v>2.62</v>
      </c>
      <c r="N285" t="str">
        <f>IF('Emissions Factors'!H287="","",'Emissions Factors'!H287)</f>
        <v>tCO2e/t</v>
      </c>
      <c r="O285">
        <f>IF('[1]Emissions Factors'!I286="","",'[1]Emissions Factors'!I286)</f>
        <v>25</v>
      </c>
      <c r="P285" t="str">
        <f>IF('Emissions Factors'!J287="",'Emissions Factors'!F287,'Emissions Factors'!J287)</f>
        <v>Carbon factor taken from the ICE V4: Steel &gt; Hot dipped galvanised steel. Average weight taken from gantry fabricator to be 25 tonnes.</v>
      </c>
      <c r="R285">
        <v>1</v>
      </c>
      <c r="U285">
        <f t="shared" si="34"/>
        <v>8</v>
      </c>
      <c r="V285">
        <f t="shared" si="35"/>
        <v>17</v>
      </c>
    </row>
    <row r="286" spans="1:22" x14ac:dyDescent="0.3">
      <c r="A286">
        <f>'Emissions Factors'!A288</f>
        <v>0</v>
      </c>
      <c r="B286">
        <f>'Emissions Factors'!B288</f>
        <v>0</v>
      </c>
      <c r="C286">
        <f>'Emissions Factors'!C288</f>
        <v>0</v>
      </c>
      <c r="D286" t="str">
        <f>'Emissions Factors'!D288</f>
        <v>45m to 57m Portal</v>
      </c>
      <c r="G286" t="str">
        <f t="shared" si="30"/>
        <v>Civils Structures &amp; Retaining Walls</v>
      </c>
      <c r="H286" t="str">
        <f t="shared" si="31"/>
        <v>Gantries</v>
      </c>
      <c r="I286" t="str">
        <f t="shared" si="32"/>
        <v>45m to 57m Portal</v>
      </c>
      <c r="J286" t="str">
        <f t="shared" si="33"/>
        <v>Gantries45m to 57m Portal</v>
      </c>
      <c r="K286" t="str">
        <f>IF('Emissions Factors'!E288="","",'Emissions Factors'!E288)</f>
        <v>no.</v>
      </c>
      <c r="L286" t="str">
        <f>IF('Emissions Factors'!F288="","",'Emissions Factors'!F288)</f>
        <v>Steel</v>
      </c>
      <c r="M286">
        <f>IF('Emissions Factors'!G288="","",'Emissions Factors'!G288)</f>
        <v>2.62</v>
      </c>
      <c r="N286" t="str">
        <f>IF('Emissions Factors'!H288="","",'Emissions Factors'!H288)</f>
        <v>tCO2e/t</v>
      </c>
      <c r="O286">
        <f>IF('[1]Emissions Factors'!I287="","",'[1]Emissions Factors'!I287)</f>
        <v>40</v>
      </c>
      <c r="P286" t="str">
        <f>IF('Emissions Factors'!J288="",'Emissions Factors'!F288,'Emissions Factors'!J288)</f>
        <v>Carbon factor taken from the ICE V4: Steel &gt; Hot dipped galvanised steel. Average weight taken from gantry fabricator to be 40 tonnes.</v>
      </c>
      <c r="R286">
        <v>1</v>
      </c>
      <c r="U286">
        <f t="shared" si="34"/>
        <v>8</v>
      </c>
      <c r="V286">
        <f t="shared" si="35"/>
        <v>17</v>
      </c>
    </row>
    <row r="287" spans="1:22" x14ac:dyDescent="0.3">
      <c r="A287">
        <f>'Emissions Factors'!A289</f>
        <v>0</v>
      </c>
      <c r="B287">
        <f>'Emissions Factors'!B289</f>
        <v>0</v>
      </c>
      <c r="C287">
        <f>'Emissions Factors'!C289</f>
        <v>0</v>
      </c>
      <c r="D287" t="str">
        <f>'Emissions Factors'!D289</f>
        <v>57m plus Portal</v>
      </c>
      <c r="G287" t="str">
        <f t="shared" si="30"/>
        <v>Civils Structures &amp; Retaining Walls</v>
      </c>
      <c r="H287" t="str">
        <f t="shared" si="31"/>
        <v>Gantries</v>
      </c>
      <c r="I287" t="str">
        <f t="shared" si="32"/>
        <v>57m plus Portal</v>
      </c>
      <c r="J287" t="str">
        <f t="shared" si="33"/>
        <v>Gantries57m plus Portal</v>
      </c>
      <c r="K287" t="str">
        <f>IF('Emissions Factors'!E289="","",'Emissions Factors'!E289)</f>
        <v>no.</v>
      </c>
      <c r="L287" t="str">
        <f>IF('Emissions Factors'!F289="","",'Emissions Factors'!F289)</f>
        <v>Steel</v>
      </c>
      <c r="M287">
        <f>IF('Emissions Factors'!G289="","",'Emissions Factors'!G289)</f>
        <v>2.62</v>
      </c>
      <c r="N287" t="str">
        <f>IF('Emissions Factors'!H289="","",'Emissions Factors'!H289)</f>
        <v>tCO2e/t</v>
      </c>
      <c r="O287">
        <f>IF('[1]Emissions Factors'!I288="","",'[1]Emissions Factors'!I288)</f>
        <v>85</v>
      </c>
      <c r="P287" t="str">
        <f>IF('Emissions Factors'!J289="",'Emissions Factors'!F289,'Emissions Factors'!J289)</f>
        <v>Carbon factor taken from the ICE V4: Steel &gt; Hot dipped galvanised steel. Average weight taken from gantry fabricator to be 85 tonnes.</v>
      </c>
      <c r="R287">
        <v>1</v>
      </c>
      <c r="U287">
        <f t="shared" si="34"/>
        <v>8</v>
      </c>
      <c r="V287">
        <f t="shared" si="35"/>
        <v>15</v>
      </c>
    </row>
    <row r="288" spans="1:22" x14ac:dyDescent="0.3">
      <c r="A288">
        <f>'Emissions Factors'!A290</f>
        <v>0</v>
      </c>
      <c r="B288">
        <f>'Emissions Factors'!B290</f>
        <v>0</v>
      </c>
      <c r="C288" t="str">
        <f>'Emissions Factors'!C290</f>
        <v>Paint</v>
      </c>
      <c r="D288" t="str">
        <f>'Emissions Factors'!D290</f>
        <v>General paint</v>
      </c>
      <c r="G288" t="str">
        <f t="shared" si="30"/>
        <v>Civils Structures &amp; Retaining Walls</v>
      </c>
      <c r="H288" t="str">
        <f t="shared" si="31"/>
        <v>Paint</v>
      </c>
      <c r="I288" t="str">
        <f t="shared" si="32"/>
        <v>General paint</v>
      </c>
      <c r="J288" t="str">
        <f t="shared" si="33"/>
        <v>PaintGeneral paint</v>
      </c>
      <c r="K288" t="str">
        <f>IF('Emissions Factors'!E290="","",'Emissions Factors'!E290)</f>
        <v>Litres</v>
      </c>
      <c r="L288" t="str">
        <f>IF('Emissions Factors'!F290="","",'Emissions Factors'!F290)</f>
        <v>Paint</v>
      </c>
      <c r="M288">
        <f>IF('Emissions Factors'!G290="","",'Emissions Factors'!G290)</f>
        <v>3.76</v>
      </c>
      <c r="N288" t="str">
        <f>IF('Emissions Factors'!H290="","",'Emissions Factors'!H290)</f>
        <v>tCO2e/t</v>
      </c>
      <c r="O288">
        <f>IF('[1]Emissions Factors'!I289="","",'[1]Emissions Factors'!I289)</f>
        <v>1.1999999999999999E-3</v>
      </c>
      <c r="P288" t="str">
        <f>IF('Emissions Factors'!J290="",'Emissions Factors'!F290,'Emissions Factors'!J290)</f>
        <v>Carbon factor taken from ICE V4: ICE Summary &gt; Paint &gt; Solvent borne.  Conversion factor calculated from density of paint, 1.2kg/l.</v>
      </c>
      <c r="R288">
        <v>2</v>
      </c>
      <c r="U288">
        <f t="shared" si="34"/>
        <v>5</v>
      </c>
      <c r="V288">
        <f t="shared" si="35"/>
        <v>13</v>
      </c>
    </row>
    <row r="289" spans="1:22" x14ac:dyDescent="0.3">
      <c r="A289">
        <f>'Emissions Factors'!A291</f>
        <v>0</v>
      </c>
      <c r="B289">
        <f>'Emissions Factors'!B291</f>
        <v>0</v>
      </c>
      <c r="C289" t="str">
        <f>'Emissions Factors'!C291</f>
        <v>Steelwork</v>
      </c>
      <c r="D289" t="str">
        <f>'Emissions Factors'!D291</f>
        <v>General steel</v>
      </c>
      <c r="G289" t="str">
        <f t="shared" si="30"/>
        <v>Civils Structures &amp; Retaining Walls</v>
      </c>
      <c r="H289" t="str">
        <f t="shared" si="31"/>
        <v>Steelwork</v>
      </c>
      <c r="I289" t="str">
        <f t="shared" si="32"/>
        <v>General steel</v>
      </c>
      <c r="J289" t="str">
        <f t="shared" si="33"/>
        <v>SteelworkGeneral steel</v>
      </c>
      <c r="K289" t="str">
        <f>IF('Emissions Factors'!E291="","",'Emissions Factors'!E291)</f>
        <v>tonnes</v>
      </c>
      <c r="L289" t="str">
        <f>IF('Emissions Factors'!F291="","",'Emissions Factors'!F291)</f>
        <v>Steel</v>
      </c>
      <c r="M289">
        <f>IF('Emissions Factors'!G291="","",'Emissions Factors'!G291)</f>
        <v>1.61</v>
      </c>
      <c r="N289" t="str">
        <f>IF('Emissions Factors'!H291="","",'Emissions Factors'!H291)</f>
        <v>tCO2e/t</v>
      </c>
      <c r="O289">
        <f>IF('[1]Emissions Factors'!I290="","",'[1]Emissions Factors'!I290)</f>
        <v>1</v>
      </c>
      <c r="P289" t="str">
        <f>IF('Emissions Factors'!J291="",'Emissions Factors'!F291,'Emissions Factors'!J291)</f>
        <v>Carbon factor taken directly from the ICE V4: Steel &gt; Steel section.</v>
      </c>
      <c r="R289">
        <v>1</v>
      </c>
      <c r="U289">
        <f t="shared" si="34"/>
        <v>9</v>
      </c>
      <c r="V289">
        <f t="shared" si="35"/>
        <v>13</v>
      </c>
    </row>
    <row r="290" spans="1:22" x14ac:dyDescent="0.3">
      <c r="A290">
        <f>'Emissions Factors'!A292</f>
        <v>0</v>
      </c>
      <c r="B290">
        <f>'Emissions Factors'!B292</f>
        <v>0</v>
      </c>
      <c r="C290">
        <f>'Emissions Factors'!C292</f>
        <v>0</v>
      </c>
      <c r="D290" t="str">
        <f>'Emissions Factors'!D292</f>
        <v>Galvanised steel</v>
      </c>
      <c r="G290" t="str">
        <f t="shared" si="30"/>
        <v>Civils Structures &amp; Retaining Walls</v>
      </c>
      <c r="H290" t="str">
        <f t="shared" si="31"/>
        <v>Steelwork</v>
      </c>
      <c r="I290" t="str">
        <f t="shared" si="32"/>
        <v>Galvanised steel</v>
      </c>
      <c r="J290" t="str">
        <f t="shared" si="33"/>
        <v>SteelworkGalvanised steel</v>
      </c>
      <c r="K290" t="str">
        <f>IF('Emissions Factors'!E292="","",'Emissions Factors'!E292)</f>
        <v>tonnes</v>
      </c>
      <c r="L290" t="str">
        <f>IF('Emissions Factors'!F292="","",'Emissions Factors'!F292)</f>
        <v>Steel</v>
      </c>
      <c r="M290">
        <f>IF('Emissions Factors'!G292="","",'Emissions Factors'!G292)</f>
        <v>2.62</v>
      </c>
      <c r="N290" t="str">
        <f>IF('Emissions Factors'!H292="","",'Emissions Factors'!H292)</f>
        <v>tCO2e/t</v>
      </c>
      <c r="O290">
        <f>IF('[1]Emissions Factors'!I291="","",'[1]Emissions Factors'!I291)</f>
        <v>1</v>
      </c>
      <c r="P290" t="str">
        <f>IF('Emissions Factors'!J292="",'Emissions Factors'!F292,'Emissions Factors'!J292)</f>
        <v>Carbon factor taken directly from the ICE V4: Steel &gt; Hot dipped galvanised steel.</v>
      </c>
      <c r="R290">
        <v>1</v>
      </c>
      <c r="U290">
        <f t="shared" si="34"/>
        <v>9</v>
      </c>
      <c r="V290">
        <f t="shared" si="35"/>
        <v>16</v>
      </c>
    </row>
    <row r="291" spans="1:22" x14ac:dyDescent="0.3">
      <c r="A291">
        <f>'Emissions Factors'!A293</f>
        <v>0</v>
      </c>
      <c r="B291">
        <f>'Emissions Factors'!B293</f>
        <v>0</v>
      </c>
      <c r="C291" t="str">
        <f>'Emissions Factors'!C293</f>
        <v>Pre-cast Concrete</v>
      </c>
      <c r="D291" t="str">
        <f>'Emissions Factors'!D293</f>
        <v>General concrete</v>
      </c>
      <c r="G291" t="str">
        <f t="shared" si="30"/>
        <v>Civils Structures &amp; Retaining Walls</v>
      </c>
      <c r="H291" t="str">
        <f t="shared" si="31"/>
        <v>Pre-cast Concrete</v>
      </c>
      <c r="I291" t="str">
        <f t="shared" si="32"/>
        <v>General concrete</v>
      </c>
      <c r="J291" t="str">
        <f t="shared" si="33"/>
        <v>Pre-cast ConcreteGeneral concrete</v>
      </c>
      <c r="K291" t="str">
        <f>IF('Emissions Factors'!E293="","",'Emissions Factors'!E293)</f>
        <v>tonnes</v>
      </c>
      <c r="L291" t="str">
        <f>IF('Emissions Factors'!F293="","",'Emissions Factors'!F293)</f>
        <v>Concrete</v>
      </c>
      <c r="M291">
        <f>IF('Emissions Factors'!G293="","",'Emissions Factors'!G293)</f>
        <v>0.1384782103840336</v>
      </c>
      <c r="N291" t="str">
        <f>IF('Emissions Factors'!H293="","",'Emissions Factors'!H293)</f>
        <v>tCO2e/t</v>
      </c>
      <c r="O291">
        <f>IF('[1]Emissions Factors'!I292="","",'[1]Emissions Factors'!I292)</f>
        <v>1</v>
      </c>
      <c r="P291" t="str">
        <f>IF('Emissions Factors'!J293="",'Emissions Factors'!F293,'Emissions Factors'!J293)</f>
        <v>Carbon factor taken directly from the ICE V4: Concrete &gt; Precast Concrete Model &gt; Concrete average UK mix</v>
      </c>
      <c r="R291">
        <v>1</v>
      </c>
      <c r="U291">
        <f t="shared" si="34"/>
        <v>17</v>
      </c>
      <c r="V291">
        <f t="shared" si="35"/>
        <v>16</v>
      </c>
    </row>
    <row r="292" spans="1:22" x14ac:dyDescent="0.3">
      <c r="A292">
        <f>'Emissions Factors'!A294</f>
        <v>0</v>
      </c>
      <c r="B292">
        <f>'Emissions Factors'!B294</f>
        <v>0</v>
      </c>
      <c r="C292">
        <f>'Emissions Factors'!C294</f>
        <v>0</v>
      </c>
      <c r="D292" t="str">
        <f>'Emissions Factors'!D294</f>
        <v xml:space="preserve">High strength concrete </v>
      </c>
      <c r="G292" t="str">
        <f t="shared" si="30"/>
        <v>Civils Structures &amp; Retaining Walls</v>
      </c>
      <c r="H292" t="str">
        <f t="shared" si="31"/>
        <v>Pre-cast Concrete</v>
      </c>
      <c r="I292" t="str">
        <f t="shared" si="32"/>
        <v xml:space="preserve">High strength concrete </v>
      </c>
      <c r="J292" t="str">
        <f t="shared" si="33"/>
        <v xml:space="preserve">Pre-cast ConcreteHigh strength concrete </v>
      </c>
      <c r="K292" t="str">
        <f>IF('Emissions Factors'!E294="","",'Emissions Factors'!E294)</f>
        <v>tonnes</v>
      </c>
      <c r="L292" t="str">
        <f>IF('Emissions Factors'!F294="","",'Emissions Factors'!F294)</f>
        <v>Concrete</v>
      </c>
      <c r="M292">
        <f>IF('Emissions Factors'!G294="","",'Emissions Factors'!G294)</f>
        <v>0.17297090494319498</v>
      </c>
      <c r="N292" t="str">
        <f>IF('Emissions Factors'!H294="","",'Emissions Factors'!H294)</f>
        <v>tCO2e/t</v>
      </c>
      <c r="O292">
        <f>IF('[1]Emissions Factors'!I293="","",'[1]Emissions Factors'!I293)</f>
        <v>1</v>
      </c>
      <c r="P292" t="str">
        <f>IF('Emissions Factors'!J294="",'Emissions Factors'!F294,'Emissions Factors'!J294)</f>
        <v>Carbon factor taken directly from the ICE V4: Concrete &gt; Precast Concrete Model &gt;  RC40/50 with CEM I Cement</v>
      </c>
      <c r="R292">
        <v>1</v>
      </c>
      <c r="U292">
        <f t="shared" si="34"/>
        <v>17</v>
      </c>
      <c r="V292">
        <f t="shared" si="35"/>
        <v>23</v>
      </c>
    </row>
    <row r="293" spans="1:22" x14ac:dyDescent="0.3">
      <c r="A293">
        <f>'Emissions Factors'!A295</f>
        <v>0</v>
      </c>
      <c r="B293">
        <f>'Emissions Factors'!B295</f>
        <v>0</v>
      </c>
      <c r="C293" t="str">
        <f>'Emissions Factors'!C295</f>
        <v>Bricks and blockwork</v>
      </c>
      <c r="D293" t="str">
        <f>'Emissions Factors'!D295</f>
        <v>Concrete blocks (includes mortar)</v>
      </c>
      <c r="G293" t="str">
        <f t="shared" si="30"/>
        <v>Civils Structures &amp; Retaining Walls</v>
      </c>
      <c r="H293" t="str">
        <f t="shared" si="31"/>
        <v>Bricks and blockwork</v>
      </c>
      <c r="I293" t="str">
        <f t="shared" si="32"/>
        <v>Concrete blocks (includes mortar)</v>
      </c>
      <c r="J293" t="str">
        <f t="shared" si="33"/>
        <v>Bricks and blockworkConcrete blocks (includes mortar)</v>
      </c>
      <c r="K293" t="str">
        <f>IF('Emissions Factors'!E295="","",'Emissions Factors'!E295)</f>
        <v>no.</v>
      </c>
      <c r="L293" t="str">
        <f>IF('Emissions Factors'!F295="","",'Emissions Factors'!F295)</f>
        <v>Brick and Blockwork</v>
      </c>
      <c r="M293">
        <f>IF('Emissions Factors'!G295="","",'Emissions Factors'!G295)</f>
        <v>9.5890413949029363E-2</v>
      </c>
      <c r="N293" t="str">
        <f>IF('Emissions Factors'!H295="","",'Emissions Factors'!H295)</f>
        <v>tCO2e/t</v>
      </c>
      <c r="O293">
        <f>IF('[1]Emissions Factors'!I294="","",'[1]Emissions Factors'!I294)</f>
        <v>1.6797400000000001E-2</v>
      </c>
      <c r="P293" t="str">
        <f>IF('Emissions Factors'!J295="",'Emissions Factors'!F295,'Emissions Factors'!J295)</f>
        <v>Carbon factors taken from the ICE V4: Average strength Precast concrete block types. Assumed weight of block is 15kg and 10mm of mortar.</v>
      </c>
      <c r="R293">
        <v>1</v>
      </c>
      <c r="U293">
        <f t="shared" si="34"/>
        <v>20</v>
      </c>
      <c r="V293">
        <f t="shared" si="35"/>
        <v>33</v>
      </c>
    </row>
    <row r="294" spans="1:22" x14ac:dyDescent="0.3">
      <c r="A294">
        <f>'Emissions Factors'!A296</f>
        <v>0</v>
      </c>
      <c r="B294">
        <f>'Emissions Factors'!B296</f>
        <v>0</v>
      </c>
      <c r="C294">
        <f>'Emissions Factors'!C296</f>
        <v>0</v>
      </c>
      <c r="D294" t="str">
        <f>'Emissions Factors'!D296</f>
        <v>Standard bricks (includes mortar)</v>
      </c>
      <c r="G294" t="str">
        <f t="shared" si="30"/>
        <v>Civils Structures &amp; Retaining Walls</v>
      </c>
      <c r="H294" t="str">
        <f t="shared" si="31"/>
        <v>Bricks and blockwork</v>
      </c>
      <c r="I294" t="str">
        <f t="shared" si="32"/>
        <v>Standard bricks (includes mortar)</v>
      </c>
      <c r="J294" t="str">
        <f t="shared" si="33"/>
        <v>Bricks and blockworkStandard bricks (includes mortar)</v>
      </c>
      <c r="K294" t="str">
        <f>IF('Emissions Factors'!E296="","",'Emissions Factors'!E296)</f>
        <v>no.</v>
      </c>
      <c r="L294" t="str">
        <f>IF('Emissions Factors'!F296="","",'Emissions Factors'!F296)</f>
        <v>Brick and Blockwork</v>
      </c>
      <c r="M294">
        <f>IF('Emissions Factors'!G296="","",'Emissions Factors'!G296)</f>
        <v>0.20556929366201815</v>
      </c>
      <c r="N294" t="str">
        <f>IF('Emissions Factors'!H296="","",'Emissions Factors'!H296)</f>
        <v>tCO2e/t</v>
      </c>
      <c r="O294">
        <f>IF('[1]Emissions Factors'!I295="","",'[1]Emissions Factors'!I295)</f>
        <v>2.5834349999999998E-3</v>
      </c>
      <c r="P294" t="str">
        <f>IF('Emissions Factors'!J296="",'Emissions Factors'!F296,'Emissions Factors'!J296)</f>
        <v>Carbon factor taken directly from the ICE V4: Brick &gt; General. Assumed weight of brick is 2.13kg and 10mm of mortar.</v>
      </c>
      <c r="R294">
        <v>1</v>
      </c>
      <c r="U294">
        <f t="shared" si="34"/>
        <v>20</v>
      </c>
      <c r="V294">
        <f t="shared" si="35"/>
        <v>33</v>
      </c>
    </row>
    <row r="295" spans="1:22" x14ac:dyDescent="0.3">
      <c r="A295">
        <f>'Emissions Factors'!A297</f>
        <v>0</v>
      </c>
      <c r="B295">
        <f>'Emissions Factors'!B297</f>
        <v>0</v>
      </c>
      <c r="C295" t="str">
        <f>'Emissions Factors'!C297</f>
        <v>Decorative stone</v>
      </c>
      <c r="D295" t="str">
        <f>'Emissions Factors'!D297</f>
        <v>General stone</v>
      </c>
      <c r="G295" t="str">
        <f t="shared" si="30"/>
        <v>Civils Structures &amp; Retaining Walls</v>
      </c>
      <c r="H295" t="str">
        <f t="shared" si="31"/>
        <v>Decorative stone</v>
      </c>
      <c r="I295" t="str">
        <f t="shared" si="32"/>
        <v>General stone</v>
      </c>
      <c r="J295" t="str">
        <f t="shared" si="33"/>
        <v>Decorative stoneGeneral stone</v>
      </c>
      <c r="K295" t="str">
        <f>IF('Emissions Factors'!E297="","",'Emissions Factors'!E297)</f>
        <v>tonnes</v>
      </c>
      <c r="L295" t="str">
        <f>IF('Emissions Factors'!F297="","",'Emissions Factors'!F297)</f>
        <v>Inert</v>
      </c>
      <c r="M295">
        <f>IF('Emissions Factors'!G297="","",'Emissions Factors'!G297)</f>
        <v>7.9000000000000001E-2</v>
      </c>
      <c r="N295" t="str">
        <f>IF('Emissions Factors'!H297="","",'Emissions Factors'!H297)</f>
        <v>tCO2e/t</v>
      </c>
      <c r="O295">
        <f>IF('[1]Emissions Factors'!I296="","",'[1]Emissions Factors'!I296)</f>
        <v>1</v>
      </c>
      <c r="P295" t="str">
        <f>IF('Emissions Factors'!J297="",'Emissions Factors'!F297,'Emissions Factors'!J297)</f>
        <v>Carbon factor taken directly from the ICE V4: ICE Summary &gt; Stone &gt; General.</v>
      </c>
      <c r="R295">
        <v>1</v>
      </c>
      <c r="U295">
        <f t="shared" si="34"/>
        <v>16</v>
      </c>
      <c r="V295">
        <f t="shared" si="35"/>
        <v>13</v>
      </c>
    </row>
    <row r="296" spans="1:22" x14ac:dyDescent="0.3">
      <c r="A296">
        <f>'Emissions Factors'!A298</f>
        <v>0</v>
      </c>
      <c r="B296" t="str">
        <f>'Emissions Factors'!B298</f>
        <v>Fuel, Energy &amp; Water</v>
      </c>
      <c r="C296" t="str">
        <f>'Emissions Factors'!C298</f>
        <v xml:space="preserve">Site offices, site vehicles and plant energy </v>
      </c>
      <c r="D296" t="str">
        <f>'Emissions Factors'!D298</f>
        <v>Electricity</v>
      </c>
      <c r="G296" t="str">
        <f t="shared" si="30"/>
        <v>Fuel, Energy &amp; Water</v>
      </c>
      <c r="H296" t="str">
        <f t="shared" si="31"/>
        <v xml:space="preserve">Site offices, site vehicles and plant energy </v>
      </c>
      <c r="I296" t="str">
        <f t="shared" si="32"/>
        <v>Electricity</v>
      </c>
      <c r="J296" t="str">
        <f t="shared" si="33"/>
        <v>Site offices, site vehicles and plant energy Electricity</v>
      </c>
      <c r="K296" t="str">
        <f>IF('Emissions Factors'!E298="","",'Emissions Factors'!E298)</f>
        <v>kWh</v>
      </c>
      <c r="L296" t="str">
        <f>IF('Emissions Factors'!F298="","",'Emissions Factors'!F298)</f>
        <v>Energy and Fuel</v>
      </c>
      <c r="M296">
        <f>IF('Emissions Factors'!G298="","",'Emissions Factors'!G298)</f>
        <v>0.27522000000000002</v>
      </c>
      <c r="N296" t="str">
        <f>IF('Emissions Factors'!H298="","",'Emissions Factors'!H298)</f>
        <v>kgCO2e/kWh</v>
      </c>
      <c r="O296">
        <f>IF('[1]Emissions Factors'!I297="","",'[1]Emissions Factors'!I297)</f>
        <v>1E-3</v>
      </c>
      <c r="P296" t="str">
        <f>IF('Emissions Factors'!J298="",'Emissions Factors'!F298,'Emissions Factors'!J298)</f>
        <v>Carbon factor taken directly from Government Carbon Factors 2024. UK electricity. Includes electricity supplied by the grid, generation, transmission and distribution losses of electricity.</v>
      </c>
      <c r="R296">
        <v>0</v>
      </c>
      <c r="U296">
        <f t="shared" si="34"/>
        <v>45</v>
      </c>
      <c r="V296">
        <f t="shared" si="35"/>
        <v>11</v>
      </c>
    </row>
    <row r="297" spans="1:22" x14ac:dyDescent="0.3">
      <c r="A297">
        <f>'Emissions Factors'!A299</f>
        <v>0</v>
      </c>
      <c r="B297">
        <f>'Emissions Factors'!B299</f>
        <v>0</v>
      </c>
      <c r="C297">
        <f>'Emissions Factors'!C299</f>
        <v>0</v>
      </c>
      <c r="D297" t="str">
        <f>'Emissions Factors'!D299</f>
        <v xml:space="preserve">Gas </v>
      </c>
      <c r="G297" t="str">
        <f t="shared" si="30"/>
        <v>Fuel, Energy &amp; Water</v>
      </c>
      <c r="H297" t="str">
        <f t="shared" si="31"/>
        <v xml:space="preserve">Site offices, site vehicles and plant energy </v>
      </c>
      <c r="I297" t="str">
        <f t="shared" si="32"/>
        <v xml:space="preserve">Gas </v>
      </c>
      <c r="J297" t="str">
        <f t="shared" si="33"/>
        <v xml:space="preserve">Site offices, site vehicles and plant energy Gas </v>
      </c>
      <c r="K297" t="str">
        <f>IF('Emissions Factors'!E299="","",'Emissions Factors'!E299)</f>
        <v>kWh</v>
      </c>
      <c r="L297" t="str">
        <f>IF('Emissions Factors'!F299="","",'Emissions Factors'!F299)</f>
        <v>Energy and Fuel</v>
      </c>
      <c r="M297">
        <f>IF('Emissions Factors'!G299="","",'Emissions Factors'!G299)</f>
        <v>0.21311000000000002</v>
      </c>
      <c r="N297" t="str">
        <f>IF('Emissions Factors'!H299="","",'Emissions Factors'!H299)</f>
        <v>kgCO2e/kWh</v>
      </c>
      <c r="O297">
        <f>IF('[1]Emissions Factors'!I298="","",'[1]Emissions Factors'!I298)</f>
        <v>1E-3</v>
      </c>
      <c r="P297" t="str">
        <f>IF('Emissions Factors'!J299="",'Emissions Factors'!F299,'Emissions Factors'!J299)</f>
        <v>Carbon factor taken directly from Government Carbon Factors 2024. Fuel &gt; Natural Gas &gt; Gross CV. Includes all well to tank emissions: WTT - fuels &gt; Gaseous fuels &gt; Natural Gas &gt; Gross CV.</v>
      </c>
      <c r="R297">
        <v>0</v>
      </c>
      <c r="U297">
        <f t="shared" si="34"/>
        <v>45</v>
      </c>
      <c r="V297">
        <f t="shared" si="35"/>
        <v>4</v>
      </c>
    </row>
    <row r="298" spans="1:22" x14ac:dyDescent="0.3">
      <c r="A298">
        <f>'Emissions Factors'!A300</f>
        <v>0</v>
      </c>
      <c r="B298">
        <f>'Emissions Factors'!B300</f>
        <v>0</v>
      </c>
      <c r="C298">
        <f>'Emissions Factors'!C300</f>
        <v>0</v>
      </c>
      <c r="D298" t="str">
        <f>'Emissions Factors'!D300</f>
        <v>Bottled Gas</v>
      </c>
      <c r="G298" t="str">
        <f t="shared" si="30"/>
        <v>Fuel, Energy &amp; Water</v>
      </c>
      <c r="H298" t="str">
        <f t="shared" si="31"/>
        <v xml:space="preserve">Site offices, site vehicles and plant energy </v>
      </c>
      <c r="I298" t="str">
        <f t="shared" si="32"/>
        <v>Bottled Gas</v>
      </c>
      <c r="J298" t="str">
        <f t="shared" si="33"/>
        <v>Site offices, site vehicles and plant energy Bottled Gas</v>
      </c>
      <c r="K298" t="str">
        <f>IF('Emissions Factors'!E300="","",'Emissions Factors'!E300)</f>
        <v>kg</v>
      </c>
      <c r="L298" t="str">
        <f>IF('Emissions Factors'!F300="","",'Emissions Factors'!F300)</f>
        <v>Energy and Fuel</v>
      </c>
      <c r="M298">
        <f>IF('Emissions Factors'!G300="","",'Emissions Factors'!G300)</f>
        <v>3.2886537699999998</v>
      </c>
      <c r="N298" t="str">
        <f>IF('Emissions Factors'!H300="","",'Emissions Factors'!H300)</f>
        <v>kgCO2e/t</v>
      </c>
      <c r="O298">
        <f>IF('[1]Emissions Factors'!I299="","",'[1]Emissions Factors'!I299)</f>
        <v>1E-3</v>
      </c>
      <c r="P298" t="str">
        <f>IF('Emissions Factors'!J300="",'Emissions Factors'!F300,'Emissions Factors'!J300)</f>
        <v>Carbon factor taken directly from Government Carbon Factors 2024. Fuel &gt; Other LPG&gt; tonnes. Includes all well to tank emissions: WTT - fuels &gt; Gaseous fuels &gt; LPG &gt; tonnes.</v>
      </c>
      <c r="R298">
        <v>1</v>
      </c>
      <c r="U298">
        <f t="shared" si="34"/>
        <v>45</v>
      </c>
      <c r="V298">
        <f t="shared" si="35"/>
        <v>11</v>
      </c>
    </row>
    <row r="299" spans="1:22" x14ac:dyDescent="0.3">
      <c r="A299">
        <f>'Emissions Factors'!A301</f>
        <v>0</v>
      </c>
      <c r="B299">
        <f>'Emissions Factors'!B301</f>
        <v>0</v>
      </c>
      <c r="C299">
        <f>'Emissions Factors'!C301</f>
        <v>0</v>
      </c>
      <c r="D299" t="str">
        <f>'Emissions Factors'!D301</f>
        <v>Gas Oil (red diesel)</v>
      </c>
      <c r="G299" t="str">
        <f t="shared" si="30"/>
        <v>Fuel, Energy &amp; Water</v>
      </c>
      <c r="H299" t="str">
        <f t="shared" si="31"/>
        <v xml:space="preserve">Site offices, site vehicles and plant energy </v>
      </c>
      <c r="I299" t="str">
        <f t="shared" si="32"/>
        <v>Gas Oil (red diesel)</v>
      </c>
      <c r="J299" t="str">
        <f t="shared" si="33"/>
        <v>Site offices, site vehicles and plant energy Gas Oil (red diesel)</v>
      </c>
      <c r="K299" t="str">
        <f>IF('Emissions Factors'!E301="","",'Emissions Factors'!E301)</f>
        <v>Litres</v>
      </c>
      <c r="L299" t="str">
        <f>IF('Emissions Factors'!F301="","",'Emissions Factors'!F301)</f>
        <v>Energy and Fuel</v>
      </c>
      <c r="M299">
        <f>IF('Emissions Factors'!G301="","",'Emissions Factors'!G301)</f>
        <v>3.3820600000000001</v>
      </c>
      <c r="N299" t="str">
        <f>IF('Emissions Factors'!H301="","",'Emissions Factors'!H301)</f>
        <v>kgCO2e/l</v>
      </c>
      <c r="O299">
        <f>IF('[1]Emissions Factors'!I300="","",'[1]Emissions Factors'!I300)</f>
        <v>1E-3</v>
      </c>
      <c r="P299" t="str">
        <f>IF('Emissions Factors'!J301="",'Emissions Factors'!F301,'Emissions Factors'!J301)</f>
        <v>Carbon factor taken from Government Carbon Factors 2024. Fuel &gt; Gas Oil. Includes all well to tank emissions: WTT - fuels &gt; Liquid Fuels &gt; Gas Oil litres.</v>
      </c>
      <c r="R299">
        <v>1</v>
      </c>
      <c r="U299">
        <f t="shared" si="34"/>
        <v>45</v>
      </c>
      <c r="V299">
        <f t="shared" si="35"/>
        <v>20</v>
      </c>
    </row>
    <row r="300" spans="1:22" x14ac:dyDescent="0.3">
      <c r="A300">
        <f>'Emissions Factors'!A302</f>
        <v>0</v>
      </c>
      <c r="B300">
        <f>'Emissions Factors'!B302</f>
        <v>0</v>
      </c>
      <c r="C300">
        <f>'Emissions Factors'!C302</f>
        <v>0</v>
      </c>
      <c r="D300" t="str">
        <f>'Emissions Factors'!D302</f>
        <v>Petrol</v>
      </c>
      <c r="G300" t="str">
        <f t="shared" si="30"/>
        <v>Fuel, Energy &amp; Water</v>
      </c>
      <c r="H300" t="str">
        <f t="shared" si="31"/>
        <v xml:space="preserve">Site offices, site vehicles and plant energy </v>
      </c>
      <c r="I300" t="str">
        <f t="shared" si="32"/>
        <v>Petrol</v>
      </c>
      <c r="J300" t="str">
        <f t="shared" si="33"/>
        <v>Site offices, site vehicles and plant energy Petrol</v>
      </c>
      <c r="K300" t="str">
        <f>IF('Emissions Factors'!E302="","",'Emissions Factors'!E302)</f>
        <v>Litres</v>
      </c>
      <c r="L300" t="str">
        <f>IF('Emissions Factors'!F302="","",'Emissions Factors'!F302)</f>
        <v>Energy and Fuel</v>
      </c>
      <c r="M300">
        <f>IF('Emissions Factors'!G302="","",'Emissions Factors'!G302)</f>
        <v>2.66534</v>
      </c>
      <c r="N300" t="str">
        <f>IF('Emissions Factors'!H302="","",'Emissions Factors'!H302)</f>
        <v>kgCO2e/l</v>
      </c>
      <c r="O300">
        <f>IF('[1]Emissions Factors'!I301="","",'[1]Emissions Factors'!I301)</f>
        <v>1E-3</v>
      </c>
      <c r="P300" t="str">
        <f>IF('Emissions Factors'!J302="",'Emissions Factors'!F302,'Emissions Factors'!J302)</f>
        <v>Carbon factor taken from Government Carbon Factors 2024. Fuel &gt; Petrol (average blend). Includes all well to tank emissions: WTT - fuels &gt; Liquid Fuels &gt; Petrol (average biofuel blend) &gt; litres.</v>
      </c>
      <c r="R300">
        <v>1</v>
      </c>
      <c r="U300">
        <f t="shared" si="34"/>
        <v>45</v>
      </c>
      <c r="V300">
        <f t="shared" si="35"/>
        <v>6</v>
      </c>
    </row>
    <row r="301" spans="1:22" x14ac:dyDescent="0.3">
      <c r="A301">
        <f>'Emissions Factors'!A303</f>
        <v>0</v>
      </c>
      <c r="B301">
        <f>'Emissions Factors'!B303</f>
        <v>0</v>
      </c>
      <c r="C301">
        <f>'Emissions Factors'!C303</f>
        <v>0</v>
      </c>
      <c r="D301" t="str">
        <f>'Emissions Factors'!D303</f>
        <v>Diesel</v>
      </c>
      <c r="G301" t="str">
        <f t="shared" si="30"/>
        <v>Fuel, Energy &amp; Water</v>
      </c>
      <c r="H301" t="str">
        <f t="shared" si="31"/>
        <v xml:space="preserve">Site offices, site vehicles and plant energy </v>
      </c>
      <c r="I301" t="str">
        <f t="shared" si="32"/>
        <v>Diesel</v>
      </c>
      <c r="J301" t="str">
        <f t="shared" si="33"/>
        <v>Site offices, site vehicles and plant energy Diesel</v>
      </c>
      <c r="K301" t="str">
        <f>IF('Emissions Factors'!E303="","",'Emissions Factors'!E303)</f>
        <v>Litres</v>
      </c>
      <c r="L301" t="str">
        <f>IF('Emissions Factors'!F303="","",'Emissions Factors'!F303)</f>
        <v>Energy and Fuel</v>
      </c>
      <c r="M301">
        <f>IF('Emissions Factors'!G303="","",'Emissions Factors'!G303)</f>
        <v>3.1238000000000001</v>
      </c>
      <c r="N301" t="str">
        <f>IF('Emissions Factors'!H303="","",'Emissions Factors'!H303)</f>
        <v>kgCO2e/l</v>
      </c>
      <c r="O301">
        <f>IF('[1]Emissions Factors'!I302="","",'[1]Emissions Factors'!I302)</f>
        <v>1E-3</v>
      </c>
      <c r="P301" t="str">
        <f>IF('Emissions Factors'!J303="",'Emissions Factors'!F303,'Emissions Factors'!J303)</f>
        <v>Carbon factor taken from Government Carbon Factors 2024. Fuel &gt; Diesel (average blend). Includes all well to tank emissions: WTT - fuels &gt; Liquid Fuels &gt; Diesel (average biofuel blend) &gt; litres.</v>
      </c>
      <c r="R301">
        <v>1</v>
      </c>
      <c r="U301">
        <f t="shared" si="34"/>
        <v>45</v>
      </c>
      <c r="V301">
        <f t="shared" si="35"/>
        <v>6</v>
      </c>
    </row>
    <row r="302" spans="1:22" x14ac:dyDescent="0.3">
      <c r="A302">
        <f>'Emissions Factors'!A304</f>
        <v>0</v>
      </c>
      <c r="B302">
        <f>'Emissions Factors'!B304</f>
        <v>0</v>
      </c>
      <c r="C302">
        <f>'Emissions Factors'!C304</f>
        <v>0</v>
      </c>
      <c r="D302" t="str">
        <f>'Emissions Factors'!D304</f>
        <v>Biodiesel</v>
      </c>
      <c r="G302" t="str">
        <f t="shared" si="30"/>
        <v>Fuel, Energy &amp; Water</v>
      </c>
      <c r="H302" t="str">
        <f t="shared" si="31"/>
        <v xml:space="preserve">Site offices, site vehicles and plant energy </v>
      </c>
      <c r="I302" t="str">
        <f t="shared" si="32"/>
        <v>Biodiesel</v>
      </c>
      <c r="J302" t="str">
        <f t="shared" si="33"/>
        <v>Site offices, site vehicles and plant energy Biodiesel</v>
      </c>
      <c r="K302" t="str">
        <f>IF('Emissions Factors'!E304="","",'Emissions Factors'!E304)</f>
        <v>Litres</v>
      </c>
      <c r="L302" t="str">
        <f>IF('Emissions Factors'!F304="","",'Emissions Factors'!F304)</f>
        <v>Energy and Fuel</v>
      </c>
      <c r="M302">
        <f>IF('Emissions Factors'!G304="","",'Emissions Factors'!G304)</f>
        <v>0.64854000000000001</v>
      </c>
      <c r="N302" t="str">
        <f>IF('Emissions Factors'!H304="","",'Emissions Factors'!H304)</f>
        <v>kgCO2e/l</v>
      </c>
      <c r="O302">
        <f>IF('[1]Emissions Factors'!I303="","",'[1]Emissions Factors'!I303)</f>
        <v>1E-3</v>
      </c>
      <c r="P302" t="str">
        <f>IF('Emissions Factors'!J304="",'Emissions Factors'!F304,'Emissions Factors'!J304)</f>
        <v>Carbon factor taken from Government Carbon Factors 2024. Bioenergy &gt; Biodiesel. Includes all well to tank emissions: WTT - Bioenergy &gt; WTT - Biofuel &gt; Biodiesel &gt; litres.</v>
      </c>
      <c r="R302">
        <v>1</v>
      </c>
      <c r="U302">
        <f t="shared" si="34"/>
        <v>45</v>
      </c>
      <c r="V302">
        <f t="shared" si="35"/>
        <v>9</v>
      </c>
    </row>
    <row r="303" spans="1:22" x14ac:dyDescent="0.3">
      <c r="A303">
        <f>'Emissions Factors'!A305</f>
        <v>0</v>
      </c>
      <c r="B303">
        <f>'Emissions Factors'!B305</f>
        <v>0</v>
      </c>
      <c r="C303">
        <f>'Emissions Factors'!C305</f>
        <v>0</v>
      </c>
      <c r="D303" t="str">
        <f>'Emissions Factors'!D305</f>
        <v>Biodiesel HVO</v>
      </c>
      <c r="G303" t="str">
        <f t="shared" si="30"/>
        <v>Fuel, Energy &amp; Water</v>
      </c>
      <c r="H303" t="str">
        <f t="shared" si="31"/>
        <v xml:space="preserve">Site offices, site vehicles and plant energy </v>
      </c>
      <c r="I303" t="str">
        <f t="shared" si="32"/>
        <v>Biodiesel HVO</v>
      </c>
      <c r="J303" t="str">
        <f t="shared" si="33"/>
        <v>Site offices, site vehicles and plant energy Biodiesel HVO</v>
      </c>
      <c r="K303" t="str">
        <f>IF('Emissions Factors'!E305="","",'Emissions Factors'!E305)</f>
        <v>Litres</v>
      </c>
      <c r="L303" t="str">
        <f>IF('Emissions Factors'!F305="","",'Emissions Factors'!F305)</f>
        <v>Energy and Fuel</v>
      </c>
      <c r="M303">
        <f>IF('Emissions Factors'!G305="","",'Emissions Factors'!G305)</f>
        <v>0.59458000000000011</v>
      </c>
      <c r="N303" t="str">
        <f>IF('Emissions Factors'!H305="","",'Emissions Factors'!H305)</f>
        <v>kgCO2e/l</v>
      </c>
      <c r="O303">
        <f>IF('[1]Emissions Factors'!I304="","",'[1]Emissions Factors'!I304)</f>
        <v>1E-3</v>
      </c>
      <c r="P303" t="str">
        <f>IF('Emissions Factors'!J305="",'Emissions Factors'!F305,'Emissions Factors'!J305)</f>
        <v>Carbon factor taken from Government Carbon Factors 2024. Bioenergy &gt; Biodiesel HVO. Includes all well to tank emissions: WTT - bioenergy &gt;  Biodiesel HVO &gt; litres.</v>
      </c>
      <c r="R303">
        <v>1</v>
      </c>
      <c r="U303">
        <f t="shared" si="34"/>
        <v>45</v>
      </c>
      <c r="V303">
        <f t="shared" si="35"/>
        <v>13</v>
      </c>
    </row>
    <row r="304" spans="1:22" x14ac:dyDescent="0.3">
      <c r="A304">
        <f>'Emissions Factors'!A306</f>
        <v>0</v>
      </c>
      <c r="B304">
        <f>'Emissions Factors'!B306</f>
        <v>0</v>
      </c>
      <c r="C304">
        <f>'Emissions Factors'!C306</f>
        <v>0</v>
      </c>
      <c r="D304" t="str">
        <f>'Emissions Factors'!D306</f>
        <v>Bioethanol</v>
      </c>
      <c r="G304" t="str">
        <f t="shared" si="30"/>
        <v>Fuel, Energy &amp; Water</v>
      </c>
      <c r="H304" t="str">
        <f t="shared" si="31"/>
        <v xml:space="preserve">Site offices, site vehicles and plant energy </v>
      </c>
      <c r="I304" t="str">
        <f t="shared" si="32"/>
        <v>Bioethanol</v>
      </c>
      <c r="J304" t="str">
        <f t="shared" si="33"/>
        <v>Site offices, site vehicles and plant energy Bioethanol</v>
      </c>
      <c r="K304" t="str">
        <f>IF('Emissions Factors'!E306="","",'Emissions Factors'!E306)</f>
        <v>Litres</v>
      </c>
      <c r="L304" t="str">
        <f>IF('Emissions Factors'!F306="","",'Emissions Factors'!F306)</f>
        <v>Energy and Fuel</v>
      </c>
      <c r="M304">
        <f>IF('Emissions Factors'!G306="","",'Emissions Factors'!G306)</f>
        <v>0.52806999999999993</v>
      </c>
      <c r="N304" t="str">
        <f>IF('Emissions Factors'!H306="","",'Emissions Factors'!H306)</f>
        <v>kgCO2e/l</v>
      </c>
      <c r="O304">
        <f>IF('[1]Emissions Factors'!I305="","",'[1]Emissions Factors'!I305)</f>
        <v>1E-3</v>
      </c>
      <c r="P304" t="str">
        <f>IF('Emissions Factors'!J306="",'Emissions Factors'!F306,'Emissions Factors'!J306)</f>
        <v>Carbon factor taken from Government Carbon Factors 2024. Bioenergy &gt; Bioethanol. Includes all well to tank emissions: WTT - Bioenergy &gt;  Bioethanol &gt; litres.</v>
      </c>
      <c r="R304">
        <v>1</v>
      </c>
      <c r="U304">
        <f t="shared" si="34"/>
        <v>45</v>
      </c>
      <c r="V304">
        <f t="shared" si="35"/>
        <v>10</v>
      </c>
    </row>
    <row r="305" spans="1:22" x14ac:dyDescent="0.3">
      <c r="A305">
        <f>'Emissions Factors'!A307</f>
        <v>0</v>
      </c>
      <c r="B305">
        <f>'Emissions Factors'!B307</f>
        <v>0</v>
      </c>
      <c r="C305">
        <f>'Emissions Factors'!C307</f>
        <v>0</v>
      </c>
      <c r="D305" t="str">
        <f>'Emissions Factors'!D307</f>
        <v>Biopropane (bioLPG)</v>
      </c>
      <c r="G305" t="str">
        <f t="shared" si="30"/>
        <v>Fuel, Energy &amp; Water</v>
      </c>
      <c r="H305" t="str">
        <f t="shared" si="31"/>
        <v xml:space="preserve">Site offices, site vehicles and plant energy </v>
      </c>
      <c r="I305" t="str">
        <f t="shared" si="32"/>
        <v>Biopropane (bioLPG)</v>
      </c>
      <c r="J305" t="str">
        <f t="shared" si="33"/>
        <v>Site offices, site vehicles and plant energy Biopropane (bioLPG)</v>
      </c>
      <c r="K305" t="str">
        <f>IF('Emissions Factors'!E307="","",'Emissions Factors'!E307)</f>
        <v>Litres</v>
      </c>
      <c r="L305" t="str">
        <f>IF('Emissions Factors'!F307="","",'Emissions Factors'!F307)</f>
        <v>Energy and Fuel</v>
      </c>
      <c r="M305">
        <f>IF('Emissions Factors'!G307="","",'Emissions Factors'!G307)</f>
        <v>0.21861</v>
      </c>
      <c r="N305" t="str">
        <f>IF('Emissions Factors'!H307="","",'Emissions Factors'!H307)</f>
        <v>kgCO2e/l</v>
      </c>
      <c r="O305">
        <f>IF('[1]Emissions Factors'!I306="","",'[1]Emissions Factors'!I306)</f>
        <v>1E-3</v>
      </c>
      <c r="P305" t="str">
        <f>IF('Emissions Factors'!J307="",'Emissions Factors'!F307,'Emissions Factors'!J307)</f>
        <v>Carbon factor taken from Government Carbon Factors 2024. Bioenergy &gt; Biopropane. Includes all well to tank emission: WTT - Bioenergy &gt; Biopropane &gt; litres.</v>
      </c>
      <c r="R305">
        <v>1</v>
      </c>
      <c r="U305">
        <f t="shared" si="34"/>
        <v>45</v>
      </c>
      <c r="V305">
        <f t="shared" si="35"/>
        <v>19</v>
      </c>
    </row>
    <row r="306" spans="1:22" x14ac:dyDescent="0.3">
      <c r="A306">
        <f>'Emissions Factors'!A308</f>
        <v>0</v>
      </c>
      <c r="B306">
        <f>'Emissions Factors'!B308</f>
        <v>0</v>
      </c>
      <c r="C306">
        <f>'Emissions Factors'!C308</f>
        <v>0</v>
      </c>
      <c r="D306" t="str">
        <f>'Emissions Factors'!D308</f>
        <v>Biomethane (compressed)</v>
      </c>
      <c r="G306" t="str">
        <f t="shared" si="30"/>
        <v>Fuel, Energy &amp; Water</v>
      </c>
      <c r="H306" t="str">
        <f t="shared" si="31"/>
        <v xml:space="preserve">Site offices, site vehicles and plant energy </v>
      </c>
      <c r="I306" t="str">
        <f t="shared" si="32"/>
        <v>Biomethane (compressed)</v>
      </c>
      <c r="J306" t="str">
        <f t="shared" si="33"/>
        <v>Site offices, site vehicles and plant energy Biomethane (compressed)</v>
      </c>
      <c r="K306" t="str">
        <f>IF('Emissions Factors'!E308="","",'Emissions Factors'!E308)</f>
        <v>kg</v>
      </c>
      <c r="L306" t="str">
        <f>IF('Emissions Factors'!F308="","",'Emissions Factors'!F308)</f>
        <v>Energy and Fuel</v>
      </c>
      <c r="M306">
        <f>IF('Emissions Factors'!G308="","",'Emissions Factors'!G308)</f>
        <v>0.6452500000000001</v>
      </c>
      <c r="N306" t="str">
        <f>IF('Emissions Factors'!H308="","",'Emissions Factors'!H308)</f>
        <v>kgCO2e/kg</v>
      </c>
      <c r="O306">
        <f>IF('[1]Emissions Factors'!I307="","",'[1]Emissions Factors'!I307)</f>
        <v>1E-3</v>
      </c>
      <c r="P306" t="str">
        <f>IF('Emissions Factors'!J308="",'Emissions Factors'!F308,'Emissions Factors'!J308)</f>
        <v>Carbon factor taken from Government Carbon Factors 2024. Bioenergy &gt; Biomethane (compressed). Includes all well to tank emissions: : WTT - Bioenergy &gt;  Biomethane (compressed) &gt; kg.</v>
      </c>
      <c r="R306">
        <v>1</v>
      </c>
      <c r="U306">
        <f t="shared" si="34"/>
        <v>45</v>
      </c>
      <c r="V306">
        <f t="shared" si="35"/>
        <v>23</v>
      </c>
    </row>
    <row r="307" spans="1:22" x14ac:dyDescent="0.3">
      <c r="A307">
        <f>'Emissions Factors'!A309</f>
        <v>0</v>
      </c>
      <c r="B307">
        <f>'Emissions Factors'!B309</f>
        <v>0</v>
      </c>
      <c r="C307">
        <f>'Emissions Factors'!C309</f>
        <v>0</v>
      </c>
      <c r="D307" t="str">
        <f>'Emissions Factors'!D309</f>
        <v>Biomethane (liquified)</v>
      </c>
      <c r="G307" t="str">
        <f t="shared" si="30"/>
        <v>Fuel, Energy &amp; Water</v>
      </c>
      <c r="H307" t="str">
        <f t="shared" si="31"/>
        <v xml:space="preserve">Site offices, site vehicles and plant energy </v>
      </c>
      <c r="I307" t="str">
        <f t="shared" si="32"/>
        <v>Biomethane (liquified)</v>
      </c>
      <c r="J307" t="str">
        <f t="shared" si="33"/>
        <v>Site offices, site vehicles and plant energy Biomethane (liquified)</v>
      </c>
      <c r="K307" t="str">
        <f>IF('Emissions Factors'!E309="","",'Emissions Factors'!E309)</f>
        <v>kg</v>
      </c>
      <c r="L307" t="str">
        <f>IF('Emissions Factors'!F309="","",'Emissions Factors'!F309)</f>
        <v>Energy and Fuel</v>
      </c>
      <c r="M307">
        <f>IF('Emissions Factors'!G309="","",'Emissions Factors'!G309)</f>
        <v>0.52510000000000001</v>
      </c>
      <c r="N307" t="str">
        <f>IF('Emissions Factors'!H309="","",'Emissions Factors'!H309)</f>
        <v>kgCO2e/kg</v>
      </c>
      <c r="O307">
        <f>IF('[1]Emissions Factors'!I308="","",'[1]Emissions Factors'!I308)</f>
        <v>1E-3</v>
      </c>
      <c r="P307" t="str">
        <f>IF('Emissions Factors'!J309="",'Emissions Factors'!F309,'Emissions Factors'!J309)</f>
        <v>Carbon factor taken from Government Carbon Factors 2024. Bioenergy &gt; Biomethane (liquified). Includes all well to tank emissions: WTT - Bioenergy &gt; Biomethane (liquified) &gt; kg.</v>
      </c>
      <c r="R307">
        <v>1</v>
      </c>
      <c r="U307">
        <f t="shared" si="34"/>
        <v>45</v>
      </c>
      <c r="V307">
        <f t="shared" si="35"/>
        <v>22</v>
      </c>
    </row>
    <row r="308" spans="1:22" x14ac:dyDescent="0.3">
      <c r="A308">
        <f>'Emissions Factors'!A310</f>
        <v>0</v>
      </c>
      <c r="B308">
        <f>'Emissions Factors'!B310</f>
        <v>0</v>
      </c>
      <c r="C308">
        <f>'Emissions Factors'!C310</f>
        <v>0</v>
      </c>
      <c r="D308" t="str">
        <f>'Emissions Factors'!D310</f>
        <v xml:space="preserve">Biomethanol </v>
      </c>
      <c r="G308" t="str">
        <f t="shared" si="30"/>
        <v>Fuel, Energy &amp; Water</v>
      </c>
      <c r="H308" t="str">
        <f t="shared" si="31"/>
        <v xml:space="preserve">Site offices, site vehicles and plant energy </v>
      </c>
      <c r="I308" t="str">
        <f t="shared" si="32"/>
        <v xml:space="preserve">Biomethanol </v>
      </c>
      <c r="J308" t="str">
        <f t="shared" si="33"/>
        <v xml:space="preserve">Site offices, site vehicles and plant energy Biomethanol </v>
      </c>
      <c r="K308" t="str">
        <f>IF('Emissions Factors'!E310="","",'Emissions Factors'!E310)</f>
        <v>Litres</v>
      </c>
      <c r="L308" t="str">
        <f>IF('Emissions Factors'!F310="","",'Emissions Factors'!F310)</f>
        <v>Energy and Fuel</v>
      </c>
      <c r="M308">
        <f>IF('Emissions Factors'!G310="","",'Emissions Factors'!G310)</f>
        <v>0.59761999999999993</v>
      </c>
      <c r="N308" t="str">
        <f>IF('Emissions Factors'!H310="","",'Emissions Factors'!H310)</f>
        <v>kgCO2e/l</v>
      </c>
      <c r="O308">
        <f>IF('[1]Emissions Factors'!I309="","",'[1]Emissions Factors'!I309)</f>
        <v>1E-3</v>
      </c>
      <c r="P308" t="str">
        <f>IF('Emissions Factors'!J310="",'Emissions Factors'!F310,'Emissions Factors'!J310)</f>
        <v>Carbon factor taken from Government Carbon Factors 2024. Bioenergy &gt; Biomethanol. Includes all well to tank emissions: WTT - Bioenergy &gt; Biomethanol &gt; litres.</v>
      </c>
      <c r="R308">
        <v>1</v>
      </c>
      <c r="U308">
        <f t="shared" si="34"/>
        <v>45</v>
      </c>
      <c r="V308">
        <f t="shared" si="35"/>
        <v>12</v>
      </c>
    </row>
    <row r="309" spans="1:22" x14ac:dyDescent="0.3">
      <c r="A309">
        <f>'Emissions Factors'!A311</f>
        <v>0</v>
      </c>
      <c r="B309">
        <f>'Emissions Factors'!B311</f>
        <v>0</v>
      </c>
      <c r="C309">
        <f>'Emissions Factors'!C311</f>
        <v>0</v>
      </c>
      <c r="D309" t="str">
        <f>'Emissions Factors'!D311</f>
        <v xml:space="preserve">Fuel Oil </v>
      </c>
      <c r="G309" t="str">
        <f t="shared" si="30"/>
        <v>Fuel, Energy &amp; Water</v>
      </c>
      <c r="H309" t="str">
        <f t="shared" si="31"/>
        <v xml:space="preserve">Site offices, site vehicles and plant energy </v>
      </c>
      <c r="I309" t="str">
        <f t="shared" si="32"/>
        <v xml:space="preserve">Fuel Oil </v>
      </c>
      <c r="J309" t="str">
        <f t="shared" si="33"/>
        <v xml:space="preserve">Site offices, site vehicles and plant energy Fuel Oil </v>
      </c>
      <c r="K309" t="str">
        <f>IF('Emissions Factors'!E311="","",'Emissions Factors'!E311)</f>
        <v>Litres</v>
      </c>
      <c r="L309" t="str">
        <f>IF('Emissions Factors'!F311="","",'Emissions Factors'!F311)</f>
        <v>Energy and Fuel</v>
      </c>
      <c r="M309">
        <f>IF('Emissions Factors'!G311="","",'Emissions Factors'!G311)</f>
        <v>3.8703199999999995</v>
      </c>
      <c r="N309" t="str">
        <f>IF('Emissions Factors'!H311="","",'Emissions Factors'!H311)</f>
        <v>kgCO2e/l</v>
      </c>
      <c r="O309">
        <f>IF('[1]Emissions Factors'!I310="","",'[1]Emissions Factors'!I310)</f>
        <v>1E-3</v>
      </c>
      <c r="P309" t="str">
        <f>IF('Emissions Factors'!J311="",'Emissions Factors'!F311,'Emissions Factors'!J311)</f>
        <v>Carbon factor taken from Government Carbon Factors 2024. Fuel &gt; Fuel Oil.  Includes all well to tank emissions: WTT - fuels &gt; Liquid fuels &gt; Fuel oil &gt; litres.</v>
      </c>
      <c r="R309">
        <v>1</v>
      </c>
      <c r="U309">
        <f t="shared" si="34"/>
        <v>45</v>
      </c>
      <c r="V309">
        <f t="shared" si="35"/>
        <v>9</v>
      </c>
    </row>
    <row r="310" spans="1:22" x14ac:dyDescent="0.3">
      <c r="A310">
        <f>'Emissions Factors'!A312</f>
        <v>0</v>
      </c>
      <c r="B310">
        <f>'Emissions Factors'!B312</f>
        <v>0</v>
      </c>
      <c r="C310">
        <f>'Emissions Factors'!C312</f>
        <v>0</v>
      </c>
      <c r="D310" t="str">
        <f>'Emissions Factors'!D312</f>
        <v>Burning Oil / Kerosene</v>
      </c>
      <c r="G310" t="str">
        <f t="shared" si="30"/>
        <v>Fuel, Energy &amp; Water</v>
      </c>
      <c r="H310" t="str">
        <f t="shared" si="31"/>
        <v xml:space="preserve">Site offices, site vehicles and plant energy </v>
      </c>
      <c r="I310" t="str">
        <f t="shared" si="32"/>
        <v>Burning Oil / Kerosene</v>
      </c>
      <c r="J310" t="str">
        <f t="shared" si="33"/>
        <v>Site offices, site vehicles and plant energy Burning Oil / Kerosene</v>
      </c>
      <c r="K310" t="str">
        <f>IF('Emissions Factors'!E312="","",'Emissions Factors'!E312)</f>
        <v>Litres</v>
      </c>
      <c r="L310" t="str">
        <f>IF('Emissions Factors'!F312="","",'Emissions Factors'!F312)</f>
        <v>Energy and Fuel</v>
      </c>
      <c r="M310">
        <f>IF('Emissions Factors'!G312="","",'Emissions Factors'!G312)</f>
        <v>3.0709300000000002</v>
      </c>
      <c r="N310" t="str">
        <f>IF('Emissions Factors'!H312="","",'Emissions Factors'!H312)</f>
        <v>kgCO2e/l</v>
      </c>
      <c r="O310">
        <f>IF('[1]Emissions Factors'!I311="","",'[1]Emissions Factors'!I311)</f>
        <v>1E-3</v>
      </c>
      <c r="P310" t="str">
        <f>IF('Emissions Factors'!J312="",'Emissions Factors'!F312,'Emissions Factors'!J312)</f>
        <v>Carbon factor taken from Government Carbon Factors 2024. Fuel &gt; Burning Oil.  Includes all well to tank emissions: WTT - fuels &gt; liquid fuels &gt; Burning oil &gt; litres.</v>
      </c>
      <c r="R310">
        <v>1</v>
      </c>
      <c r="U310">
        <f t="shared" si="34"/>
        <v>45</v>
      </c>
      <c r="V310">
        <f t="shared" si="35"/>
        <v>22</v>
      </c>
    </row>
    <row r="311" spans="1:22" x14ac:dyDescent="0.3">
      <c r="A311">
        <f>'Emissions Factors'!A313</f>
        <v>0</v>
      </c>
      <c r="B311">
        <f>'Emissions Factors'!B313</f>
        <v>0</v>
      </c>
      <c r="C311" t="str">
        <f>'Emissions Factors'!C313</f>
        <v>Water</v>
      </c>
      <c r="D311" t="str">
        <f>'Emissions Factors'!D313</f>
        <v xml:space="preserve">Mains </v>
      </c>
      <c r="G311" t="str">
        <f t="shared" si="30"/>
        <v>Fuel, Energy &amp; Water</v>
      </c>
      <c r="H311" t="str">
        <f t="shared" si="31"/>
        <v>Water</v>
      </c>
      <c r="I311" t="str">
        <f t="shared" si="32"/>
        <v xml:space="preserve">Mains </v>
      </c>
      <c r="J311" t="str">
        <f t="shared" si="33"/>
        <v xml:space="preserve">WaterMains </v>
      </c>
      <c r="K311" t="str">
        <f>IF('Emissions Factors'!E313="","",'Emissions Factors'!E313)</f>
        <v>Litres</v>
      </c>
      <c r="L311" t="str">
        <f>IF('Emissions Factors'!F313="","",'Emissions Factors'!F313)</f>
        <v>Energy and Fuel</v>
      </c>
      <c r="M311">
        <f>IF('Emissions Factors'!G313="","",'Emissions Factors'!G313)</f>
        <v>1.5311E-4</v>
      </c>
      <c r="N311" t="str">
        <f>IF('Emissions Factors'!H313="","",'Emissions Factors'!H313)</f>
        <v>kgCO2e/l</v>
      </c>
      <c r="O311">
        <f>IF('[1]Emissions Factors'!I312="","",'[1]Emissions Factors'!I312)</f>
        <v>1E-3</v>
      </c>
      <c r="P311" t="str">
        <f>IF('Emissions Factors'!J313="",'Emissions Factors'!F313,'Emissions Factors'!J313)</f>
        <v>Carbon factor taken directly from Government Carbon Factors 2024 &gt; Mains water.</v>
      </c>
      <c r="R311">
        <v>0</v>
      </c>
      <c r="U311">
        <f t="shared" si="34"/>
        <v>5</v>
      </c>
      <c r="V311">
        <f t="shared" si="35"/>
        <v>6</v>
      </c>
    </row>
    <row r="312" spans="1:22" x14ac:dyDescent="0.3">
      <c r="A312">
        <f>'Emissions Factors'!A314</f>
        <v>0</v>
      </c>
      <c r="B312">
        <f>'Emissions Factors'!B314</f>
        <v>0</v>
      </c>
      <c r="C312">
        <f>'Emissions Factors'!C314</f>
        <v>0</v>
      </c>
      <c r="D312" t="str">
        <f>'Emissions Factors'!D314</f>
        <v>Abstracted</v>
      </c>
      <c r="G312" t="str">
        <f t="shared" si="30"/>
        <v>Fuel, Energy &amp; Water</v>
      </c>
      <c r="H312" t="str">
        <f t="shared" si="31"/>
        <v>Water</v>
      </c>
      <c r="I312" t="str">
        <f t="shared" si="32"/>
        <v>Abstracted</v>
      </c>
      <c r="J312" t="str">
        <f t="shared" si="33"/>
        <v>WaterAbstracted</v>
      </c>
      <c r="K312" t="str">
        <f>IF('Emissions Factors'!E314="","",'Emissions Factors'!E314)</f>
        <v>Litres</v>
      </c>
      <c r="L312" t="str">
        <f>IF('Emissions Factors'!F314="","",'Emissions Factors'!F314)</f>
        <v>Energy and Fuel</v>
      </c>
      <c r="M312">
        <f>IF('Emissions Factors'!G314="","",'Emissions Factors'!G314)</f>
        <v>0</v>
      </c>
      <c r="N312" t="str">
        <f>IF('Emissions Factors'!H314="","",'Emissions Factors'!H314)</f>
        <v>kgCO2e/l</v>
      </c>
      <c r="O312">
        <f>IF('[1]Emissions Factors'!I313="","",'[1]Emissions Factors'!I313)</f>
        <v>1</v>
      </c>
      <c r="P312" t="str">
        <f>IF('Emissions Factors'!J314="",'Emissions Factors'!F314,'Emissions Factors'!J314)</f>
        <v>Embodied carbon of site abstracted water assumed to be zero. Movement around site captured by fuel use.</v>
      </c>
      <c r="R312">
        <v>0</v>
      </c>
      <c r="U312">
        <f t="shared" si="34"/>
        <v>5</v>
      </c>
      <c r="V312">
        <f t="shared" si="35"/>
        <v>10</v>
      </c>
    </row>
    <row r="313" spans="1:22" x14ac:dyDescent="0.3">
      <c r="A313">
        <f>'Emissions Factors'!A315</f>
        <v>0</v>
      </c>
      <c r="B313">
        <f>'Emissions Factors'!B315</f>
        <v>0</v>
      </c>
      <c r="C313">
        <f>'Emissions Factors'!C315</f>
        <v>0</v>
      </c>
      <c r="D313" t="str">
        <f>'Emissions Factors'!D315</f>
        <v>Transported (Tanker)</v>
      </c>
      <c r="G313" t="str">
        <f t="shared" si="30"/>
        <v>Fuel, Energy &amp; Water</v>
      </c>
      <c r="H313" t="str">
        <f t="shared" si="31"/>
        <v>Water</v>
      </c>
      <c r="I313" t="str">
        <f t="shared" si="32"/>
        <v>Transported (Tanker)</v>
      </c>
      <c r="J313" t="str">
        <f t="shared" si="33"/>
        <v>WaterTransported (Tanker)</v>
      </c>
      <c r="K313" t="str">
        <f>IF('Emissions Factors'!E315="","",'Emissions Factors'!E315)</f>
        <v>Litres</v>
      </c>
      <c r="L313" t="str">
        <f>IF('Emissions Factors'!F315="","",'Emissions Factors'!F315)</f>
        <v>Energy and Fuel</v>
      </c>
      <c r="M313">
        <f>IF('Emissions Factors'!G315="","",'Emissions Factors'!G315)</f>
        <v>1.5311E-4</v>
      </c>
      <c r="N313" t="str">
        <f>IF('Emissions Factors'!H315="","",'Emissions Factors'!H315)</f>
        <v>kgCO2e/l</v>
      </c>
      <c r="O313">
        <f>IF('[1]Emissions Factors'!I314="","",'[1]Emissions Factors'!I314)</f>
        <v>1E-3</v>
      </c>
      <c r="P313" t="str">
        <f>IF('Emissions Factors'!J315="",'Emissions Factors'!F315,'Emissions Factors'!J315)</f>
        <v>Carbon factor taken directly from Government Carbon Factors 2024 &gt; Mains water.</v>
      </c>
      <c r="R313">
        <v>1</v>
      </c>
      <c r="U313">
        <f t="shared" si="34"/>
        <v>5</v>
      </c>
      <c r="V313">
        <f t="shared" si="35"/>
        <v>20</v>
      </c>
    </row>
    <row r="314" spans="1:22" x14ac:dyDescent="0.3">
      <c r="A314">
        <f>'Emissions Factors'!A316</f>
        <v>0</v>
      </c>
      <c r="B314" t="str">
        <f>'Emissions Factors'!B316</f>
        <v>Business and employee transport</v>
      </c>
      <c r="C314" t="str">
        <f>'Emissions Factors'!C316</f>
        <v xml:space="preserve">Business travel  </v>
      </c>
      <c r="D314" t="str">
        <f>'Emissions Factors'!D316</f>
        <v>Private vehicle (any type)</v>
      </c>
      <c r="G314" t="str">
        <f t="shared" si="30"/>
        <v>Business and employee transport</v>
      </c>
      <c r="H314" t="str">
        <f t="shared" si="31"/>
        <v xml:space="preserve">Business travel  </v>
      </c>
      <c r="I314" t="str">
        <f t="shared" si="32"/>
        <v>Private vehicle (any type)</v>
      </c>
      <c r="J314" t="str">
        <f t="shared" si="33"/>
        <v>Business travel  Private vehicle (any type)</v>
      </c>
      <c r="K314" t="str">
        <f>IF('Emissions Factors'!E316="","",'Emissions Factors'!E316)</f>
        <v>km</v>
      </c>
      <c r="L314" t="str">
        <f>IF('Emissions Factors'!F316="","",'Emissions Factors'!F316)</f>
        <v>Transport</v>
      </c>
      <c r="M314">
        <f>IF('Emissions Factors'!G316="","",'Emissions Factors'!G316)</f>
        <v>0.21129999999999999</v>
      </c>
      <c r="N314" t="str">
        <f>IF('Emissions Factors'!H316="","",'Emissions Factors'!H316)</f>
        <v>kgCO2e/km</v>
      </c>
      <c r="O314">
        <f>IF('[1]Emissions Factors'!I315="","",'[1]Emissions Factors'!I315)</f>
        <v>1E-3</v>
      </c>
      <c r="P314" t="str">
        <f>IF('Emissions Factors'!J316="",'Emissions Factors'!F316,'Emissions Factors'!J316)</f>
        <v>Carbon factor of unknown average car emissions from Government Carbon Factors 2024. Business Travel &gt; Average car. Conversion factor for kg into tonnes. Includes all well to tank emissions: WTT - passenger vehicles and freight &gt; Average car &gt; km.</v>
      </c>
      <c r="R314">
        <v>0</v>
      </c>
      <c r="U314">
        <f t="shared" si="34"/>
        <v>17</v>
      </c>
      <c r="V314">
        <f t="shared" si="35"/>
        <v>26</v>
      </c>
    </row>
    <row r="315" spans="1:22" x14ac:dyDescent="0.3">
      <c r="A315">
        <f>'Emissions Factors'!A317</f>
        <v>0</v>
      </c>
      <c r="B315">
        <f>'Emissions Factors'!B317</f>
        <v>0</v>
      </c>
      <c r="C315">
        <f>'Emissions Factors'!C317</f>
        <v>0</v>
      </c>
      <c r="D315" t="str">
        <f>'Emissions Factors'!D317</f>
        <v>Bus/coach</v>
      </c>
      <c r="G315" t="str">
        <f t="shared" si="30"/>
        <v>Business and employee transport</v>
      </c>
      <c r="H315" t="str">
        <f t="shared" si="31"/>
        <v xml:space="preserve">Business travel  </v>
      </c>
      <c r="I315" t="str">
        <f t="shared" si="32"/>
        <v>Bus/coach</v>
      </c>
      <c r="J315" t="str">
        <f t="shared" si="33"/>
        <v>Business travel  Bus/coach</v>
      </c>
      <c r="K315" t="str">
        <f>IF('Emissions Factors'!E317="","",'Emissions Factors'!E317)</f>
        <v>km</v>
      </c>
      <c r="L315" t="str">
        <f>IF('Emissions Factors'!F317="","",'Emissions Factors'!F317)</f>
        <v>Transport</v>
      </c>
      <c r="M315">
        <f>IF('Emissions Factors'!G317="","",'Emissions Factors'!G317)</f>
        <v>0.13495000000000001</v>
      </c>
      <c r="N315" t="str">
        <f>IF('Emissions Factors'!H317="","",'Emissions Factors'!H317)</f>
        <v>kgCO2e/km</v>
      </c>
      <c r="O315">
        <f>IF('[1]Emissions Factors'!I316="","",'[1]Emissions Factors'!I316)</f>
        <v>1E-3</v>
      </c>
      <c r="P315" t="str">
        <f>IF('Emissions Factors'!J317="",'Emissions Factors'!F317,'Emissions Factors'!J317)</f>
        <v>Carbon factor taken directly from Government Carbon Factors 2024. Business Travel &gt; Average local Bus. Conversion factor for kg into tonnes. Includes all well to tank emissions: WTT - passenger vehicles and freight &gt; Average local bus &gt; passenger.km.</v>
      </c>
      <c r="R315">
        <v>0</v>
      </c>
      <c r="U315">
        <f t="shared" si="34"/>
        <v>17</v>
      </c>
      <c r="V315">
        <f t="shared" si="35"/>
        <v>9</v>
      </c>
    </row>
    <row r="316" spans="1:22" x14ac:dyDescent="0.3">
      <c r="A316">
        <f>'Emissions Factors'!A318</f>
        <v>0</v>
      </c>
      <c r="B316">
        <f>'Emissions Factors'!B318</f>
        <v>0</v>
      </c>
      <c r="C316">
        <f>'Emissions Factors'!C318</f>
        <v>0</v>
      </c>
      <c r="D316" t="str">
        <f>'Emissions Factors'!D318</f>
        <v xml:space="preserve">Train </v>
      </c>
      <c r="G316" t="str">
        <f t="shared" si="30"/>
        <v>Business and employee transport</v>
      </c>
      <c r="H316" t="str">
        <f t="shared" si="31"/>
        <v xml:space="preserve">Business travel  </v>
      </c>
      <c r="I316" t="str">
        <f t="shared" si="32"/>
        <v xml:space="preserve">Train </v>
      </c>
      <c r="J316" t="str">
        <f t="shared" si="33"/>
        <v xml:space="preserve">Business travel  Train </v>
      </c>
      <c r="K316" t="str">
        <f>IF('Emissions Factors'!E318="","",'Emissions Factors'!E318)</f>
        <v>km</v>
      </c>
      <c r="L316" t="str">
        <f>IF('Emissions Factors'!F318="","",'Emissions Factors'!F318)</f>
        <v>Transport</v>
      </c>
      <c r="M316">
        <f>IF('Emissions Factors'!G318="","",'Emissions Factors'!G318)</f>
        <v>4.4429999999999997E-2</v>
      </c>
      <c r="N316" t="str">
        <f>IF('Emissions Factors'!H318="","",'Emissions Factors'!H318)</f>
        <v>kgCO2e/km</v>
      </c>
      <c r="O316">
        <f>IF('[1]Emissions Factors'!I317="","",'[1]Emissions Factors'!I317)</f>
        <v>1E-3</v>
      </c>
      <c r="P316" t="str">
        <f>IF('Emissions Factors'!J318="",'Emissions Factors'!F318,'Emissions Factors'!J318)</f>
        <v>Carbon factor taken directly from Government Carbon Factors 2024. Business Travel &gt; National rail. Conversion factor for kg into tonnes:  Includes all well to tank emissions: WTT - passenger vehicles and freight &gt; National rail &gt; passenger.km.</v>
      </c>
      <c r="R316">
        <v>0</v>
      </c>
      <c r="U316">
        <f t="shared" si="34"/>
        <v>17</v>
      </c>
      <c r="V316">
        <f t="shared" si="35"/>
        <v>6</v>
      </c>
    </row>
    <row r="317" spans="1:22" x14ac:dyDescent="0.3">
      <c r="A317">
        <f>'Emissions Factors'!A319</f>
        <v>0</v>
      </c>
      <c r="B317">
        <f>'Emissions Factors'!B319</f>
        <v>0</v>
      </c>
      <c r="C317" t="str">
        <f>'Emissions Factors'!C319</f>
        <v>Employee commuting</v>
      </c>
      <c r="D317" t="str">
        <f>'Emissions Factors'!D319</f>
        <v>Private vehicle (any type)</v>
      </c>
      <c r="G317" t="str">
        <f t="shared" si="30"/>
        <v>Business and employee transport</v>
      </c>
      <c r="H317" t="str">
        <f t="shared" si="31"/>
        <v>Employee commuting</v>
      </c>
      <c r="I317" t="str">
        <f t="shared" si="32"/>
        <v>Private vehicle (any type)</v>
      </c>
      <c r="J317" t="str">
        <f t="shared" si="33"/>
        <v>Employee commutingPrivate vehicle (any type)</v>
      </c>
      <c r="K317" t="str">
        <f>IF('Emissions Factors'!E319="","",'Emissions Factors'!E319)</f>
        <v>km</v>
      </c>
      <c r="L317" t="str">
        <f>IF('Emissions Factors'!F319="","",'Emissions Factors'!F319)</f>
        <v>Transport</v>
      </c>
      <c r="M317">
        <f>IF('Emissions Factors'!G319="","",'Emissions Factors'!G319)</f>
        <v>0.21129999999999999</v>
      </c>
      <c r="N317" t="str">
        <f>IF('Emissions Factors'!H319="","",'Emissions Factors'!H319)</f>
        <v>kgCO2e/km</v>
      </c>
      <c r="O317">
        <f>IF('[1]Emissions Factors'!I318="","",'[1]Emissions Factors'!I318)</f>
        <v>1E-3</v>
      </c>
      <c r="P317" t="str">
        <f>IF('Emissions Factors'!J319="",'Emissions Factors'!F319,'Emissions Factors'!J319)</f>
        <v>Carbon factor is an average of the diesel and petrol average car emissions from Government Carbon Factors 2024. Conversion factor for kg into tonnes. Includes all well to tank emissions: WTT - passenger vehicles and freight &gt; Average car &gt; km.</v>
      </c>
      <c r="R317">
        <v>0</v>
      </c>
      <c r="U317">
        <f t="shared" si="34"/>
        <v>18</v>
      </c>
      <c r="V317">
        <f t="shared" si="35"/>
        <v>26</v>
      </c>
    </row>
    <row r="318" spans="1:22" x14ac:dyDescent="0.3">
      <c r="A318">
        <f>'Emissions Factors'!A320</f>
        <v>0</v>
      </c>
      <c r="B318">
        <f>'Emissions Factors'!B320</f>
        <v>0</v>
      </c>
      <c r="C318">
        <f>'Emissions Factors'!C320</f>
        <v>0</v>
      </c>
      <c r="D318" t="str">
        <f>'Emissions Factors'!D320</f>
        <v>Bus/coach</v>
      </c>
      <c r="G318" t="str">
        <f t="shared" si="30"/>
        <v>Business and employee transport</v>
      </c>
      <c r="H318" t="str">
        <f t="shared" si="31"/>
        <v>Employee commuting</v>
      </c>
      <c r="I318" t="str">
        <f t="shared" si="32"/>
        <v>Bus/coach</v>
      </c>
      <c r="J318" t="str">
        <f t="shared" si="33"/>
        <v>Employee commutingBus/coach</v>
      </c>
      <c r="K318" t="str">
        <f>IF('Emissions Factors'!E320="","",'Emissions Factors'!E320)</f>
        <v>km</v>
      </c>
      <c r="L318" t="str">
        <f>IF('Emissions Factors'!F320="","",'Emissions Factors'!F320)</f>
        <v>Transport</v>
      </c>
      <c r="M318">
        <f>IF('Emissions Factors'!G320="","",'Emissions Factors'!G320)</f>
        <v>0.13495000000000001</v>
      </c>
      <c r="N318" t="str">
        <f>IF('Emissions Factors'!H320="","",'Emissions Factors'!H320)</f>
        <v>kgCO2e/km</v>
      </c>
      <c r="O318">
        <f>IF('[1]Emissions Factors'!I319="","",'[1]Emissions Factors'!I319)</f>
        <v>1E-3</v>
      </c>
      <c r="P318" t="str">
        <f>IF('Emissions Factors'!J320="",'Emissions Factors'!F320,'Emissions Factors'!J320)</f>
        <v>Carbon factor taken directly from Government Carbon Factors 2024. Business Travel &gt; Average Local Bus. Conversion factor for kg into tonnes. Includes all well to tank emissions: WTT - passenger vehicles and freight &gt; Average local bus &gt; passenger.km.</v>
      </c>
      <c r="R318">
        <v>0</v>
      </c>
      <c r="U318">
        <f t="shared" si="34"/>
        <v>18</v>
      </c>
      <c r="V318">
        <f t="shared" si="35"/>
        <v>9</v>
      </c>
    </row>
    <row r="319" spans="1:22" x14ac:dyDescent="0.3">
      <c r="A319">
        <f>'Emissions Factors'!A321</f>
        <v>0</v>
      </c>
      <c r="B319">
        <f>'Emissions Factors'!B321</f>
        <v>0</v>
      </c>
      <c r="C319">
        <f>'Emissions Factors'!C321</f>
        <v>0</v>
      </c>
      <c r="D319" t="str">
        <f>'Emissions Factors'!D321</f>
        <v xml:space="preserve">Train </v>
      </c>
      <c r="G319" t="str">
        <f t="shared" si="30"/>
        <v>Business and employee transport</v>
      </c>
      <c r="H319" t="str">
        <f t="shared" si="31"/>
        <v>Employee commuting</v>
      </c>
      <c r="I319" t="str">
        <f t="shared" si="32"/>
        <v xml:space="preserve">Train </v>
      </c>
      <c r="J319" t="str">
        <f t="shared" si="33"/>
        <v xml:space="preserve">Employee commutingTrain </v>
      </c>
      <c r="K319" t="str">
        <f>IF('Emissions Factors'!E321="","",'Emissions Factors'!E321)</f>
        <v>km</v>
      </c>
      <c r="L319" t="str">
        <f>IF('Emissions Factors'!F321="","",'Emissions Factors'!F321)</f>
        <v>Transport</v>
      </c>
      <c r="M319">
        <f>IF('Emissions Factors'!G321="","",'Emissions Factors'!G321)</f>
        <v>4.4429999999999997E-2</v>
      </c>
      <c r="N319" t="str">
        <f>IF('Emissions Factors'!H321="","",'Emissions Factors'!H321)</f>
        <v>kgCO2e/km</v>
      </c>
      <c r="O319">
        <f>IF('[1]Emissions Factors'!I320="","",'[1]Emissions Factors'!I320)</f>
        <v>1E-3</v>
      </c>
      <c r="P319" t="str">
        <f>IF('Emissions Factors'!J321="",'Emissions Factors'!F321,'Emissions Factors'!J321)</f>
        <v>Carbon factor taken directly from Government Carbon Factors 2024. Business Travel &gt; National rail. Conversion factor for kg into tonnes:  Includes all well to tank emissions: WTT - passenger vehicles and freight &gt; National rail &gt; passenger.km.</v>
      </c>
      <c r="R319">
        <v>0</v>
      </c>
      <c r="U319">
        <f t="shared" si="34"/>
        <v>18</v>
      </c>
      <c r="V319">
        <f t="shared" si="35"/>
        <v>6</v>
      </c>
    </row>
    <row r="320" spans="1:22" x14ac:dyDescent="0.3">
      <c r="A320">
        <f>'Emissions Factors'!A322</f>
        <v>0</v>
      </c>
      <c r="B320">
        <f>'Emissions Factors'!B322</f>
        <v>0</v>
      </c>
      <c r="C320" t="str">
        <f>'Emissions Factors'!C322</f>
        <v>Other transport</v>
      </c>
      <c r="D320" t="str">
        <f>'Emissions Factors'!D322</f>
        <v>HGV (diesel, 0% laden)</v>
      </c>
      <c r="G320" t="str">
        <f t="shared" si="30"/>
        <v>Business and employee transport</v>
      </c>
      <c r="H320" t="str">
        <f t="shared" si="31"/>
        <v>Other transport</v>
      </c>
      <c r="I320" t="str">
        <f t="shared" si="32"/>
        <v>HGV (diesel, 0% laden)</v>
      </c>
      <c r="J320" t="str">
        <f t="shared" si="33"/>
        <v>Other transportHGV (diesel, 0% laden)</v>
      </c>
      <c r="K320" t="str">
        <f>IF('Emissions Factors'!E322="","",'Emissions Factors'!E322)</f>
        <v>km</v>
      </c>
      <c r="L320" t="str">
        <f>IF('Emissions Factors'!F322="","",'Emissions Factors'!F322)</f>
        <v>Transport</v>
      </c>
      <c r="M320">
        <f>IF('Emissions Factors'!G322="","",'Emissions Factors'!G322)</f>
        <v>0.79919000000000007</v>
      </c>
      <c r="N320" t="str">
        <f>IF('Emissions Factors'!H322="","",'Emissions Factors'!H322)</f>
        <v>kgCO2e/km</v>
      </c>
      <c r="O320">
        <f>IF('[1]Emissions Factors'!I321="","",'[1]Emissions Factors'!I321)</f>
        <v>1E-3</v>
      </c>
      <c r="P320" t="str">
        <f>IF('Emissions Factors'!J322="",'Emissions Factors'!F322,'Emissions Factors'!J322)</f>
        <v>Carbon factor taken directly from Government Carbon Factors 2024: Freighting goods &gt; All HGVs &gt; 0% Laden. Includes all well to tank emissions: WTT delivery vehicles and freight  &gt; All HGVs &gt; 0% Laden</v>
      </c>
      <c r="R320">
        <v>0</v>
      </c>
      <c r="U320">
        <f t="shared" si="34"/>
        <v>15</v>
      </c>
      <c r="V320">
        <f t="shared" si="35"/>
        <v>22</v>
      </c>
    </row>
    <row r="321" spans="1:22" x14ac:dyDescent="0.3">
      <c r="A321">
        <f>'Emissions Factors'!A323</f>
        <v>0</v>
      </c>
      <c r="B321">
        <f>'Emissions Factors'!B323</f>
        <v>0</v>
      </c>
      <c r="C321">
        <f>'Emissions Factors'!C323</f>
        <v>0</v>
      </c>
      <c r="D321" t="str">
        <f>'Emissions Factors'!D323</f>
        <v>HGV (diesel, average laden)</v>
      </c>
      <c r="G321" t="str">
        <f t="shared" si="30"/>
        <v>Business and employee transport</v>
      </c>
      <c r="H321" t="str">
        <f t="shared" si="31"/>
        <v>Other transport</v>
      </c>
      <c r="I321" t="str">
        <f t="shared" si="32"/>
        <v>HGV (diesel, average laden)</v>
      </c>
      <c r="J321" t="str">
        <f t="shared" si="33"/>
        <v>Other transportHGV (diesel, average laden)</v>
      </c>
      <c r="K321" t="str">
        <f>IF('Emissions Factors'!E323="","",'Emissions Factors'!E323)</f>
        <v>km</v>
      </c>
      <c r="L321" t="str">
        <f>IF('Emissions Factors'!F323="","",'Emissions Factors'!F323)</f>
        <v>Transport</v>
      </c>
      <c r="M321">
        <f>IF('Emissions Factors'!G323="","",'Emissions Factors'!G323)</f>
        <v>1.0845</v>
      </c>
      <c r="N321" t="str">
        <f>IF('Emissions Factors'!H323="","",'Emissions Factors'!H323)</f>
        <v>kgCO2e/km</v>
      </c>
      <c r="O321">
        <f>IF('[1]Emissions Factors'!I322="","",'[1]Emissions Factors'!I322)</f>
        <v>1E-3</v>
      </c>
      <c r="P321" t="str">
        <f>IF('Emissions Factors'!J323="",'Emissions Factors'!F323,'Emissions Factors'!J323)</f>
        <v>Carbon factor taken directly from Government Carbon Factors 2024: Freighting goods &gt; All HGVs &gt; Average Laden. Includes all well to tank emissions: WTT delivery vehicles and freight  &gt; All HGVs &gt; Average Laden</v>
      </c>
      <c r="R321">
        <v>0</v>
      </c>
      <c r="U321">
        <f t="shared" si="34"/>
        <v>15</v>
      </c>
      <c r="V321">
        <f t="shared" si="35"/>
        <v>27</v>
      </c>
    </row>
    <row r="322" spans="1:22" x14ac:dyDescent="0.3">
      <c r="A322">
        <f>'Emissions Factors'!A324</f>
        <v>0</v>
      </c>
      <c r="B322">
        <f>'Emissions Factors'!B324</f>
        <v>0</v>
      </c>
      <c r="C322">
        <f>'Emissions Factors'!C324</f>
        <v>0</v>
      </c>
      <c r="D322" t="str">
        <f>'Emissions Factors'!D324</f>
        <v>Van (average)</v>
      </c>
      <c r="G322" t="str">
        <f t="shared" si="30"/>
        <v>Business and employee transport</v>
      </c>
      <c r="H322" t="str">
        <f t="shared" si="31"/>
        <v>Other transport</v>
      </c>
      <c r="I322" t="str">
        <f t="shared" si="32"/>
        <v>Van (average)</v>
      </c>
      <c r="J322" t="str">
        <f t="shared" si="33"/>
        <v>Other transportVan (average)</v>
      </c>
      <c r="K322" t="str">
        <f>IF('Emissions Factors'!E324="","",'Emissions Factors'!E324)</f>
        <v>km</v>
      </c>
      <c r="L322" t="str">
        <f>IF('Emissions Factors'!F324="","",'Emissions Factors'!F324)</f>
        <v>Transport</v>
      </c>
      <c r="M322">
        <f>IF('Emissions Factors'!G324="","",'Emissions Factors'!G324)</f>
        <v>0.31064000000000003</v>
      </c>
      <c r="N322" t="str">
        <f>IF('Emissions Factors'!H324="","",'Emissions Factors'!H324)</f>
        <v>kgCO2e/km</v>
      </c>
      <c r="O322">
        <f>IF('[1]Emissions Factors'!I323="","",'[1]Emissions Factors'!I323)</f>
        <v>1E-3</v>
      </c>
      <c r="P322" t="str">
        <f>IF('Emissions Factors'!J324="",'Emissions Factors'!F324,'Emissions Factors'!J324)</f>
        <v>Carbon factor taken directly from Government Carbon Factors 2024: Freighting goods &gt; Vans &gt; Average Unknown. Includes all well to tank emissions: WTT delivery vehicles and freight  &gt; Average Unknown.</v>
      </c>
      <c r="R322">
        <v>0</v>
      </c>
      <c r="U322">
        <f t="shared" si="34"/>
        <v>15</v>
      </c>
      <c r="V322">
        <f t="shared" si="35"/>
        <v>13</v>
      </c>
    </row>
    <row r="323" spans="1:22" x14ac:dyDescent="0.3">
      <c r="A323">
        <f>'Emissions Factors'!A325</f>
        <v>0</v>
      </c>
      <c r="B323">
        <f>'Emissions Factors'!B325</f>
        <v>0</v>
      </c>
      <c r="C323">
        <f>'Emissions Factors'!C325</f>
        <v>0</v>
      </c>
      <c r="D323" t="str">
        <f>'Emissions Factors'!D325</f>
        <v>Van (electric)</v>
      </c>
      <c r="G323" t="str">
        <f t="shared" si="30"/>
        <v>Business and employee transport</v>
      </c>
      <c r="H323" t="str">
        <f t="shared" si="31"/>
        <v>Other transport</v>
      </c>
      <c r="I323" t="str">
        <f t="shared" si="32"/>
        <v>Van (electric)</v>
      </c>
      <c r="J323" t="str">
        <f t="shared" si="33"/>
        <v>Other transportVan (electric)</v>
      </c>
      <c r="K323" t="str">
        <f>IF('Emissions Factors'!E325="","",'Emissions Factors'!E325)</f>
        <v>km</v>
      </c>
      <c r="L323" t="str">
        <f>IF('Emissions Factors'!F325="","",'Emissions Factors'!F325)</f>
        <v>Transport</v>
      </c>
      <c r="M323">
        <f>IF('Emissions Factors'!G325="","",'Emissions Factors'!G325)</f>
        <v>0.17604</v>
      </c>
      <c r="N323" t="str">
        <f>IF('Emissions Factors'!H325="","",'Emissions Factors'!H325)</f>
        <v>kgCO2e/km</v>
      </c>
      <c r="O323">
        <f>IF('[1]Emissions Factors'!I324="","",'[1]Emissions Factors'!I324)</f>
        <v>1E-3</v>
      </c>
      <c r="P323" t="str">
        <f>IF('Emissions Factors'!J325="",'Emissions Factors'!F325,'Emissions Factors'!J325)</f>
        <v>Carbon factor taken directly from Government Carbon Factors 2024: Freighting goods &gt; Vans &gt; Average Battery Electric. Includes all well to tank emissions: WTT delivery vehicles and freight  &gt; Average Battery Electric. Includes UK electricity for EVs and transmission and distribution losses.</v>
      </c>
      <c r="R323">
        <v>0</v>
      </c>
      <c r="U323">
        <f t="shared" si="34"/>
        <v>15</v>
      </c>
      <c r="V323">
        <f t="shared" si="35"/>
        <v>14</v>
      </c>
    </row>
    <row r="324" spans="1:22" x14ac:dyDescent="0.3">
      <c r="A324">
        <f>'Emissions Factors'!A326</f>
        <v>0</v>
      </c>
      <c r="B324">
        <f>'Emissions Factors'!B326</f>
        <v>0</v>
      </c>
      <c r="C324">
        <f>'Emissions Factors'!C326</f>
        <v>0</v>
      </c>
      <c r="D324" t="str">
        <f>'Emissions Factors'!D326</f>
        <v>Car (average)</v>
      </c>
      <c r="G324" t="str">
        <f t="shared" si="30"/>
        <v>Business and employee transport</v>
      </c>
      <c r="H324" t="str">
        <f t="shared" si="31"/>
        <v>Other transport</v>
      </c>
      <c r="I324" t="str">
        <f t="shared" si="32"/>
        <v>Car (average)</v>
      </c>
      <c r="J324" t="str">
        <f t="shared" si="33"/>
        <v>Other transportCar (average)</v>
      </c>
      <c r="K324" t="str">
        <f>IF('Emissions Factors'!E326="","",'Emissions Factors'!E326)</f>
        <v>km</v>
      </c>
      <c r="L324" t="str">
        <f>IF('Emissions Factors'!F326="","",'Emissions Factors'!F326)</f>
        <v>Transport</v>
      </c>
      <c r="M324">
        <f>IF('Emissions Factors'!G326="","",'Emissions Factors'!G326)</f>
        <v>0.21129999999999999</v>
      </c>
      <c r="N324" t="str">
        <f>IF('Emissions Factors'!H326="","",'Emissions Factors'!H326)</f>
        <v>kgCO2e/km</v>
      </c>
      <c r="O324">
        <f>IF('[1]Emissions Factors'!I325="","",'[1]Emissions Factors'!I325)</f>
        <v>1E-3</v>
      </c>
      <c r="P324" t="str">
        <f>IF('Emissions Factors'!J326="",'Emissions Factors'!F326,'Emissions Factors'!J326)</f>
        <v>Carbon factor taken directly from Government Carbon Factors 2024: Business Travel &gt; Cars &gt; Average Unknown. Includes all well to tank emissions:  WTT - passenger vehicles and freight &gt; Average Unknown.</v>
      </c>
      <c r="R324">
        <v>0</v>
      </c>
      <c r="U324">
        <f t="shared" si="34"/>
        <v>15</v>
      </c>
      <c r="V324">
        <f t="shared" si="35"/>
        <v>13</v>
      </c>
    </row>
    <row r="325" spans="1:22" x14ac:dyDescent="0.3">
      <c r="A325">
        <f>'Emissions Factors'!A327</f>
        <v>0</v>
      </c>
      <c r="B325">
        <f>'Emissions Factors'!B327</f>
        <v>0</v>
      </c>
      <c r="C325">
        <f>'Emissions Factors'!C327</f>
        <v>0</v>
      </c>
      <c r="D325" t="str">
        <f>'Emissions Factors'!D327</f>
        <v>Car (electric)</v>
      </c>
      <c r="G325" t="str">
        <f t="shared" ref="G325:G372" si="36">IF(B325=0,G324,B325)</f>
        <v>Business and employee transport</v>
      </c>
      <c r="H325" t="str">
        <f t="shared" ref="H325:H372" si="37">IF(C325=0,H324,C325)</f>
        <v>Other transport</v>
      </c>
      <c r="I325" t="str">
        <f t="shared" ref="I325:I372" si="38">IF(D325=0,I324,D325)</f>
        <v>Car (electric)</v>
      </c>
      <c r="J325" t="str">
        <f t="shared" ref="J325:J372" si="39">H325&amp;I325</f>
        <v>Other transportCar (electric)</v>
      </c>
      <c r="K325" t="str">
        <f>IF('Emissions Factors'!E327="","",'Emissions Factors'!E327)</f>
        <v>km</v>
      </c>
      <c r="L325" t="str">
        <f>IF('Emissions Factors'!F327="","",'Emissions Factors'!F327)</f>
        <v>Transport</v>
      </c>
      <c r="M325">
        <f>IF('Emissions Factors'!G327="","",'Emissions Factors'!G327)</f>
        <v>0.10538</v>
      </c>
      <c r="N325" t="str">
        <f>IF('Emissions Factors'!H327="","",'Emissions Factors'!H327)</f>
        <v>kgCO2e/km</v>
      </c>
      <c r="O325">
        <f>IF('[1]Emissions Factors'!I326="","",'[1]Emissions Factors'!I326)</f>
        <v>1E-3</v>
      </c>
      <c r="P325" t="str">
        <f>IF('Emissions Factors'!J327="",'Emissions Factors'!F327,'Emissions Factors'!J327)</f>
        <v>Carbon factor taken directly from Government Carbon Factors 2024: Business Travel &gt; Cars &gt; Average Battery Electric. Includes all well to tank emissions:  WTT - passenger vehicles and freight &gt; Average Battery Electric. Includes UK electricity for EVs and transmission and distribution losses.</v>
      </c>
      <c r="R325">
        <v>0</v>
      </c>
      <c r="U325">
        <f t="shared" ref="U325:U372" si="40">LEN(H325)</f>
        <v>15</v>
      </c>
      <c r="V325">
        <f t="shared" ref="V325:V372" si="41">LEN(I325)</f>
        <v>14</v>
      </c>
    </row>
    <row r="326" spans="1:22" x14ac:dyDescent="0.3">
      <c r="A326">
        <f>'Emissions Factors'!A328</f>
        <v>0</v>
      </c>
      <c r="B326">
        <f>'Emissions Factors'!B328</f>
        <v>0</v>
      </c>
      <c r="C326">
        <f>'Emissions Factors'!C328</f>
        <v>0</v>
      </c>
      <c r="D326" t="str">
        <f>'Emissions Factors'!D328</f>
        <v>Car (plug in hybrid electric)</v>
      </c>
      <c r="G326" t="str">
        <f t="shared" si="36"/>
        <v>Business and employee transport</v>
      </c>
      <c r="H326" t="str">
        <f t="shared" si="37"/>
        <v>Other transport</v>
      </c>
      <c r="I326" t="str">
        <f t="shared" si="38"/>
        <v>Car (plug in hybrid electric)</v>
      </c>
      <c r="J326" t="str">
        <f t="shared" si="39"/>
        <v>Other transportCar (plug in hybrid electric)</v>
      </c>
      <c r="K326" t="str">
        <f>IF('Emissions Factors'!E328="","",'Emissions Factors'!E328)</f>
        <v>km</v>
      </c>
      <c r="L326" t="str">
        <f>IF('Emissions Factors'!F328="","",'Emissions Factors'!F328)</f>
        <v>Transport</v>
      </c>
      <c r="M326">
        <f>IF('Emissions Factors'!G328="","",'Emissions Factors'!G328)</f>
        <v>0.15279000000000001</v>
      </c>
      <c r="N326" t="str">
        <f>IF('Emissions Factors'!H328="","",'Emissions Factors'!H328)</f>
        <v>kgCO2e/km</v>
      </c>
      <c r="O326">
        <f>IF('[1]Emissions Factors'!I327="","",'[1]Emissions Factors'!I327)</f>
        <v>1E-3</v>
      </c>
      <c r="P326" t="str">
        <f>IF('Emissions Factors'!J328="",'Emissions Factors'!F328,'Emissions Factors'!J328)</f>
        <v>Carbon factor taken directly from Government Carbon Factors 2024: Business Travel &gt; Cars &gt; Plug-in Hybrid Electric Vehicle. Includes all well to tank emissions:  WTT - passenger vehicles and freight &gt;Plug-in Hybrid Electric Vehicle. Includes UK electricity for EVs and transmission and distribution losses.</v>
      </c>
      <c r="R326">
        <v>0</v>
      </c>
      <c r="U326">
        <f t="shared" si="40"/>
        <v>15</v>
      </c>
      <c r="V326">
        <f t="shared" si="41"/>
        <v>29</v>
      </c>
    </row>
    <row r="327" spans="1:22" x14ac:dyDescent="0.3">
      <c r="A327">
        <f>'Emissions Factors'!A329</f>
        <v>0</v>
      </c>
      <c r="B327">
        <f>'Emissions Factors'!B329</f>
        <v>0</v>
      </c>
      <c r="C327">
        <f>'Emissions Factors'!C329</f>
        <v>0</v>
      </c>
      <c r="D327" t="str">
        <f>'Emissions Factors'!D329</f>
        <v>Car (hybrid)</v>
      </c>
      <c r="G327" t="str">
        <f t="shared" si="36"/>
        <v>Business and employee transport</v>
      </c>
      <c r="H327" t="str">
        <f t="shared" si="37"/>
        <v>Other transport</v>
      </c>
      <c r="I327" t="str">
        <f t="shared" si="38"/>
        <v>Car (hybrid)</v>
      </c>
      <c r="J327" t="str">
        <f t="shared" si="39"/>
        <v>Other transportCar (hybrid)</v>
      </c>
      <c r="K327" t="str">
        <f>IF('Emissions Factors'!E329="","",'Emissions Factors'!E329)</f>
        <v>km</v>
      </c>
      <c r="L327" t="str">
        <f>IF('Emissions Factors'!F329="","",'Emissions Factors'!F329)</f>
        <v>Transport</v>
      </c>
      <c r="M327">
        <f>IF('Emissions Factors'!G329="","",'Emissions Factors'!G329)</f>
        <v>0.15921999999999997</v>
      </c>
      <c r="N327" t="str">
        <f>IF('Emissions Factors'!H329="","",'Emissions Factors'!H329)</f>
        <v>kgCO2e/km</v>
      </c>
      <c r="O327">
        <f>IF('[1]Emissions Factors'!I328="","",'[1]Emissions Factors'!I328)</f>
        <v>1E-3</v>
      </c>
      <c r="P327" t="str">
        <f>IF('Emissions Factors'!J329="",'Emissions Factors'!F329,'Emissions Factors'!J329)</f>
        <v>Carbon factor taken directly from Government Carbon Factors 2024: Business Travel &gt; Cars &gt; Hybrid. Includes all well to tank emissions:  WTT - passenger vehicles and freight &gt; Hybrid.</v>
      </c>
      <c r="R327">
        <v>0</v>
      </c>
      <c r="U327">
        <f t="shared" si="40"/>
        <v>15</v>
      </c>
      <c r="V327">
        <f t="shared" si="41"/>
        <v>12</v>
      </c>
    </row>
    <row r="328" spans="1:22" x14ac:dyDescent="0.3">
      <c r="A328">
        <f>'Emissions Factors'!A330</f>
        <v>0</v>
      </c>
      <c r="B328" t="str">
        <f>'Emissions Factors'!B330</f>
        <v>Waste</v>
      </c>
      <c r="C328" t="str">
        <f>'Emissions Factors'!C330</f>
        <v>Mixed construction &amp; demolition waste</v>
      </c>
      <c r="D328" t="str">
        <f>'Emissions Factors'!D330</f>
        <v>Recycled</v>
      </c>
      <c r="G328" t="str">
        <f t="shared" si="36"/>
        <v>Waste</v>
      </c>
      <c r="H328" t="str">
        <f t="shared" si="37"/>
        <v>Mixed construction &amp; demolition waste</v>
      </c>
      <c r="I328" t="str">
        <f t="shared" si="38"/>
        <v>Recycled</v>
      </c>
      <c r="J328" t="str">
        <f t="shared" si="39"/>
        <v>Mixed construction &amp; demolition wasteRecycled</v>
      </c>
      <c r="K328" t="str">
        <f>IF('Emissions Factors'!E330="","",'Emissions Factors'!E330)</f>
        <v>tonnes</v>
      </c>
      <c r="L328" t="str">
        <f>IF('Emissions Factors'!F330="","",'Emissions Factors'!F330)</f>
        <v>Waste</v>
      </c>
      <c r="M328">
        <f>IF('Emissions Factors'!G330="","",'Emissions Factors'!G330)</f>
        <v>9.8485E-4</v>
      </c>
      <c r="N328" t="str">
        <f>IF('Emissions Factors'!H330="","",'Emissions Factors'!H330)</f>
        <v>tCO2e/t</v>
      </c>
      <c r="O328">
        <f>IF('[1]Emissions Factors'!I329="","",'[1]Emissions Factors'!I329)</f>
        <v>1</v>
      </c>
      <c r="P328" t="str">
        <f>IF('Emissions Factors'!J330="",'Emissions Factors'!F330,'Emissions Factors'!J330)</f>
        <v>Carbon factor taken directly from Government Carbon Factors 2024: Waste disposal &gt; Average Construction</v>
      </c>
      <c r="R328">
        <v>1</v>
      </c>
      <c r="U328">
        <f t="shared" si="40"/>
        <v>37</v>
      </c>
      <c r="V328">
        <f t="shared" si="41"/>
        <v>8</v>
      </c>
    </row>
    <row r="329" spans="1:22" x14ac:dyDescent="0.3">
      <c r="A329">
        <f>'Emissions Factors'!A331</f>
        <v>0</v>
      </c>
      <c r="B329">
        <f>'Emissions Factors'!B331</f>
        <v>0</v>
      </c>
      <c r="C329">
        <f>'Emissions Factors'!C331</f>
        <v>0</v>
      </c>
      <c r="D329" t="str">
        <f>'Emissions Factors'!D331</f>
        <v>Incineration (with energy recovery)</v>
      </c>
      <c r="G329" t="str">
        <f t="shared" si="36"/>
        <v>Waste</v>
      </c>
      <c r="H329" t="str">
        <f t="shared" si="37"/>
        <v>Mixed construction &amp; demolition waste</v>
      </c>
      <c r="I329" t="str">
        <f t="shared" si="38"/>
        <v>Incineration (with energy recovery)</v>
      </c>
      <c r="J329" t="str">
        <f t="shared" si="39"/>
        <v>Mixed construction &amp; demolition wasteIncineration (with energy recovery)</v>
      </c>
      <c r="K329" t="str">
        <f>IF('Emissions Factors'!E331="","",'Emissions Factors'!E331)</f>
        <v>tonnes</v>
      </c>
      <c r="L329" t="str">
        <f>IF('Emissions Factors'!F331="","",'Emissions Factors'!F331)</f>
        <v>Waste</v>
      </c>
      <c r="M329">
        <f>IF('Emissions Factors'!G331="","",'Emissions Factors'!G331)</f>
        <v>6.4106099999999997E-3</v>
      </c>
      <c r="N329" t="str">
        <f>IF('Emissions Factors'!H331="","",'Emissions Factors'!H331)</f>
        <v>tCO2e/t</v>
      </c>
      <c r="O329">
        <f>IF('[1]Emissions Factors'!I330="","",'[1]Emissions Factors'!I330)</f>
        <v>1</v>
      </c>
      <c r="P329" t="str">
        <f>IF('Emissions Factors'!J331="",'Emissions Factors'!F331,'Emissions Factors'!J331)</f>
        <v>Carbon factor taken directly from Government Carbon Factors 2024: Waste disposal &gt; Average of all construction wastes</v>
      </c>
      <c r="R329">
        <v>1</v>
      </c>
      <c r="U329">
        <f t="shared" si="40"/>
        <v>37</v>
      </c>
      <c r="V329">
        <f t="shared" si="41"/>
        <v>35</v>
      </c>
    </row>
    <row r="330" spans="1:22" x14ac:dyDescent="0.3">
      <c r="A330">
        <f>'Emissions Factors'!A332</f>
        <v>0</v>
      </c>
      <c r="B330">
        <f>'Emissions Factors'!B332</f>
        <v>0</v>
      </c>
      <c r="C330">
        <f>'Emissions Factors'!C332</f>
        <v>0</v>
      </c>
      <c r="D330" t="str">
        <f>'Emissions Factors'!D332</f>
        <v>Landfill</v>
      </c>
      <c r="G330" t="str">
        <f t="shared" si="36"/>
        <v>Waste</v>
      </c>
      <c r="H330" t="str">
        <f t="shared" si="37"/>
        <v>Mixed construction &amp; demolition waste</v>
      </c>
      <c r="I330" t="str">
        <f t="shared" si="38"/>
        <v>Landfill</v>
      </c>
      <c r="J330" t="str">
        <f t="shared" si="39"/>
        <v>Mixed construction &amp; demolition wasteLandfill</v>
      </c>
      <c r="K330" t="str">
        <f>IF('Emissions Factors'!E332="","",'Emissions Factors'!E332)</f>
        <v>tonnes</v>
      </c>
      <c r="L330" t="str">
        <f>IF('Emissions Factors'!F332="","",'Emissions Factors'!F332)</f>
        <v>Waste</v>
      </c>
      <c r="M330">
        <f>IF('Emissions Factors'!G332="","",'Emissions Factors'!G332)</f>
        <v>0.10300587400000001</v>
      </c>
      <c r="N330" t="str">
        <f>IF('Emissions Factors'!H332="","",'Emissions Factors'!H332)</f>
        <v>tCO2e/t</v>
      </c>
      <c r="O330">
        <f>IF('[1]Emissions Factors'!I331="","",'[1]Emissions Factors'!I331)</f>
        <v>1</v>
      </c>
      <c r="P330" t="str">
        <f>IF('Emissions Factors'!J332="",'Emissions Factors'!F332,'Emissions Factors'!J332)</f>
        <v>Carbon factor taken directly from Government Carbon Factors 2024: Waste disposal &gt; Average of all construction wastes</v>
      </c>
      <c r="R330">
        <v>1</v>
      </c>
      <c r="U330">
        <f t="shared" si="40"/>
        <v>37</v>
      </c>
      <c r="V330">
        <f t="shared" si="41"/>
        <v>8</v>
      </c>
    </row>
    <row r="331" spans="1:22" x14ac:dyDescent="0.3">
      <c r="A331">
        <f>'Emissions Factors'!A333</f>
        <v>0</v>
      </c>
      <c r="B331">
        <f>'Emissions Factors'!B333</f>
        <v>0</v>
      </c>
      <c r="C331" t="str">
        <f>'Emissions Factors'!C333</f>
        <v>General Office Waste</v>
      </c>
      <c r="D331" t="str">
        <f>'Emissions Factors'!D333</f>
        <v>Recycled</v>
      </c>
      <c r="G331" t="str">
        <f t="shared" si="36"/>
        <v>Waste</v>
      </c>
      <c r="H331" t="str">
        <f t="shared" si="37"/>
        <v>General Office Waste</v>
      </c>
      <c r="I331" t="str">
        <f t="shared" si="38"/>
        <v>Recycled</v>
      </c>
      <c r="J331" t="str">
        <f t="shared" si="39"/>
        <v>General Office WasteRecycled</v>
      </c>
      <c r="K331" t="str">
        <f>IF('Emissions Factors'!E333="","",'Emissions Factors'!E333)</f>
        <v>tonnes</v>
      </c>
      <c r="L331" t="str">
        <f>IF('Emissions Factors'!F333="","",'Emissions Factors'!F333)</f>
        <v>Waste</v>
      </c>
      <c r="M331">
        <f>IF('Emissions Factors'!G333="","",'Emissions Factors'!G333)</f>
        <v>6.4106099999999997E-3</v>
      </c>
      <c r="N331" t="str">
        <f>IF('Emissions Factors'!H333="","",'Emissions Factors'!H333)</f>
        <v>tCO2e/t</v>
      </c>
      <c r="O331">
        <f>IF('[1]Emissions Factors'!I332="","",'[1]Emissions Factors'!I332)</f>
        <v>1</v>
      </c>
      <c r="P331" t="str">
        <f>IF('Emissions Factors'!J333="",'Emissions Factors'!F333,'Emissions Factors'!J333)</f>
        <v>Carbon factor taken directly from Government Carbon Factors 2024: Waste disposal &gt; Refuse &gt; Commercial and industrial.</v>
      </c>
      <c r="R331">
        <v>1</v>
      </c>
      <c r="U331">
        <f t="shared" si="40"/>
        <v>20</v>
      </c>
      <c r="V331">
        <f t="shared" si="41"/>
        <v>8</v>
      </c>
    </row>
    <row r="332" spans="1:22" x14ac:dyDescent="0.3">
      <c r="A332">
        <f>'Emissions Factors'!A334</f>
        <v>0</v>
      </c>
      <c r="B332">
        <f>'Emissions Factors'!B334</f>
        <v>0</v>
      </c>
      <c r="C332">
        <f>'Emissions Factors'!C334</f>
        <v>0</v>
      </c>
      <c r="D332" t="str">
        <f>'Emissions Factors'!D334</f>
        <v>Incineration (with energy recovery)</v>
      </c>
      <c r="G332" t="str">
        <f t="shared" si="36"/>
        <v>Waste</v>
      </c>
      <c r="H332" t="str">
        <f t="shared" si="37"/>
        <v>General Office Waste</v>
      </c>
      <c r="I332" t="str">
        <f t="shared" si="38"/>
        <v>Incineration (with energy recovery)</v>
      </c>
      <c r="J332" t="str">
        <f t="shared" si="39"/>
        <v>General Office WasteIncineration (with energy recovery)</v>
      </c>
      <c r="K332" t="str">
        <f>IF('Emissions Factors'!E334="","",'Emissions Factors'!E334)</f>
        <v>tonnes</v>
      </c>
      <c r="L332" t="str">
        <f>IF('Emissions Factors'!F334="","",'Emissions Factors'!F334)</f>
        <v>Waste</v>
      </c>
      <c r="M332">
        <f>IF('Emissions Factors'!G334="","",'Emissions Factors'!G334)</f>
        <v>6.4106099999999997E-3</v>
      </c>
      <c r="N332" t="str">
        <f>IF('Emissions Factors'!H334="","",'Emissions Factors'!H334)</f>
        <v>tCO2e/t</v>
      </c>
      <c r="O332">
        <f>IF('[1]Emissions Factors'!I333="","",'[1]Emissions Factors'!I333)</f>
        <v>1</v>
      </c>
      <c r="P332" t="str">
        <f>IF('Emissions Factors'!J334="",'Emissions Factors'!F334,'Emissions Factors'!J334)</f>
        <v>Carbon factor taken directly from Government Carbon Factors 2024: Waste disposal &gt; Refuse &gt; Commercial and industrial.</v>
      </c>
      <c r="R332">
        <v>1</v>
      </c>
      <c r="U332">
        <f t="shared" si="40"/>
        <v>20</v>
      </c>
      <c r="V332">
        <f t="shared" si="41"/>
        <v>35</v>
      </c>
    </row>
    <row r="333" spans="1:22" x14ac:dyDescent="0.3">
      <c r="A333">
        <f>'Emissions Factors'!A335</f>
        <v>0</v>
      </c>
      <c r="B333">
        <f>'Emissions Factors'!B335</f>
        <v>0</v>
      </c>
      <c r="C333">
        <f>'Emissions Factors'!C335</f>
        <v>0</v>
      </c>
      <c r="D333" t="str">
        <f>'Emissions Factors'!D335</f>
        <v>Landfill</v>
      </c>
      <c r="G333" t="str">
        <f t="shared" si="36"/>
        <v>Waste</v>
      </c>
      <c r="H333" t="str">
        <f t="shared" si="37"/>
        <v>General Office Waste</v>
      </c>
      <c r="I333" t="str">
        <f t="shared" si="38"/>
        <v>Landfill</v>
      </c>
      <c r="J333" t="str">
        <f t="shared" si="39"/>
        <v>General Office WasteLandfill</v>
      </c>
      <c r="K333" t="str">
        <f>IF('Emissions Factors'!E335="","",'Emissions Factors'!E335)</f>
        <v>tonnes</v>
      </c>
      <c r="L333" t="str">
        <f>IF('Emissions Factors'!F335="","",'Emissions Factors'!F335)</f>
        <v>Waste</v>
      </c>
      <c r="M333">
        <f>IF('Emissions Factors'!G335="","",'Emissions Factors'!G335)</f>
        <v>0.52033419999999997</v>
      </c>
      <c r="N333" t="str">
        <f>IF('Emissions Factors'!H335="","",'Emissions Factors'!H335)</f>
        <v>tCO2e/t</v>
      </c>
      <c r="O333">
        <f>IF('[1]Emissions Factors'!I334="","",'[1]Emissions Factors'!I334)</f>
        <v>1</v>
      </c>
      <c r="P333" t="str">
        <f>IF('Emissions Factors'!J335="",'Emissions Factors'!F335,'Emissions Factors'!J335)</f>
        <v>Carbon factor taken directly from Government Carbon Factors 2024: Waste disposal &gt; Refuse &gt; Commercial and industrial.</v>
      </c>
      <c r="R333">
        <v>1</v>
      </c>
      <c r="U333">
        <f t="shared" si="40"/>
        <v>20</v>
      </c>
      <c r="V333">
        <f t="shared" si="41"/>
        <v>8</v>
      </c>
    </row>
    <row r="334" spans="1:22" x14ac:dyDescent="0.3">
      <c r="A334">
        <f>'Emissions Factors'!A336</f>
        <v>0</v>
      </c>
      <c r="B334">
        <f>'Emissions Factors'!B336</f>
        <v>0</v>
      </c>
      <c r="C334" t="str">
        <f>'Emissions Factors'!C336</f>
        <v>Organic waste</v>
      </c>
      <c r="D334" t="str">
        <f>'Emissions Factors'!D336</f>
        <v>Incineration (with energy recovery)</v>
      </c>
      <c r="G334" t="str">
        <f t="shared" si="36"/>
        <v>Waste</v>
      </c>
      <c r="H334" t="str">
        <f t="shared" si="37"/>
        <v>Organic waste</v>
      </c>
      <c r="I334" t="str">
        <f t="shared" si="38"/>
        <v>Incineration (with energy recovery)</v>
      </c>
      <c r="J334" t="str">
        <f t="shared" si="39"/>
        <v>Organic wasteIncineration (with energy recovery)</v>
      </c>
      <c r="K334" t="str">
        <f>IF('Emissions Factors'!E336="","",'Emissions Factors'!E336)</f>
        <v>tonnes</v>
      </c>
      <c r="L334" t="str">
        <f>IF('Emissions Factors'!F336="","",'Emissions Factors'!F336)</f>
        <v>Waste</v>
      </c>
      <c r="M334">
        <f>IF('Emissions Factors'!G336="","",'Emissions Factors'!G336)</f>
        <v>6.4106099999999997E-3</v>
      </c>
      <c r="N334" t="str">
        <f>IF('Emissions Factors'!H336="","",'Emissions Factors'!H336)</f>
        <v>tCO2e/t</v>
      </c>
      <c r="O334">
        <f>IF('[1]Emissions Factors'!I335="","",'[1]Emissions Factors'!I335)</f>
        <v>1</v>
      </c>
      <c r="P334" t="str">
        <f>IF('Emissions Factors'!J336="",'Emissions Factors'!F336,'Emissions Factors'!J336)</f>
        <v>Carbon factor taken directly from Government Carbon Factors 2024: Waste disposal &gt; Organic garden waste &gt; combustion.</v>
      </c>
      <c r="R334">
        <v>1</v>
      </c>
      <c r="U334">
        <f t="shared" si="40"/>
        <v>13</v>
      </c>
      <c r="V334">
        <f t="shared" si="41"/>
        <v>35</v>
      </c>
    </row>
    <row r="335" spans="1:22" x14ac:dyDescent="0.3">
      <c r="A335">
        <f>'Emissions Factors'!A337</f>
        <v>0</v>
      </c>
      <c r="B335">
        <f>'Emissions Factors'!B337</f>
        <v>0</v>
      </c>
      <c r="C335">
        <f>'Emissions Factors'!C337</f>
        <v>0</v>
      </c>
      <c r="D335" t="str">
        <f>'Emissions Factors'!D337</f>
        <v>Composting</v>
      </c>
      <c r="G335" t="str">
        <f t="shared" si="36"/>
        <v>Waste</v>
      </c>
      <c r="H335" t="str">
        <f t="shared" si="37"/>
        <v>Organic waste</v>
      </c>
      <c r="I335" t="str">
        <f t="shared" si="38"/>
        <v>Composting</v>
      </c>
      <c r="J335" t="str">
        <f t="shared" si="39"/>
        <v>Organic wasteComposting</v>
      </c>
      <c r="K335" t="str">
        <f>IF('Emissions Factors'!E337="","",'Emissions Factors'!E337)</f>
        <v>tonnes</v>
      </c>
      <c r="L335" t="str">
        <f>IF('Emissions Factors'!F337="","",'Emissions Factors'!F337)</f>
        <v>Waste</v>
      </c>
      <c r="M335">
        <f>IF('Emissions Factors'!G337="","",'Emissions Factors'!G337)</f>
        <v>8.8838600000000004E-3</v>
      </c>
      <c r="N335" t="str">
        <f>IF('Emissions Factors'!H337="","",'Emissions Factors'!H337)</f>
        <v>tCO2e/t</v>
      </c>
      <c r="O335">
        <f>IF('[1]Emissions Factors'!I336="","",'[1]Emissions Factors'!I336)</f>
        <v>1</v>
      </c>
      <c r="P335" t="str">
        <f>IF('Emissions Factors'!J337="",'Emissions Factors'!F337,'Emissions Factors'!J337)</f>
        <v>Carbon factor taken directly from Government Carbon Factors 2024: Waste disposal &gt; Organic garden waste &gt; composting.</v>
      </c>
      <c r="R335">
        <v>1</v>
      </c>
      <c r="U335">
        <f t="shared" si="40"/>
        <v>13</v>
      </c>
      <c r="V335">
        <f t="shared" si="41"/>
        <v>10</v>
      </c>
    </row>
    <row r="336" spans="1:22" x14ac:dyDescent="0.3">
      <c r="A336">
        <f>'Emissions Factors'!A338</f>
        <v>0</v>
      </c>
      <c r="B336">
        <f>'Emissions Factors'!B338</f>
        <v>0</v>
      </c>
      <c r="C336">
        <f>'Emissions Factors'!C338</f>
        <v>0</v>
      </c>
      <c r="D336" t="str">
        <f>'Emissions Factors'!D338</f>
        <v>Landfill</v>
      </c>
      <c r="G336" t="str">
        <f t="shared" si="36"/>
        <v>Waste</v>
      </c>
      <c r="H336" t="str">
        <f t="shared" si="37"/>
        <v>Organic waste</v>
      </c>
      <c r="I336" t="str">
        <f t="shared" si="38"/>
        <v>Landfill</v>
      </c>
      <c r="J336" t="str">
        <f t="shared" si="39"/>
        <v>Organic wasteLandfill</v>
      </c>
      <c r="K336" t="str">
        <f>IF('Emissions Factors'!E338="","",'Emissions Factors'!E338)</f>
        <v>tonnes</v>
      </c>
      <c r="L336" t="str">
        <f>IF('Emissions Factors'!F338="","",'Emissions Factors'!F338)</f>
        <v>Waste</v>
      </c>
      <c r="M336">
        <f>IF('Emissions Factors'!G338="","",'Emissions Factors'!G338)</f>
        <v>0.64660631999999996</v>
      </c>
      <c r="N336" t="str">
        <f>IF('Emissions Factors'!H338="","",'Emissions Factors'!H338)</f>
        <v>tCO2e/t</v>
      </c>
      <c r="O336">
        <f>IF('[1]Emissions Factors'!I337="","",'[1]Emissions Factors'!I337)</f>
        <v>1</v>
      </c>
      <c r="P336" t="str">
        <f>IF('Emissions Factors'!J338="",'Emissions Factors'!F338,'Emissions Factors'!J338)</f>
        <v>Carbon factor taken directly from Government Carbon Factors 2024: Waste disposal &gt; Organic garden waste &gt; Landfill.</v>
      </c>
      <c r="R336">
        <v>1</v>
      </c>
      <c r="U336">
        <f t="shared" si="40"/>
        <v>13</v>
      </c>
      <c r="V336">
        <f t="shared" si="41"/>
        <v>8</v>
      </c>
    </row>
    <row r="337" spans="1:22" x14ac:dyDescent="0.3">
      <c r="A337">
        <f>'Emissions Factors'!A339</f>
        <v>0</v>
      </c>
      <c r="B337">
        <f>'Emissions Factors'!B339</f>
        <v>0</v>
      </c>
      <c r="C337" t="str">
        <f>'Emissions Factors'!C339</f>
        <v xml:space="preserve">Plastic </v>
      </c>
      <c r="D337" t="str">
        <f>'Emissions Factors'!D339</f>
        <v>Recycled</v>
      </c>
      <c r="G337" t="str">
        <f t="shared" si="36"/>
        <v>Waste</v>
      </c>
      <c r="H337" t="str">
        <f t="shared" si="37"/>
        <v xml:space="preserve">Plastic </v>
      </c>
      <c r="I337" t="str">
        <f t="shared" si="38"/>
        <v>Recycled</v>
      </c>
      <c r="J337" t="str">
        <f t="shared" si="39"/>
        <v>Plastic Recycled</v>
      </c>
      <c r="K337" t="str">
        <f>IF('Emissions Factors'!E339="","",'Emissions Factors'!E339)</f>
        <v>tonnes</v>
      </c>
      <c r="L337" t="str">
        <f>IF('Emissions Factors'!F339="","",'Emissions Factors'!F339)</f>
        <v>Waste</v>
      </c>
      <c r="M337">
        <f>IF('Emissions Factors'!G339="","",'Emissions Factors'!G339)</f>
        <v>6.4106099999999997E-3</v>
      </c>
      <c r="N337" t="str">
        <f>IF('Emissions Factors'!H339="","",'Emissions Factors'!H339)</f>
        <v>tCO2e/t</v>
      </c>
      <c r="O337">
        <f>IF('[1]Emissions Factors'!I338="","",'[1]Emissions Factors'!I338)</f>
        <v>1</v>
      </c>
      <c r="P337" t="str">
        <f>IF('Emissions Factors'!J339="",'Emissions Factors'!F339,'Emissions Factors'!J339)</f>
        <v>Carbon factor taken directly from Government Carbon Factors 2024. Waste disposal &gt; Plastic &gt; Average plastic</v>
      </c>
      <c r="R337">
        <v>1</v>
      </c>
      <c r="U337">
        <f t="shared" si="40"/>
        <v>8</v>
      </c>
      <c r="V337">
        <f t="shared" si="41"/>
        <v>8</v>
      </c>
    </row>
    <row r="338" spans="1:22" x14ac:dyDescent="0.3">
      <c r="A338">
        <f>'Emissions Factors'!A340</f>
        <v>0</v>
      </c>
      <c r="B338">
        <f>'Emissions Factors'!B340</f>
        <v>0</v>
      </c>
      <c r="C338">
        <f>'Emissions Factors'!C340</f>
        <v>0</v>
      </c>
      <c r="D338" t="str">
        <f>'Emissions Factors'!D340</f>
        <v>Incineration (with energy recovery)</v>
      </c>
      <c r="G338" t="str">
        <f t="shared" si="36"/>
        <v>Waste</v>
      </c>
      <c r="H338" t="str">
        <f t="shared" si="37"/>
        <v xml:space="preserve">Plastic </v>
      </c>
      <c r="I338" t="str">
        <f t="shared" si="38"/>
        <v>Incineration (with energy recovery)</v>
      </c>
      <c r="J338" t="str">
        <f t="shared" si="39"/>
        <v>Plastic Incineration (with energy recovery)</v>
      </c>
      <c r="K338" t="str">
        <f>IF('Emissions Factors'!E340="","",'Emissions Factors'!E340)</f>
        <v>tonnes</v>
      </c>
      <c r="L338" t="str">
        <f>IF('Emissions Factors'!F340="","",'Emissions Factors'!F340)</f>
        <v>Waste</v>
      </c>
      <c r="M338">
        <f>IF('Emissions Factors'!G340="","",'Emissions Factors'!G340)</f>
        <v>6.4106099999999997E-3</v>
      </c>
      <c r="N338" t="str">
        <f>IF('Emissions Factors'!H340="","",'Emissions Factors'!H340)</f>
        <v>tCO2e/t</v>
      </c>
      <c r="O338">
        <f>IF('[1]Emissions Factors'!I339="","",'[1]Emissions Factors'!I339)</f>
        <v>1</v>
      </c>
      <c r="P338" t="str">
        <f>IF('Emissions Factors'!J340="",'Emissions Factors'!F340,'Emissions Factors'!J340)</f>
        <v>Carbon factor taken directly from Government Carbon Factors 2024. Waste disposal &gt; Plastic &gt; Average plastic</v>
      </c>
      <c r="R338">
        <v>1</v>
      </c>
      <c r="U338">
        <f t="shared" si="40"/>
        <v>8</v>
      </c>
      <c r="V338">
        <f t="shared" si="41"/>
        <v>35</v>
      </c>
    </row>
    <row r="339" spans="1:22" x14ac:dyDescent="0.3">
      <c r="A339">
        <f>'Emissions Factors'!A341</f>
        <v>0</v>
      </c>
      <c r="B339">
        <f>'Emissions Factors'!B341</f>
        <v>0</v>
      </c>
      <c r="C339">
        <f>'Emissions Factors'!C341</f>
        <v>0</v>
      </c>
      <c r="D339" t="str">
        <f>'Emissions Factors'!D341</f>
        <v>Landfill</v>
      </c>
      <c r="G339" t="str">
        <f t="shared" si="36"/>
        <v>Waste</v>
      </c>
      <c r="H339" t="str">
        <f t="shared" si="37"/>
        <v xml:space="preserve">Plastic </v>
      </c>
      <c r="I339" t="str">
        <f t="shared" si="38"/>
        <v>Landfill</v>
      </c>
      <c r="J339" t="str">
        <f t="shared" si="39"/>
        <v>Plastic Landfill</v>
      </c>
      <c r="K339" t="str">
        <f>IF('Emissions Factors'!E341="","",'Emissions Factors'!E341)</f>
        <v>tonnes</v>
      </c>
      <c r="L339" t="str">
        <f>IF('Emissions Factors'!F341="","",'Emissions Factors'!F341)</f>
        <v>Waste</v>
      </c>
      <c r="M339">
        <f>IF('Emissions Factors'!G341="","",'Emissions Factors'!G341)</f>
        <v>8.8838600000000004E-3</v>
      </c>
      <c r="N339" t="str">
        <f>IF('Emissions Factors'!H341="","",'Emissions Factors'!H341)</f>
        <v>tCO2e/t</v>
      </c>
      <c r="O339">
        <f>IF('[1]Emissions Factors'!I340="","",'[1]Emissions Factors'!I340)</f>
        <v>1</v>
      </c>
      <c r="P339" t="str">
        <f>IF('Emissions Factors'!J341="",'Emissions Factors'!F341,'Emissions Factors'!J341)</f>
        <v>Carbon factor taken directly from Government Carbon Factors 2024. Waste disposal &gt; Plastic &gt; Average plastic</v>
      </c>
      <c r="R339">
        <v>1</v>
      </c>
      <c r="U339">
        <f t="shared" si="40"/>
        <v>8</v>
      </c>
      <c r="V339">
        <f t="shared" si="41"/>
        <v>8</v>
      </c>
    </row>
    <row r="340" spans="1:22" x14ac:dyDescent="0.3">
      <c r="A340">
        <f>'Emissions Factors'!A342</f>
        <v>0</v>
      </c>
      <c r="B340">
        <f>'Emissions Factors'!B342</f>
        <v>0</v>
      </c>
      <c r="C340" t="str">
        <f>'Emissions Factors'!C342</f>
        <v>Glass</v>
      </c>
      <c r="D340" t="str">
        <f>'Emissions Factors'!D342</f>
        <v>Recycled</v>
      </c>
      <c r="G340" t="str">
        <f t="shared" si="36"/>
        <v>Waste</v>
      </c>
      <c r="H340" t="str">
        <f t="shared" si="37"/>
        <v>Glass</v>
      </c>
      <c r="I340" t="str">
        <f t="shared" si="38"/>
        <v>Recycled</v>
      </c>
      <c r="J340" t="str">
        <f t="shared" si="39"/>
        <v>GlassRecycled</v>
      </c>
      <c r="K340" t="str">
        <f>IF('Emissions Factors'!E342="","",'Emissions Factors'!E342)</f>
        <v>tonnes</v>
      </c>
      <c r="L340" t="str">
        <f>IF('Emissions Factors'!F342="","",'Emissions Factors'!F342)</f>
        <v>Waste</v>
      </c>
      <c r="M340">
        <f>IF('Emissions Factors'!G342="","",'Emissions Factors'!G342)</f>
        <v>6.4106099999999997E-3</v>
      </c>
      <c r="N340" t="str">
        <f>IF('Emissions Factors'!H342="","",'Emissions Factors'!H342)</f>
        <v>tCO2e/t</v>
      </c>
      <c r="O340">
        <f>IF('[1]Emissions Factors'!I341="","",'[1]Emissions Factors'!I341)</f>
        <v>1</v>
      </c>
      <c r="P340" t="str">
        <f>IF('Emissions Factors'!J342="",'Emissions Factors'!F342,'Emissions Factors'!J342)</f>
        <v>Carbon factor taken directly from Government Carbon Factors 2024. Waste disposal &gt; Other &gt; Glass</v>
      </c>
      <c r="R340">
        <v>1</v>
      </c>
      <c r="U340">
        <f t="shared" si="40"/>
        <v>5</v>
      </c>
      <c r="V340">
        <f t="shared" si="41"/>
        <v>8</v>
      </c>
    </row>
    <row r="341" spans="1:22" x14ac:dyDescent="0.3">
      <c r="A341">
        <f>'Emissions Factors'!A343</f>
        <v>0</v>
      </c>
      <c r="B341">
        <f>'Emissions Factors'!B343</f>
        <v>0</v>
      </c>
      <c r="C341">
        <f>'Emissions Factors'!C343</f>
        <v>0</v>
      </c>
      <c r="D341" t="str">
        <f>'Emissions Factors'!D343</f>
        <v>Incineration (with energy recovery)</v>
      </c>
      <c r="G341" t="str">
        <f t="shared" si="36"/>
        <v>Waste</v>
      </c>
      <c r="H341" t="str">
        <f t="shared" si="37"/>
        <v>Glass</v>
      </c>
      <c r="I341" t="str">
        <f t="shared" si="38"/>
        <v>Incineration (with energy recovery)</v>
      </c>
      <c r="J341" t="str">
        <f t="shared" si="39"/>
        <v>GlassIncineration (with energy recovery)</v>
      </c>
      <c r="K341" t="str">
        <f>IF('Emissions Factors'!E343="","",'Emissions Factors'!E343)</f>
        <v>tonnes</v>
      </c>
      <c r="L341" t="str">
        <f>IF('Emissions Factors'!F343="","",'Emissions Factors'!F343)</f>
        <v>Waste</v>
      </c>
      <c r="M341">
        <f>IF('Emissions Factors'!G343="","",'Emissions Factors'!G343)</f>
        <v>6.4106099999999997E-3</v>
      </c>
      <c r="N341" t="str">
        <f>IF('Emissions Factors'!H343="","",'Emissions Factors'!H343)</f>
        <v>tCO2e/t</v>
      </c>
      <c r="O341">
        <f>IF('[1]Emissions Factors'!I342="","",'[1]Emissions Factors'!I342)</f>
        <v>1</v>
      </c>
      <c r="P341" t="str">
        <f>IF('Emissions Factors'!J343="",'Emissions Factors'!F343,'Emissions Factors'!J343)</f>
        <v>Carbon factor taken directly from Government Carbon Factors 2024. Waste disposal &gt; Other &gt; Glass</v>
      </c>
      <c r="R341">
        <v>1</v>
      </c>
      <c r="U341">
        <f t="shared" si="40"/>
        <v>5</v>
      </c>
      <c r="V341">
        <f t="shared" si="41"/>
        <v>35</v>
      </c>
    </row>
    <row r="342" spans="1:22" x14ac:dyDescent="0.3">
      <c r="A342">
        <f>'Emissions Factors'!A344</f>
        <v>0</v>
      </c>
      <c r="B342">
        <f>'Emissions Factors'!B344</f>
        <v>0</v>
      </c>
      <c r="C342">
        <f>'Emissions Factors'!C344</f>
        <v>0</v>
      </c>
      <c r="D342" t="str">
        <f>'Emissions Factors'!D344</f>
        <v>Landfill</v>
      </c>
      <c r="G342" t="str">
        <f t="shared" si="36"/>
        <v>Waste</v>
      </c>
      <c r="H342" t="str">
        <f t="shared" si="37"/>
        <v>Glass</v>
      </c>
      <c r="I342" t="str">
        <f t="shared" si="38"/>
        <v>Landfill</v>
      </c>
      <c r="J342" t="str">
        <f t="shared" si="39"/>
        <v>GlassLandfill</v>
      </c>
      <c r="K342" t="str">
        <f>IF('Emissions Factors'!E344="","",'Emissions Factors'!E344)</f>
        <v>tonnes</v>
      </c>
      <c r="L342" t="str">
        <f>IF('Emissions Factors'!F344="","",'Emissions Factors'!F344)</f>
        <v>Waste</v>
      </c>
      <c r="M342">
        <f>IF('Emissions Factors'!G344="","",'Emissions Factors'!G344)</f>
        <v>8.8838600000000004E-3</v>
      </c>
      <c r="N342" t="str">
        <f>IF('Emissions Factors'!H344="","",'Emissions Factors'!H344)</f>
        <v>tCO2e/t</v>
      </c>
      <c r="O342">
        <f>IF('[1]Emissions Factors'!I343="","",'[1]Emissions Factors'!I343)</f>
        <v>1</v>
      </c>
      <c r="P342" t="str">
        <f>IF('Emissions Factors'!J344="",'Emissions Factors'!F344,'Emissions Factors'!J344)</f>
        <v>Carbon factor taken directly from Government Carbon Factors 2024. Waste disposal &gt; Other &gt; Glass</v>
      </c>
      <c r="R342">
        <v>1</v>
      </c>
      <c r="U342">
        <f t="shared" si="40"/>
        <v>5</v>
      </c>
      <c r="V342">
        <f t="shared" si="41"/>
        <v>8</v>
      </c>
    </row>
    <row r="343" spans="1:22" x14ac:dyDescent="0.3">
      <c r="A343">
        <f>'Emissions Factors'!A345</f>
        <v>0</v>
      </c>
      <c r="B343">
        <f>'Emissions Factors'!B345</f>
        <v>0</v>
      </c>
      <c r="C343" t="str">
        <f>'Emissions Factors'!C345</f>
        <v>Concrete, brick, tiles and ceramics</v>
      </c>
      <c r="D343" t="str">
        <f>'Emissions Factors'!D345</f>
        <v>Recycled</v>
      </c>
      <c r="G343" t="str">
        <f t="shared" si="36"/>
        <v>Waste</v>
      </c>
      <c r="H343" t="str">
        <f t="shared" si="37"/>
        <v>Concrete, brick, tiles and ceramics</v>
      </c>
      <c r="I343" t="str">
        <f t="shared" si="38"/>
        <v>Recycled</v>
      </c>
      <c r="J343" t="str">
        <f t="shared" si="39"/>
        <v>Concrete, brick, tiles and ceramicsRecycled</v>
      </c>
      <c r="K343" t="str">
        <f>IF('Emissions Factors'!E345="","",'Emissions Factors'!E345)</f>
        <v>tonnes</v>
      </c>
      <c r="L343" t="str">
        <f>IF('Emissions Factors'!F345="","",'Emissions Factors'!F345)</f>
        <v>Waste</v>
      </c>
      <c r="M343">
        <f>IF('Emissions Factors'!G345="","",'Emissions Factors'!G345)</f>
        <v>9.8485E-4</v>
      </c>
      <c r="N343" t="str">
        <f>IF('Emissions Factors'!H345="","",'Emissions Factors'!H345)</f>
        <v>tCO2e/t</v>
      </c>
      <c r="O343">
        <f>IF('[1]Emissions Factors'!I344="","",'[1]Emissions Factors'!I344)</f>
        <v>1</v>
      </c>
      <c r="P343" t="str">
        <f>IF('Emissions Factors'!J345="",'Emissions Factors'!F345,'Emissions Factors'!J345)</f>
        <v>Carbon factor taken directly from Government Carbon Factors 2024. Waste disposal &gt; Construction &gt; Concrete / Brick</v>
      </c>
      <c r="R343">
        <v>1</v>
      </c>
      <c r="U343">
        <f t="shared" si="40"/>
        <v>35</v>
      </c>
      <c r="V343">
        <f t="shared" si="41"/>
        <v>8</v>
      </c>
    </row>
    <row r="344" spans="1:22" x14ac:dyDescent="0.3">
      <c r="A344">
        <f>'Emissions Factors'!A346</f>
        <v>0</v>
      </c>
      <c r="B344">
        <f>'Emissions Factors'!B346</f>
        <v>0</v>
      </c>
      <c r="C344">
        <f>'Emissions Factors'!C346</f>
        <v>0</v>
      </c>
      <c r="D344" t="str">
        <f>'Emissions Factors'!D346</f>
        <v>Reuse off site</v>
      </c>
      <c r="G344" t="str">
        <f t="shared" si="36"/>
        <v>Waste</v>
      </c>
      <c r="H344" t="str">
        <f t="shared" si="37"/>
        <v>Concrete, brick, tiles and ceramics</v>
      </c>
      <c r="I344" t="str">
        <f t="shared" si="38"/>
        <v>Reuse off site</v>
      </c>
      <c r="J344" t="str">
        <f t="shared" si="39"/>
        <v>Concrete, brick, tiles and ceramicsReuse off site</v>
      </c>
      <c r="K344" t="str">
        <f>IF('Emissions Factors'!E346="","",'Emissions Factors'!E346)</f>
        <v>tonnes</v>
      </c>
      <c r="L344" t="str">
        <f>IF('Emissions Factors'!F346="","",'Emissions Factors'!F346)</f>
        <v>Waste</v>
      </c>
      <c r="M344">
        <f>IF('Emissions Factors'!G346="","",'Emissions Factors'!G346)</f>
        <v>0</v>
      </c>
      <c r="N344" t="str">
        <f>IF('Emissions Factors'!H346="","",'Emissions Factors'!H346)</f>
        <v>tCO2e/t</v>
      </c>
      <c r="O344">
        <f>IF('[1]Emissions Factors'!I345="","",'[1]Emissions Factors'!I345)</f>
        <v>1</v>
      </c>
      <c r="P344" t="str">
        <f>IF('Emissions Factors'!J346="",'Emissions Factors'!F346,'Emissions Factors'!J346)</f>
        <v>The carbon emissions factor is zero and no direct carbon emissions will be accounted for. Transport emissions should still be captured.</v>
      </c>
      <c r="R344">
        <v>1</v>
      </c>
      <c r="U344">
        <f t="shared" si="40"/>
        <v>35</v>
      </c>
      <c r="V344">
        <f t="shared" si="41"/>
        <v>14</v>
      </c>
    </row>
    <row r="345" spans="1:22" x14ac:dyDescent="0.3">
      <c r="A345">
        <f>'Emissions Factors'!A347</f>
        <v>0</v>
      </c>
      <c r="B345">
        <f>'Emissions Factors'!B347</f>
        <v>0</v>
      </c>
      <c r="C345">
        <f>'Emissions Factors'!C347</f>
        <v>0</v>
      </c>
      <c r="D345" t="str">
        <f>'Emissions Factors'!D347</f>
        <v>Landfill</v>
      </c>
      <c r="G345" t="str">
        <f t="shared" si="36"/>
        <v>Waste</v>
      </c>
      <c r="H345" t="str">
        <f t="shared" si="37"/>
        <v>Concrete, brick, tiles and ceramics</v>
      </c>
      <c r="I345" t="str">
        <f t="shared" si="38"/>
        <v>Landfill</v>
      </c>
      <c r="J345" t="str">
        <f t="shared" si="39"/>
        <v>Concrete, brick, tiles and ceramicsLandfill</v>
      </c>
      <c r="K345" t="str">
        <f>IF('Emissions Factors'!E347="","",'Emissions Factors'!E347)</f>
        <v>tonnes</v>
      </c>
      <c r="L345" t="str">
        <f>IF('Emissions Factors'!F347="","",'Emissions Factors'!F347)</f>
        <v>Waste</v>
      </c>
      <c r="M345">
        <f>IF('Emissions Factors'!G347="","",'Emissions Factors'!G347)</f>
        <v>1.2339300000000001E-3</v>
      </c>
      <c r="N345" t="str">
        <f>IF('Emissions Factors'!H347="","",'Emissions Factors'!H347)</f>
        <v>tCO2e/t</v>
      </c>
      <c r="O345">
        <f>IF('[1]Emissions Factors'!I346="","",'[1]Emissions Factors'!I346)</f>
        <v>1</v>
      </c>
      <c r="P345" t="str">
        <f>IF('Emissions Factors'!J347="",'Emissions Factors'!F347,'Emissions Factors'!J347)</f>
        <v>Carbon factor taken directly from Government Carbon Factors 2024. Waste disposal &gt; Construction &gt; Concrete / Brick</v>
      </c>
      <c r="R345">
        <v>1</v>
      </c>
      <c r="U345">
        <f t="shared" si="40"/>
        <v>35</v>
      </c>
      <c r="V345">
        <f t="shared" si="41"/>
        <v>8</v>
      </c>
    </row>
    <row r="346" spans="1:22" x14ac:dyDescent="0.3">
      <c r="A346">
        <f>'Emissions Factors'!A348</f>
        <v>0</v>
      </c>
      <c r="B346">
        <f>'Emissions Factors'!B348</f>
        <v>0</v>
      </c>
      <c r="C346" t="str">
        <f>'Emissions Factors'!C348</f>
        <v>Wood/Timber</v>
      </c>
      <c r="D346" t="str">
        <f>'Emissions Factors'!D348</f>
        <v>Recycled</v>
      </c>
      <c r="G346" t="str">
        <f t="shared" si="36"/>
        <v>Waste</v>
      </c>
      <c r="H346" t="str">
        <f t="shared" si="37"/>
        <v>Wood/Timber</v>
      </c>
      <c r="I346" t="str">
        <f t="shared" si="38"/>
        <v>Recycled</v>
      </c>
      <c r="J346" t="str">
        <f t="shared" si="39"/>
        <v>Wood/TimberRecycled</v>
      </c>
      <c r="K346" t="str">
        <f>IF('Emissions Factors'!E348="","",'Emissions Factors'!E348)</f>
        <v>tonnes</v>
      </c>
      <c r="L346" t="str">
        <f>IF('Emissions Factors'!F348="","",'Emissions Factors'!F348)</f>
        <v>Waste</v>
      </c>
      <c r="M346">
        <f>IF('Emissions Factors'!G348="","",'Emissions Factors'!G348)</f>
        <v>6.4106099999999997E-3</v>
      </c>
      <c r="N346" t="str">
        <f>IF('Emissions Factors'!H348="","",'Emissions Factors'!H348)</f>
        <v>tCO2e/t</v>
      </c>
      <c r="O346">
        <f>IF('[1]Emissions Factors'!I347="","",'[1]Emissions Factors'!I347)</f>
        <v>1</v>
      </c>
      <c r="P346" t="str">
        <f>IF('Emissions Factors'!J348="",'Emissions Factors'!F348,'Emissions Factors'!J348)</f>
        <v>Carbon factor taken directly from Government Carbon Factors 2024. Waste disposal &gt; Construction &gt; Wood</v>
      </c>
      <c r="R346">
        <v>1</v>
      </c>
      <c r="U346">
        <f t="shared" si="40"/>
        <v>11</v>
      </c>
      <c r="V346">
        <f t="shared" si="41"/>
        <v>8</v>
      </c>
    </row>
    <row r="347" spans="1:22" x14ac:dyDescent="0.3">
      <c r="A347">
        <f>'Emissions Factors'!A349</f>
        <v>0</v>
      </c>
      <c r="B347">
        <f>'Emissions Factors'!B349</f>
        <v>0</v>
      </c>
      <c r="C347">
        <f>'Emissions Factors'!C349</f>
        <v>0</v>
      </c>
      <c r="D347" t="str">
        <f>'Emissions Factors'!D349</f>
        <v>Reuse off site</v>
      </c>
      <c r="G347" t="str">
        <f t="shared" si="36"/>
        <v>Waste</v>
      </c>
      <c r="H347" t="str">
        <f t="shared" si="37"/>
        <v>Wood/Timber</v>
      </c>
      <c r="I347" t="str">
        <f t="shared" si="38"/>
        <v>Reuse off site</v>
      </c>
      <c r="J347" t="str">
        <f t="shared" si="39"/>
        <v>Wood/TimberReuse off site</v>
      </c>
      <c r="K347" t="str">
        <f>IF('Emissions Factors'!E349="","",'Emissions Factors'!E349)</f>
        <v>tonnes</v>
      </c>
      <c r="L347" t="str">
        <f>IF('Emissions Factors'!F349="","",'Emissions Factors'!F349)</f>
        <v>Waste</v>
      </c>
      <c r="M347">
        <f>IF('Emissions Factors'!G349="","",'Emissions Factors'!G349)</f>
        <v>0</v>
      </c>
      <c r="N347" t="str">
        <f>IF('Emissions Factors'!H349="","",'Emissions Factors'!H349)</f>
        <v>tCO2e/t</v>
      </c>
      <c r="O347">
        <f>IF('[1]Emissions Factors'!I348="","",'[1]Emissions Factors'!I348)</f>
        <v>1</v>
      </c>
      <c r="P347" t="str">
        <f>IF('Emissions Factors'!J349="",'Emissions Factors'!F349,'Emissions Factors'!J349)</f>
        <v>The carbon emissions factor is zero and no direct carbon emissions will be accounted for. Transport emissions should still be captured.</v>
      </c>
      <c r="R347">
        <v>1</v>
      </c>
      <c r="U347">
        <f t="shared" si="40"/>
        <v>11</v>
      </c>
      <c r="V347">
        <f t="shared" si="41"/>
        <v>14</v>
      </c>
    </row>
    <row r="348" spans="1:22" x14ac:dyDescent="0.3">
      <c r="A348">
        <f>'Emissions Factors'!A350</f>
        <v>0</v>
      </c>
      <c r="B348">
        <f>'Emissions Factors'!B350</f>
        <v>0</v>
      </c>
      <c r="C348">
        <f>'Emissions Factors'!C350</f>
        <v>0</v>
      </c>
      <c r="D348" t="str">
        <f>'Emissions Factors'!D350</f>
        <v>Incineration (with energy recovery)</v>
      </c>
      <c r="G348" t="str">
        <f t="shared" si="36"/>
        <v>Waste</v>
      </c>
      <c r="H348" t="str">
        <f t="shared" si="37"/>
        <v>Wood/Timber</v>
      </c>
      <c r="I348" t="str">
        <f t="shared" si="38"/>
        <v>Incineration (with energy recovery)</v>
      </c>
      <c r="J348" t="str">
        <f t="shared" si="39"/>
        <v>Wood/TimberIncineration (with energy recovery)</v>
      </c>
      <c r="K348" t="str">
        <f>IF('Emissions Factors'!E350="","",'Emissions Factors'!E350)</f>
        <v>tonnes</v>
      </c>
      <c r="L348" t="str">
        <f>IF('Emissions Factors'!F350="","",'Emissions Factors'!F350)</f>
        <v>Waste</v>
      </c>
      <c r="M348">
        <f>IF('Emissions Factors'!G350="","",'Emissions Factors'!G350)</f>
        <v>6.4106099999999997E-3</v>
      </c>
      <c r="N348" t="str">
        <f>IF('Emissions Factors'!H350="","",'Emissions Factors'!H350)</f>
        <v>tCO2e/t</v>
      </c>
      <c r="O348">
        <f>IF('[1]Emissions Factors'!I349="","",'[1]Emissions Factors'!I349)</f>
        <v>1</v>
      </c>
      <c r="P348" t="str">
        <f>IF('Emissions Factors'!J350="",'Emissions Factors'!F350,'Emissions Factors'!J350)</f>
        <v>Carbon factor taken directly from Government Carbon Factors 2024. Waste disposal &gt; Construction &gt; Wood</v>
      </c>
      <c r="R348">
        <v>1</v>
      </c>
      <c r="U348">
        <f t="shared" si="40"/>
        <v>11</v>
      </c>
      <c r="V348">
        <f t="shared" si="41"/>
        <v>35</v>
      </c>
    </row>
    <row r="349" spans="1:22" x14ac:dyDescent="0.3">
      <c r="A349">
        <f>'Emissions Factors'!A351</f>
        <v>0</v>
      </c>
      <c r="B349">
        <f>'Emissions Factors'!B351</f>
        <v>0</v>
      </c>
      <c r="C349">
        <f>'Emissions Factors'!C351</f>
        <v>0</v>
      </c>
      <c r="D349" t="str">
        <f>'Emissions Factors'!D351</f>
        <v>Composting</v>
      </c>
      <c r="G349" t="str">
        <f t="shared" si="36"/>
        <v>Waste</v>
      </c>
      <c r="H349" t="str">
        <f t="shared" si="37"/>
        <v>Wood/Timber</v>
      </c>
      <c r="I349" t="str">
        <f t="shared" si="38"/>
        <v>Composting</v>
      </c>
      <c r="J349" t="str">
        <f t="shared" si="39"/>
        <v>Wood/TimberComposting</v>
      </c>
      <c r="K349" t="str">
        <f>IF('Emissions Factors'!E351="","",'Emissions Factors'!E351)</f>
        <v>tonnes</v>
      </c>
      <c r="L349" t="str">
        <f>IF('Emissions Factors'!F351="","",'Emissions Factors'!F351)</f>
        <v>Waste</v>
      </c>
      <c r="M349">
        <f>IF('Emissions Factors'!G351="","",'Emissions Factors'!G351)</f>
        <v>8.8838600000000004E-3</v>
      </c>
      <c r="N349" t="str">
        <f>IF('Emissions Factors'!H351="","",'Emissions Factors'!H351)</f>
        <v>tCO2e/t</v>
      </c>
      <c r="O349">
        <f>IF('[1]Emissions Factors'!I350="","",'[1]Emissions Factors'!I350)</f>
        <v>1</v>
      </c>
      <c r="P349" t="str">
        <f>IF('Emissions Factors'!J351="",'Emissions Factors'!F351,'Emissions Factors'!J351)</f>
        <v>Carbon factor taken directly from Government Carbon Factors 2024. Waste disposal &gt; Construction &gt; Wood</v>
      </c>
      <c r="R349">
        <v>1</v>
      </c>
      <c r="U349">
        <f t="shared" si="40"/>
        <v>11</v>
      </c>
      <c r="V349">
        <f t="shared" si="41"/>
        <v>10</v>
      </c>
    </row>
    <row r="350" spans="1:22" x14ac:dyDescent="0.3">
      <c r="A350">
        <f>'Emissions Factors'!A352</f>
        <v>0</v>
      </c>
      <c r="B350">
        <f>'Emissions Factors'!B352</f>
        <v>0</v>
      </c>
      <c r="C350">
        <f>'Emissions Factors'!C352</f>
        <v>0</v>
      </c>
      <c r="D350" t="str">
        <f>'Emissions Factors'!D352</f>
        <v>Landfill</v>
      </c>
      <c r="G350" t="str">
        <f t="shared" si="36"/>
        <v>Waste</v>
      </c>
      <c r="H350" t="str">
        <f t="shared" si="37"/>
        <v>Wood/Timber</v>
      </c>
      <c r="I350" t="str">
        <f t="shared" si="38"/>
        <v>Landfill</v>
      </c>
      <c r="J350" t="str">
        <f t="shared" si="39"/>
        <v>Wood/TimberLandfill</v>
      </c>
      <c r="K350" t="str">
        <f>IF('Emissions Factors'!E352="","",'Emissions Factors'!E352)</f>
        <v>tonnes</v>
      </c>
      <c r="L350" t="str">
        <f>IF('Emissions Factors'!F352="","",'Emissions Factors'!F352)</f>
        <v>Waste</v>
      </c>
      <c r="M350">
        <f>IF('Emissions Factors'!G352="","",'Emissions Factors'!G352)</f>
        <v>0.92524423</v>
      </c>
      <c r="N350" t="str">
        <f>IF('Emissions Factors'!H352="","",'Emissions Factors'!H352)</f>
        <v>tCO2e/t</v>
      </c>
      <c r="O350">
        <f>IF('[1]Emissions Factors'!I351="","",'[1]Emissions Factors'!I351)</f>
        <v>1</v>
      </c>
      <c r="P350" t="str">
        <f>IF('Emissions Factors'!J352="",'Emissions Factors'!F352,'Emissions Factors'!J352)</f>
        <v>Carbon factor taken directly from Government Carbon Factors 2024. Waste disposal &gt; Construction &gt; Wood</v>
      </c>
      <c r="R350">
        <v>1</v>
      </c>
      <c r="U350">
        <f t="shared" si="40"/>
        <v>11</v>
      </c>
      <c r="V350">
        <f t="shared" si="41"/>
        <v>8</v>
      </c>
    </row>
    <row r="351" spans="1:22" x14ac:dyDescent="0.3">
      <c r="A351">
        <f>'Emissions Factors'!A353</f>
        <v>0</v>
      </c>
      <c r="B351">
        <f>'Emissions Factors'!B353</f>
        <v>0</v>
      </c>
      <c r="C351" t="str">
        <f>'Emissions Factors'!C353</f>
        <v>Bituminous mixtures</v>
      </c>
      <c r="D351" t="str">
        <f>'Emissions Factors'!D353</f>
        <v>Recycled</v>
      </c>
      <c r="G351" t="str">
        <f t="shared" si="36"/>
        <v>Waste</v>
      </c>
      <c r="H351" t="str">
        <f t="shared" si="37"/>
        <v>Bituminous mixtures</v>
      </c>
      <c r="I351" t="str">
        <f t="shared" si="38"/>
        <v>Recycled</v>
      </c>
      <c r="J351" t="str">
        <f t="shared" si="39"/>
        <v>Bituminous mixturesRecycled</v>
      </c>
      <c r="K351" t="str">
        <f>IF('Emissions Factors'!E353="","",'Emissions Factors'!E353)</f>
        <v>tonnes</v>
      </c>
      <c r="L351" t="str">
        <f>IF('Emissions Factors'!F353="","",'Emissions Factors'!F353)</f>
        <v>Waste</v>
      </c>
      <c r="M351">
        <f>IF('Emissions Factors'!G353="","",'Emissions Factors'!G353)</f>
        <v>9.8485E-4</v>
      </c>
      <c r="N351" t="str">
        <f>IF('Emissions Factors'!H353="","",'Emissions Factors'!H353)</f>
        <v>tCO2e/t</v>
      </c>
      <c r="O351">
        <f>IF('[1]Emissions Factors'!I352="","",'[1]Emissions Factors'!I352)</f>
        <v>1</v>
      </c>
      <c r="P351" t="str">
        <f>IF('Emissions Factors'!J353="",'Emissions Factors'!F353,'Emissions Factors'!J353)</f>
        <v>Carbon factor taken directly from Government Carbon Factors 2024. Waste disposal &gt; Construction &gt; Asphalt</v>
      </c>
      <c r="R351">
        <v>1</v>
      </c>
      <c r="U351">
        <f t="shared" si="40"/>
        <v>19</v>
      </c>
      <c r="V351">
        <f t="shared" si="41"/>
        <v>8</v>
      </c>
    </row>
    <row r="352" spans="1:22" x14ac:dyDescent="0.3">
      <c r="A352">
        <f>'Emissions Factors'!A354</f>
        <v>0</v>
      </c>
      <c r="B352">
        <f>'Emissions Factors'!B354</f>
        <v>0</v>
      </c>
      <c r="C352">
        <f>'Emissions Factors'!C354</f>
        <v>0</v>
      </c>
      <c r="D352" t="str">
        <f>'Emissions Factors'!D354</f>
        <v>Reuse off site</v>
      </c>
      <c r="G352" t="str">
        <f t="shared" si="36"/>
        <v>Waste</v>
      </c>
      <c r="H352" t="str">
        <f t="shared" si="37"/>
        <v>Bituminous mixtures</v>
      </c>
      <c r="I352" t="str">
        <f t="shared" si="38"/>
        <v>Reuse off site</v>
      </c>
      <c r="J352" t="str">
        <f t="shared" si="39"/>
        <v>Bituminous mixturesReuse off site</v>
      </c>
      <c r="K352" t="str">
        <f>IF('Emissions Factors'!E354="","",'Emissions Factors'!E354)</f>
        <v>tonnes</v>
      </c>
      <c r="L352" t="str">
        <f>IF('Emissions Factors'!F354="","",'Emissions Factors'!F354)</f>
        <v>Waste</v>
      </c>
      <c r="M352">
        <f>IF('Emissions Factors'!G354="","",'Emissions Factors'!G354)</f>
        <v>0</v>
      </c>
      <c r="N352" t="str">
        <f>IF('Emissions Factors'!H354="","",'Emissions Factors'!H354)</f>
        <v>tCO2e/t</v>
      </c>
      <c r="O352">
        <f>IF('[1]Emissions Factors'!I353="","",'[1]Emissions Factors'!I353)</f>
        <v>1</v>
      </c>
      <c r="P352" t="str">
        <f>IF('Emissions Factors'!J354="",'Emissions Factors'!F354,'Emissions Factors'!J354)</f>
        <v>The carbon emissions factor is zero and no direct carbon emissions will be accounted for. Transport emissions should still be captured.</v>
      </c>
      <c r="R352">
        <v>1</v>
      </c>
      <c r="U352">
        <f t="shared" si="40"/>
        <v>19</v>
      </c>
      <c r="V352">
        <f t="shared" si="41"/>
        <v>14</v>
      </c>
    </row>
    <row r="353" spans="1:22" x14ac:dyDescent="0.3">
      <c r="A353">
        <f>'Emissions Factors'!A355</f>
        <v>0</v>
      </c>
      <c r="B353">
        <f>'Emissions Factors'!B355</f>
        <v>0</v>
      </c>
      <c r="C353">
        <f>'Emissions Factors'!C355</f>
        <v>0</v>
      </c>
      <c r="D353" t="str">
        <f>'Emissions Factors'!D355</f>
        <v>Landfill</v>
      </c>
      <c r="G353" t="str">
        <f t="shared" si="36"/>
        <v>Waste</v>
      </c>
      <c r="H353" t="str">
        <f t="shared" si="37"/>
        <v>Bituminous mixtures</v>
      </c>
      <c r="I353" t="str">
        <f t="shared" si="38"/>
        <v>Landfill</v>
      </c>
      <c r="J353" t="str">
        <f t="shared" si="39"/>
        <v>Bituminous mixturesLandfill</v>
      </c>
      <c r="K353" t="str">
        <f>IF('Emissions Factors'!E355="","",'Emissions Factors'!E355)</f>
        <v>tonnes</v>
      </c>
      <c r="L353" t="str">
        <f>IF('Emissions Factors'!F355="","",'Emissions Factors'!F355)</f>
        <v>Waste</v>
      </c>
      <c r="M353">
        <f>IF('Emissions Factors'!G355="","",'Emissions Factors'!G355)</f>
        <v>1.2339300000000001E-3</v>
      </c>
      <c r="N353" t="str">
        <f>IF('Emissions Factors'!H355="","",'Emissions Factors'!H355)</f>
        <v>tCO2e/t</v>
      </c>
      <c r="O353">
        <f>IF('[1]Emissions Factors'!I354="","",'[1]Emissions Factors'!I354)</f>
        <v>1</v>
      </c>
      <c r="P353" t="str">
        <f>IF('Emissions Factors'!J355="",'Emissions Factors'!F355,'Emissions Factors'!J355)</f>
        <v>Carbon factor taken directly from Government Carbon Factors 2024. Waste disposal &gt; Construction &gt; Asphalt</v>
      </c>
      <c r="R353">
        <v>1</v>
      </c>
      <c r="U353">
        <f t="shared" si="40"/>
        <v>19</v>
      </c>
      <c r="V353">
        <f t="shared" si="41"/>
        <v>8</v>
      </c>
    </row>
    <row r="354" spans="1:22" x14ac:dyDescent="0.3">
      <c r="A354">
        <f>'Emissions Factors'!A356</f>
        <v>0</v>
      </c>
      <c r="B354">
        <f>'Emissions Factors'!B356</f>
        <v>0</v>
      </c>
      <c r="C354" t="str">
        <f>'Emissions Factors'!C356</f>
        <v>Mixed metals</v>
      </c>
      <c r="D354" t="str">
        <f>'Emissions Factors'!D356</f>
        <v>Recycled</v>
      </c>
      <c r="G354" t="str">
        <f t="shared" si="36"/>
        <v>Waste</v>
      </c>
      <c r="H354" t="str">
        <f t="shared" si="37"/>
        <v>Mixed metals</v>
      </c>
      <c r="I354" t="str">
        <f t="shared" si="38"/>
        <v>Recycled</v>
      </c>
      <c r="J354" t="str">
        <f t="shared" si="39"/>
        <v>Mixed metalsRecycled</v>
      </c>
      <c r="K354" t="str">
        <f>IF('Emissions Factors'!E356="","",'Emissions Factors'!E356)</f>
        <v>tonnes</v>
      </c>
      <c r="L354" t="str">
        <f>IF('Emissions Factors'!F356="","",'Emissions Factors'!F356)</f>
        <v>Waste</v>
      </c>
      <c r="M354">
        <f>IF('Emissions Factors'!G356="","",'Emissions Factors'!G356)</f>
        <v>9.8485E-4</v>
      </c>
      <c r="N354" t="str">
        <f>IF('Emissions Factors'!H356="","",'Emissions Factors'!H356)</f>
        <v>tCO2e/t</v>
      </c>
      <c r="O354">
        <f>IF('[1]Emissions Factors'!I355="","",'[1]Emissions Factors'!I355)</f>
        <v>1</v>
      </c>
      <c r="P354" t="str">
        <f>IF('Emissions Factors'!J356="",'Emissions Factors'!F356,'Emissions Factors'!J356)</f>
        <v>Carbon factor taken directly from Government Carbon Factors 2024. Waste disposal &gt; Metal</v>
      </c>
      <c r="R354">
        <v>1</v>
      </c>
      <c r="U354">
        <f t="shared" si="40"/>
        <v>12</v>
      </c>
      <c r="V354">
        <f t="shared" si="41"/>
        <v>8</v>
      </c>
    </row>
    <row r="355" spans="1:22" x14ac:dyDescent="0.3">
      <c r="A355">
        <f>'Emissions Factors'!A357</f>
        <v>0</v>
      </c>
      <c r="B355">
        <f>'Emissions Factors'!B357</f>
        <v>0</v>
      </c>
      <c r="C355">
        <f>'Emissions Factors'!C357</f>
        <v>0</v>
      </c>
      <c r="D355" t="str">
        <f>'Emissions Factors'!D357</f>
        <v>Incineration (with energy recovery)</v>
      </c>
      <c r="G355" t="str">
        <f t="shared" si="36"/>
        <v>Waste</v>
      </c>
      <c r="H355" t="str">
        <f t="shared" si="37"/>
        <v>Mixed metals</v>
      </c>
      <c r="I355" t="str">
        <f t="shared" si="38"/>
        <v>Incineration (with energy recovery)</v>
      </c>
      <c r="J355" t="str">
        <f t="shared" si="39"/>
        <v>Mixed metalsIncineration (with energy recovery)</v>
      </c>
      <c r="K355" t="str">
        <f>IF('Emissions Factors'!E357="","",'Emissions Factors'!E357)</f>
        <v>tonnes</v>
      </c>
      <c r="L355" t="str">
        <f>IF('Emissions Factors'!F357="","",'Emissions Factors'!F357)</f>
        <v>Waste</v>
      </c>
      <c r="M355">
        <f>IF('Emissions Factors'!G357="","",'Emissions Factors'!G357)</f>
        <v>6.4106099999999997E-3</v>
      </c>
      <c r="N355" t="str">
        <f>IF('Emissions Factors'!H357="","",'Emissions Factors'!H357)</f>
        <v>tCO2e/t</v>
      </c>
      <c r="O355">
        <f>IF('[1]Emissions Factors'!I356="","",'[1]Emissions Factors'!I356)</f>
        <v>1</v>
      </c>
      <c r="P355" t="str">
        <f>IF('Emissions Factors'!J357="",'Emissions Factors'!F357,'Emissions Factors'!J357)</f>
        <v>Carbon factor taken directly from Government Carbon Factors 2024. Waste disposal &gt; Metal</v>
      </c>
      <c r="R355">
        <v>1</v>
      </c>
      <c r="U355">
        <f t="shared" si="40"/>
        <v>12</v>
      </c>
      <c r="V355">
        <f t="shared" si="41"/>
        <v>35</v>
      </c>
    </row>
    <row r="356" spans="1:22" x14ac:dyDescent="0.3">
      <c r="A356">
        <f>'Emissions Factors'!A358</f>
        <v>0</v>
      </c>
      <c r="B356">
        <f>'Emissions Factors'!B358</f>
        <v>0</v>
      </c>
      <c r="C356">
        <f>'Emissions Factors'!C358</f>
        <v>0</v>
      </c>
      <c r="D356" t="str">
        <f>'Emissions Factors'!D358</f>
        <v>Landfill</v>
      </c>
      <c r="G356" t="str">
        <f t="shared" si="36"/>
        <v>Waste</v>
      </c>
      <c r="H356" t="str">
        <f t="shared" si="37"/>
        <v>Mixed metals</v>
      </c>
      <c r="I356" t="str">
        <f t="shared" si="38"/>
        <v>Landfill</v>
      </c>
      <c r="J356" t="str">
        <f t="shared" si="39"/>
        <v>Mixed metalsLandfill</v>
      </c>
      <c r="K356" t="str">
        <f>IF('Emissions Factors'!E358="","",'Emissions Factors'!E358)</f>
        <v>tonnes</v>
      </c>
      <c r="L356" t="str">
        <f>IF('Emissions Factors'!F358="","",'Emissions Factors'!F358)</f>
        <v>Waste</v>
      </c>
      <c r="M356">
        <f>IF('Emissions Factors'!G358="","",'Emissions Factors'!G358)</f>
        <v>1.26435E-3</v>
      </c>
      <c r="N356" t="str">
        <f>IF('Emissions Factors'!H358="","",'Emissions Factors'!H358)</f>
        <v>tCO2e/t</v>
      </c>
      <c r="O356">
        <f>IF('[1]Emissions Factors'!I357="","",'[1]Emissions Factors'!I357)</f>
        <v>1</v>
      </c>
      <c r="P356" t="str">
        <f>IF('Emissions Factors'!J358="",'Emissions Factors'!F358,'Emissions Factors'!J358)</f>
        <v>Carbon factor taken directly from Government Carbon Factors 2024. Waste disposal &gt; Metal</v>
      </c>
      <c r="R356">
        <v>1</v>
      </c>
      <c r="U356">
        <f t="shared" si="40"/>
        <v>12</v>
      </c>
      <c r="V356">
        <f t="shared" si="41"/>
        <v>8</v>
      </c>
    </row>
    <row r="357" spans="1:22" x14ac:dyDescent="0.3">
      <c r="A357">
        <f>'Emissions Factors'!A359</f>
        <v>0</v>
      </c>
      <c r="B357">
        <f>'Emissions Factors'!B359</f>
        <v>0</v>
      </c>
      <c r="C357" t="str">
        <f>'Emissions Factors'!C359</f>
        <v>WEEE</v>
      </c>
      <c r="D357" t="str">
        <f>'Emissions Factors'!D359</f>
        <v>Recycled</v>
      </c>
      <c r="G357" t="str">
        <f t="shared" si="36"/>
        <v>Waste</v>
      </c>
      <c r="H357" t="str">
        <f t="shared" si="37"/>
        <v>WEEE</v>
      </c>
      <c r="I357" t="str">
        <f t="shared" si="38"/>
        <v>Recycled</v>
      </c>
      <c r="J357" t="str">
        <f t="shared" si="39"/>
        <v>WEEERecycled</v>
      </c>
      <c r="K357" t="str">
        <f>IF('Emissions Factors'!E359="","",'Emissions Factors'!E359)</f>
        <v>tonnes</v>
      </c>
      <c r="L357" t="str">
        <f>IF('Emissions Factors'!F359="","",'Emissions Factors'!F359)</f>
        <v>Waste</v>
      </c>
      <c r="M357">
        <f>IF('Emissions Factors'!G359="","",'Emissions Factors'!G359)</f>
        <v>6.4106099999999997E-3</v>
      </c>
      <c r="N357" t="str">
        <f>IF('Emissions Factors'!H359="","",'Emissions Factors'!H359)</f>
        <v>tCO2e/t</v>
      </c>
      <c r="O357">
        <f>IF('[1]Emissions Factors'!I358="","",'[1]Emissions Factors'!I358)</f>
        <v>1</v>
      </c>
      <c r="P357" t="str">
        <f>IF('Emissions Factors'!J359="",'Emissions Factors'!F359,'Emissions Factors'!J359)</f>
        <v>Carbon factor taken directly from Government Carbon Factors 2024. Waste disposal &gt; Electrical Items</v>
      </c>
      <c r="R357">
        <v>1</v>
      </c>
      <c r="U357">
        <f t="shared" si="40"/>
        <v>4</v>
      </c>
      <c r="V357">
        <f t="shared" si="41"/>
        <v>8</v>
      </c>
    </row>
    <row r="358" spans="1:22" x14ac:dyDescent="0.3">
      <c r="A358">
        <f>'Emissions Factors'!A360</f>
        <v>0</v>
      </c>
      <c r="B358">
        <f>'Emissions Factors'!B360</f>
        <v>0</v>
      </c>
      <c r="C358">
        <f>'Emissions Factors'!C360</f>
        <v>0</v>
      </c>
      <c r="D358" t="str">
        <f>'Emissions Factors'!D360</f>
        <v>Incineration (with energy recovery)</v>
      </c>
      <c r="G358" t="str">
        <f t="shared" si="36"/>
        <v>Waste</v>
      </c>
      <c r="H358" t="str">
        <f t="shared" si="37"/>
        <v>WEEE</v>
      </c>
      <c r="I358" t="str">
        <f t="shared" si="38"/>
        <v>Incineration (with energy recovery)</v>
      </c>
      <c r="J358" t="str">
        <f t="shared" si="39"/>
        <v>WEEEIncineration (with energy recovery)</v>
      </c>
      <c r="K358" t="str">
        <f>IF('Emissions Factors'!E360="","",'Emissions Factors'!E360)</f>
        <v>tonnes</v>
      </c>
      <c r="L358" t="str">
        <f>IF('Emissions Factors'!F360="","",'Emissions Factors'!F360)</f>
        <v>Waste</v>
      </c>
      <c r="M358">
        <f>IF('Emissions Factors'!G360="","",'Emissions Factors'!G360)</f>
        <v>6.4106099999999997E-3</v>
      </c>
      <c r="N358" t="str">
        <f>IF('Emissions Factors'!H360="","",'Emissions Factors'!H360)</f>
        <v>tCO2e/t</v>
      </c>
      <c r="O358">
        <f>IF('[1]Emissions Factors'!I359="","",'[1]Emissions Factors'!I359)</f>
        <v>1</v>
      </c>
      <c r="P358" t="str">
        <f>IF('Emissions Factors'!J360="",'Emissions Factors'!F360,'Emissions Factors'!J360)</f>
        <v>Carbon factor taken directly from Government Carbon Factors 2024. Waste disposal &gt; Electrical Items</v>
      </c>
      <c r="R358">
        <v>1</v>
      </c>
      <c r="U358">
        <f t="shared" si="40"/>
        <v>4</v>
      </c>
      <c r="V358">
        <f t="shared" si="41"/>
        <v>35</v>
      </c>
    </row>
    <row r="359" spans="1:22" x14ac:dyDescent="0.3">
      <c r="A359">
        <f>'Emissions Factors'!A361</f>
        <v>0</v>
      </c>
      <c r="B359">
        <f>'Emissions Factors'!B361</f>
        <v>0</v>
      </c>
      <c r="C359">
        <f>'Emissions Factors'!C361</f>
        <v>0</v>
      </c>
      <c r="D359" t="str">
        <f>'Emissions Factors'!D361</f>
        <v>Landfill</v>
      </c>
      <c r="G359" t="str">
        <f t="shared" si="36"/>
        <v>Waste</v>
      </c>
      <c r="H359" t="str">
        <f t="shared" si="37"/>
        <v>WEEE</v>
      </c>
      <c r="I359" t="str">
        <f t="shared" si="38"/>
        <v>Landfill</v>
      </c>
      <c r="J359" t="str">
        <f t="shared" si="39"/>
        <v>WEEELandfill</v>
      </c>
      <c r="K359" t="str">
        <f>IF('Emissions Factors'!E361="","",'Emissions Factors'!E361)</f>
        <v>tonnes</v>
      </c>
      <c r="L359" t="str">
        <f>IF('Emissions Factors'!F361="","",'Emissions Factors'!F361)</f>
        <v>Waste</v>
      </c>
      <c r="M359">
        <f>IF('Emissions Factors'!G361="","",'Emissions Factors'!G361)</f>
        <v>8.8838600000000004E-3</v>
      </c>
      <c r="N359" t="str">
        <f>IF('Emissions Factors'!H361="","",'Emissions Factors'!H361)</f>
        <v>tCO2e/t</v>
      </c>
      <c r="O359">
        <f>IF('[1]Emissions Factors'!I360="","",'[1]Emissions Factors'!I360)</f>
        <v>1</v>
      </c>
      <c r="P359" t="str">
        <f>IF('Emissions Factors'!J361="",'Emissions Factors'!F361,'Emissions Factors'!J361)</f>
        <v>Carbon factor taken directly from Government Carbon Factors 2024. Waste disposal &gt; Electrical Items</v>
      </c>
      <c r="R359">
        <v>1</v>
      </c>
      <c r="U359">
        <f t="shared" si="40"/>
        <v>4</v>
      </c>
      <c r="V359">
        <f t="shared" si="41"/>
        <v>8</v>
      </c>
    </row>
    <row r="360" spans="1:22" x14ac:dyDescent="0.3">
      <c r="A360">
        <f>'Emissions Factors'!A362</f>
        <v>0</v>
      </c>
      <c r="B360">
        <f>'Emissions Factors'!B362</f>
        <v>0</v>
      </c>
      <c r="C360" t="str">
        <f>'Emissions Factors'!C362</f>
        <v>Paper and cardboard</v>
      </c>
      <c r="D360" t="str">
        <f>'Emissions Factors'!D362</f>
        <v>Recycled</v>
      </c>
      <c r="G360" t="str">
        <f t="shared" si="36"/>
        <v>Waste</v>
      </c>
      <c r="H360" t="str">
        <f t="shared" si="37"/>
        <v>Paper and cardboard</v>
      </c>
      <c r="I360" t="str">
        <f t="shared" si="38"/>
        <v>Recycled</v>
      </c>
      <c r="J360" t="str">
        <f t="shared" si="39"/>
        <v>Paper and cardboardRecycled</v>
      </c>
      <c r="K360" t="str">
        <f>IF('Emissions Factors'!E362="","",'Emissions Factors'!E362)</f>
        <v>tonnes</v>
      </c>
      <c r="L360" t="str">
        <f>IF('Emissions Factors'!F362="","",'Emissions Factors'!F362)</f>
        <v>Waste</v>
      </c>
      <c r="M360">
        <f>IF('Emissions Factors'!G362="","",'Emissions Factors'!G362)</f>
        <v>6.4106099999999997E-3</v>
      </c>
      <c r="N360" t="str">
        <f>IF('Emissions Factors'!H362="","",'Emissions Factors'!H362)</f>
        <v>tCO2e/t</v>
      </c>
      <c r="O360">
        <f>IF('[1]Emissions Factors'!I361="","",'[1]Emissions Factors'!I361)</f>
        <v>1</v>
      </c>
      <c r="P360" t="str">
        <f>IF('Emissions Factors'!J362="",'Emissions Factors'!F362,'Emissions Factors'!J362)</f>
        <v>Carbon factor taken directly from Government Carbon Factors 2024. Waste disposal &gt; Paper and Board mixed</v>
      </c>
      <c r="R360">
        <v>1</v>
      </c>
      <c r="U360">
        <f t="shared" si="40"/>
        <v>19</v>
      </c>
      <c r="V360">
        <f t="shared" si="41"/>
        <v>8</v>
      </c>
    </row>
    <row r="361" spans="1:22" x14ac:dyDescent="0.3">
      <c r="A361">
        <f>'Emissions Factors'!A363</f>
        <v>0</v>
      </c>
      <c r="B361">
        <f>'Emissions Factors'!B363</f>
        <v>0</v>
      </c>
      <c r="C361">
        <f>'Emissions Factors'!C363</f>
        <v>0</v>
      </c>
      <c r="D361" t="str">
        <f>'Emissions Factors'!D363</f>
        <v>Incineration (with energy recovery)</v>
      </c>
      <c r="G361" t="str">
        <f t="shared" si="36"/>
        <v>Waste</v>
      </c>
      <c r="H361" t="str">
        <f t="shared" si="37"/>
        <v>Paper and cardboard</v>
      </c>
      <c r="I361" t="str">
        <f t="shared" si="38"/>
        <v>Incineration (with energy recovery)</v>
      </c>
      <c r="J361" t="str">
        <f t="shared" si="39"/>
        <v>Paper and cardboardIncineration (with energy recovery)</v>
      </c>
      <c r="K361" t="str">
        <f>IF('Emissions Factors'!E363="","",'Emissions Factors'!E363)</f>
        <v>tonnes</v>
      </c>
      <c r="L361" t="str">
        <f>IF('Emissions Factors'!F363="","",'Emissions Factors'!F363)</f>
        <v>Waste</v>
      </c>
      <c r="M361">
        <f>IF('Emissions Factors'!G363="","",'Emissions Factors'!G363)</f>
        <v>6.4106099999999997E-3</v>
      </c>
      <c r="N361" t="str">
        <f>IF('Emissions Factors'!H363="","",'Emissions Factors'!H363)</f>
        <v>tCO2e/t</v>
      </c>
      <c r="O361">
        <f>IF('[1]Emissions Factors'!I362="","",'[1]Emissions Factors'!I362)</f>
        <v>1</v>
      </c>
      <c r="P361" t="str">
        <f>IF('Emissions Factors'!J363="",'Emissions Factors'!F363,'Emissions Factors'!J363)</f>
        <v>Carbon factor taken directly from Government Carbon Factors 2024. Waste disposal &gt; Paper and Board mixed</v>
      </c>
      <c r="R361">
        <v>1</v>
      </c>
      <c r="U361">
        <f t="shared" si="40"/>
        <v>19</v>
      </c>
      <c r="V361">
        <f t="shared" si="41"/>
        <v>35</v>
      </c>
    </row>
    <row r="362" spans="1:22" x14ac:dyDescent="0.3">
      <c r="A362">
        <f>'Emissions Factors'!A364</f>
        <v>0</v>
      </c>
      <c r="B362">
        <f>'Emissions Factors'!B364</f>
        <v>0</v>
      </c>
      <c r="C362">
        <f>'Emissions Factors'!C364</f>
        <v>0</v>
      </c>
      <c r="D362" t="str">
        <f>'Emissions Factors'!D364</f>
        <v>Landfill</v>
      </c>
      <c r="G362" t="str">
        <f t="shared" si="36"/>
        <v>Waste</v>
      </c>
      <c r="H362" t="str">
        <f t="shared" si="37"/>
        <v>Paper and cardboard</v>
      </c>
      <c r="I362" t="str">
        <f t="shared" si="38"/>
        <v>Landfill</v>
      </c>
      <c r="J362" t="str">
        <f t="shared" si="39"/>
        <v>Paper and cardboardLandfill</v>
      </c>
      <c r="K362" t="str">
        <f>IF('Emissions Factors'!E364="","",'Emissions Factors'!E364)</f>
        <v>tonnes</v>
      </c>
      <c r="L362" t="str">
        <f>IF('Emissions Factors'!F364="","",'Emissions Factors'!F364)</f>
        <v>Waste</v>
      </c>
      <c r="M362">
        <f>IF('Emissions Factors'!G364="","",'Emissions Factors'!G364)</f>
        <v>1.16439015</v>
      </c>
      <c r="N362" t="str">
        <f>IF('Emissions Factors'!H364="","",'Emissions Factors'!H364)</f>
        <v>tCO2e/t</v>
      </c>
      <c r="O362">
        <f>IF('[1]Emissions Factors'!I363="","",'[1]Emissions Factors'!I363)</f>
        <v>1</v>
      </c>
      <c r="P362" t="str">
        <f>IF('Emissions Factors'!J364="",'Emissions Factors'!F364,'Emissions Factors'!J364)</f>
        <v>Carbon factor taken directly from Government Carbon Factors 2024. Waste disposal &gt; Paper and Board mixed</v>
      </c>
      <c r="R362">
        <v>1</v>
      </c>
      <c r="U362">
        <f t="shared" si="40"/>
        <v>19</v>
      </c>
      <c r="V362">
        <f t="shared" si="41"/>
        <v>8</v>
      </c>
    </row>
    <row r="363" spans="1:22" x14ac:dyDescent="0.3">
      <c r="A363">
        <f>'Emissions Factors'!A365</f>
        <v>0</v>
      </c>
      <c r="B363">
        <f>'Emissions Factors'!B365</f>
        <v>0</v>
      </c>
      <c r="C363" t="str">
        <f>'Emissions Factors'!C365</f>
        <v>Aggregate and soil exported off-site</v>
      </c>
      <c r="D363" t="str">
        <f>'Emissions Factors'!D365</f>
        <v>Recycled</v>
      </c>
      <c r="G363" t="str">
        <f t="shared" si="36"/>
        <v>Waste</v>
      </c>
      <c r="H363" t="str">
        <f t="shared" si="37"/>
        <v>Aggregate and soil exported off-site</v>
      </c>
      <c r="I363" t="str">
        <f t="shared" si="38"/>
        <v>Recycled</v>
      </c>
      <c r="J363" t="str">
        <f t="shared" si="39"/>
        <v>Aggregate and soil exported off-siteRecycled</v>
      </c>
      <c r="K363" t="str">
        <f>IF('Emissions Factors'!E365="","",'Emissions Factors'!E365)</f>
        <v>tonnes</v>
      </c>
      <c r="L363" t="str">
        <f>IF('Emissions Factors'!F365="","",'Emissions Factors'!F365)</f>
        <v>Waste</v>
      </c>
      <c r="M363">
        <f>IF('Emissions Factors'!G365="","",'Emissions Factors'!G365)</f>
        <v>9.8485E-4</v>
      </c>
      <c r="N363" t="str">
        <f>IF('Emissions Factors'!H365="","",'Emissions Factors'!H365)</f>
        <v>tCO2e/t</v>
      </c>
      <c r="O363">
        <f>IF('[1]Emissions Factors'!I364="","",'[1]Emissions Factors'!I364)</f>
        <v>1</v>
      </c>
      <c r="P363" t="str">
        <f>IF('Emissions Factors'!J365="",'Emissions Factors'!F365,'Emissions Factors'!J365)</f>
        <v>Carbon factor taken directly from Government Carbon Factors 2024. Waste disposal &gt; Aggregates</v>
      </c>
      <c r="R363">
        <v>1</v>
      </c>
      <c r="U363">
        <f t="shared" si="40"/>
        <v>36</v>
      </c>
      <c r="V363">
        <f t="shared" si="41"/>
        <v>8</v>
      </c>
    </row>
    <row r="364" spans="1:22" x14ac:dyDescent="0.3">
      <c r="A364">
        <f>'Emissions Factors'!A366</f>
        <v>0</v>
      </c>
      <c r="B364">
        <f>'Emissions Factors'!B366</f>
        <v>0</v>
      </c>
      <c r="C364">
        <f>'Emissions Factors'!C366</f>
        <v>0</v>
      </c>
      <c r="D364" t="str">
        <f>'Emissions Factors'!D366</f>
        <v>Re-use off site</v>
      </c>
      <c r="G364" t="str">
        <f t="shared" si="36"/>
        <v>Waste</v>
      </c>
      <c r="H364" t="str">
        <f t="shared" si="37"/>
        <v>Aggregate and soil exported off-site</v>
      </c>
      <c r="I364" t="str">
        <f t="shared" si="38"/>
        <v>Re-use off site</v>
      </c>
      <c r="J364" t="str">
        <f t="shared" si="39"/>
        <v>Aggregate and soil exported off-siteRe-use off site</v>
      </c>
      <c r="K364" t="str">
        <f>IF('Emissions Factors'!E366="","",'Emissions Factors'!E366)</f>
        <v>tonnes</v>
      </c>
      <c r="L364" t="str">
        <f>IF('Emissions Factors'!F366="","",'Emissions Factors'!F366)</f>
        <v>Waste</v>
      </c>
      <c r="M364">
        <f>IF('Emissions Factors'!G366="","",'Emissions Factors'!G366)</f>
        <v>0</v>
      </c>
      <c r="N364" t="str">
        <f>IF('Emissions Factors'!H366="","",'Emissions Factors'!H366)</f>
        <v>tCO2e/t</v>
      </c>
      <c r="O364">
        <f>IF('[1]Emissions Factors'!I365="","",'[1]Emissions Factors'!I365)</f>
        <v>1</v>
      </c>
      <c r="P364" t="str">
        <f>IF('Emissions Factors'!J366="",'Emissions Factors'!F366,'Emissions Factors'!J366)</f>
        <v>The carbon emissions factor is zero and no direct carbon emissions will be accounted for. Transport emissions should still be captured.</v>
      </c>
      <c r="R364">
        <v>1</v>
      </c>
      <c r="U364">
        <f t="shared" si="40"/>
        <v>36</v>
      </c>
      <c r="V364">
        <f t="shared" si="41"/>
        <v>15</v>
      </c>
    </row>
    <row r="365" spans="1:22" x14ac:dyDescent="0.3">
      <c r="A365">
        <f>'Emissions Factors'!A367</f>
        <v>0</v>
      </c>
      <c r="B365">
        <f>'Emissions Factors'!B367</f>
        <v>0</v>
      </c>
      <c r="C365">
        <f>'Emissions Factors'!C367</f>
        <v>0</v>
      </c>
      <c r="D365" t="str">
        <f>'Emissions Factors'!D367</f>
        <v>Landfill</v>
      </c>
      <c r="G365" t="str">
        <f t="shared" si="36"/>
        <v>Waste</v>
      </c>
      <c r="H365" t="str">
        <f t="shared" si="37"/>
        <v>Aggregate and soil exported off-site</v>
      </c>
      <c r="I365" t="str">
        <f t="shared" si="38"/>
        <v>Landfill</v>
      </c>
      <c r="J365" t="str">
        <f t="shared" si="39"/>
        <v>Aggregate and soil exported off-siteLandfill</v>
      </c>
      <c r="K365" t="str">
        <f>IF('Emissions Factors'!E367="","",'Emissions Factors'!E367)</f>
        <v>tonnes</v>
      </c>
      <c r="L365" t="str">
        <f>IF('Emissions Factors'!F367="","",'Emissions Factors'!F367)</f>
        <v>Waste</v>
      </c>
      <c r="M365">
        <f>IF('Emissions Factors'!G367="","",'Emissions Factors'!G367)</f>
        <v>1.2339300000000001E-3</v>
      </c>
      <c r="N365" t="str">
        <f>IF('Emissions Factors'!H367="","",'Emissions Factors'!H367)</f>
        <v>tCO2e/t</v>
      </c>
      <c r="O365">
        <f>IF('[1]Emissions Factors'!I366="","",'[1]Emissions Factors'!I366)</f>
        <v>1</v>
      </c>
      <c r="P365" t="str">
        <f>IF('Emissions Factors'!J367="",'Emissions Factors'!F367,'Emissions Factors'!J367)</f>
        <v>Carbon factor taken directly from Government Carbon Factors 2024. Waste disposal &gt; Aggregates</v>
      </c>
      <c r="R365">
        <v>1</v>
      </c>
      <c r="U365">
        <f t="shared" si="40"/>
        <v>36</v>
      </c>
      <c r="V365">
        <f t="shared" si="41"/>
        <v>8</v>
      </c>
    </row>
    <row r="366" spans="1:22" x14ac:dyDescent="0.3">
      <c r="A366">
        <f>'Emissions Factors'!A368</f>
        <v>0</v>
      </c>
      <c r="B366">
        <f>'Emissions Factors'!B368</f>
        <v>0</v>
      </c>
      <c r="C366" t="str">
        <f>'Emissions Factors'!C368</f>
        <v>Oil and Liquid fuel Waste</v>
      </c>
      <c r="D366" t="str">
        <f>'Emissions Factors'!D368</f>
        <v>Recycled</v>
      </c>
      <c r="G366" t="str">
        <f t="shared" si="36"/>
        <v>Waste</v>
      </c>
      <c r="H366" t="str">
        <f t="shared" si="37"/>
        <v>Oil and Liquid fuel Waste</v>
      </c>
      <c r="I366" t="str">
        <f t="shared" si="38"/>
        <v>Recycled</v>
      </c>
      <c r="J366" t="str">
        <f t="shared" si="39"/>
        <v>Oil and Liquid fuel WasteRecycled</v>
      </c>
      <c r="K366" t="str">
        <f>IF('Emissions Factors'!E368="","",'Emissions Factors'!E368)</f>
        <v>tonnes</v>
      </c>
      <c r="L366" t="str">
        <f>IF('Emissions Factors'!F368="","",'Emissions Factors'!F368)</f>
        <v>Waste</v>
      </c>
      <c r="M366">
        <f>IF('Emissions Factors'!G368="","",'Emissions Factors'!G368)</f>
        <v>6.4106099999999997E-3</v>
      </c>
      <c r="N366" t="str">
        <f>IF('Emissions Factors'!H368="","",'Emissions Factors'!H368)</f>
        <v>tCO2e/t</v>
      </c>
      <c r="O366">
        <f>IF('[1]Emissions Factors'!I367="","",'[1]Emissions Factors'!I367)</f>
        <v>1</v>
      </c>
      <c r="P366" t="str">
        <f>IF('Emissions Factors'!J368="",'Emissions Factors'!F368,'Emissions Factors'!J368)</f>
        <v>Carbon factor taken directly from Government Carbon Factors 2024. Waste disposal &gt; Mineral Oil &gt; Recycled.</v>
      </c>
      <c r="R366">
        <v>1</v>
      </c>
      <c r="U366">
        <f t="shared" si="40"/>
        <v>25</v>
      </c>
      <c r="V366">
        <f t="shared" si="41"/>
        <v>8</v>
      </c>
    </row>
    <row r="367" spans="1:22" x14ac:dyDescent="0.3">
      <c r="A367">
        <f>'Emissions Factors'!A369</f>
        <v>0</v>
      </c>
      <c r="B367">
        <f>'Emissions Factors'!B369</f>
        <v>0</v>
      </c>
      <c r="C367">
        <f>'Emissions Factors'!C369</f>
        <v>0</v>
      </c>
      <c r="D367" t="str">
        <f>'Emissions Factors'!D369</f>
        <v>Incineration (with energy recovery)</v>
      </c>
      <c r="G367" t="str">
        <f t="shared" si="36"/>
        <v>Waste</v>
      </c>
      <c r="H367" t="str">
        <f t="shared" si="37"/>
        <v>Oil and Liquid fuel Waste</v>
      </c>
      <c r="I367" t="str">
        <f t="shared" si="38"/>
        <v>Incineration (with energy recovery)</v>
      </c>
      <c r="J367" t="str">
        <f t="shared" si="39"/>
        <v>Oil and Liquid fuel WasteIncineration (with energy recovery)</v>
      </c>
      <c r="K367" t="str">
        <f>IF('Emissions Factors'!E369="","",'Emissions Factors'!E369)</f>
        <v>tonnes</v>
      </c>
      <c r="L367" t="str">
        <f>IF('Emissions Factors'!F369="","",'Emissions Factors'!F369)</f>
        <v>Waste</v>
      </c>
      <c r="M367">
        <f>IF('Emissions Factors'!G369="","",'Emissions Factors'!G369)</f>
        <v>6.4106099999999997E-3</v>
      </c>
      <c r="N367" t="str">
        <f>IF('Emissions Factors'!H369="","",'Emissions Factors'!H369)</f>
        <v>tCO2e/t</v>
      </c>
      <c r="O367">
        <f>IF('[1]Emissions Factors'!I368="","",'[1]Emissions Factors'!I368)</f>
        <v>1</v>
      </c>
      <c r="P367" t="str">
        <f>IF('Emissions Factors'!J369="",'Emissions Factors'!F369,'Emissions Factors'!J369)</f>
        <v>Carbon factor taken directly from Government Carbon Factors 2024. Waste disposal &gt; Mineral Oil &gt; Combustion</v>
      </c>
      <c r="R367">
        <v>1</v>
      </c>
      <c r="U367">
        <f t="shared" si="40"/>
        <v>25</v>
      </c>
      <c r="V367">
        <f t="shared" si="41"/>
        <v>35</v>
      </c>
    </row>
    <row r="368" spans="1:22" x14ac:dyDescent="0.3">
      <c r="A368">
        <f>'Emissions Factors'!A370</f>
        <v>0</v>
      </c>
      <c r="B368">
        <f>'Emissions Factors'!B370</f>
        <v>0</v>
      </c>
      <c r="C368" t="str">
        <f>'Emissions Factors'!C370</f>
        <v xml:space="preserve">Hazardous waste </v>
      </c>
      <c r="D368" t="str">
        <f>'Emissions Factors'!D370</f>
        <v>Incineration (with energy recovery)</v>
      </c>
      <c r="G368" t="str">
        <f t="shared" si="36"/>
        <v>Waste</v>
      </c>
      <c r="H368" t="str">
        <f t="shared" si="37"/>
        <v xml:space="preserve">Hazardous waste </v>
      </c>
      <c r="I368" t="str">
        <f t="shared" si="38"/>
        <v>Incineration (with energy recovery)</v>
      </c>
      <c r="J368" t="str">
        <f t="shared" si="39"/>
        <v>Hazardous waste Incineration (with energy recovery)</v>
      </c>
      <c r="K368" t="str">
        <f>IF('Emissions Factors'!E370="","",'Emissions Factors'!E370)</f>
        <v>tonnes</v>
      </c>
      <c r="L368" t="str">
        <f>IF('Emissions Factors'!F370="","",'Emissions Factors'!F370)</f>
        <v>Waste</v>
      </c>
      <c r="M368">
        <f>IF('Emissions Factors'!G370="","",'Emissions Factors'!G370)</f>
        <v>6.4106099999999997E-3</v>
      </c>
      <c r="N368" t="str">
        <f>IF('Emissions Factors'!H370="","",'Emissions Factors'!H370)</f>
        <v>tCO2e/t</v>
      </c>
      <c r="O368">
        <f>IF('[1]Emissions Factors'!I369="","",'[1]Emissions Factors'!I369)</f>
        <v>1</v>
      </c>
      <c r="P368" t="str">
        <f>IF('Emissions Factors'!J370="",'Emissions Factors'!F370,'Emissions Factors'!J370)</f>
        <v>Carbon factor taken directly from Government Carbon Factors 2024: Waste disposal &gt; Average incineration factor.</v>
      </c>
      <c r="R368">
        <v>1</v>
      </c>
      <c r="U368">
        <f t="shared" si="40"/>
        <v>16</v>
      </c>
      <c r="V368">
        <f t="shared" si="41"/>
        <v>35</v>
      </c>
    </row>
    <row r="369" spans="1:22" x14ac:dyDescent="0.3">
      <c r="A369">
        <f>'Emissions Factors'!A371</f>
        <v>0</v>
      </c>
      <c r="B369">
        <f>'Emissions Factors'!B371</f>
        <v>0</v>
      </c>
      <c r="C369">
        <f>'Emissions Factors'!C371</f>
        <v>0</v>
      </c>
      <c r="D369" t="str">
        <f>'Emissions Factors'!D371</f>
        <v>Landfill</v>
      </c>
      <c r="G369" t="str">
        <f t="shared" si="36"/>
        <v>Waste</v>
      </c>
      <c r="H369" t="str">
        <f t="shared" si="37"/>
        <v xml:space="preserve">Hazardous waste </v>
      </c>
      <c r="I369" t="str">
        <f t="shared" si="38"/>
        <v>Landfill</v>
      </c>
      <c r="J369" t="str">
        <f t="shared" si="39"/>
        <v>Hazardous waste Landfill</v>
      </c>
      <c r="K369" t="str">
        <f>IF('Emissions Factors'!E371="","",'Emissions Factors'!E371)</f>
        <v>tonnes</v>
      </c>
      <c r="L369" t="str">
        <f>IF('Emissions Factors'!F371="","",'Emissions Factors'!F371)</f>
        <v>Waste</v>
      </c>
      <c r="M369">
        <f>IF('Emissions Factors'!G371="","",'Emissions Factors'!G371)</f>
        <v>8.8838600000000004E-3</v>
      </c>
      <c r="N369" t="str">
        <f>IF('Emissions Factors'!H371="","",'Emissions Factors'!H371)</f>
        <v>tCO2e/t</v>
      </c>
      <c r="O369">
        <f>IF('[1]Emissions Factors'!I370="","",'[1]Emissions Factors'!I370)</f>
        <v>1</v>
      </c>
      <c r="P369" t="str">
        <f>IF('Emissions Factors'!J371="",'Emissions Factors'!F371,'Emissions Factors'!J371)</f>
        <v>Carbon factor taken directly from Government Carbon Factors 2024: Waste disposal &gt; Batteries</v>
      </c>
      <c r="R369">
        <v>1</v>
      </c>
      <c r="U369">
        <f t="shared" si="40"/>
        <v>16</v>
      </c>
      <c r="V369">
        <f t="shared" si="41"/>
        <v>8</v>
      </c>
    </row>
    <row r="370" spans="1:22" x14ac:dyDescent="0.3">
      <c r="A370">
        <f>'Emissions Factors'!A372</f>
        <v>0</v>
      </c>
      <c r="B370">
        <f>'Emissions Factors'!B372</f>
        <v>0</v>
      </c>
      <c r="C370" t="str">
        <f>'Emissions Factors'!C372</f>
        <v>Waste water</v>
      </c>
      <c r="D370" t="str">
        <f>'Emissions Factors'!D372</f>
        <v>Waste water treatment</v>
      </c>
      <c r="G370" t="str">
        <f t="shared" si="36"/>
        <v>Waste</v>
      </c>
      <c r="H370" t="str">
        <f t="shared" si="37"/>
        <v>Waste water</v>
      </c>
      <c r="I370" t="str">
        <f t="shared" si="38"/>
        <v>Waste water treatment</v>
      </c>
      <c r="J370" t="str">
        <f t="shared" si="39"/>
        <v>Waste waterWaste water treatment</v>
      </c>
      <c r="K370" t="str">
        <f>IF('Emissions Factors'!E372="","",'Emissions Factors'!E372)</f>
        <v>Litres</v>
      </c>
      <c r="L370" t="str">
        <f>IF('Emissions Factors'!F372="","",'Emissions Factors'!F372)</f>
        <v>Energy and Fuel</v>
      </c>
      <c r="M370">
        <f>IF('Emissions Factors'!G372="","",'Emissions Factors'!G372)</f>
        <v>1.8573999999999999E-4</v>
      </c>
      <c r="N370" t="str">
        <f>IF('Emissions Factors'!H372="","",'Emissions Factors'!H372)</f>
        <v>kgCO2e/l</v>
      </c>
      <c r="O370">
        <f>IF('[1]Emissions Factors'!I371="","",'[1]Emissions Factors'!I371)</f>
        <v>1E-3</v>
      </c>
      <c r="P370" t="str">
        <f>IF('Emissions Factors'!J372="",'Emissions Factors'!F372,'Emissions Factors'!J372)</f>
        <v>Carbon factor taken directly from Government Carbon Factors 2024 &gt; Water treatment</v>
      </c>
      <c r="R370">
        <v>0</v>
      </c>
      <c r="U370">
        <f t="shared" si="40"/>
        <v>11</v>
      </c>
      <c r="V370">
        <f t="shared" si="41"/>
        <v>21</v>
      </c>
    </row>
    <row r="371" spans="1:22" x14ac:dyDescent="0.3">
      <c r="A371">
        <f>'Emissions Factors'!A373</f>
        <v>0</v>
      </c>
      <c r="B371">
        <f>'Emissions Factors'!B373</f>
        <v>0</v>
      </c>
      <c r="C371" t="str">
        <f>'Emissions Factors'!C373</f>
        <v>Gully Waste and road sweepings</v>
      </c>
      <c r="D371" t="str">
        <f>'Emissions Factors'!D373</f>
        <v>Recycled</v>
      </c>
      <c r="G371" t="str">
        <f t="shared" si="36"/>
        <v>Waste</v>
      </c>
      <c r="H371" t="str">
        <f t="shared" si="37"/>
        <v>Gully Waste and road sweepings</v>
      </c>
      <c r="I371" t="str">
        <f t="shared" si="38"/>
        <v>Recycled</v>
      </c>
      <c r="J371" t="str">
        <f t="shared" si="39"/>
        <v>Gully Waste and road sweepingsRecycled</v>
      </c>
      <c r="K371" t="str">
        <f>IF('Emissions Factors'!E373="","",'Emissions Factors'!E373)</f>
        <v>tonnes</v>
      </c>
      <c r="L371" t="str">
        <f>IF('Emissions Factors'!F373="","",'Emissions Factors'!F373)</f>
        <v>Waste</v>
      </c>
      <c r="M371">
        <f>IF('Emissions Factors'!G373="","",'Emissions Factors'!G373)</f>
        <v>9.8485E-4</v>
      </c>
      <c r="N371" t="str">
        <f>IF('Emissions Factors'!H373="","",'Emissions Factors'!H373)</f>
        <v>tCO2e/t</v>
      </c>
      <c r="O371">
        <f>IF('[1]Emissions Factors'!I372="","",'[1]Emissions Factors'!I372)</f>
        <v>1</v>
      </c>
      <c r="P371" t="str">
        <f>IF('Emissions Factors'!J373="",'Emissions Factors'!F373,'Emissions Factors'!J373)</f>
        <v>Carbon factor taken directly from Government Carbon Factors 2024: Waste disposal &gt; Average Construction</v>
      </c>
      <c r="R371">
        <v>1</v>
      </c>
      <c r="U371">
        <f t="shared" si="40"/>
        <v>30</v>
      </c>
      <c r="V371">
        <f t="shared" si="41"/>
        <v>8</v>
      </c>
    </row>
    <row r="372" spans="1:22" x14ac:dyDescent="0.3">
      <c r="A372">
        <f>'Emissions Factors'!A374</f>
        <v>0</v>
      </c>
      <c r="B372">
        <f>'Emissions Factors'!B374</f>
        <v>0</v>
      </c>
      <c r="C372">
        <f>'Emissions Factors'!C374</f>
        <v>0</v>
      </c>
      <c r="D372" t="str">
        <f>'Emissions Factors'!D374</f>
        <v>Incineration (with energy recovery)</v>
      </c>
      <c r="G372" t="str">
        <f t="shared" si="36"/>
        <v>Waste</v>
      </c>
      <c r="H372" t="str">
        <f t="shared" si="37"/>
        <v>Gully Waste and road sweepings</v>
      </c>
      <c r="I372" t="str">
        <f t="shared" si="38"/>
        <v>Incineration (with energy recovery)</v>
      </c>
      <c r="J372" t="str">
        <f t="shared" si="39"/>
        <v>Gully Waste and road sweepingsIncineration (with energy recovery)</v>
      </c>
      <c r="K372" t="str">
        <f>IF('Emissions Factors'!E374="","",'Emissions Factors'!E374)</f>
        <v>tonnes</v>
      </c>
      <c r="L372" t="str">
        <f>IF('Emissions Factors'!F374="","",'Emissions Factors'!F374)</f>
        <v>Waste</v>
      </c>
      <c r="M372">
        <f>IF('Emissions Factors'!G374="","",'Emissions Factors'!G374)</f>
        <v>6.4106099999999997E-3</v>
      </c>
      <c r="N372" t="str">
        <f>IF('Emissions Factors'!H374="","",'Emissions Factors'!H374)</f>
        <v>tCO2e/t</v>
      </c>
      <c r="O372">
        <f>IF('[1]Emissions Factors'!I373="","",'[1]Emissions Factors'!I373)</f>
        <v>1</v>
      </c>
      <c r="P372" t="str">
        <f>IF('Emissions Factors'!J374="",'Emissions Factors'!F374,'Emissions Factors'!J374)</f>
        <v>Carbon factor taken directly from Government Carbon Factors 2024: Waste disposal &gt; Average of all construction wastes</v>
      </c>
      <c r="R372">
        <v>1</v>
      </c>
      <c r="U372">
        <f t="shared" si="40"/>
        <v>30</v>
      </c>
      <c r="V372">
        <f t="shared" si="41"/>
        <v>35</v>
      </c>
    </row>
    <row r="373" spans="1:22" x14ac:dyDescent="0.3">
      <c r="A373">
        <f>'Emissions Factors'!A375</f>
        <v>0</v>
      </c>
      <c r="B373">
        <f>'Emissions Factors'!B375</f>
        <v>0</v>
      </c>
      <c r="C373">
        <f>'Emissions Factors'!C375</f>
        <v>0</v>
      </c>
      <c r="D373" t="str">
        <f>'Emissions Factors'!D375</f>
        <v>Landfill</v>
      </c>
      <c r="G373" t="str">
        <f t="shared" ref="G373" si="42">IF(B373=0,G372,B373)</f>
        <v>Waste</v>
      </c>
      <c r="H373" t="str">
        <f t="shared" ref="H373" si="43">IF(C373=0,H372,C373)</f>
        <v>Gully Waste and road sweepings</v>
      </c>
      <c r="I373" t="str">
        <f t="shared" ref="I373" si="44">IF(D373=0,I372,D373)</f>
        <v>Landfill</v>
      </c>
      <c r="J373" t="str">
        <f t="shared" ref="J373" si="45">H373&amp;I373</f>
        <v>Gully Waste and road sweepingsLandfill</v>
      </c>
      <c r="K373" t="str">
        <f>IF('Emissions Factors'!E375="","",'Emissions Factors'!E375)</f>
        <v>tonnes</v>
      </c>
      <c r="L373" t="str">
        <f>IF('Emissions Factors'!F375="","",'Emissions Factors'!F375)</f>
        <v>Waste</v>
      </c>
      <c r="M373">
        <f>IF('Emissions Factors'!G375="","",'Emissions Factors'!G375)</f>
        <v>0.10300587400000001</v>
      </c>
      <c r="N373" t="str">
        <f>IF('Emissions Factors'!H375="","",'Emissions Factors'!H375)</f>
        <v>tCO2e/t</v>
      </c>
      <c r="O373">
        <f>IF('[1]Emissions Factors'!I374="","",'[1]Emissions Factors'!I374)</f>
        <v>1</v>
      </c>
      <c r="P373" t="str">
        <f>IF('Emissions Factors'!J375="",'Emissions Factors'!F375,'Emissions Factors'!J375)</f>
        <v>Carbon factor taken directly from Government Carbon Factors 2024: Waste disposal &gt; Average of all construction wastes</v>
      </c>
      <c r="R373">
        <v>1</v>
      </c>
      <c r="U373">
        <f t="shared" ref="U373" si="46">LEN(H373)</f>
        <v>30</v>
      </c>
      <c r="V373">
        <f t="shared" ref="V373" si="47">LEN(I373)</f>
        <v>8</v>
      </c>
    </row>
  </sheetData>
  <sheetProtection algorithmName="SHA-512" hashValue="E6asKFom+5S9NosLEL+LwMnGSwurJGyy9ov1AQp1exwGBjlDxACTu6mv41ABGcq3oJLfGg485Y9iE7TjhICd5A==" saltValue="SUzXDB2Hp0/jHhswjFd1Jw==" spinCount="100000" sheet="1" objects="1" scenarios="1"/>
  <pageMargins left="0.7" right="0.7" top="0.75" bottom="0.75" header="0.3" footer="0.3"/>
  <headerFooter>
    <oddFooter>&amp;C_x000D_&amp;1#&amp;"Verdana"&amp;7&amp;K000000 Confidential</oddFooter>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B2:CN68"/>
  <sheetViews>
    <sheetView showGridLines="0" topLeftCell="P1" zoomScale="115" zoomScaleNormal="115" zoomScalePageLayoutView="125" workbookViewId="0">
      <selection activeCell="T10" sqref="T10"/>
    </sheetView>
  </sheetViews>
  <sheetFormatPr defaultColWidth="8.6640625" defaultRowHeight="14.4" x14ac:dyDescent="0.3"/>
  <cols>
    <col min="2" max="2" width="39.5546875" bestFit="1" customWidth="1"/>
    <col min="3" max="4" width="14.33203125" bestFit="1" customWidth="1"/>
    <col min="5" max="5" width="10.6640625" customWidth="1"/>
    <col min="6" max="6" width="43.6640625" bestFit="1" customWidth="1"/>
    <col min="7" max="7" width="20.6640625" bestFit="1" customWidth="1"/>
    <col min="8" max="8" width="24.6640625" bestFit="1" customWidth="1"/>
    <col min="9" max="9" width="38.5546875" bestFit="1" customWidth="1"/>
    <col min="10" max="10" width="51.6640625" bestFit="1" customWidth="1"/>
    <col min="11" max="11" width="27.6640625" bestFit="1" customWidth="1"/>
    <col min="12" max="12" width="32.5546875" bestFit="1" customWidth="1"/>
    <col min="13" max="13" width="45.33203125" bestFit="1" customWidth="1"/>
    <col min="14" max="14" width="42.33203125" bestFit="1" customWidth="1"/>
    <col min="15" max="15" width="43.33203125" bestFit="1" customWidth="1"/>
    <col min="16" max="16" width="39.33203125" bestFit="1" customWidth="1"/>
    <col min="17" max="17" width="56.6640625" bestFit="1" customWidth="1"/>
    <col min="18" max="18" width="25.6640625" bestFit="1" customWidth="1"/>
    <col min="19" max="19" width="26.33203125" bestFit="1" customWidth="1"/>
    <col min="20" max="20" width="11.33203125" bestFit="1" customWidth="1"/>
    <col min="21" max="21" width="24.33203125" bestFit="1" customWidth="1"/>
    <col min="22" max="22" width="19.33203125" bestFit="1" customWidth="1"/>
    <col min="23" max="23" width="18.5546875" bestFit="1" customWidth="1"/>
    <col min="24" max="24" width="32.33203125" bestFit="1" customWidth="1"/>
    <col min="25" max="25" width="26.6640625" bestFit="1" customWidth="1"/>
    <col min="26" max="26" width="15.6640625" bestFit="1" customWidth="1"/>
    <col min="27" max="27" width="9" bestFit="1" customWidth="1"/>
    <col min="28" max="28" width="19.5546875" bestFit="1" customWidth="1"/>
    <col min="29" max="29" width="13.33203125" bestFit="1" customWidth="1"/>
    <col min="30" max="30" width="20.33203125" bestFit="1" customWidth="1"/>
    <col min="31" max="31" width="32.33203125" bestFit="1" customWidth="1"/>
    <col min="32" max="32" width="22.33203125" bestFit="1" customWidth="1"/>
    <col min="33" max="33" width="43" bestFit="1" customWidth="1"/>
    <col min="34" max="34" width="18" bestFit="1" customWidth="1"/>
    <col min="35" max="35" width="44.5546875" bestFit="1" customWidth="1"/>
    <col min="36" max="36" width="27.6640625" bestFit="1" customWidth="1"/>
    <col min="37" max="37" width="22.6640625" bestFit="1" customWidth="1"/>
    <col min="38" max="38" width="37.5546875" bestFit="1" customWidth="1"/>
    <col min="39" max="39" width="18.6640625" bestFit="1" customWidth="1"/>
    <col min="40" max="40" width="20.33203125" bestFit="1" customWidth="1"/>
    <col min="41" max="41" width="32.6640625" bestFit="1" customWidth="1"/>
    <col min="42" max="42" width="34.33203125" bestFit="1" customWidth="1"/>
    <col min="43" max="43" width="26.5546875" bestFit="1" customWidth="1"/>
    <col min="44" max="44" width="23.6640625" bestFit="1" customWidth="1"/>
    <col min="45" max="45" width="10.33203125" bestFit="1" customWidth="1"/>
    <col min="46" max="46" width="15" bestFit="1" customWidth="1"/>
    <col min="47" max="47" width="13.6640625" bestFit="1" customWidth="1"/>
    <col min="48" max="48" width="24" bestFit="1" customWidth="1"/>
    <col min="49" max="49" width="30.5546875" bestFit="1" customWidth="1"/>
    <col min="50" max="50" width="35.6640625" bestFit="1" customWidth="1"/>
    <col min="51" max="51" width="7.6640625" bestFit="1" customWidth="1"/>
    <col min="52" max="52" width="19.6640625" bestFit="1" customWidth="1"/>
    <col min="53" max="53" width="17.33203125" bestFit="1" customWidth="1"/>
    <col min="54" max="55" width="23.6640625" bestFit="1" customWidth="1"/>
    <col min="56" max="56" width="9" bestFit="1" customWidth="1"/>
    <col min="57" max="57" width="17.33203125" bestFit="1" customWidth="1"/>
    <col min="58" max="58" width="12.5546875" bestFit="1" customWidth="1"/>
    <col min="59" max="59" width="12.33203125" bestFit="1" customWidth="1"/>
    <col min="60" max="60" width="25.6640625" bestFit="1" customWidth="1"/>
    <col min="61" max="61" width="16" bestFit="1" customWidth="1"/>
    <col min="62" max="62" width="11.6640625" bestFit="1" customWidth="1"/>
    <col min="63" max="63" width="29.33203125" bestFit="1" customWidth="1"/>
    <col min="64" max="64" width="9" bestFit="1" customWidth="1"/>
    <col min="65" max="65" width="20.33203125" bestFit="1" customWidth="1"/>
    <col min="66" max="66" width="12.33203125" bestFit="1" customWidth="1"/>
    <col min="67" max="67" width="9" bestFit="1" customWidth="1"/>
    <col min="68" max="68" width="13.6640625" bestFit="1" customWidth="1"/>
    <col min="69" max="69" width="24" bestFit="1" customWidth="1"/>
    <col min="70" max="70" width="28.33203125" bestFit="1" customWidth="1"/>
    <col min="71" max="71" width="22.33203125" bestFit="1" customWidth="1"/>
    <col min="72" max="72" width="54.33203125" bestFit="1" customWidth="1"/>
    <col min="73" max="73" width="9.33203125" bestFit="1" customWidth="1"/>
    <col min="74" max="74" width="20.33203125" bestFit="1" customWidth="1"/>
    <col min="75" max="75" width="14.6640625" bestFit="1" customWidth="1"/>
    <col min="76" max="76" width="14.6640625" customWidth="1"/>
    <col min="77" max="77" width="49.6640625" bestFit="1" customWidth="1"/>
    <col min="78" max="78" width="27.6640625" bestFit="1" customWidth="1"/>
    <col min="79" max="79" width="19.33203125" bestFit="1" customWidth="1"/>
    <col min="80" max="80" width="10.33203125" bestFit="1" customWidth="1"/>
    <col min="81" max="81" width="8.6640625" bestFit="1" customWidth="1"/>
    <col min="82" max="82" width="44.33203125" bestFit="1" customWidth="1"/>
    <col min="83" max="83" width="18.5546875" bestFit="1" customWidth="1"/>
    <col min="84" max="84" width="26.33203125" bestFit="1" customWidth="1"/>
    <col min="85" max="85" width="18" bestFit="1" customWidth="1"/>
    <col min="86" max="86" width="9.33203125" bestFit="1" customWidth="1"/>
    <col min="87" max="87" width="14.33203125" bestFit="1" customWidth="1"/>
    <col min="88" max="89" width="14.6640625" bestFit="1" customWidth="1"/>
    <col min="90" max="91" width="14.6640625" customWidth="1"/>
    <col min="92" max="92" width="14.33203125" bestFit="1" customWidth="1"/>
  </cols>
  <sheetData>
    <row r="2" spans="2:92" x14ac:dyDescent="0.3">
      <c r="M2" s="530"/>
      <c r="N2" s="530"/>
      <c r="O2" s="530"/>
      <c r="P2" s="530"/>
      <c r="Q2" s="530"/>
      <c r="R2" s="530"/>
      <c r="S2" s="530"/>
      <c r="T2" s="530"/>
      <c r="U2" s="530"/>
    </row>
    <row r="3" spans="2:92" x14ac:dyDescent="0.3">
      <c r="M3" s="530"/>
      <c r="N3" s="530"/>
      <c r="O3" s="530"/>
      <c r="P3" s="530"/>
      <c r="Q3" s="530"/>
      <c r="R3" s="530"/>
      <c r="S3" s="530"/>
      <c r="T3" s="530"/>
      <c r="U3" s="530"/>
    </row>
    <row r="4" spans="2:92" x14ac:dyDescent="0.3">
      <c r="M4" s="530"/>
      <c r="N4" s="530"/>
      <c r="O4" s="530"/>
      <c r="P4" s="530"/>
      <c r="Q4" s="530"/>
      <c r="R4" s="530"/>
      <c r="S4" s="530"/>
      <c r="T4" s="530"/>
      <c r="U4" s="530"/>
    </row>
    <row r="7" spans="2:92" s="4" customFormat="1" ht="43.2" x14ac:dyDescent="0.3">
      <c r="B7" s="7" t="s">
        <v>195</v>
      </c>
      <c r="C7" s="7" t="s">
        <v>194</v>
      </c>
      <c r="D7" s="7" t="s">
        <v>193</v>
      </c>
      <c r="E7" s="8"/>
      <c r="F7" s="4" t="s">
        <v>192</v>
      </c>
      <c r="G7" s="4" t="s">
        <v>430</v>
      </c>
      <c r="H7" s="4" t="s">
        <v>25</v>
      </c>
      <c r="I7" s="4" t="s">
        <v>46</v>
      </c>
      <c r="J7" s="4" t="s">
        <v>24</v>
      </c>
      <c r="K7" s="4" t="s">
        <v>26</v>
      </c>
      <c r="L7" s="4" t="s">
        <v>27</v>
      </c>
      <c r="M7" s="4" t="s">
        <v>28</v>
      </c>
      <c r="N7" s="4" t="s">
        <v>551</v>
      </c>
      <c r="O7" s="4" t="s">
        <v>246</v>
      </c>
      <c r="P7" s="4" t="s">
        <v>29</v>
      </c>
      <c r="Q7" s="4" t="s">
        <v>429</v>
      </c>
      <c r="R7" s="4" t="s">
        <v>428</v>
      </c>
      <c r="S7" s="4" t="s">
        <v>426</v>
      </c>
      <c r="T7" s="4" t="s">
        <v>424</v>
      </c>
      <c r="U7" s="4" t="s">
        <v>671</v>
      </c>
      <c r="V7" s="4" t="s">
        <v>498</v>
      </c>
      <c r="W7" s="4" t="s">
        <v>499</v>
      </c>
      <c r="X7" s="4" t="s">
        <v>502</v>
      </c>
      <c r="Y7" s="4" t="s">
        <v>504</v>
      </c>
      <c r="Z7" s="4" t="s">
        <v>354</v>
      </c>
      <c r="AA7" s="4" t="s">
        <v>58</v>
      </c>
      <c r="AB7" s="4" t="s">
        <v>63</v>
      </c>
      <c r="AC7" s="4" t="s">
        <v>520</v>
      </c>
      <c r="AD7" s="4" t="s">
        <v>414</v>
      </c>
      <c r="AE7" s="4" t="s">
        <v>413</v>
      </c>
      <c r="AF7" s="4" t="s">
        <v>412</v>
      </c>
      <c r="AG7" s="4" t="s">
        <v>411</v>
      </c>
      <c r="AH7" s="4" t="s">
        <v>410</v>
      </c>
      <c r="AI7" s="4" t="s">
        <v>409</v>
      </c>
      <c r="AJ7" s="4" t="s">
        <v>407</v>
      </c>
      <c r="AK7" s="4" t="s">
        <v>686</v>
      </c>
      <c r="AL7" s="4" t="s">
        <v>403</v>
      </c>
      <c r="AM7" s="4" t="s">
        <v>394</v>
      </c>
      <c r="AN7" s="4" t="s">
        <v>390</v>
      </c>
      <c r="AO7" s="4" t="s">
        <v>389</v>
      </c>
      <c r="AP7" s="4" t="s">
        <v>387</v>
      </c>
      <c r="AQ7" s="4" t="s">
        <v>370</v>
      </c>
      <c r="AR7" s="4" t="s">
        <v>367</v>
      </c>
      <c r="AS7" s="4" t="s">
        <v>74</v>
      </c>
      <c r="AT7" s="4" t="s">
        <v>76</v>
      </c>
      <c r="AU7" s="4" t="s">
        <v>77</v>
      </c>
      <c r="AV7" s="4" t="s">
        <v>79</v>
      </c>
      <c r="AW7" s="4" t="s">
        <v>357</v>
      </c>
      <c r="AX7" s="4" t="s">
        <v>594</v>
      </c>
      <c r="AY7" s="4" t="s">
        <v>87</v>
      </c>
      <c r="AZ7" s="4" t="s">
        <v>88</v>
      </c>
      <c r="BA7" s="4" t="s">
        <v>90</v>
      </c>
      <c r="BB7" s="4" t="s">
        <v>349</v>
      </c>
      <c r="BC7" s="4" t="s">
        <v>528</v>
      </c>
      <c r="BD7" s="4" t="s">
        <v>339</v>
      </c>
      <c r="BE7" s="4" t="s">
        <v>529</v>
      </c>
      <c r="BF7" s="4" t="s">
        <v>233</v>
      </c>
      <c r="BG7" s="4" t="s">
        <v>94</v>
      </c>
      <c r="BH7" s="4" t="s">
        <v>533</v>
      </c>
      <c r="BI7" s="4" t="s">
        <v>96</v>
      </c>
      <c r="BJ7" s="4" t="s">
        <v>534</v>
      </c>
      <c r="BK7" s="4" t="s">
        <v>334</v>
      </c>
      <c r="BL7" s="4" t="s">
        <v>98</v>
      </c>
      <c r="BM7" s="4" t="s">
        <v>101</v>
      </c>
      <c r="BN7" s="4" t="s">
        <v>95</v>
      </c>
      <c r="BO7" s="4" t="s">
        <v>68</v>
      </c>
      <c r="BP7" s="4" t="s">
        <v>102</v>
      </c>
      <c r="BQ7" s="4" t="s">
        <v>105</v>
      </c>
      <c r="BR7" s="4" t="s">
        <v>107</v>
      </c>
      <c r="BS7" s="4" t="s">
        <v>550</v>
      </c>
      <c r="BT7" s="4" t="s">
        <v>552</v>
      </c>
      <c r="BU7" s="4" t="s">
        <v>331</v>
      </c>
      <c r="BV7" s="4" t="s">
        <v>563</v>
      </c>
      <c r="BW7" s="4" t="s">
        <v>566</v>
      </c>
      <c r="BX7" s="4" t="s">
        <v>733</v>
      </c>
      <c r="BY7" s="4" t="s">
        <v>567</v>
      </c>
      <c r="BZ7" s="4" t="s">
        <v>568</v>
      </c>
      <c r="CA7" s="4" t="s">
        <v>569</v>
      </c>
      <c r="CB7" s="4" t="s">
        <v>124</v>
      </c>
      <c r="CC7" s="4" t="s">
        <v>65</v>
      </c>
      <c r="CD7" s="4" t="s">
        <v>119</v>
      </c>
      <c r="CE7" s="4" t="s">
        <v>570</v>
      </c>
      <c r="CF7" s="4" t="s">
        <v>125</v>
      </c>
      <c r="CG7" s="4" t="s">
        <v>126</v>
      </c>
      <c r="CH7" s="4" t="s">
        <v>127</v>
      </c>
      <c r="CI7" s="4" t="s">
        <v>128</v>
      </c>
      <c r="CJ7" s="4" t="s">
        <v>571</v>
      </c>
      <c r="CK7" s="4" t="s">
        <v>573</v>
      </c>
      <c r="CL7" s="4" t="s">
        <v>639</v>
      </c>
      <c r="CM7" s="4" t="s">
        <v>740</v>
      </c>
      <c r="CN7" s="4" t="s">
        <v>574</v>
      </c>
    </row>
    <row r="8" spans="2:92" x14ac:dyDescent="0.3">
      <c r="B8" t="s">
        <v>430</v>
      </c>
      <c r="C8" t="s">
        <v>191</v>
      </c>
      <c r="D8" t="s">
        <v>81</v>
      </c>
      <c r="F8" t="s">
        <v>430</v>
      </c>
      <c r="G8" t="s">
        <v>429</v>
      </c>
      <c r="H8" t="s">
        <v>499</v>
      </c>
      <c r="I8" t="s">
        <v>58</v>
      </c>
      <c r="J8" t="s">
        <v>413</v>
      </c>
      <c r="K8" t="s">
        <v>594</v>
      </c>
      <c r="L8" t="s">
        <v>90</v>
      </c>
      <c r="M8" t="s">
        <v>334</v>
      </c>
      <c r="N8" t="s">
        <v>552</v>
      </c>
      <c r="O8" t="s">
        <v>563</v>
      </c>
      <c r="P8" t="s">
        <v>567</v>
      </c>
      <c r="Q8" t="s">
        <v>494</v>
      </c>
      <c r="R8" t="s">
        <v>649</v>
      </c>
      <c r="S8" t="s">
        <v>425</v>
      </c>
      <c r="T8" t="s">
        <v>423</v>
      </c>
      <c r="U8" t="s">
        <v>672</v>
      </c>
      <c r="V8" t="s">
        <v>498</v>
      </c>
      <c r="W8" t="s">
        <v>500</v>
      </c>
      <c r="X8" t="s">
        <v>355</v>
      </c>
      <c r="Y8" t="s">
        <v>427</v>
      </c>
      <c r="Z8" t="s">
        <v>506</v>
      </c>
      <c r="AA8" t="s">
        <v>508</v>
      </c>
      <c r="AB8" t="s">
        <v>421</v>
      </c>
      <c r="AC8" t="s">
        <v>418</v>
      </c>
      <c r="AD8" t="s">
        <v>69</v>
      </c>
      <c r="AE8" t="s">
        <v>393</v>
      </c>
      <c r="AF8" t="s">
        <v>393</v>
      </c>
      <c r="AG8" t="s">
        <v>393</v>
      </c>
      <c r="AH8" t="s">
        <v>393</v>
      </c>
      <c r="AI8" t="s">
        <v>402</v>
      </c>
      <c r="AJ8" t="s">
        <v>406</v>
      </c>
      <c r="AK8" t="s">
        <v>392</v>
      </c>
      <c r="AL8" t="s">
        <v>393</v>
      </c>
      <c r="AM8" t="s">
        <v>393</v>
      </c>
      <c r="AN8" t="s">
        <v>523</v>
      </c>
      <c r="AO8" t="s">
        <v>388</v>
      </c>
      <c r="AP8" t="s">
        <v>386</v>
      </c>
      <c r="AQ8" t="s">
        <v>365</v>
      </c>
      <c r="AR8" t="s">
        <v>366</v>
      </c>
      <c r="AS8" t="s">
        <v>363</v>
      </c>
      <c r="AT8" t="s">
        <v>360</v>
      </c>
      <c r="AU8" t="s">
        <v>523</v>
      </c>
      <c r="AV8" t="s">
        <v>358</v>
      </c>
      <c r="AW8" t="s">
        <v>356</v>
      </c>
      <c r="AX8" t="s">
        <v>722</v>
      </c>
      <c r="AY8" t="s">
        <v>352</v>
      </c>
      <c r="AZ8" t="s">
        <v>89</v>
      </c>
      <c r="BA8" t="s">
        <v>91</v>
      </c>
      <c r="BB8" t="s">
        <v>348</v>
      </c>
      <c r="BC8" t="s">
        <v>346</v>
      </c>
      <c r="BD8" t="s">
        <v>338</v>
      </c>
      <c r="BE8" t="s">
        <v>530</v>
      </c>
      <c r="BF8" t="s">
        <v>723</v>
      </c>
      <c r="BG8" t="s">
        <v>531</v>
      </c>
      <c r="BH8" t="s">
        <v>336</v>
      </c>
      <c r="BI8" t="s">
        <v>97</v>
      </c>
      <c r="BJ8" t="s">
        <v>535</v>
      </c>
      <c r="BK8" t="s">
        <v>230</v>
      </c>
      <c r="BL8" t="s">
        <v>99</v>
      </c>
      <c r="BM8" t="s">
        <v>333</v>
      </c>
      <c r="BN8" t="s">
        <v>539</v>
      </c>
      <c r="BO8" t="s">
        <v>547</v>
      </c>
      <c r="BP8" t="s">
        <v>103</v>
      </c>
      <c r="BQ8" t="s">
        <v>106</v>
      </c>
      <c r="BR8" t="s">
        <v>548</v>
      </c>
      <c r="BS8" t="s">
        <v>108</v>
      </c>
      <c r="BT8" t="s">
        <v>110</v>
      </c>
      <c r="BU8" t="s">
        <v>558</v>
      </c>
      <c r="BV8" t="s">
        <v>564</v>
      </c>
      <c r="BW8" t="s">
        <v>564</v>
      </c>
      <c r="BX8" t="s">
        <v>734</v>
      </c>
      <c r="BY8" t="s">
        <v>80</v>
      </c>
      <c r="BZ8" t="s">
        <v>80</v>
      </c>
      <c r="CA8" t="s">
        <v>122</v>
      </c>
      <c r="CB8" t="s">
        <v>80</v>
      </c>
      <c r="CC8" t="s">
        <v>80</v>
      </c>
      <c r="CD8" t="s">
        <v>80</v>
      </c>
      <c r="CE8" t="s">
        <v>80</v>
      </c>
      <c r="CF8" t="s">
        <v>80</v>
      </c>
      <c r="CG8" t="s">
        <v>80</v>
      </c>
      <c r="CH8" t="s">
        <v>80</v>
      </c>
      <c r="CI8" t="s">
        <v>80</v>
      </c>
      <c r="CJ8" t="s">
        <v>80</v>
      </c>
      <c r="CK8" t="s">
        <v>80</v>
      </c>
      <c r="CL8" t="s">
        <v>80</v>
      </c>
      <c r="CM8" t="s">
        <v>741</v>
      </c>
      <c r="CN8" t="s">
        <v>122</v>
      </c>
    </row>
    <row r="9" spans="2:92" x14ac:dyDescent="0.3">
      <c r="B9" t="s">
        <v>46</v>
      </c>
      <c r="C9" t="s">
        <v>191</v>
      </c>
      <c r="F9" t="s">
        <v>25</v>
      </c>
      <c r="G9" t="s">
        <v>428</v>
      </c>
      <c r="H9" t="s">
        <v>502</v>
      </c>
      <c r="I9" t="s">
        <v>63</v>
      </c>
      <c r="J9" t="s">
        <v>412</v>
      </c>
      <c r="K9" t="s">
        <v>87</v>
      </c>
      <c r="L9" t="s">
        <v>349</v>
      </c>
      <c r="M9" t="s">
        <v>98</v>
      </c>
      <c r="N9" t="s">
        <v>331</v>
      </c>
      <c r="O9" t="s">
        <v>566</v>
      </c>
      <c r="P9" t="s">
        <v>568</v>
      </c>
      <c r="Q9" t="s">
        <v>797</v>
      </c>
      <c r="R9" t="s">
        <v>650</v>
      </c>
      <c r="T9" t="s">
        <v>732</v>
      </c>
      <c r="U9" t="s">
        <v>673</v>
      </c>
      <c r="W9" t="s">
        <v>501</v>
      </c>
      <c r="Y9" t="s">
        <v>82</v>
      </c>
      <c r="AA9" t="s">
        <v>509</v>
      </c>
      <c r="AB9" t="s">
        <v>420</v>
      </c>
      <c r="AC9" t="s">
        <v>417</v>
      </c>
      <c r="AD9" t="s">
        <v>71</v>
      </c>
      <c r="AE9" t="s">
        <v>402</v>
      </c>
      <c r="AF9" t="s">
        <v>402</v>
      </c>
      <c r="AG9" t="s">
        <v>402</v>
      </c>
      <c r="AH9" t="s">
        <v>402</v>
      </c>
      <c r="AI9" t="s">
        <v>392</v>
      </c>
      <c r="AK9" t="s">
        <v>401</v>
      </c>
      <c r="AL9" t="s">
        <v>402</v>
      </c>
      <c r="AM9" t="s">
        <v>392</v>
      </c>
      <c r="AP9" t="s">
        <v>385</v>
      </c>
      <c r="AQ9" t="s">
        <v>369</v>
      </c>
      <c r="AR9" t="s">
        <v>365</v>
      </c>
      <c r="AS9" t="s">
        <v>362</v>
      </c>
      <c r="AT9" t="s">
        <v>359</v>
      </c>
      <c r="AU9" t="s">
        <v>78</v>
      </c>
      <c r="AV9" t="s">
        <v>73</v>
      </c>
      <c r="AX9" t="s">
        <v>525</v>
      </c>
      <c r="AY9" t="s">
        <v>351</v>
      </c>
      <c r="BA9" t="s">
        <v>61</v>
      </c>
      <c r="BB9" t="s">
        <v>347</v>
      </c>
      <c r="BC9" t="s">
        <v>345</v>
      </c>
      <c r="BD9" t="s">
        <v>93</v>
      </c>
      <c r="BE9" t="s">
        <v>393</v>
      </c>
      <c r="BG9" t="s">
        <v>337</v>
      </c>
      <c r="BH9" t="s">
        <v>335</v>
      </c>
      <c r="BK9" t="s">
        <v>721</v>
      </c>
      <c r="BL9" t="s">
        <v>100</v>
      </c>
      <c r="BM9" t="s">
        <v>332</v>
      </c>
      <c r="BN9" t="s">
        <v>540</v>
      </c>
      <c r="BP9" t="s">
        <v>535</v>
      </c>
      <c r="BQ9" t="s">
        <v>104</v>
      </c>
      <c r="BR9" t="s">
        <v>549</v>
      </c>
      <c r="BT9" t="s">
        <v>112</v>
      </c>
      <c r="BU9" t="s">
        <v>560</v>
      </c>
      <c r="BV9" t="s">
        <v>565</v>
      </c>
      <c r="BW9" t="s">
        <v>565</v>
      </c>
      <c r="BX9" t="s">
        <v>735</v>
      </c>
      <c r="BY9" t="s">
        <v>122</v>
      </c>
      <c r="BZ9" t="s">
        <v>122</v>
      </c>
      <c r="CA9" t="s">
        <v>123</v>
      </c>
      <c r="CB9" t="s">
        <v>122</v>
      </c>
      <c r="CC9" t="s">
        <v>122</v>
      </c>
      <c r="CD9" t="s">
        <v>120</v>
      </c>
      <c r="CE9" t="s">
        <v>120</v>
      </c>
      <c r="CF9" t="s">
        <v>120</v>
      </c>
      <c r="CG9" t="s">
        <v>122</v>
      </c>
      <c r="CH9" t="s">
        <v>122</v>
      </c>
      <c r="CI9" t="s">
        <v>122</v>
      </c>
      <c r="CJ9" t="s">
        <v>572</v>
      </c>
      <c r="CK9" t="s">
        <v>122</v>
      </c>
      <c r="CL9" t="s">
        <v>122</v>
      </c>
      <c r="CN9" t="s">
        <v>81</v>
      </c>
    </row>
    <row r="10" spans="2:92" x14ac:dyDescent="0.3">
      <c r="B10" t="s">
        <v>191</v>
      </c>
      <c r="C10" t="s">
        <v>191</v>
      </c>
      <c r="F10" t="s">
        <v>46</v>
      </c>
      <c r="G10" t="s">
        <v>426</v>
      </c>
      <c r="H10" t="s">
        <v>504</v>
      </c>
      <c r="I10" t="s">
        <v>520</v>
      </c>
      <c r="J10" t="s">
        <v>411</v>
      </c>
      <c r="K10" t="s">
        <v>88</v>
      </c>
      <c r="L10" t="s">
        <v>528</v>
      </c>
      <c r="M10" t="s">
        <v>101</v>
      </c>
      <c r="O10" t="s">
        <v>733</v>
      </c>
      <c r="P10" t="s">
        <v>569</v>
      </c>
      <c r="Q10" t="s">
        <v>798</v>
      </c>
      <c r="R10" t="s">
        <v>651</v>
      </c>
      <c r="T10" t="s">
        <v>932</v>
      </c>
      <c r="U10" t="s">
        <v>674</v>
      </c>
      <c r="Y10" t="s">
        <v>83</v>
      </c>
      <c r="AA10" t="s">
        <v>422</v>
      </c>
      <c r="AB10" t="s">
        <v>419</v>
      </c>
      <c r="AC10" t="s">
        <v>416</v>
      </c>
      <c r="AE10" t="s">
        <v>392</v>
      </c>
      <c r="AF10" t="s">
        <v>392</v>
      </c>
      <c r="AG10" t="s">
        <v>392</v>
      </c>
      <c r="AH10" t="s">
        <v>392</v>
      </c>
      <c r="AI10" t="s">
        <v>401</v>
      </c>
      <c r="AK10" t="s">
        <v>400</v>
      </c>
      <c r="AL10" t="s">
        <v>392</v>
      </c>
      <c r="AM10" t="s">
        <v>391</v>
      </c>
      <c r="AP10" t="s">
        <v>384</v>
      </c>
      <c r="AQ10" t="s">
        <v>368</v>
      </c>
      <c r="AR10" t="s">
        <v>364</v>
      </c>
      <c r="AS10" t="s">
        <v>361</v>
      </c>
      <c r="AX10" t="s">
        <v>724</v>
      </c>
      <c r="AY10" t="s">
        <v>350</v>
      </c>
      <c r="BC10" t="s">
        <v>344</v>
      </c>
      <c r="BK10" t="s">
        <v>109</v>
      </c>
      <c r="BL10" t="s">
        <v>537</v>
      </c>
      <c r="BM10" t="s">
        <v>538</v>
      </c>
      <c r="BN10" t="s">
        <v>541</v>
      </c>
      <c r="BT10" t="s">
        <v>554</v>
      </c>
      <c r="BU10" t="s">
        <v>562</v>
      </c>
      <c r="BV10" t="s">
        <v>329</v>
      </c>
      <c r="BW10" t="s">
        <v>329</v>
      </c>
      <c r="BX10" t="s">
        <v>736</v>
      </c>
      <c r="BY10" t="s">
        <v>81</v>
      </c>
      <c r="BZ10" t="s">
        <v>81</v>
      </c>
      <c r="CA10" t="s">
        <v>81</v>
      </c>
      <c r="CB10" t="s">
        <v>81</v>
      </c>
      <c r="CC10" t="s">
        <v>81</v>
      </c>
      <c r="CD10" t="s">
        <v>81</v>
      </c>
      <c r="CE10" t="s">
        <v>122</v>
      </c>
      <c r="CF10" t="s">
        <v>81</v>
      </c>
      <c r="CG10" t="s">
        <v>81</v>
      </c>
      <c r="CH10" t="s">
        <v>81</v>
      </c>
      <c r="CI10" t="s">
        <v>81</v>
      </c>
      <c r="CJ10" t="s">
        <v>81</v>
      </c>
      <c r="CL10" t="s">
        <v>81</v>
      </c>
    </row>
    <row r="11" spans="2:92" x14ac:dyDescent="0.3">
      <c r="B11" t="s">
        <v>191</v>
      </c>
      <c r="C11" t="s">
        <v>191</v>
      </c>
      <c r="F11" t="s">
        <v>24</v>
      </c>
      <c r="G11" t="s">
        <v>424</v>
      </c>
      <c r="H11" t="s">
        <v>354</v>
      </c>
      <c r="I11" t="s">
        <v>414</v>
      </c>
      <c r="J11" t="s">
        <v>410</v>
      </c>
      <c r="L11" t="s">
        <v>339</v>
      </c>
      <c r="M11" t="s">
        <v>95</v>
      </c>
      <c r="P11" t="s">
        <v>124</v>
      </c>
      <c r="Q11" t="s">
        <v>799</v>
      </c>
      <c r="R11" t="s">
        <v>652</v>
      </c>
      <c r="U11" t="s">
        <v>675</v>
      </c>
      <c r="Y11" t="s">
        <v>84</v>
      </c>
      <c r="AA11" t="s">
        <v>510</v>
      </c>
      <c r="AB11" t="s">
        <v>511</v>
      </c>
      <c r="AC11" t="s">
        <v>415</v>
      </c>
      <c r="AE11" t="s">
        <v>401</v>
      </c>
      <c r="AF11" t="s">
        <v>401</v>
      </c>
      <c r="AG11" t="s">
        <v>401</v>
      </c>
      <c r="AI11" t="s">
        <v>400</v>
      </c>
      <c r="AK11" t="s">
        <v>399</v>
      </c>
      <c r="AL11" t="s">
        <v>401</v>
      </c>
      <c r="AP11" t="s">
        <v>383</v>
      </c>
      <c r="AS11" t="s">
        <v>688</v>
      </c>
      <c r="AX11" t="s">
        <v>725</v>
      </c>
      <c r="BC11" t="s">
        <v>343</v>
      </c>
      <c r="BK11" t="s">
        <v>536</v>
      </c>
      <c r="BN11" t="s">
        <v>542</v>
      </c>
      <c r="BT11" t="s">
        <v>557</v>
      </c>
      <c r="BX11" t="s">
        <v>737</v>
      </c>
      <c r="CE11" t="s">
        <v>123</v>
      </c>
    </row>
    <row r="12" spans="2:92" x14ac:dyDescent="0.3">
      <c r="B12" t="s">
        <v>191</v>
      </c>
      <c r="C12" t="s">
        <v>191</v>
      </c>
      <c r="F12" t="s">
        <v>26</v>
      </c>
      <c r="G12" t="s">
        <v>671</v>
      </c>
      <c r="J12" t="s">
        <v>409</v>
      </c>
      <c r="L12" t="s">
        <v>529</v>
      </c>
      <c r="M12" t="s">
        <v>68</v>
      </c>
      <c r="P12" t="s">
        <v>65</v>
      </c>
      <c r="Q12" t="s">
        <v>800</v>
      </c>
      <c r="R12" t="s">
        <v>653</v>
      </c>
      <c r="U12" t="s">
        <v>676</v>
      </c>
      <c r="AB12" t="s">
        <v>512</v>
      </c>
      <c r="AE12" t="s">
        <v>400</v>
      </c>
      <c r="AF12" t="s">
        <v>400</v>
      </c>
      <c r="AG12" t="s">
        <v>400</v>
      </c>
      <c r="AI12" t="s">
        <v>399</v>
      </c>
      <c r="AK12" t="s">
        <v>398</v>
      </c>
      <c r="AL12" t="s">
        <v>400</v>
      </c>
      <c r="AP12" t="s">
        <v>382</v>
      </c>
      <c r="BC12" t="s">
        <v>342</v>
      </c>
      <c r="BN12" t="s">
        <v>543</v>
      </c>
      <c r="BT12" t="s">
        <v>113</v>
      </c>
      <c r="BX12" t="s">
        <v>738</v>
      </c>
      <c r="CE12" t="s">
        <v>81</v>
      </c>
    </row>
    <row r="13" spans="2:92" x14ac:dyDescent="0.3">
      <c r="B13" t="s">
        <v>191</v>
      </c>
      <c r="C13" t="s">
        <v>191</v>
      </c>
      <c r="F13" t="s">
        <v>27</v>
      </c>
      <c r="G13" t="s">
        <v>498</v>
      </c>
      <c r="J13" t="s">
        <v>407</v>
      </c>
      <c r="L13" t="s">
        <v>233</v>
      </c>
      <c r="M13" t="s">
        <v>102</v>
      </c>
      <c r="P13" t="s">
        <v>119</v>
      </c>
      <c r="Q13" t="s">
        <v>801</v>
      </c>
      <c r="R13" t="s">
        <v>654</v>
      </c>
      <c r="U13" t="s">
        <v>677</v>
      </c>
      <c r="AB13" t="s">
        <v>513</v>
      </c>
      <c r="AE13" t="s">
        <v>399</v>
      </c>
      <c r="AF13" t="s">
        <v>399</v>
      </c>
      <c r="AG13" t="s">
        <v>399</v>
      </c>
      <c r="AI13" t="s">
        <v>398</v>
      </c>
      <c r="AK13" t="s">
        <v>397</v>
      </c>
      <c r="AL13" t="s">
        <v>399</v>
      </c>
      <c r="AP13" t="s">
        <v>381</v>
      </c>
      <c r="BC13" t="s">
        <v>341</v>
      </c>
      <c r="BN13" t="s">
        <v>544</v>
      </c>
      <c r="BT13" t="s">
        <v>114</v>
      </c>
      <c r="BX13" t="s">
        <v>739</v>
      </c>
    </row>
    <row r="14" spans="2:92" x14ac:dyDescent="0.3">
      <c r="B14" t="s">
        <v>191</v>
      </c>
      <c r="C14" t="s">
        <v>191</v>
      </c>
      <c r="F14" t="s">
        <v>28</v>
      </c>
      <c r="J14" t="s">
        <v>686</v>
      </c>
      <c r="L14" t="s">
        <v>94</v>
      </c>
      <c r="M14" t="s">
        <v>105</v>
      </c>
      <c r="P14" t="s">
        <v>570</v>
      </c>
      <c r="Q14" t="s">
        <v>690</v>
      </c>
      <c r="R14" t="s">
        <v>655</v>
      </c>
      <c r="U14" t="s">
        <v>678</v>
      </c>
      <c r="AB14" t="s">
        <v>514</v>
      </c>
      <c r="AE14" t="s">
        <v>398</v>
      </c>
      <c r="AF14" t="s">
        <v>398</v>
      </c>
      <c r="AG14" t="s">
        <v>398</v>
      </c>
      <c r="AI14" t="s">
        <v>397</v>
      </c>
      <c r="AK14" t="s">
        <v>396</v>
      </c>
      <c r="AL14" t="s">
        <v>398</v>
      </c>
      <c r="AP14" t="s">
        <v>380</v>
      </c>
      <c r="BC14" t="s">
        <v>340</v>
      </c>
      <c r="BN14" t="s">
        <v>545</v>
      </c>
      <c r="BT14" t="s">
        <v>115</v>
      </c>
      <c r="BX14" t="s">
        <v>752</v>
      </c>
    </row>
    <row r="15" spans="2:92" x14ac:dyDescent="0.3">
      <c r="F15" t="s">
        <v>551</v>
      </c>
      <c r="J15" t="s">
        <v>403</v>
      </c>
      <c r="L15" t="s">
        <v>533</v>
      </c>
      <c r="M15" t="s">
        <v>107</v>
      </c>
      <c r="P15" t="s">
        <v>125</v>
      </c>
      <c r="Q15" t="s">
        <v>691</v>
      </c>
      <c r="R15" t="s">
        <v>656</v>
      </c>
      <c r="U15" t="s">
        <v>679</v>
      </c>
      <c r="AB15" t="s">
        <v>515</v>
      </c>
      <c r="AE15" t="s">
        <v>397</v>
      </c>
      <c r="AF15" t="s">
        <v>397</v>
      </c>
      <c r="AG15" t="s">
        <v>397</v>
      </c>
      <c r="AI15" t="s">
        <v>396</v>
      </c>
      <c r="AK15" t="s">
        <v>395</v>
      </c>
      <c r="AL15" t="s">
        <v>397</v>
      </c>
      <c r="AP15" t="s">
        <v>379</v>
      </c>
      <c r="BN15" t="s">
        <v>546</v>
      </c>
      <c r="BT15" t="s">
        <v>747</v>
      </c>
      <c r="BX15" t="s">
        <v>751</v>
      </c>
    </row>
    <row r="16" spans="2:92" x14ac:dyDescent="0.3">
      <c r="F16" t="s">
        <v>246</v>
      </c>
      <c r="J16" t="s">
        <v>394</v>
      </c>
      <c r="L16" t="s">
        <v>96</v>
      </c>
      <c r="M16" t="s">
        <v>550</v>
      </c>
      <c r="P16" t="s">
        <v>126</v>
      </c>
      <c r="Q16" t="s">
        <v>692</v>
      </c>
      <c r="R16" t="s">
        <v>657</v>
      </c>
      <c r="U16" t="s">
        <v>680</v>
      </c>
      <c r="AB16" t="s">
        <v>516</v>
      </c>
      <c r="AE16" t="s">
        <v>396</v>
      </c>
      <c r="AF16" t="s">
        <v>396</v>
      </c>
      <c r="AG16" t="s">
        <v>396</v>
      </c>
      <c r="AI16" t="s">
        <v>408</v>
      </c>
      <c r="AK16" t="s">
        <v>405</v>
      </c>
      <c r="AL16" t="s">
        <v>396</v>
      </c>
      <c r="AP16" t="s">
        <v>378</v>
      </c>
      <c r="BT16" t="s">
        <v>748</v>
      </c>
    </row>
    <row r="17" spans="2:72" x14ac:dyDescent="0.3">
      <c r="F17" t="s">
        <v>29</v>
      </c>
      <c r="J17" t="s">
        <v>390</v>
      </c>
      <c r="L17" t="s">
        <v>534</v>
      </c>
      <c r="P17" t="s">
        <v>127</v>
      </c>
      <c r="Q17" t="s">
        <v>693</v>
      </c>
      <c r="R17" t="s">
        <v>658</v>
      </c>
      <c r="U17" t="s">
        <v>681</v>
      </c>
      <c r="AB17" t="s">
        <v>517</v>
      </c>
      <c r="AI17" t="s">
        <v>395</v>
      </c>
      <c r="AK17" t="s">
        <v>404</v>
      </c>
      <c r="AL17" t="s">
        <v>395</v>
      </c>
      <c r="AP17" t="s">
        <v>377</v>
      </c>
      <c r="BT17" t="s">
        <v>765</v>
      </c>
    </row>
    <row r="18" spans="2:72" x14ac:dyDescent="0.3">
      <c r="B18" s="6" t="s">
        <v>190</v>
      </c>
      <c r="J18" t="s">
        <v>389</v>
      </c>
      <c r="P18" t="s">
        <v>128</v>
      </c>
      <c r="Q18" t="s">
        <v>694</v>
      </c>
      <c r="R18" t="s">
        <v>659</v>
      </c>
      <c r="U18" t="s">
        <v>682</v>
      </c>
      <c r="AB18" t="s">
        <v>518</v>
      </c>
      <c r="AP18" t="s">
        <v>376</v>
      </c>
      <c r="BT18" t="s">
        <v>749</v>
      </c>
    </row>
    <row r="19" spans="2:72" x14ac:dyDescent="0.3">
      <c r="B19" s="5">
        <v>2</v>
      </c>
      <c r="J19" t="s">
        <v>387</v>
      </c>
      <c r="P19" t="s">
        <v>571</v>
      </c>
      <c r="Q19" t="s">
        <v>802</v>
      </c>
      <c r="R19" t="s">
        <v>660</v>
      </c>
      <c r="AB19" t="s">
        <v>519</v>
      </c>
      <c r="AP19" t="s">
        <v>375</v>
      </c>
      <c r="BT19" t="s">
        <v>750</v>
      </c>
    </row>
    <row r="20" spans="2:72" x14ac:dyDescent="0.3">
      <c r="J20" t="s">
        <v>370</v>
      </c>
      <c r="P20" t="s">
        <v>573</v>
      </c>
      <c r="Q20" t="s">
        <v>803</v>
      </c>
      <c r="R20" t="s">
        <v>661</v>
      </c>
      <c r="AP20" t="s">
        <v>374</v>
      </c>
      <c r="BT20" t="s">
        <v>764</v>
      </c>
    </row>
    <row r="21" spans="2:72" x14ac:dyDescent="0.3">
      <c r="J21" t="s">
        <v>367</v>
      </c>
      <c r="P21" t="s">
        <v>574</v>
      </c>
      <c r="Q21" t="s">
        <v>804</v>
      </c>
      <c r="R21" t="s">
        <v>662</v>
      </c>
      <c r="AP21" t="s">
        <v>373</v>
      </c>
      <c r="BT21" t="s">
        <v>116</v>
      </c>
    </row>
    <row r="22" spans="2:72" x14ac:dyDescent="0.3">
      <c r="J22" t="s">
        <v>74</v>
      </c>
      <c r="P22" t="s">
        <v>639</v>
      </c>
      <c r="Q22" t="s">
        <v>805</v>
      </c>
      <c r="R22" t="s">
        <v>663</v>
      </c>
      <c r="AP22" t="s">
        <v>372</v>
      </c>
      <c r="BT22" t="s">
        <v>117</v>
      </c>
    </row>
    <row r="23" spans="2:72" x14ac:dyDescent="0.3">
      <c r="J23" t="s">
        <v>76</v>
      </c>
      <c r="P23" t="s">
        <v>740</v>
      </c>
      <c r="Q23" t="s">
        <v>806</v>
      </c>
      <c r="R23" t="s">
        <v>664</v>
      </c>
      <c r="AP23" t="s">
        <v>371</v>
      </c>
    </row>
    <row r="24" spans="2:72" x14ac:dyDescent="0.3">
      <c r="J24" t="s">
        <v>77</v>
      </c>
      <c r="Q24" t="s">
        <v>695</v>
      </c>
      <c r="R24" t="s">
        <v>665</v>
      </c>
    </row>
    <row r="25" spans="2:72" x14ac:dyDescent="0.3">
      <c r="J25" t="s">
        <v>79</v>
      </c>
      <c r="Q25" t="s">
        <v>696</v>
      </c>
      <c r="R25" t="s">
        <v>666</v>
      </c>
    </row>
    <row r="26" spans="2:72" x14ac:dyDescent="0.3">
      <c r="J26" t="s">
        <v>357</v>
      </c>
      <c r="Q26" t="s">
        <v>697</v>
      </c>
      <c r="R26" t="s">
        <v>667</v>
      </c>
    </row>
    <row r="27" spans="2:72" x14ac:dyDescent="0.3">
      <c r="Q27" t="s">
        <v>698</v>
      </c>
      <c r="R27" t="s">
        <v>668</v>
      </c>
    </row>
    <row r="28" spans="2:72" x14ac:dyDescent="0.3">
      <c r="Q28" t="s">
        <v>699</v>
      </c>
      <c r="R28" t="s">
        <v>669</v>
      </c>
    </row>
    <row r="29" spans="2:72" x14ac:dyDescent="0.3">
      <c r="Q29" t="s">
        <v>807</v>
      </c>
      <c r="R29" t="s">
        <v>670</v>
      </c>
    </row>
    <row r="30" spans="2:72" x14ac:dyDescent="0.3">
      <c r="Q30" t="s">
        <v>808</v>
      </c>
    </row>
    <row r="31" spans="2:72" x14ac:dyDescent="0.3">
      <c r="Q31" t="s">
        <v>809</v>
      </c>
    </row>
    <row r="32" spans="2:72" x14ac:dyDescent="0.3">
      <c r="Q32" t="s">
        <v>810</v>
      </c>
    </row>
    <row r="33" spans="17:17" x14ac:dyDescent="0.3">
      <c r="Q33" t="s">
        <v>811</v>
      </c>
    </row>
    <row r="34" spans="17:17" x14ac:dyDescent="0.3">
      <c r="Q34" t="s">
        <v>700</v>
      </c>
    </row>
    <row r="35" spans="17:17" x14ac:dyDescent="0.3">
      <c r="Q35" t="s">
        <v>701</v>
      </c>
    </row>
    <row r="36" spans="17:17" x14ac:dyDescent="0.3">
      <c r="Q36" t="s">
        <v>702</v>
      </c>
    </row>
    <row r="37" spans="17:17" x14ac:dyDescent="0.3">
      <c r="Q37" t="s">
        <v>703</v>
      </c>
    </row>
    <row r="38" spans="17:17" x14ac:dyDescent="0.3">
      <c r="Q38" t="s">
        <v>704</v>
      </c>
    </row>
    <row r="39" spans="17:17" x14ac:dyDescent="0.3">
      <c r="Q39" t="s">
        <v>812</v>
      </c>
    </row>
    <row r="40" spans="17:17" x14ac:dyDescent="0.3">
      <c r="Q40" t="s">
        <v>813</v>
      </c>
    </row>
    <row r="41" spans="17:17" x14ac:dyDescent="0.3">
      <c r="Q41" t="s">
        <v>814</v>
      </c>
    </row>
    <row r="42" spans="17:17" x14ac:dyDescent="0.3">
      <c r="Q42" t="s">
        <v>815</v>
      </c>
    </row>
    <row r="43" spans="17:17" x14ac:dyDescent="0.3">
      <c r="Q43" t="s">
        <v>816</v>
      </c>
    </row>
    <row r="44" spans="17:17" x14ac:dyDescent="0.3">
      <c r="Q44" t="s">
        <v>705</v>
      </c>
    </row>
    <row r="45" spans="17:17" x14ac:dyDescent="0.3">
      <c r="Q45" t="s">
        <v>706</v>
      </c>
    </row>
    <row r="46" spans="17:17" x14ac:dyDescent="0.3">
      <c r="Q46" t="s">
        <v>707</v>
      </c>
    </row>
    <row r="47" spans="17:17" x14ac:dyDescent="0.3">
      <c r="Q47" t="s">
        <v>708</v>
      </c>
    </row>
    <row r="48" spans="17:17" x14ac:dyDescent="0.3">
      <c r="Q48" t="s">
        <v>709</v>
      </c>
    </row>
    <row r="49" spans="17:17" x14ac:dyDescent="0.3">
      <c r="Q49" t="s">
        <v>817</v>
      </c>
    </row>
    <row r="50" spans="17:17" x14ac:dyDescent="0.3">
      <c r="Q50" t="s">
        <v>818</v>
      </c>
    </row>
    <row r="51" spans="17:17" x14ac:dyDescent="0.3">
      <c r="Q51" t="s">
        <v>819</v>
      </c>
    </row>
    <row r="52" spans="17:17" x14ac:dyDescent="0.3">
      <c r="Q52" t="s">
        <v>820</v>
      </c>
    </row>
    <row r="53" spans="17:17" x14ac:dyDescent="0.3">
      <c r="Q53" t="s">
        <v>821</v>
      </c>
    </row>
    <row r="54" spans="17:17" x14ac:dyDescent="0.3">
      <c r="Q54" t="s">
        <v>710</v>
      </c>
    </row>
    <row r="55" spans="17:17" x14ac:dyDescent="0.3">
      <c r="Q55" t="s">
        <v>711</v>
      </c>
    </row>
    <row r="56" spans="17:17" x14ac:dyDescent="0.3">
      <c r="Q56" t="s">
        <v>712</v>
      </c>
    </row>
    <row r="57" spans="17:17" x14ac:dyDescent="0.3">
      <c r="Q57" t="s">
        <v>713</v>
      </c>
    </row>
    <row r="58" spans="17:17" x14ac:dyDescent="0.3">
      <c r="Q58" t="s">
        <v>714</v>
      </c>
    </row>
    <row r="59" spans="17:17" x14ac:dyDescent="0.3">
      <c r="Q59" t="s">
        <v>822</v>
      </c>
    </row>
    <row r="60" spans="17:17" x14ac:dyDescent="0.3">
      <c r="Q60" t="s">
        <v>823</v>
      </c>
    </row>
    <row r="61" spans="17:17" x14ac:dyDescent="0.3">
      <c r="Q61" t="s">
        <v>715</v>
      </c>
    </row>
    <row r="62" spans="17:17" x14ac:dyDescent="0.3">
      <c r="Q62" t="s">
        <v>824</v>
      </c>
    </row>
    <row r="63" spans="17:17" x14ac:dyDescent="0.3">
      <c r="Q63" t="s">
        <v>825</v>
      </c>
    </row>
    <row r="64" spans="17:17" x14ac:dyDescent="0.3">
      <c r="Q64" t="s">
        <v>716</v>
      </c>
    </row>
    <row r="65" spans="17:17" x14ac:dyDescent="0.3">
      <c r="Q65" t="s">
        <v>717</v>
      </c>
    </row>
    <row r="66" spans="17:17" x14ac:dyDescent="0.3">
      <c r="Q66" t="s">
        <v>718</v>
      </c>
    </row>
    <row r="67" spans="17:17" x14ac:dyDescent="0.3">
      <c r="Q67" t="s">
        <v>719</v>
      </c>
    </row>
    <row r="68" spans="17:17" x14ac:dyDescent="0.3">
      <c r="Q68" t="s">
        <v>720</v>
      </c>
    </row>
  </sheetData>
  <sheetProtection algorithmName="SHA-512" hashValue="sqdMC6Mmy6Yy9ZMPYFsl83I+aL/RJxn7i4+KQhG5O3I/n97xJrJGbbSdRCM6x2YjU0v1x6mxhWfle2qfkTE4fg==" saltValue="CH+VMPcbBeRkYnjceigmpA==" spinCount="100000" sheet="1" objects="1" scenarios="1"/>
  <mergeCells count="1">
    <mergeCell ref="M2:U4"/>
  </mergeCells>
  <dataValidations count="2">
    <dataValidation type="list" allowBlank="1" showInputMessage="1" showErrorMessage="1" sqref="C8:D14" xr:uid="{00000000-0002-0000-0800-000000000000}">
      <formula1>sublist_fencing</formula1>
    </dataValidation>
    <dataValidation type="list" allowBlank="1" showInputMessage="1" showErrorMessage="1" sqref="B8:B14" xr:uid="{00000000-0002-0000-0800-000001000000}">
      <formula1>MainList</formula1>
    </dataValidation>
  </dataValidations>
  <pageMargins left="0.7" right="0.7" top="0.75" bottom="0.75" header="0.3" footer="0.3"/>
  <pageSetup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Option Button 1">
              <controlPr defaultSize="0" autoFill="0" autoLine="0" autoPict="0">
                <anchor moveWithCells="1">
                  <from>
                    <xdr:col>1</xdr:col>
                    <xdr:colOff>0</xdr:colOff>
                    <xdr:row>19</xdr:row>
                    <xdr:rowOff>68580</xdr:rowOff>
                  </from>
                  <to>
                    <xdr:col>2</xdr:col>
                    <xdr:colOff>723900</xdr:colOff>
                    <xdr:row>20</xdr:row>
                    <xdr:rowOff>68580</xdr:rowOff>
                  </to>
                </anchor>
              </controlPr>
            </control>
          </mc:Choice>
        </mc:AlternateContent>
        <mc:AlternateContent xmlns:mc="http://schemas.openxmlformats.org/markup-compatibility/2006">
          <mc:Choice Requires="x14">
            <control shapeId="67586" r:id="rId5" name="Option Button 2">
              <controlPr defaultSize="0" autoFill="0" autoLine="0" autoPict="0">
                <anchor moveWithCells="1">
                  <from>
                    <xdr:col>1</xdr:col>
                    <xdr:colOff>0</xdr:colOff>
                    <xdr:row>20</xdr:row>
                    <xdr:rowOff>68580</xdr:rowOff>
                  </from>
                  <to>
                    <xdr:col>2</xdr:col>
                    <xdr:colOff>411480</xdr:colOff>
                    <xdr:row>21</xdr:row>
                    <xdr:rowOff>68580</xdr:rowOff>
                  </to>
                </anchor>
              </controlPr>
            </control>
          </mc:Choice>
        </mc:AlternateContent>
      </controls>
    </mc:Choice>
  </mc:AlternateContent>
  <tableParts count="2">
    <tablePart r:id="rId6"/>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autoPageBreaks="0"/>
  </sheetPr>
  <dimension ref="A1:AP86"/>
  <sheetViews>
    <sheetView showGridLines="0" showRowColHeaders="0" zoomScaleNormal="100" zoomScalePageLayoutView="80" workbookViewId="0">
      <pane ySplit="5" topLeftCell="A6" activePane="bottomLeft" state="frozen"/>
      <selection activeCell="A9" sqref="A9"/>
      <selection pane="bottomLeft" activeCell="E21" sqref="E21"/>
    </sheetView>
  </sheetViews>
  <sheetFormatPr defaultColWidth="0" defaultRowHeight="14.4" zeroHeight="1" x14ac:dyDescent="0.3"/>
  <cols>
    <col min="1" max="1" width="3" style="14" customWidth="1"/>
    <col min="2" max="2" width="41.6640625" style="14" bestFit="1" customWidth="1"/>
    <col min="3" max="3" width="7.6640625" style="14" bestFit="1" customWidth="1"/>
    <col min="4" max="4" width="18.6640625" style="14" bestFit="1" customWidth="1"/>
    <col min="5" max="5" width="105.33203125" style="14" customWidth="1"/>
    <col min="6" max="7" width="9.33203125" style="14" hidden="1" customWidth="1"/>
    <col min="8" max="8" width="15.33203125" style="14" hidden="1" customWidth="1"/>
    <col min="9" max="9" width="5" style="14" hidden="1" customWidth="1"/>
    <col min="10" max="10" width="3" style="14" customWidth="1"/>
    <col min="11" max="16384" width="9.33203125" style="14" hidden="1"/>
  </cols>
  <sheetData>
    <row r="1" spans="1:42" s="56" customFormat="1" ht="43.5" customHeight="1" x14ac:dyDescent="0.25">
      <c r="A1" s="55"/>
      <c r="Q1" s="57"/>
      <c r="AC1" s="447"/>
      <c r="AD1" s="447"/>
      <c r="AE1" s="447"/>
      <c r="AM1" s="58"/>
      <c r="AN1" s="447"/>
      <c r="AO1" s="447"/>
      <c r="AP1" s="447"/>
    </row>
    <row r="2" spans="1:42" s="56" customFormat="1" ht="72" customHeight="1" x14ac:dyDescent="0.25">
      <c r="B2" s="49"/>
      <c r="Q2" s="57"/>
      <c r="AM2" s="58"/>
    </row>
    <row r="3" spans="1:42" customFormat="1" ht="30.75" customHeight="1" x14ac:dyDescent="0.5">
      <c r="A3" s="34"/>
      <c r="B3" s="44" t="s">
        <v>129</v>
      </c>
      <c r="C3" s="34"/>
      <c r="D3" s="34"/>
      <c r="E3" s="34"/>
      <c r="F3" s="34"/>
    </row>
    <row r="4" spans="1:42" customFormat="1" ht="25.8" x14ac:dyDescent="0.5">
      <c r="A4" s="34"/>
      <c r="B4" s="44"/>
      <c r="C4" s="34"/>
      <c r="D4" s="34"/>
      <c r="E4" s="34"/>
      <c r="F4" s="34"/>
    </row>
    <row r="5" spans="1:42" ht="27" customHeight="1" x14ac:dyDescent="0.3">
      <c r="A5" s="85"/>
      <c r="B5" s="198" t="s">
        <v>130</v>
      </c>
      <c r="C5" s="198" t="s">
        <v>131</v>
      </c>
      <c r="D5" s="198" t="s">
        <v>132</v>
      </c>
      <c r="E5" s="198" t="s">
        <v>133</v>
      </c>
      <c r="F5" s="85"/>
    </row>
    <row r="6" spans="1:42" ht="15.75" customHeight="1" x14ac:dyDescent="0.3">
      <c r="A6" s="85"/>
      <c r="B6" s="38" t="s">
        <v>134</v>
      </c>
      <c r="C6" s="281">
        <v>1.5</v>
      </c>
      <c r="D6" s="38" t="s">
        <v>135</v>
      </c>
      <c r="E6" s="36" t="s">
        <v>234</v>
      </c>
      <c r="F6" s="85"/>
    </row>
    <row r="7" spans="1:42" ht="15.75" customHeight="1" x14ac:dyDescent="0.3">
      <c r="A7" s="85"/>
      <c r="B7" s="38" t="s">
        <v>136</v>
      </c>
      <c r="C7" s="86">
        <v>1.86</v>
      </c>
      <c r="D7" s="38" t="s">
        <v>135</v>
      </c>
      <c r="E7" s="36" t="s">
        <v>234</v>
      </c>
      <c r="F7" s="85"/>
    </row>
    <row r="8" spans="1:42" ht="15.75" customHeight="1" x14ac:dyDescent="0.3">
      <c r="A8" s="85"/>
      <c r="B8" s="38" t="s">
        <v>202</v>
      </c>
      <c r="C8" s="86">
        <v>1.86</v>
      </c>
      <c r="D8" s="38" t="s">
        <v>135</v>
      </c>
      <c r="E8" s="36" t="s">
        <v>234</v>
      </c>
      <c r="F8" s="85"/>
    </row>
    <row r="9" spans="1:42" ht="15.75" customHeight="1" x14ac:dyDescent="0.3">
      <c r="A9" s="85"/>
      <c r="B9" s="38" t="s">
        <v>203</v>
      </c>
      <c r="C9" s="86">
        <v>1.86</v>
      </c>
      <c r="D9" s="38" t="s">
        <v>135</v>
      </c>
      <c r="E9" s="36" t="s">
        <v>234</v>
      </c>
      <c r="F9" s="85"/>
    </row>
    <row r="10" spans="1:42" ht="15.75" customHeight="1" x14ac:dyDescent="0.3">
      <c r="A10" s="85"/>
      <c r="B10" s="38" t="s">
        <v>204</v>
      </c>
      <c r="C10" s="86">
        <v>1.86</v>
      </c>
      <c r="D10" s="38" t="s">
        <v>135</v>
      </c>
      <c r="E10" s="36" t="s">
        <v>234</v>
      </c>
      <c r="F10" s="85"/>
    </row>
    <row r="11" spans="1:42" ht="15.75" customHeight="1" x14ac:dyDescent="0.3">
      <c r="A11" s="85"/>
      <c r="B11" s="38" t="s">
        <v>205</v>
      </c>
      <c r="C11" s="86">
        <v>1.86</v>
      </c>
      <c r="D11" s="38" t="s">
        <v>135</v>
      </c>
      <c r="E11" s="36" t="s">
        <v>234</v>
      </c>
      <c r="F11" s="85"/>
    </row>
    <row r="12" spans="1:42" ht="15.75" customHeight="1" x14ac:dyDescent="0.3">
      <c r="A12" s="85"/>
      <c r="B12" s="38" t="s">
        <v>206</v>
      </c>
      <c r="C12" s="86">
        <v>1.5</v>
      </c>
      <c r="D12" s="38" t="s">
        <v>135</v>
      </c>
      <c r="E12" s="36" t="s">
        <v>234</v>
      </c>
      <c r="F12" s="85"/>
    </row>
    <row r="13" spans="1:42" ht="15.75" customHeight="1" x14ac:dyDescent="0.3">
      <c r="A13" s="85"/>
      <c r="B13" s="38" t="s">
        <v>207</v>
      </c>
      <c r="C13" s="86">
        <v>1.5</v>
      </c>
      <c r="D13" s="38" t="s">
        <v>135</v>
      </c>
      <c r="E13" s="36" t="s">
        <v>234</v>
      </c>
      <c r="F13" s="85"/>
    </row>
    <row r="14" spans="1:42" ht="15.75" customHeight="1" x14ac:dyDescent="0.3">
      <c r="A14" s="85"/>
      <c r="B14" s="38" t="s">
        <v>208</v>
      </c>
      <c r="C14" s="86">
        <v>1.86</v>
      </c>
      <c r="D14" s="38" t="s">
        <v>135</v>
      </c>
      <c r="E14" s="36" t="s">
        <v>234</v>
      </c>
      <c r="F14" s="85"/>
    </row>
    <row r="15" spans="1:42" ht="15.75" customHeight="1" x14ac:dyDescent="0.3">
      <c r="A15" s="85"/>
      <c r="B15" s="38" t="s">
        <v>209</v>
      </c>
      <c r="C15" s="86">
        <v>8.9</v>
      </c>
      <c r="D15" s="38" t="s">
        <v>487</v>
      </c>
      <c r="E15" s="36" t="s">
        <v>234</v>
      </c>
      <c r="F15" s="85"/>
    </row>
    <row r="16" spans="1:42" ht="15.75" customHeight="1" x14ac:dyDescent="0.3">
      <c r="A16" s="85"/>
      <c r="B16" s="38" t="s">
        <v>210</v>
      </c>
      <c r="C16" s="86">
        <v>8.9</v>
      </c>
      <c r="D16" s="38" t="s">
        <v>487</v>
      </c>
      <c r="E16" s="36" t="s">
        <v>234</v>
      </c>
      <c r="F16" s="85"/>
    </row>
    <row r="17" spans="1:6" ht="15.75" customHeight="1" x14ac:dyDescent="0.3">
      <c r="A17" s="85"/>
      <c r="B17" s="38" t="s">
        <v>211</v>
      </c>
      <c r="C17" s="86">
        <v>8</v>
      </c>
      <c r="D17" s="38" t="s">
        <v>487</v>
      </c>
      <c r="E17" s="36" t="s">
        <v>234</v>
      </c>
      <c r="F17" s="85"/>
    </row>
    <row r="18" spans="1:6" ht="15.75" customHeight="1" x14ac:dyDescent="0.3">
      <c r="A18" s="85"/>
      <c r="B18" s="38" t="s">
        <v>212</v>
      </c>
      <c r="C18" s="86">
        <v>2.7</v>
      </c>
      <c r="D18" s="38" t="s">
        <v>487</v>
      </c>
      <c r="E18" s="36" t="s">
        <v>234</v>
      </c>
      <c r="F18" s="85"/>
    </row>
    <row r="19" spans="1:6" ht="15.75" customHeight="1" x14ac:dyDescent="0.3">
      <c r="A19" s="85"/>
      <c r="B19" s="38" t="s">
        <v>213</v>
      </c>
      <c r="C19" s="86">
        <v>11.34</v>
      </c>
      <c r="D19" s="38" t="s">
        <v>214</v>
      </c>
      <c r="E19" s="36" t="s">
        <v>234</v>
      </c>
      <c r="F19" s="85"/>
    </row>
    <row r="20" spans="1:6" ht="15.75" customHeight="1" x14ac:dyDescent="0.3">
      <c r="A20" s="85"/>
      <c r="B20" s="38" t="s">
        <v>215</v>
      </c>
      <c r="C20" s="86">
        <v>1.2</v>
      </c>
      <c r="D20" s="38" t="s">
        <v>216</v>
      </c>
      <c r="E20" s="36" t="s">
        <v>234</v>
      </c>
      <c r="F20" s="85"/>
    </row>
    <row r="21" spans="1:6" ht="15.75" customHeight="1" x14ac:dyDescent="0.3">
      <c r="A21" s="85"/>
      <c r="B21" s="38" t="s">
        <v>217</v>
      </c>
      <c r="C21" s="86">
        <v>1.9</v>
      </c>
      <c r="D21" s="38" t="s">
        <v>135</v>
      </c>
      <c r="E21" s="36" t="s">
        <v>234</v>
      </c>
      <c r="F21" s="85"/>
    </row>
    <row r="22" spans="1:6" ht="15.75" customHeight="1" x14ac:dyDescent="0.3">
      <c r="A22" s="85"/>
      <c r="B22" s="38" t="s">
        <v>488</v>
      </c>
      <c r="C22" s="86">
        <v>1.4</v>
      </c>
      <c r="D22" s="38" t="s">
        <v>135</v>
      </c>
      <c r="E22" s="36" t="s">
        <v>234</v>
      </c>
      <c r="F22" s="85"/>
    </row>
    <row r="23" spans="1:6" ht="15.75" customHeight="1" x14ac:dyDescent="0.3">
      <c r="A23" s="85"/>
      <c r="B23" s="38" t="s">
        <v>218</v>
      </c>
      <c r="C23" s="86">
        <v>2</v>
      </c>
      <c r="D23" s="38" t="s">
        <v>135</v>
      </c>
      <c r="E23" s="36" t="s">
        <v>234</v>
      </c>
      <c r="F23" s="85"/>
    </row>
    <row r="24" spans="1:6" ht="15.75" customHeight="1" x14ac:dyDescent="0.3">
      <c r="A24" s="85"/>
      <c r="B24" s="38" t="s">
        <v>75</v>
      </c>
      <c r="C24" s="86">
        <v>2</v>
      </c>
      <c r="D24" s="38" t="s">
        <v>135</v>
      </c>
      <c r="E24" s="36" t="s">
        <v>234</v>
      </c>
      <c r="F24" s="85"/>
    </row>
    <row r="25" spans="1:6" ht="15.75" customHeight="1" x14ac:dyDescent="0.3">
      <c r="A25" s="85"/>
      <c r="B25" s="38" t="s">
        <v>219</v>
      </c>
      <c r="C25" s="86">
        <v>2.2999999999999998</v>
      </c>
      <c r="D25" s="38" t="s">
        <v>135</v>
      </c>
      <c r="E25" s="36" t="s">
        <v>234</v>
      </c>
      <c r="F25" s="85"/>
    </row>
    <row r="26" spans="1:6" ht="15.75" customHeight="1" x14ac:dyDescent="0.3">
      <c r="A26" s="85"/>
      <c r="B26" s="38" t="s">
        <v>86</v>
      </c>
      <c r="C26" s="86">
        <v>1</v>
      </c>
      <c r="D26" s="38" t="s">
        <v>135</v>
      </c>
      <c r="E26" s="36" t="s">
        <v>234</v>
      </c>
      <c r="F26" s="85"/>
    </row>
    <row r="27" spans="1:6" ht="15.75" customHeight="1" x14ac:dyDescent="0.3">
      <c r="A27" s="85"/>
      <c r="B27" s="38" t="s">
        <v>220</v>
      </c>
      <c r="C27" s="86">
        <v>2.2999999999999998</v>
      </c>
      <c r="D27" s="38" t="s">
        <v>489</v>
      </c>
      <c r="E27" s="36" t="s">
        <v>234</v>
      </c>
      <c r="F27" s="85"/>
    </row>
    <row r="28" spans="1:6" ht="15.75" customHeight="1" x14ac:dyDescent="0.3">
      <c r="A28" s="85"/>
      <c r="B28" s="38" t="s">
        <v>221</v>
      </c>
      <c r="C28" s="86">
        <v>1.9</v>
      </c>
      <c r="D28" s="38" t="s">
        <v>135</v>
      </c>
      <c r="E28" s="36" t="s">
        <v>234</v>
      </c>
      <c r="F28" s="85"/>
    </row>
    <row r="29" spans="1:6" ht="15.75" customHeight="1" x14ac:dyDescent="0.3">
      <c r="A29" s="85"/>
      <c r="B29" s="38" t="s">
        <v>222</v>
      </c>
      <c r="C29" s="86">
        <v>1.85</v>
      </c>
      <c r="D29" s="38" t="s">
        <v>135</v>
      </c>
      <c r="E29" s="36" t="s">
        <v>234</v>
      </c>
      <c r="F29" s="85"/>
    </row>
    <row r="30" spans="1:6" ht="15.75" customHeight="1" x14ac:dyDescent="0.3">
      <c r="A30" s="85"/>
      <c r="B30" s="38" t="s">
        <v>223</v>
      </c>
      <c r="C30" s="86">
        <v>1.7</v>
      </c>
      <c r="D30" s="38" t="s">
        <v>135</v>
      </c>
      <c r="E30" s="36" t="s">
        <v>234</v>
      </c>
      <c r="F30" s="85"/>
    </row>
    <row r="31" spans="1:6" ht="15.75" customHeight="1" x14ac:dyDescent="0.3">
      <c r="A31" s="85"/>
      <c r="B31" s="38" t="s">
        <v>224</v>
      </c>
      <c r="C31" s="86">
        <v>2</v>
      </c>
      <c r="D31" s="38" t="s">
        <v>135</v>
      </c>
      <c r="E31" s="36" t="s">
        <v>234</v>
      </c>
      <c r="F31" s="85"/>
    </row>
    <row r="32" spans="1:6" ht="15.75" customHeight="1" x14ac:dyDescent="0.3">
      <c r="A32" s="85"/>
      <c r="B32" s="38" t="s">
        <v>225</v>
      </c>
      <c r="C32" s="86">
        <v>2</v>
      </c>
      <c r="D32" s="38" t="s">
        <v>135</v>
      </c>
      <c r="E32" s="36" t="s">
        <v>234</v>
      </c>
      <c r="F32" s="85"/>
    </row>
    <row r="33" spans="1:6" ht="15.75" customHeight="1" x14ac:dyDescent="0.3">
      <c r="A33" s="85"/>
      <c r="B33" s="38" t="s">
        <v>226</v>
      </c>
      <c r="C33" s="86">
        <v>2.7</v>
      </c>
      <c r="D33" s="38" t="s">
        <v>135</v>
      </c>
      <c r="E33" s="36" t="s">
        <v>234</v>
      </c>
      <c r="F33" s="85"/>
    </row>
    <row r="34" spans="1:6" ht="15.75" customHeight="1" x14ac:dyDescent="0.3">
      <c r="A34" s="85"/>
      <c r="B34" s="38" t="s">
        <v>227</v>
      </c>
      <c r="C34" s="86">
        <v>0.5</v>
      </c>
      <c r="D34" s="38" t="s">
        <v>135</v>
      </c>
      <c r="E34" s="36" t="s">
        <v>234</v>
      </c>
      <c r="F34" s="85"/>
    </row>
    <row r="35" spans="1:6" ht="15.75" customHeight="1" x14ac:dyDescent="0.3">
      <c r="A35" s="85"/>
      <c r="B35" s="38" t="s">
        <v>229</v>
      </c>
      <c r="C35" s="86">
        <v>0.75</v>
      </c>
      <c r="D35" s="38" t="s">
        <v>228</v>
      </c>
      <c r="E35" s="36" t="s">
        <v>234</v>
      </c>
      <c r="F35" s="85"/>
    </row>
    <row r="36" spans="1:6" ht="15.75" customHeight="1" x14ac:dyDescent="0.3">
      <c r="A36" s="85"/>
      <c r="B36" s="38" t="s">
        <v>230</v>
      </c>
      <c r="C36" s="86">
        <v>0.54</v>
      </c>
      <c r="D36" s="38" t="s">
        <v>135</v>
      </c>
      <c r="E36" s="36" t="s">
        <v>234</v>
      </c>
      <c r="F36" s="85"/>
    </row>
    <row r="37" spans="1:6" ht="15.75" customHeight="1" x14ac:dyDescent="0.3">
      <c r="A37" s="85"/>
      <c r="B37" s="38" t="s">
        <v>231</v>
      </c>
      <c r="C37" s="86">
        <v>0.6</v>
      </c>
      <c r="D37" s="38" t="s">
        <v>135</v>
      </c>
      <c r="E37" s="36" t="s">
        <v>234</v>
      </c>
      <c r="F37" s="85"/>
    </row>
    <row r="38" spans="1:6" ht="15.75" customHeight="1" x14ac:dyDescent="0.3">
      <c r="A38" s="85"/>
      <c r="B38" s="38" t="s">
        <v>232</v>
      </c>
      <c r="C38" s="86">
        <v>0.5</v>
      </c>
      <c r="D38" s="38" t="s">
        <v>135</v>
      </c>
      <c r="E38" s="36" t="s">
        <v>234</v>
      </c>
      <c r="F38" s="85"/>
    </row>
    <row r="39" spans="1:6" ht="15.75" customHeight="1" x14ac:dyDescent="0.3">
      <c r="A39" s="85"/>
      <c r="B39" s="38" t="s">
        <v>62</v>
      </c>
      <c r="C39" s="86">
        <v>2.4</v>
      </c>
      <c r="D39" s="38" t="s">
        <v>135</v>
      </c>
      <c r="E39" s="36" t="s">
        <v>234</v>
      </c>
      <c r="F39" s="85"/>
    </row>
    <row r="40" spans="1:6" x14ac:dyDescent="0.3"/>
    <row r="81" x14ac:dyDescent="0.3"/>
    <row r="82" x14ac:dyDescent="0.3"/>
    <row r="83" x14ac:dyDescent="0.3"/>
    <row r="84" x14ac:dyDescent="0.3"/>
    <row r="85" x14ac:dyDescent="0.3"/>
    <row r="86" x14ac:dyDescent="0.3"/>
  </sheetData>
  <sheetProtection algorithmName="SHA-512" hashValue="PNCJSU8/H3k0aekDKfWbE+zzl1l7+MyMuZg9kwnK3B3yR8up5b3V4OFhIoxKARUaboMur9tvPrHqvBvCAtzYSg==" saltValue="a4jjHGXbIWBYSolPCrqGfg==" spinCount="100000" sheet="1" objects="1" scenarios="1"/>
  <mergeCells count="2">
    <mergeCell ref="AC1:AE1"/>
    <mergeCell ref="AN1:AP1"/>
  </mergeCells>
  <pageMargins left="0.7" right="0.7" top="0.75" bottom="0.75" header="0.3" footer="0.3"/>
  <headerFooter>
    <oddFooter>&amp;C_x000D_&amp;1#&amp;"Verdana"&amp;7&amp;K000000 Confidential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87495" r:id="rId3" name="activate_home_page">
              <controlPr defaultSize="0" print="0" autoFill="0" autoPict="0" macro="[0]!thisworkbook.activate_home_page">
                <anchor>
                  <from>
                    <xdr:col>1</xdr:col>
                    <xdr:colOff>1905000</xdr:colOff>
                    <xdr:row>0</xdr:row>
                    <xdr:rowOff>144780</xdr:rowOff>
                  </from>
                  <to>
                    <xdr:col>2</xdr:col>
                    <xdr:colOff>487680</xdr:colOff>
                    <xdr:row>0</xdr:row>
                    <xdr:rowOff>373380</xdr:rowOff>
                  </to>
                </anchor>
              </controlPr>
            </control>
          </mc:Choice>
        </mc:AlternateContent>
        <mc:AlternateContent xmlns:mc="http://schemas.openxmlformats.org/markup-compatibility/2006">
          <mc:Choice Requires="x14">
            <control shapeId="487496" r:id="rId4" name="activate_guidance">
              <controlPr defaultSize="0" print="0" autoFill="0" autoPict="0" macro="[0]!thisworkbook.activate_guidance">
                <anchor>
                  <from>
                    <xdr:col>3</xdr:col>
                    <xdr:colOff>0</xdr:colOff>
                    <xdr:row>0</xdr:row>
                    <xdr:rowOff>144780</xdr:rowOff>
                  </from>
                  <to>
                    <xdr:col>4</xdr:col>
                    <xdr:colOff>144780</xdr:colOff>
                    <xdr:row>0</xdr:row>
                    <xdr:rowOff>373380</xdr:rowOff>
                  </to>
                </anchor>
              </controlPr>
            </control>
          </mc:Choice>
        </mc:AlternateContent>
        <mc:AlternateContent xmlns:mc="http://schemas.openxmlformats.org/markup-compatibility/2006">
          <mc:Choice Requires="x14">
            <control shapeId="487497" r:id="rId5" name="activate_summary_report">
              <controlPr defaultSize="0" print="0" autoFill="0" autoPict="0" macro="[0]!thisworkbook.activate_summary_report">
                <anchor>
                  <from>
                    <xdr:col>4</xdr:col>
                    <xdr:colOff>144780</xdr:colOff>
                    <xdr:row>0</xdr:row>
                    <xdr:rowOff>144780</xdr:rowOff>
                  </from>
                  <to>
                    <xdr:col>4</xdr:col>
                    <xdr:colOff>1516380</xdr:colOff>
                    <xdr:row>0</xdr:row>
                    <xdr:rowOff>373380</xdr:rowOff>
                  </to>
                </anchor>
              </controlPr>
            </control>
          </mc:Choice>
        </mc:AlternateContent>
        <mc:AlternateContent xmlns:mc="http://schemas.openxmlformats.org/markup-compatibility/2006">
          <mc:Choice Requires="x14">
            <control shapeId="487498" r:id="rId6" name="activate_outputs">
              <controlPr defaultSize="0" print="0" autoFill="0" autoPict="0" macro="[0]!thisworkbook.activate_outputs">
                <anchor>
                  <from>
                    <xdr:col>4</xdr:col>
                    <xdr:colOff>1554480</xdr:colOff>
                    <xdr:row>0</xdr:row>
                    <xdr:rowOff>144780</xdr:rowOff>
                  </from>
                  <to>
                    <xdr:col>4</xdr:col>
                    <xdr:colOff>2926080</xdr:colOff>
                    <xdr:row>0</xdr:row>
                    <xdr:rowOff>373380</xdr:rowOff>
                  </to>
                </anchor>
              </controlPr>
            </control>
          </mc:Choice>
        </mc:AlternateContent>
        <mc:AlternateContent xmlns:mc="http://schemas.openxmlformats.org/markup-compatibility/2006">
          <mc:Choice Requires="x14">
            <control shapeId="487499" r:id="rId7" name="activate_emissions_factors">
              <controlPr defaultSize="0" print="0" autoFill="0" autoPict="0" macro="[0]!thisworkbook.activate_emissions_factors">
                <anchor>
                  <from>
                    <xdr:col>4</xdr:col>
                    <xdr:colOff>2964180</xdr:colOff>
                    <xdr:row>0</xdr:row>
                    <xdr:rowOff>144780</xdr:rowOff>
                  </from>
                  <to>
                    <xdr:col>4</xdr:col>
                    <xdr:colOff>4335780</xdr:colOff>
                    <xdr:row>0</xdr:row>
                    <xdr:rowOff>373380</xdr:rowOff>
                  </to>
                </anchor>
              </controlPr>
            </control>
          </mc:Choice>
        </mc:AlternateContent>
        <mc:AlternateContent xmlns:mc="http://schemas.openxmlformats.org/markup-compatibility/2006">
          <mc:Choice Requires="x14">
            <control shapeId="487500" r:id="rId8" name="activate_material_density">
              <controlPr defaultSize="0" print="0" autoFill="0" autoPict="0" macro="[0]!thisworkbook.activate_material_density">
                <anchor>
                  <from>
                    <xdr:col>4</xdr:col>
                    <xdr:colOff>4335780</xdr:colOff>
                    <xdr:row>0</xdr:row>
                    <xdr:rowOff>144780</xdr:rowOff>
                  </from>
                  <to>
                    <xdr:col>4</xdr:col>
                    <xdr:colOff>5707380</xdr:colOff>
                    <xdr:row>0</xdr:row>
                    <xdr:rowOff>373380</xdr:rowOff>
                  </to>
                </anchor>
              </controlPr>
            </control>
          </mc:Choice>
        </mc:AlternateContent>
        <mc:AlternateContent xmlns:mc="http://schemas.openxmlformats.org/markup-compatibility/2006">
          <mc:Choice Requires="x14">
            <control shapeId="487501" r:id="rId9" name="activate_notes">
              <controlPr defaultSize="0" print="0" autoFill="0" autoPict="0" macro="[0]!thisworkbook.activate_notes">
                <anchor>
                  <from>
                    <xdr:col>4</xdr:col>
                    <xdr:colOff>5745480</xdr:colOff>
                    <xdr:row>0</xdr:row>
                    <xdr:rowOff>144780</xdr:rowOff>
                  </from>
                  <to>
                    <xdr:col>9</xdr:col>
                    <xdr:colOff>106680</xdr:colOff>
                    <xdr:row>0</xdr:row>
                    <xdr:rowOff>373380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P67"/>
  <sheetViews>
    <sheetView showGridLines="0" showRowColHeaders="0" tabSelected="1" zoomScale="130" zoomScaleNormal="130" workbookViewId="0">
      <selection activeCell="B7" sqref="B7:S19"/>
    </sheetView>
  </sheetViews>
  <sheetFormatPr defaultColWidth="0" defaultRowHeight="15" customHeight="1" zeroHeight="1" x14ac:dyDescent="0.3"/>
  <cols>
    <col min="1" max="1" width="3" style="34" customWidth="1"/>
    <col min="2" max="2" width="10.5546875" customWidth="1"/>
    <col min="3" max="17" width="9.6640625" customWidth="1"/>
    <col min="18" max="18" width="14.33203125" customWidth="1"/>
    <col min="19" max="20" width="3" customWidth="1"/>
    <col min="21" max="16384" width="9.33203125" hidden="1"/>
  </cols>
  <sheetData>
    <row r="1" spans="1:42" ht="43.5" customHeight="1" x14ac:dyDescent="0.3">
      <c r="A1" s="14"/>
      <c r="Q1" s="13"/>
      <c r="AC1" s="428"/>
      <c r="AD1" s="428"/>
      <c r="AE1" s="428"/>
      <c r="AM1" s="3"/>
      <c r="AN1" s="428"/>
      <c r="AO1" s="428"/>
      <c r="AP1" s="428"/>
    </row>
    <row r="2" spans="1:42" ht="72" customHeight="1" x14ac:dyDescent="0.3">
      <c r="A2"/>
      <c r="B2" s="49"/>
      <c r="E2" s="256"/>
      <c r="F2" s="256"/>
      <c r="Q2" s="13"/>
      <c r="W2">
        <v>1</v>
      </c>
      <c r="AM2" s="3"/>
    </row>
    <row r="3" spans="1:42" ht="50.25" customHeight="1" x14ac:dyDescent="0.3">
      <c r="A3" s="539" t="s">
        <v>775</v>
      </c>
      <c r="B3" s="539"/>
      <c r="C3" s="539"/>
      <c r="D3" s="540" t="s">
        <v>776</v>
      </c>
      <c r="E3" s="541"/>
      <c r="F3" s="541"/>
      <c r="G3" s="541"/>
      <c r="H3" s="541"/>
      <c r="I3" s="541"/>
      <c r="J3" s="541"/>
      <c r="K3" s="541"/>
      <c r="L3" s="541"/>
      <c r="M3" s="541"/>
      <c r="N3" s="541"/>
      <c r="O3" s="541"/>
      <c r="P3" s="541"/>
      <c r="Q3" s="541"/>
      <c r="R3" s="541"/>
      <c r="S3" s="542"/>
    </row>
    <row r="4" spans="1:42" s="257" customFormat="1" ht="35.25" customHeight="1" x14ac:dyDescent="0.3">
      <c r="A4" s="265"/>
      <c r="B4" s="549" t="s">
        <v>636</v>
      </c>
      <c r="C4" s="550"/>
      <c r="D4" s="537"/>
      <c r="E4" s="537"/>
      <c r="F4" s="537"/>
      <c r="G4" s="537"/>
      <c r="H4" s="537"/>
      <c r="I4" s="537"/>
      <c r="J4" s="537"/>
      <c r="K4" s="537"/>
      <c r="L4" s="537"/>
      <c r="M4" s="537"/>
      <c r="N4" s="537"/>
      <c r="O4" s="537"/>
      <c r="P4" s="537"/>
      <c r="Q4" s="537"/>
      <c r="R4" s="537"/>
      <c r="S4" s="538"/>
      <c r="T4"/>
    </row>
    <row r="5" spans="1:42" s="258" customFormat="1" ht="35.25" customHeight="1" x14ac:dyDescent="0.3">
      <c r="A5" s="265"/>
      <c r="B5" s="546" t="s">
        <v>640</v>
      </c>
      <c r="C5" s="547"/>
      <c r="D5" s="547"/>
      <c r="E5" s="547"/>
      <c r="F5" s="547"/>
      <c r="G5" s="547"/>
      <c r="H5" s="547"/>
      <c r="I5" s="547"/>
      <c r="J5" s="547"/>
      <c r="K5" s="547"/>
      <c r="L5" s="547"/>
      <c r="M5" s="547"/>
      <c r="N5" s="547"/>
      <c r="O5" s="547"/>
      <c r="P5" s="547"/>
      <c r="Q5" s="547"/>
      <c r="R5" s="547"/>
      <c r="S5" s="548"/>
      <c r="T5"/>
    </row>
    <row r="6" spans="1:42" s="46" customFormat="1" ht="35.25" customHeight="1" x14ac:dyDescent="0.3">
      <c r="A6" s="265"/>
      <c r="B6" s="543" t="s">
        <v>777</v>
      </c>
      <c r="C6" s="544"/>
      <c r="D6" s="544"/>
      <c r="E6" s="544"/>
      <c r="F6" s="544"/>
      <c r="G6" s="544"/>
      <c r="H6" s="544"/>
      <c r="I6" s="544"/>
      <c r="J6" s="544"/>
      <c r="K6" s="544"/>
      <c r="L6" s="544"/>
      <c r="M6" s="544"/>
      <c r="N6" s="544"/>
      <c r="O6" s="544"/>
      <c r="P6" s="544"/>
      <c r="Q6" s="544"/>
      <c r="R6" s="544"/>
      <c r="S6" s="545"/>
      <c r="T6"/>
    </row>
    <row r="7" spans="1:42" ht="26.25" customHeight="1" x14ac:dyDescent="0.3">
      <c r="A7"/>
      <c r="B7" s="533" t="s">
        <v>1129</v>
      </c>
      <c r="C7" s="534"/>
      <c r="D7" s="534"/>
      <c r="E7" s="534"/>
      <c r="F7" s="534"/>
      <c r="G7" s="534"/>
      <c r="H7" s="534"/>
      <c r="I7" s="534"/>
      <c r="J7" s="534"/>
      <c r="K7" s="534"/>
      <c r="L7" s="534"/>
      <c r="M7" s="534"/>
      <c r="N7" s="534"/>
      <c r="O7" s="534"/>
      <c r="P7" s="534"/>
      <c r="Q7" s="534"/>
      <c r="R7" s="534"/>
      <c r="S7" s="534"/>
    </row>
    <row r="8" spans="1:42" s="46" customFormat="1" ht="26.25" customHeight="1" x14ac:dyDescent="0.3">
      <c r="A8"/>
      <c r="B8" s="535"/>
      <c r="C8" s="536"/>
      <c r="D8" s="536"/>
      <c r="E8" s="536"/>
      <c r="F8" s="536"/>
      <c r="G8" s="536"/>
      <c r="H8" s="536"/>
      <c r="I8" s="536"/>
      <c r="J8" s="536"/>
      <c r="K8" s="536"/>
      <c r="L8" s="536"/>
      <c r="M8" s="536"/>
      <c r="N8" s="536"/>
      <c r="O8" s="536"/>
      <c r="P8" s="536"/>
      <c r="Q8" s="536"/>
      <c r="R8" s="536"/>
      <c r="S8" s="536"/>
      <c r="T8"/>
    </row>
    <row r="9" spans="1:42" ht="26.25" customHeight="1" x14ac:dyDescent="0.3">
      <c r="A9"/>
      <c r="B9" s="535"/>
      <c r="C9" s="536"/>
      <c r="D9" s="536"/>
      <c r="E9" s="536"/>
      <c r="F9" s="536"/>
      <c r="G9" s="536"/>
      <c r="H9" s="536"/>
      <c r="I9" s="536"/>
      <c r="J9" s="536"/>
      <c r="K9" s="536"/>
      <c r="L9" s="536"/>
      <c r="M9" s="536"/>
      <c r="N9" s="536"/>
      <c r="O9" s="536"/>
      <c r="P9" s="536"/>
      <c r="Q9" s="536"/>
      <c r="R9" s="536"/>
      <c r="S9" s="536"/>
    </row>
    <row r="10" spans="1:42" ht="26.25" customHeight="1" x14ac:dyDescent="0.3">
      <c r="A10"/>
      <c r="B10" s="535"/>
      <c r="C10" s="536"/>
      <c r="D10" s="536"/>
      <c r="E10" s="536"/>
      <c r="F10" s="536"/>
      <c r="G10" s="536"/>
      <c r="H10" s="536"/>
      <c r="I10" s="536"/>
      <c r="J10" s="536"/>
      <c r="K10" s="536"/>
      <c r="L10" s="536"/>
      <c r="M10" s="536"/>
      <c r="N10" s="536"/>
      <c r="O10" s="536"/>
      <c r="P10" s="536"/>
      <c r="Q10" s="536"/>
      <c r="R10" s="536"/>
      <c r="S10" s="536"/>
    </row>
    <row r="11" spans="1:42" ht="26.25" customHeight="1" x14ac:dyDescent="0.3">
      <c r="A11"/>
      <c r="B11" s="535"/>
      <c r="C11" s="536"/>
      <c r="D11" s="536"/>
      <c r="E11" s="536"/>
      <c r="F11" s="536"/>
      <c r="G11" s="536"/>
      <c r="H11" s="536"/>
      <c r="I11" s="536"/>
      <c r="J11" s="536"/>
      <c r="K11" s="536"/>
      <c r="L11" s="536"/>
      <c r="M11" s="536"/>
      <c r="N11" s="536"/>
      <c r="O11" s="536"/>
      <c r="P11" s="536"/>
      <c r="Q11" s="536"/>
      <c r="R11" s="536"/>
      <c r="S11" s="536"/>
    </row>
    <row r="12" spans="1:42" ht="26.25" customHeight="1" x14ac:dyDescent="0.3">
      <c r="A12"/>
      <c r="B12" s="535"/>
      <c r="C12" s="536"/>
      <c r="D12" s="536"/>
      <c r="E12" s="536"/>
      <c r="F12" s="536"/>
      <c r="G12" s="536"/>
      <c r="H12" s="536"/>
      <c r="I12" s="536"/>
      <c r="J12" s="536"/>
      <c r="K12" s="536"/>
      <c r="L12" s="536"/>
      <c r="M12" s="536"/>
      <c r="N12" s="536"/>
      <c r="O12" s="536"/>
      <c r="P12" s="536"/>
      <c r="Q12" s="536"/>
      <c r="R12" s="536"/>
      <c r="S12" s="536"/>
    </row>
    <row r="13" spans="1:42" ht="26.25" customHeight="1" x14ac:dyDescent="0.3">
      <c r="A13"/>
      <c r="B13" s="535"/>
      <c r="C13" s="536"/>
      <c r="D13" s="536"/>
      <c r="E13" s="536"/>
      <c r="F13" s="536"/>
      <c r="G13" s="536"/>
      <c r="H13" s="536"/>
      <c r="I13" s="536"/>
      <c r="J13" s="536"/>
      <c r="K13" s="536"/>
      <c r="L13" s="536"/>
      <c r="M13" s="536"/>
      <c r="N13" s="536"/>
      <c r="O13" s="536"/>
      <c r="P13" s="536"/>
      <c r="Q13" s="536"/>
      <c r="R13" s="536"/>
      <c r="S13" s="536"/>
    </row>
    <row r="14" spans="1:42" ht="26.25" customHeight="1" x14ac:dyDescent="0.3">
      <c r="A14"/>
      <c r="B14" s="535"/>
      <c r="C14" s="536"/>
      <c r="D14" s="536"/>
      <c r="E14" s="536"/>
      <c r="F14" s="536"/>
      <c r="G14" s="536"/>
      <c r="H14" s="536"/>
      <c r="I14" s="536"/>
      <c r="J14" s="536"/>
      <c r="K14" s="536"/>
      <c r="L14" s="536"/>
      <c r="M14" s="536"/>
      <c r="N14" s="536"/>
      <c r="O14" s="536"/>
      <c r="P14" s="536"/>
      <c r="Q14" s="536"/>
      <c r="R14" s="536"/>
      <c r="S14" s="536"/>
    </row>
    <row r="15" spans="1:42" ht="26.25" customHeight="1" x14ac:dyDescent="0.3">
      <c r="A15"/>
      <c r="B15" s="535"/>
      <c r="C15" s="536"/>
      <c r="D15" s="536"/>
      <c r="E15" s="536"/>
      <c r="F15" s="536"/>
      <c r="G15" s="536"/>
      <c r="H15" s="536"/>
      <c r="I15" s="536"/>
      <c r="J15" s="536"/>
      <c r="K15" s="536"/>
      <c r="L15" s="536"/>
      <c r="M15" s="536"/>
      <c r="N15" s="536"/>
      <c r="O15" s="536"/>
      <c r="P15" s="536"/>
      <c r="Q15" s="536"/>
      <c r="R15" s="536"/>
      <c r="S15" s="536"/>
    </row>
    <row r="16" spans="1:42" ht="26.25" customHeight="1" x14ac:dyDescent="0.3">
      <c r="A16"/>
      <c r="B16" s="535"/>
      <c r="C16" s="536"/>
      <c r="D16" s="536"/>
      <c r="E16" s="536"/>
      <c r="F16" s="536"/>
      <c r="G16" s="536"/>
      <c r="H16" s="536"/>
      <c r="I16" s="536"/>
      <c r="J16" s="536"/>
      <c r="K16" s="536"/>
      <c r="L16" s="536"/>
      <c r="M16" s="536"/>
      <c r="N16" s="536"/>
      <c r="O16" s="536"/>
      <c r="P16" s="536"/>
      <c r="Q16" s="536"/>
      <c r="R16" s="536"/>
      <c r="S16" s="536"/>
    </row>
    <row r="17" spans="1:20" ht="26.25" customHeight="1" x14ac:dyDescent="0.3">
      <c r="A17"/>
      <c r="B17" s="535"/>
      <c r="C17" s="536"/>
      <c r="D17" s="536"/>
      <c r="E17" s="536"/>
      <c r="F17" s="536"/>
      <c r="G17" s="536"/>
      <c r="H17" s="536"/>
      <c r="I17" s="536"/>
      <c r="J17" s="536"/>
      <c r="K17" s="536"/>
      <c r="L17" s="536"/>
      <c r="M17" s="536"/>
      <c r="N17" s="536"/>
      <c r="O17" s="536"/>
      <c r="P17" s="536"/>
      <c r="Q17" s="536"/>
      <c r="R17" s="536"/>
      <c r="S17" s="536"/>
    </row>
    <row r="18" spans="1:20" ht="26.25" customHeight="1" x14ac:dyDescent="0.3">
      <c r="A18"/>
      <c r="B18" s="535"/>
      <c r="C18" s="536"/>
      <c r="D18" s="536"/>
      <c r="E18" s="536"/>
      <c r="F18" s="536"/>
      <c r="G18" s="536"/>
      <c r="H18" s="536"/>
      <c r="I18" s="536"/>
      <c r="J18" s="536"/>
      <c r="K18" s="536"/>
      <c r="L18" s="536"/>
      <c r="M18" s="536"/>
      <c r="N18" s="536"/>
      <c r="O18" s="536"/>
      <c r="P18" s="536"/>
      <c r="Q18" s="536"/>
      <c r="R18" s="536"/>
      <c r="S18" s="536"/>
    </row>
    <row r="19" spans="1:20" ht="26.25" customHeight="1" x14ac:dyDescent="0.3">
      <c r="A19"/>
      <c r="B19" s="535"/>
      <c r="C19" s="536"/>
      <c r="D19" s="536"/>
      <c r="E19" s="536"/>
      <c r="F19" s="536"/>
      <c r="G19" s="536"/>
      <c r="H19" s="536"/>
      <c r="I19" s="536"/>
      <c r="J19" s="536"/>
      <c r="K19" s="536"/>
      <c r="L19" s="536"/>
      <c r="M19" s="536"/>
      <c r="N19" s="536"/>
      <c r="O19" s="536"/>
      <c r="P19" s="536"/>
      <c r="Q19" s="536"/>
      <c r="R19" s="536"/>
      <c r="S19" s="536"/>
    </row>
    <row r="20" spans="1:20" ht="26.25" customHeight="1" x14ac:dyDescent="0.3">
      <c r="A20" s="531"/>
      <c r="B20" s="531"/>
      <c r="C20" s="531"/>
      <c r="D20" s="531"/>
      <c r="E20" s="531"/>
      <c r="F20" s="531"/>
      <c r="G20" s="531"/>
      <c r="H20" s="531"/>
      <c r="I20" s="531"/>
      <c r="J20" s="531"/>
      <c r="K20" s="531"/>
      <c r="L20" s="531"/>
      <c r="M20" s="531"/>
      <c r="N20" s="531"/>
      <c r="O20" s="531"/>
      <c r="P20" s="531"/>
      <c r="Q20" s="531"/>
      <c r="R20" s="531"/>
      <c r="S20" s="531"/>
    </row>
    <row r="21" spans="1:20" s="46" customFormat="1" ht="26.25" hidden="1" customHeight="1" x14ac:dyDescent="0.3">
      <c r="A21" s="531"/>
      <c r="B21" s="531"/>
      <c r="C21" s="531"/>
      <c r="D21" s="531"/>
      <c r="E21" s="531"/>
      <c r="F21" s="531"/>
      <c r="G21" s="531"/>
      <c r="H21" s="531"/>
      <c r="I21" s="531"/>
      <c r="J21" s="531"/>
      <c r="K21" s="531"/>
      <c r="L21" s="531"/>
      <c r="M21" s="531"/>
      <c r="N21" s="531"/>
      <c r="O21" s="531"/>
      <c r="P21" s="531"/>
      <c r="Q21" s="531"/>
      <c r="R21" s="531"/>
      <c r="S21" s="531"/>
      <c r="T21"/>
    </row>
    <row r="22" spans="1:20" ht="26.25" hidden="1" customHeight="1" x14ac:dyDescent="0.3">
      <c r="A22" s="531"/>
      <c r="B22" s="531"/>
      <c r="C22" s="531"/>
      <c r="D22" s="531"/>
      <c r="E22" s="531"/>
      <c r="F22" s="531"/>
      <c r="G22" s="531"/>
      <c r="H22" s="531"/>
      <c r="I22" s="531"/>
      <c r="J22" s="531"/>
      <c r="K22" s="531"/>
      <c r="L22" s="531"/>
      <c r="M22" s="531"/>
      <c r="N22" s="531"/>
      <c r="O22" s="531"/>
      <c r="P22" s="531"/>
      <c r="Q22" s="531"/>
      <c r="R22" s="531"/>
      <c r="S22" s="531"/>
    </row>
    <row r="23" spans="1:20" ht="26.25" hidden="1" customHeight="1" x14ac:dyDescent="0.3">
      <c r="A23" s="531"/>
      <c r="B23" s="531"/>
      <c r="C23" s="531"/>
      <c r="D23" s="531"/>
      <c r="E23" s="531"/>
      <c r="F23" s="531"/>
      <c r="G23" s="531"/>
      <c r="H23" s="531"/>
      <c r="I23" s="531"/>
      <c r="J23" s="531"/>
      <c r="K23" s="531"/>
      <c r="L23" s="531"/>
      <c r="M23" s="531"/>
      <c r="N23" s="531"/>
      <c r="O23" s="531"/>
      <c r="P23" s="531"/>
      <c r="Q23" s="531"/>
      <c r="R23" s="531"/>
      <c r="S23" s="531"/>
    </row>
    <row r="24" spans="1:20" ht="26.25" hidden="1" customHeight="1" x14ac:dyDescent="0.3">
      <c r="A24" s="531"/>
      <c r="B24" s="531"/>
      <c r="C24" s="531"/>
      <c r="D24" s="531"/>
      <c r="E24" s="531"/>
      <c r="F24" s="531"/>
      <c r="G24" s="531"/>
      <c r="H24" s="531"/>
      <c r="I24" s="531"/>
      <c r="J24" s="531"/>
      <c r="K24" s="531"/>
      <c r="L24" s="531"/>
      <c r="M24" s="531"/>
      <c r="N24" s="531"/>
      <c r="O24" s="531"/>
      <c r="P24" s="531"/>
      <c r="Q24" s="531"/>
      <c r="R24" s="531"/>
      <c r="S24" s="531"/>
    </row>
    <row r="25" spans="1:20" ht="26.25" hidden="1" customHeight="1" x14ac:dyDescent="0.3">
      <c r="A25" s="531"/>
      <c r="B25" s="531"/>
      <c r="C25" s="531"/>
      <c r="D25" s="531"/>
      <c r="E25" s="531"/>
      <c r="F25" s="531"/>
      <c r="G25" s="531"/>
      <c r="H25" s="531"/>
      <c r="I25" s="531"/>
      <c r="J25" s="531"/>
      <c r="K25" s="531"/>
      <c r="L25" s="531"/>
      <c r="M25" s="531"/>
      <c r="N25" s="531"/>
      <c r="O25" s="531"/>
      <c r="P25" s="531"/>
      <c r="Q25" s="531"/>
      <c r="R25" s="531"/>
      <c r="S25" s="531"/>
    </row>
    <row r="26" spans="1:20" ht="26.25" hidden="1" customHeight="1" x14ac:dyDescent="0.3">
      <c r="A26" s="531"/>
      <c r="B26" s="531"/>
      <c r="C26" s="531"/>
      <c r="D26" s="531"/>
      <c r="E26" s="531"/>
      <c r="F26" s="531"/>
      <c r="G26" s="531"/>
      <c r="H26" s="531"/>
      <c r="I26" s="531"/>
      <c r="J26" s="531"/>
      <c r="K26" s="531"/>
      <c r="L26" s="531"/>
      <c r="M26" s="531"/>
      <c r="N26" s="531"/>
      <c r="O26" s="531"/>
      <c r="P26" s="531"/>
      <c r="Q26" s="531"/>
      <c r="R26" s="531"/>
      <c r="S26" s="531"/>
    </row>
    <row r="27" spans="1:20" ht="26.25" hidden="1" customHeight="1" x14ac:dyDescent="0.3">
      <c r="A27" s="531"/>
      <c r="B27" s="531"/>
      <c r="C27" s="531"/>
      <c r="D27" s="531"/>
      <c r="E27" s="531"/>
      <c r="F27" s="531"/>
      <c r="G27" s="531"/>
      <c r="H27" s="531"/>
      <c r="I27" s="531"/>
      <c r="J27" s="531"/>
      <c r="K27" s="531"/>
      <c r="L27" s="531"/>
      <c r="M27" s="531"/>
      <c r="N27" s="531"/>
      <c r="O27" s="531"/>
      <c r="P27" s="531"/>
      <c r="Q27" s="531"/>
      <c r="R27" s="531"/>
      <c r="S27" s="531"/>
    </row>
    <row r="28" spans="1:20" ht="26.25" hidden="1" customHeight="1" x14ac:dyDescent="0.3">
      <c r="A28" s="531"/>
      <c r="B28" s="531"/>
      <c r="C28" s="531"/>
      <c r="D28" s="531"/>
      <c r="E28" s="531"/>
      <c r="F28" s="531"/>
      <c r="G28" s="531"/>
      <c r="H28" s="531"/>
      <c r="I28" s="531"/>
      <c r="J28" s="531"/>
      <c r="K28" s="531"/>
      <c r="L28" s="531"/>
      <c r="M28" s="531"/>
      <c r="N28" s="531"/>
      <c r="O28" s="531"/>
      <c r="P28" s="531"/>
      <c r="Q28" s="531"/>
      <c r="R28" s="531"/>
      <c r="S28" s="531"/>
    </row>
    <row r="29" spans="1:20" ht="26.25" hidden="1" customHeight="1" x14ac:dyDescent="0.3">
      <c r="A29" s="531"/>
      <c r="B29" s="531"/>
      <c r="C29" s="531"/>
      <c r="D29" s="531"/>
      <c r="E29" s="531"/>
      <c r="F29" s="531"/>
      <c r="G29" s="531"/>
      <c r="H29" s="531"/>
      <c r="I29" s="531"/>
      <c r="J29" s="531"/>
      <c r="K29" s="531"/>
      <c r="L29" s="531"/>
      <c r="M29" s="531"/>
      <c r="N29" s="531"/>
      <c r="O29" s="531"/>
      <c r="P29" s="531"/>
      <c r="Q29" s="531"/>
      <c r="R29" s="531"/>
      <c r="S29" s="531"/>
    </row>
    <row r="30" spans="1:20" ht="26.25" hidden="1" customHeight="1" x14ac:dyDescent="0.3">
      <c r="A30" s="531"/>
      <c r="B30" s="531"/>
      <c r="C30" s="531"/>
      <c r="D30" s="531"/>
      <c r="E30" s="531"/>
      <c r="F30" s="531"/>
      <c r="G30" s="531"/>
      <c r="H30" s="531"/>
      <c r="I30" s="531"/>
      <c r="J30" s="531"/>
      <c r="K30" s="531"/>
      <c r="L30" s="531"/>
      <c r="M30" s="531"/>
      <c r="N30" s="531"/>
      <c r="O30" s="531"/>
      <c r="P30" s="531"/>
      <c r="Q30" s="531"/>
      <c r="R30" s="531"/>
      <c r="S30" s="531"/>
    </row>
    <row r="31" spans="1:20" ht="26.25" hidden="1" customHeight="1" x14ac:dyDescent="0.3">
      <c r="A31" s="531"/>
      <c r="B31" s="531"/>
      <c r="C31" s="531"/>
      <c r="D31" s="531"/>
      <c r="E31" s="531"/>
      <c r="F31" s="531"/>
      <c r="G31" s="531"/>
      <c r="H31" s="531"/>
      <c r="I31" s="531"/>
      <c r="J31" s="531"/>
      <c r="K31" s="531"/>
      <c r="L31" s="531"/>
      <c r="M31" s="531"/>
      <c r="N31" s="531"/>
      <c r="O31" s="531"/>
      <c r="P31" s="531"/>
      <c r="Q31" s="531"/>
      <c r="R31" s="531"/>
      <c r="S31" s="531"/>
    </row>
    <row r="32" spans="1:20" ht="26.25" hidden="1" customHeight="1" x14ac:dyDescent="0.3">
      <c r="A32" s="531"/>
      <c r="B32" s="531"/>
      <c r="C32" s="531"/>
      <c r="D32" s="531"/>
      <c r="E32" s="531"/>
      <c r="F32" s="531"/>
      <c r="G32" s="531"/>
      <c r="H32" s="531"/>
      <c r="I32" s="531"/>
      <c r="J32" s="531"/>
      <c r="K32" s="531"/>
      <c r="L32" s="531"/>
      <c r="M32" s="531"/>
      <c r="N32" s="531"/>
      <c r="O32" s="531"/>
      <c r="P32" s="531"/>
      <c r="Q32" s="531"/>
      <c r="R32" s="531"/>
      <c r="S32" s="531"/>
    </row>
    <row r="33" spans="1:20" ht="26.25" hidden="1" customHeight="1" x14ac:dyDescent="0.3">
      <c r="A33" s="531"/>
      <c r="B33" s="531"/>
      <c r="C33" s="531"/>
      <c r="D33" s="531"/>
      <c r="E33" s="531"/>
      <c r="F33" s="531"/>
      <c r="G33" s="531"/>
      <c r="H33" s="531"/>
      <c r="I33" s="531"/>
      <c r="J33" s="531"/>
      <c r="K33" s="531"/>
      <c r="L33" s="531"/>
      <c r="M33" s="531"/>
      <c r="N33" s="531"/>
      <c r="O33" s="531"/>
      <c r="P33" s="531"/>
      <c r="Q33" s="531"/>
      <c r="R33" s="531"/>
      <c r="S33" s="531"/>
    </row>
    <row r="34" spans="1:20" ht="26.25" hidden="1" customHeight="1" x14ac:dyDescent="0.3">
      <c r="A34" s="531"/>
      <c r="B34" s="531"/>
      <c r="C34" s="531"/>
      <c r="D34" s="531"/>
      <c r="E34" s="531"/>
      <c r="F34" s="531"/>
      <c r="G34" s="531"/>
      <c r="H34" s="531"/>
      <c r="I34" s="531"/>
      <c r="J34" s="531"/>
      <c r="K34" s="531"/>
      <c r="L34" s="531"/>
      <c r="M34" s="531"/>
      <c r="N34" s="531"/>
      <c r="O34" s="531"/>
      <c r="P34" s="531"/>
      <c r="Q34" s="531"/>
      <c r="R34" s="531"/>
      <c r="S34" s="531"/>
    </row>
    <row r="35" spans="1:20" ht="26.25" hidden="1" customHeight="1" x14ac:dyDescent="0.3">
      <c r="A35" s="531"/>
      <c r="B35" s="531"/>
      <c r="C35" s="531"/>
      <c r="D35" s="531"/>
      <c r="E35" s="531"/>
      <c r="F35" s="531"/>
      <c r="G35" s="531"/>
      <c r="H35" s="531"/>
      <c r="I35" s="531"/>
      <c r="J35" s="531"/>
      <c r="K35" s="531"/>
      <c r="L35" s="531"/>
      <c r="M35" s="531"/>
      <c r="N35" s="531"/>
      <c r="O35" s="531"/>
      <c r="P35" s="531"/>
      <c r="Q35" s="531"/>
      <c r="R35" s="531"/>
      <c r="S35" s="531"/>
    </row>
    <row r="36" spans="1:20" s="46" customFormat="1" ht="26.25" hidden="1" customHeight="1" x14ac:dyDescent="0.3">
      <c r="A36" s="531"/>
      <c r="B36" s="531"/>
      <c r="C36" s="531"/>
      <c r="D36" s="531"/>
      <c r="E36" s="531"/>
      <c r="F36" s="531"/>
      <c r="G36" s="531"/>
      <c r="H36" s="531"/>
      <c r="I36" s="531"/>
      <c r="J36" s="531"/>
      <c r="K36" s="531"/>
      <c r="L36" s="531"/>
      <c r="M36" s="531"/>
      <c r="N36" s="531"/>
      <c r="O36" s="531"/>
      <c r="P36" s="531"/>
      <c r="Q36" s="531"/>
      <c r="R36" s="531"/>
      <c r="S36" s="531"/>
      <c r="T36"/>
    </row>
    <row r="37" spans="1:20" ht="26.25" hidden="1" customHeight="1" x14ac:dyDescent="0.3">
      <c r="A37" s="532"/>
      <c r="B37" s="532"/>
      <c r="C37" s="532"/>
      <c r="D37" s="532"/>
      <c r="E37" s="532"/>
      <c r="F37" s="532"/>
      <c r="G37" s="532"/>
      <c r="H37" s="532"/>
      <c r="I37" s="532"/>
      <c r="J37" s="532"/>
      <c r="K37" s="532"/>
      <c r="L37" s="532"/>
      <c r="M37" s="532"/>
      <c r="N37" s="532"/>
      <c r="O37" s="532"/>
      <c r="P37" s="532"/>
      <c r="Q37" s="532"/>
      <c r="R37" s="532"/>
      <c r="S37" s="532"/>
    </row>
    <row r="38" spans="1:20" ht="14.4" hidden="1" x14ac:dyDescent="0.3">
      <c r="A38"/>
      <c r="B38" s="47"/>
      <c r="C38" s="47"/>
      <c r="D38" s="47"/>
      <c r="E38" s="47"/>
      <c r="F38" s="47"/>
      <c r="G38" s="47"/>
      <c r="H38" s="47"/>
      <c r="I38" s="47"/>
      <c r="J38" s="47"/>
      <c r="K38" s="47"/>
      <c r="L38" s="47"/>
      <c r="M38" s="47"/>
      <c r="N38" s="47"/>
      <c r="O38" s="47"/>
      <c r="P38" s="47"/>
      <c r="Q38" s="47"/>
      <c r="R38" s="47"/>
      <c r="S38" s="34"/>
    </row>
    <row r="39" spans="1:20" ht="14.4" hidden="1" x14ac:dyDescent="0.3">
      <c r="A39"/>
      <c r="B39" s="47"/>
      <c r="C39" s="47"/>
      <c r="D39" s="47"/>
      <c r="E39" s="47"/>
      <c r="F39" s="47"/>
      <c r="G39" s="47"/>
      <c r="H39" s="47"/>
      <c r="I39" s="47"/>
      <c r="J39" s="47"/>
      <c r="K39" s="47"/>
      <c r="L39" s="47"/>
      <c r="M39" s="47"/>
      <c r="N39" s="47"/>
      <c r="O39" s="47"/>
      <c r="P39" s="47"/>
      <c r="Q39" s="47"/>
      <c r="R39" s="47"/>
      <c r="S39" s="34"/>
    </row>
    <row r="40" spans="1:20" ht="14.4" hidden="1" x14ac:dyDescent="0.3">
      <c r="A40"/>
      <c r="B40" s="47"/>
      <c r="C40" s="47"/>
      <c r="D40" s="47"/>
      <c r="E40" s="47"/>
      <c r="F40" s="47"/>
      <c r="G40" s="47"/>
      <c r="H40" s="47"/>
      <c r="I40" s="47"/>
      <c r="J40" s="47"/>
      <c r="K40" s="47"/>
      <c r="L40" s="47"/>
      <c r="M40" s="47"/>
      <c r="N40" s="47"/>
      <c r="O40" s="47"/>
      <c r="P40" s="47"/>
      <c r="Q40" s="47"/>
      <c r="R40" s="47"/>
      <c r="S40" s="34"/>
    </row>
    <row r="41" spans="1:20" ht="14.4" hidden="1" x14ac:dyDescent="0.3">
      <c r="A41"/>
      <c r="B41" s="47"/>
      <c r="C41" s="47"/>
      <c r="D41" s="47"/>
      <c r="E41" s="47"/>
      <c r="F41" s="47"/>
      <c r="G41" s="47"/>
      <c r="H41" s="47"/>
      <c r="I41" s="47"/>
      <c r="J41" s="47"/>
      <c r="K41" s="47"/>
      <c r="L41" s="47"/>
      <c r="M41" s="47"/>
      <c r="N41" s="47"/>
      <c r="O41" s="47"/>
      <c r="P41" s="47"/>
      <c r="Q41" s="47"/>
      <c r="R41" s="47"/>
      <c r="S41" s="34"/>
    </row>
    <row r="42" spans="1:20" ht="14.4" hidden="1" x14ac:dyDescent="0.3">
      <c r="A42"/>
      <c r="B42" s="47"/>
      <c r="C42" s="47"/>
      <c r="D42" s="47"/>
      <c r="E42" s="47"/>
      <c r="F42" s="47"/>
      <c r="G42" s="47"/>
      <c r="H42" s="47"/>
      <c r="I42" s="47"/>
      <c r="J42" s="47"/>
      <c r="K42" s="47"/>
      <c r="L42" s="47"/>
      <c r="M42" s="47"/>
      <c r="N42" s="47"/>
      <c r="O42" s="47"/>
      <c r="P42" s="47"/>
      <c r="Q42" s="47"/>
      <c r="R42" s="47"/>
      <c r="S42" s="34"/>
    </row>
    <row r="43" spans="1:20" ht="14.4" hidden="1" x14ac:dyDescent="0.3">
      <c r="A43"/>
      <c r="B43" s="47"/>
      <c r="C43" s="47"/>
      <c r="D43" s="47"/>
      <c r="E43" s="47"/>
      <c r="F43" s="47"/>
      <c r="G43" s="47"/>
      <c r="H43" s="47"/>
      <c r="I43" s="47"/>
      <c r="J43" s="47"/>
      <c r="K43" s="47"/>
      <c r="L43" s="47"/>
      <c r="M43" s="47"/>
      <c r="N43" s="47"/>
      <c r="O43" s="47"/>
      <c r="P43" s="47"/>
      <c r="Q43" s="47"/>
      <c r="R43" s="47"/>
      <c r="S43" s="34"/>
    </row>
    <row r="44" spans="1:20" ht="14.4" hidden="1" x14ac:dyDescent="0.3">
      <c r="A44"/>
      <c r="B44" s="47"/>
      <c r="C44" s="47"/>
      <c r="D44" s="47"/>
      <c r="E44" s="47"/>
      <c r="F44" s="47"/>
      <c r="G44" s="47"/>
      <c r="H44" s="47"/>
      <c r="I44" s="47"/>
      <c r="J44" s="47"/>
      <c r="K44" s="47"/>
      <c r="L44" s="47"/>
      <c r="M44" s="47"/>
      <c r="N44" s="47"/>
      <c r="O44" s="47"/>
      <c r="P44" s="47"/>
      <c r="Q44" s="47"/>
      <c r="R44" s="47"/>
      <c r="S44" s="34"/>
    </row>
    <row r="45" spans="1:20" ht="14.4" hidden="1" x14ac:dyDescent="0.3">
      <c r="A45"/>
      <c r="B45" s="47"/>
      <c r="C45" s="47"/>
      <c r="D45" s="47"/>
      <c r="E45" s="47"/>
      <c r="F45" s="47"/>
      <c r="G45" s="47"/>
      <c r="H45" s="47"/>
      <c r="I45" s="47"/>
      <c r="J45" s="47"/>
      <c r="K45" s="47"/>
      <c r="L45" s="47"/>
      <c r="M45" s="47"/>
      <c r="N45" s="47"/>
      <c r="O45" s="47"/>
      <c r="P45" s="47"/>
      <c r="Q45" s="47"/>
      <c r="R45" s="47"/>
      <c r="S45" s="34"/>
    </row>
    <row r="46" spans="1:20" ht="14.4" hidden="1" x14ac:dyDescent="0.3">
      <c r="A46"/>
      <c r="B46" s="47"/>
      <c r="C46" s="47"/>
      <c r="D46" s="47"/>
      <c r="E46" s="47"/>
      <c r="F46" s="47"/>
      <c r="G46" s="47"/>
      <c r="H46" s="47"/>
      <c r="I46" s="47"/>
      <c r="J46" s="47"/>
      <c r="K46" s="47"/>
      <c r="L46" s="47"/>
      <c r="M46" s="47"/>
      <c r="N46" s="47"/>
      <c r="O46" s="47"/>
      <c r="P46" s="47"/>
      <c r="Q46" s="47"/>
      <c r="R46" s="47"/>
      <c r="S46" s="34"/>
    </row>
    <row r="47" spans="1:20" ht="14.4" hidden="1" x14ac:dyDescent="0.3">
      <c r="A47"/>
      <c r="B47" s="34"/>
      <c r="C47" s="34"/>
      <c r="D47" s="34"/>
      <c r="E47" s="34"/>
      <c r="F47" s="34"/>
      <c r="G47" s="34"/>
      <c r="H47" s="34"/>
      <c r="I47" s="34"/>
      <c r="J47" s="34"/>
      <c r="K47" s="34"/>
      <c r="L47" s="34"/>
      <c r="M47" s="34"/>
      <c r="N47" s="34"/>
      <c r="O47" s="34"/>
      <c r="P47" s="34"/>
      <c r="Q47" s="34"/>
      <c r="R47" s="34"/>
      <c r="S47" s="34"/>
    </row>
    <row r="48" spans="1:20" ht="14.4" hidden="1" x14ac:dyDescent="0.3">
      <c r="A48"/>
      <c r="B48" s="34"/>
      <c r="C48" s="34"/>
      <c r="D48" s="34"/>
      <c r="E48" s="34"/>
      <c r="F48" s="34"/>
      <c r="G48" s="34"/>
      <c r="H48" s="34"/>
      <c r="I48" s="34"/>
      <c r="J48" s="34"/>
      <c r="K48" s="34"/>
      <c r="L48" s="34"/>
      <c r="M48" s="34"/>
      <c r="N48" s="34"/>
      <c r="O48" s="34"/>
      <c r="P48" s="34"/>
      <c r="Q48" s="34"/>
      <c r="R48" s="34"/>
      <c r="S48" s="34"/>
    </row>
    <row r="49" spans="1:19" ht="14.4" hidden="1" x14ac:dyDescent="0.3">
      <c r="A49"/>
      <c r="B49" s="34"/>
      <c r="C49" s="34"/>
      <c r="D49" s="34"/>
      <c r="E49" s="34"/>
      <c r="F49" s="34"/>
      <c r="G49" s="34"/>
      <c r="H49" s="34"/>
      <c r="I49" s="34"/>
      <c r="J49" s="34"/>
      <c r="K49" s="34"/>
      <c r="L49" s="34"/>
      <c r="M49" s="34"/>
      <c r="N49" s="34"/>
      <c r="O49" s="34"/>
      <c r="P49" s="34"/>
      <c r="Q49" s="34"/>
      <c r="R49" s="34"/>
      <c r="S49" s="34"/>
    </row>
    <row r="50" spans="1:19" ht="14.4" hidden="1" x14ac:dyDescent="0.3">
      <c r="A50"/>
      <c r="B50" s="34"/>
      <c r="C50" s="34"/>
      <c r="D50" s="34"/>
      <c r="E50" s="34"/>
      <c r="F50" s="34"/>
      <c r="G50" s="34"/>
      <c r="H50" s="34"/>
      <c r="I50" s="34"/>
      <c r="J50" s="34"/>
      <c r="K50" s="34"/>
      <c r="L50" s="34"/>
      <c r="M50" s="34"/>
      <c r="N50" s="34"/>
      <c r="O50" s="34"/>
      <c r="P50" s="34"/>
      <c r="Q50" s="34"/>
      <c r="R50" s="34"/>
      <c r="S50" s="34"/>
    </row>
    <row r="51" spans="1:19" ht="14.4" hidden="1" x14ac:dyDescent="0.3">
      <c r="A51"/>
      <c r="B51" s="34"/>
      <c r="C51" s="34"/>
      <c r="D51" s="34"/>
      <c r="E51" s="34"/>
      <c r="F51" s="34"/>
      <c r="G51" s="34"/>
      <c r="H51" s="34"/>
      <c r="I51" s="34"/>
      <c r="J51" s="34"/>
      <c r="K51" s="34"/>
      <c r="L51" s="34"/>
      <c r="M51" s="34"/>
      <c r="N51" s="34"/>
      <c r="O51" s="34"/>
      <c r="P51" s="34"/>
      <c r="Q51" s="34"/>
      <c r="R51" s="34"/>
      <c r="S51" s="34"/>
    </row>
    <row r="52" spans="1:19" ht="14.4" hidden="1" x14ac:dyDescent="0.3">
      <c r="A52"/>
      <c r="B52" s="34"/>
      <c r="C52" s="34"/>
      <c r="D52" s="34"/>
      <c r="E52" s="34"/>
      <c r="F52" s="34"/>
      <c r="G52" s="34"/>
      <c r="H52" s="34"/>
      <c r="I52" s="34"/>
      <c r="J52" s="34"/>
      <c r="K52" s="34"/>
      <c r="L52" s="34"/>
      <c r="M52" s="34"/>
      <c r="N52" s="34"/>
      <c r="O52" s="34"/>
      <c r="P52" s="34"/>
      <c r="Q52" s="34"/>
      <c r="R52" s="34"/>
      <c r="S52" s="34"/>
    </row>
    <row r="53" spans="1:19" ht="14.4" hidden="1" x14ac:dyDescent="0.3">
      <c r="A53"/>
      <c r="B53" s="34"/>
      <c r="C53" s="34"/>
      <c r="D53" s="34"/>
      <c r="E53" s="34"/>
      <c r="F53" s="34"/>
      <c r="G53" s="34"/>
      <c r="H53" s="34"/>
      <c r="I53" s="34"/>
      <c r="J53" s="34"/>
      <c r="K53" s="34"/>
      <c r="L53" s="34"/>
      <c r="M53" s="34"/>
      <c r="N53" s="34"/>
      <c r="O53" s="34"/>
      <c r="P53" s="34"/>
      <c r="Q53" s="34"/>
      <c r="R53" s="34"/>
      <c r="S53" s="34"/>
    </row>
    <row r="54" spans="1:19" ht="14.4" hidden="1" x14ac:dyDescent="0.3">
      <c r="A54"/>
      <c r="B54" s="34"/>
      <c r="C54" s="34"/>
      <c r="D54" s="34"/>
      <c r="E54" s="34"/>
      <c r="F54" s="34"/>
      <c r="G54" s="34"/>
      <c r="H54" s="34"/>
      <c r="I54" s="34"/>
      <c r="J54" s="34"/>
      <c r="K54" s="34"/>
      <c r="L54" s="34"/>
      <c r="M54" s="34"/>
      <c r="N54" s="34"/>
      <c r="O54" s="34"/>
      <c r="P54" s="34"/>
      <c r="Q54" s="34"/>
      <c r="R54" s="34"/>
      <c r="S54" s="34"/>
    </row>
    <row r="55" spans="1:19" ht="14.4" hidden="1" x14ac:dyDescent="0.3">
      <c r="A55"/>
      <c r="B55" s="34"/>
      <c r="C55" s="34"/>
      <c r="D55" s="34"/>
      <c r="E55" s="34"/>
      <c r="F55" s="34"/>
      <c r="G55" s="34"/>
      <c r="H55" s="34"/>
      <c r="I55" s="34"/>
      <c r="J55" s="34"/>
      <c r="K55" s="34"/>
      <c r="L55" s="34"/>
      <c r="M55" s="34"/>
      <c r="N55" s="34"/>
      <c r="O55" s="34"/>
      <c r="P55" s="34"/>
      <c r="Q55" s="34"/>
      <c r="R55" s="34"/>
      <c r="S55" s="34"/>
    </row>
    <row r="56" spans="1:19" ht="14.4" hidden="1" x14ac:dyDescent="0.3">
      <c r="A56"/>
      <c r="B56" s="34"/>
      <c r="C56" s="34"/>
      <c r="D56" s="34"/>
      <c r="E56" s="34"/>
      <c r="F56" s="34"/>
      <c r="G56" s="34"/>
      <c r="H56" s="34"/>
      <c r="I56" s="34"/>
      <c r="J56" s="34"/>
      <c r="K56" s="34"/>
      <c r="L56" s="34"/>
      <c r="M56" s="34"/>
      <c r="N56" s="34"/>
      <c r="O56" s="34"/>
      <c r="P56" s="34"/>
      <c r="Q56" s="34"/>
      <c r="R56" s="34"/>
      <c r="S56" s="34"/>
    </row>
    <row r="57" spans="1:19" ht="14.4" hidden="1" x14ac:dyDescent="0.3">
      <c r="A57"/>
      <c r="B57" s="34"/>
      <c r="C57" s="34"/>
      <c r="D57" s="34"/>
      <c r="E57" s="34"/>
      <c r="F57" s="34"/>
      <c r="G57" s="34"/>
      <c r="H57" s="34"/>
      <c r="I57" s="34"/>
      <c r="J57" s="34"/>
      <c r="K57" s="34"/>
      <c r="L57" s="34"/>
      <c r="M57" s="34"/>
      <c r="N57" s="34"/>
      <c r="O57" s="34"/>
      <c r="P57" s="34"/>
      <c r="Q57" s="34"/>
      <c r="R57" s="34"/>
      <c r="S57" s="34"/>
    </row>
    <row r="58" spans="1:19" ht="14.4" hidden="1" x14ac:dyDescent="0.3">
      <c r="A58"/>
      <c r="B58" s="34"/>
      <c r="C58" s="34"/>
      <c r="D58" s="34"/>
      <c r="E58" s="34"/>
      <c r="F58" s="34"/>
      <c r="G58" s="34"/>
      <c r="H58" s="34"/>
      <c r="I58" s="34"/>
      <c r="J58" s="34"/>
      <c r="K58" s="34"/>
      <c r="L58" s="34"/>
      <c r="M58" s="34"/>
      <c r="N58" s="34"/>
      <c r="O58" s="34"/>
      <c r="P58" s="34"/>
      <c r="Q58" s="34"/>
      <c r="R58" s="34"/>
      <c r="S58" s="34"/>
    </row>
    <row r="59" spans="1:19" ht="14.4" hidden="1" x14ac:dyDescent="0.3">
      <c r="A59"/>
      <c r="B59" s="34"/>
      <c r="C59" s="34"/>
      <c r="D59" s="34"/>
      <c r="E59" s="34"/>
      <c r="F59" s="34"/>
      <c r="G59" s="34"/>
      <c r="H59" s="34"/>
      <c r="I59" s="34"/>
      <c r="J59" s="34"/>
      <c r="K59" s="34"/>
      <c r="L59" s="34"/>
      <c r="M59" s="34"/>
      <c r="N59" s="34"/>
      <c r="O59" s="34"/>
      <c r="P59" s="34"/>
      <c r="Q59" s="34"/>
      <c r="R59" s="34"/>
      <c r="S59" s="34"/>
    </row>
    <row r="60" spans="1:19" ht="14.4" hidden="1" x14ac:dyDescent="0.3">
      <c r="A60"/>
      <c r="B60" s="34"/>
      <c r="C60" s="34"/>
      <c r="D60" s="34"/>
      <c r="E60" s="34"/>
      <c r="F60" s="34"/>
      <c r="G60" s="34"/>
      <c r="H60" s="34"/>
      <c r="I60" s="34"/>
      <c r="J60" s="34"/>
      <c r="K60" s="34"/>
      <c r="L60" s="34"/>
      <c r="M60" s="34"/>
      <c r="N60" s="34"/>
      <c r="O60" s="34"/>
      <c r="P60" s="34"/>
      <c r="Q60" s="34"/>
      <c r="R60" s="34"/>
      <c r="S60" s="34"/>
    </row>
    <row r="61" spans="1:19" ht="14.4" hidden="1" x14ac:dyDescent="0.3">
      <c r="A61"/>
      <c r="B61" s="34"/>
      <c r="C61" s="34"/>
      <c r="D61" s="34"/>
      <c r="E61" s="34"/>
      <c r="F61" s="34"/>
      <c r="G61" s="34"/>
      <c r="H61" s="34"/>
      <c r="I61" s="34"/>
      <c r="J61" s="34"/>
      <c r="K61" s="34"/>
      <c r="L61" s="34"/>
      <c r="M61" s="34"/>
      <c r="N61" s="34"/>
      <c r="O61" s="34"/>
      <c r="P61" s="34"/>
      <c r="Q61" s="34"/>
      <c r="R61" s="34"/>
      <c r="S61" s="34"/>
    </row>
    <row r="62" spans="1:19" ht="14.4" hidden="1" x14ac:dyDescent="0.3">
      <c r="A62"/>
      <c r="B62" s="34"/>
      <c r="C62" s="34"/>
      <c r="D62" s="34"/>
      <c r="E62" s="34"/>
      <c r="F62" s="34"/>
      <c r="G62" s="34"/>
      <c r="H62" s="34"/>
      <c r="I62" s="34"/>
      <c r="J62" s="34"/>
      <c r="K62" s="34"/>
      <c r="L62" s="34"/>
      <c r="M62" s="34"/>
      <c r="N62" s="34"/>
      <c r="O62" s="34"/>
      <c r="P62" s="34"/>
      <c r="Q62" s="34"/>
      <c r="R62" s="34"/>
      <c r="S62" s="34"/>
    </row>
    <row r="63" spans="1:19" ht="14.4" hidden="1" x14ac:dyDescent="0.3">
      <c r="A63"/>
      <c r="B63" s="34"/>
      <c r="C63" s="34"/>
      <c r="D63" s="34"/>
      <c r="E63" s="34"/>
      <c r="F63" s="34"/>
      <c r="G63" s="34"/>
      <c r="H63" s="34"/>
      <c r="I63" s="34"/>
      <c r="J63" s="34"/>
      <c r="K63" s="34"/>
      <c r="L63" s="34"/>
      <c r="M63" s="34"/>
      <c r="N63" s="34"/>
      <c r="O63" s="34"/>
      <c r="P63" s="34"/>
      <c r="Q63" s="34"/>
      <c r="R63" s="34"/>
      <c r="S63" s="34"/>
    </row>
    <row r="64" spans="1:19" ht="14.4" hidden="1" x14ac:dyDescent="0.3">
      <c r="A64"/>
      <c r="B64" s="34"/>
      <c r="C64" s="34"/>
      <c r="D64" s="34"/>
      <c r="E64" s="34"/>
      <c r="F64" s="34"/>
      <c r="G64" s="34"/>
      <c r="H64" s="34"/>
      <c r="I64" s="34"/>
      <c r="J64" s="34"/>
      <c r="K64" s="34"/>
      <c r="L64" s="34"/>
      <c r="M64" s="34"/>
      <c r="N64" s="34"/>
      <c r="O64" s="34"/>
      <c r="P64" s="34"/>
      <c r="Q64" s="34"/>
      <c r="R64" s="34"/>
      <c r="S64" s="34"/>
    </row>
    <row r="65" spans="1:19" ht="14.4" hidden="1" x14ac:dyDescent="0.3">
      <c r="A65"/>
      <c r="B65" s="34"/>
      <c r="C65" s="34"/>
      <c r="D65" s="34"/>
      <c r="E65" s="34"/>
      <c r="F65" s="34"/>
      <c r="G65" s="34"/>
      <c r="H65" s="34"/>
      <c r="I65" s="34"/>
      <c r="J65" s="34"/>
      <c r="K65" s="34"/>
      <c r="L65" s="34"/>
      <c r="M65" s="34"/>
      <c r="N65" s="34"/>
      <c r="O65" s="34"/>
      <c r="P65" s="34"/>
      <c r="Q65" s="34"/>
      <c r="R65" s="34"/>
      <c r="S65" s="34"/>
    </row>
    <row r="66" spans="1:19" ht="14.4" hidden="1" x14ac:dyDescent="0.3">
      <c r="A66"/>
      <c r="B66" s="34"/>
      <c r="C66" s="34"/>
      <c r="D66" s="34"/>
      <c r="E66" s="34"/>
      <c r="F66" s="34"/>
      <c r="G66" s="34"/>
      <c r="H66" s="34"/>
      <c r="I66" s="34"/>
      <c r="J66" s="34"/>
      <c r="K66" s="34"/>
      <c r="L66" s="34"/>
      <c r="M66" s="34"/>
      <c r="N66" s="34"/>
      <c r="O66" s="34"/>
      <c r="P66" s="34"/>
      <c r="Q66" s="34"/>
      <c r="R66" s="34"/>
      <c r="S66" s="34"/>
    </row>
    <row r="67" spans="1:19" ht="14.4" hidden="1" x14ac:dyDescent="0.3">
      <c r="A67"/>
    </row>
  </sheetData>
  <sheetProtection algorithmName="SHA-512" hashValue="GytGO/ESjhVxri6LWwWif+hmDXgMhBvr9qkpPfSfOoJXMlzZP2ju8WVszk99DZyW1gwQSv2LQMw7mTQV9hbbTQ==" saltValue="g4vfynWkf0Si/4ey0vXKLw==" spinCount="100000" sheet="1" objects="1" scenarios="1"/>
  <mergeCells count="28">
    <mergeCell ref="B7:S19"/>
    <mergeCell ref="AC1:AE1"/>
    <mergeCell ref="AN1:AP1"/>
    <mergeCell ref="D4:H4"/>
    <mergeCell ref="I4:S4"/>
    <mergeCell ref="A3:C3"/>
    <mergeCell ref="D3:S3"/>
    <mergeCell ref="B6:S6"/>
    <mergeCell ref="B5:S5"/>
    <mergeCell ref="B4:C4"/>
    <mergeCell ref="A27:S27"/>
    <mergeCell ref="A20:S20"/>
    <mergeCell ref="A21:S21"/>
    <mergeCell ref="A22:S22"/>
    <mergeCell ref="A23:S23"/>
    <mergeCell ref="A24:S24"/>
    <mergeCell ref="A25:S25"/>
    <mergeCell ref="A26:S26"/>
    <mergeCell ref="A34:S34"/>
    <mergeCell ref="A35:S35"/>
    <mergeCell ref="A36:S36"/>
    <mergeCell ref="A37:S37"/>
    <mergeCell ref="A28:S28"/>
    <mergeCell ref="A29:S29"/>
    <mergeCell ref="A30:S30"/>
    <mergeCell ref="A31:S31"/>
    <mergeCell ref="A32:S32"/>
    <mergeCell ref="A33:S33"/>
  </mergeCells>
  <pageMargins left="0.7" right="0.7" top="0.75" bottom="0.75" header="0.3" footer="0.3"/>
  <pageSetup paperSize="9" orientation="portrait" horizontalDpi="300" r:id="rId1"/>
  <headerFooter>
    <oddFooter>&amp;C_x000D_&amp;1#&amp;"Verdana"&amp;7&amp;K000000 Confidential</oddFooter>
  </headerFooter>
  <drawing r:id="rId2"/>
  <legacyDrawing r:id="rId3"/>
  <controls>
    <mc:AlternateContent xmlns:mc="http://schemas.openxmlformats.org/markup-compatibility/2006">
      <mc:Choice Requires="x14">
        <control shapeId="286536" r:id="rId4" name="ComboBox1">
          <controlPr defaultSize="0" autoLine="0" r:id="rId5">
            <anchor moveWithCells="1">
              <from>
                <xdr:col>3</xdr:col>
                <xdr:colOff>68580</xdr:colOff>
                <xdr:row>3</xdr:row>
                <xdr:rowOff>68580</xdr:rowOff>
              </from>
              <to>
                <xdr:col>6</xdr:col>
                <xdr:colOff>495300</xdr:colOff>
                <xdr:row>3</xdr:row>
                <xdr:rowOff>289560</xdr:rowOff>
              </to>
            </anchor>
          </controlPr>
        </control>
      </mc:Choice>
      <mc:Fallback>
        <control shapeId="286536" r:id="rId4" name="ComboBox1"/>
      </mc:Fallback>
    </mc:AlternateContent>
    <mc:AlternateContent xmlns:mc="http://schemas.openxmlformats.org/markup-compatibility/2006">
      <mc:Choice Requires="x14">
        <control shapeId="286538" r:id="rId6" name="Button 842">
          <controlPr defaultSize="0" print="0" autoFill="0" autoPict="0" macro="[0]!Note_currentreturn">
            <anchor moveWithCells="1" sizeWithCells="1">
              <from>
                <xdr:col>8</xdr:col>
                <xdr:colOff>449580</xdr:colOff>
                <xdr:row>3</xdr:row>
                <xdr:rowOff>106680</xdr:rowOff>
              </from>
              <to>
                <xdr:col>10</xdr:col>
                <xdr:colOff>342900</xdr:colOff>
                <xdr:row>3</xdr:row>
                <xdr:rowOff>373380</xdr:rowOff>
              </to>
            </anchor>
          </controlPr>
        </control>
      </mc:Choice>
    </mc:AlternateContent>
    <mc:AlternateContent xmlns:mc="http://schemas.openxmlformats.org/markup-compatibility/2006">
      <mc:Choice Requires="x14">
        <control shapeId="286540" r:id="rId7" name="Button 844">
          <controlPr defaultSize="0" print="0" autoFill="0" autoPict="0" macro="[0]!Note_save">
            <anchor moveWithCells="1" sizeWithCells="1">
              <from>
                <xdr:col>2</xdr:col>
                <xdr:colOff>640080</xdr:colOff>
                <xdr:row>4</xdr:row>
                <xdr:rowOff>106680</xdr:rowOff>
              </from>
              <to>
                <xdr:col>5</xdr:col>
                <xdr:colOff>182880</xdr:colOff>
                <xdr:row>4</xdr:row>
                <xdr:rowOff>373380</xdr:rowOff>
              </to>
            </anchor>
          </controlPr>
        </control>
      </mc:Choice>
    </mc:AlternateContent>
    <mc:AlternateContent xmlns:mc="http://schemas.openxmlformats.org/markup-compatibility/2006">
      <mc:Choice Requires="x14">
        <control shapeId="286541" r:id="rId8" name="Button 845">
          <controlPr defaultSize="0" print="0" autoFill="0" autoPict="0" macro="[0]!Note_delete">
            <anchor moveWithCells="1" sizeWithCells="1">
              <from>
                <xdr:col>5</xdr:col>
                <xdr:colOff>449580</xdr:colOff>
                <xdr:row>4</xdr:row>
                <xdr:rowOff>106680</xdr:rowOff>
              </from>
              <to>
                <xdr:col>7</xdr:col>
                <xdr:colOff>640080</xdr:colOff>
                <xdr:row>4</xdr:row>
                <xdr:rowOff>373380</xdr:rowOff>
              </to>
            </anchor>
          </controlPr>
        </control>
      </mc:Choice>
    </mc:AlternateContent>
    <mc:AlternateContent xmlns:mc="http://schemas.openxmlformats.org/markup-compatibility/2006">
      <mc:Choice Requires="x14">
        <control shapeId="499772" r:id="rId9" name="activate_home_page">
          <controlPr defaultSize="0" print="0" autoFill="0" autoPict="0" macro="[0]!thisworkbook.activate_home_page">
            <anchor>
              <from>
                <xdr:col>3</xdr:col>
                <xdr:colOff>563880</xdr:colOff>
                <xdr:row>0</xdr:row>
                <xdr:rowOff>144780</xdr:rowOff>
              </from>
              <to>
                <xdr:col>5</xdr:col>
                <xdr:colOff>640080</xdr:colOff>
                <xdr:row>0</xdr:row>
                <xdr:rowOff>373380</xdr:rowOff>
              </to>
            </anchor>
          </controlPr>
        </control>
      </mc:Choice>
    </mc:AlternateContent>
    <mc:AlternateContent xmlns:mc="http://schemas.openxmlformats.org/markup-compatibility/2006">
      <mc:Choice Requires="x14">
        <control shapeId="499773" r:id="rId10" name="activate_guidance">
          <controlPr defaultSize="0" print="0" autoFill="0" autoPict="0" macro="[0]!thisworkbook.activate_guidance">
            <anchor>
              <from>
                <xdr:col>6</xdr:col>
                <xdr:colOff>30480</xdr:colOff>
                <xdr:row>0</xdr:row>
                <xdr:rowOff>144780</xdr:rowOff>
              </from>
              <to>
                <xdr:col>8</xdr:col>
                <xdr:colOff>106680</xdr:colOff>
                <xdr:row>0</xdr:row>
                <xdr:rowOff>373380</xdr:rowOff>
              </to>
            </anchor>
          </controlPr>
        </control>
      </mc:Choice>
    </mc:AlternateContent>
    <mc:AlternateContent xmlns:mc="http://schemas.openxmlformats.org/markup-compatibility/2006">
      <mc:Choice Requires="x14">
        <control shapeId="499774" r:id="rId11" name="activate_summary_report">
          <controlPr defaultSize="0" print="0" autoFill="0" autoPict="0" macro="[0]!thisworkbook.activate_summary_report">
            <anchor>
              <from>
                <xdr:col>8</xdr:col>
                <xdr:colOff>106680</xdr:colOff>
                <xdr:row>0</xdr:row>
                <xdr:rowOff>144780</xdr:rowOff>
              </from>
              <to>
                <xdr:col>10</xdr:col>
                <xdr:colOff>182880</xdr:colOff>
                <xdr:row>0</xdr:row>
                <xdr:rowOff>373380</xdr:rowOff>
              </to>
            </anchor>
          </controlPr>
        </control>
      </mc:Choice>
    </mc:AlternateContent>
    <mc:AlternateContent xmlns:mc="http://schemas.openxmlformats.org/markup-compatibility/2006">
      <mc:Choice Requires="x14">
        <control shapeId="499775" r:id="rId12" name="activate_outputs">
          <controlPr defaultSize="0" print="0" autoFill="0" autoPict="0" macro="[0]!thisworkbook.activate_outputs">
            <anchor>
              <from>
                <xdr:col>10</xdr:col>
                <xdr:colOff>220980</xdr:colOff>
                <xdr:row>0</xdr:row>
                <xdr:rowOff>144780</xdr:rowOff>
              </from>
              <to>
                <xdr:col>12</xdr:col>
                <xdr:colOff>297180</xdr:colOff>
                <xdr:row>0</xdr:row>
                <xdr:rowOff>373380</xdr:rowOff>
              </to>
            </anchor>
          </controlPr>
        </control>
      </mc:Choice>
    </mc:AlternateContent>
    <mc:AlternateContent xmlns:mc="http://schemas.openxmlformats.org/markup-compatibility/2006">
      <mc:Choice Requires="x14">
        <control shapeId="499776" r:id="rId13" name="activate_emissions_factors">
          <controlPr defaultSize="0" print="0" autoFill="0" autoPict="0" macro="[0]!thisworkbook.activate_emissions_factors">
            <anchor>
              <from>
                <xdr:col>12</xdr:col>
                <xdr:colOff>335280</xdr:colOff>
                <xdr:row>0</xdr:row>
                <xdr:rowOff>144780</xdr:rowOff>
              </from>
              <to>
                <xdr:col>14</xdr:col>
                <xdr:colOff>411480</xdr:colOff>
                <xdr:row>0</xdr:row>
                <xdr:rowOff>373380</xdr:rowOff>
              </to>
            </anchor>
          </controlPr>
        </control>
      </mc:Choice>
    </mc:AlternateContent>
    <mc:AlternateContent xmlns:mc="http://schemas.openxmlformats.org/markup-compatibility/2006">
      <mc:Choice Requires="x14">
        <control shapeId="499777" r:id="rId14" name="activate_material_density">
          <controlPr defaultSize="0" print="0" autoFill="0" autoPict="0" macro="[0]!thisworkbook.activate_material_density">
            <anchor>
              <from>
                <xdr:col>14</xdr:col>
                <xdr:colOff>411480</xdr:colOff>
                <xdr:row>0</xdr:row>
                <xdr:rowOff>144780</xdr:rowOff>
              </from>
              <to>
                <xdr:col>16</xdr:col>
                <xdr:colOff>487680</xdr:colOff>
                <xdr:row>0</xdr:row>
                <xdr:rowOff>373380</xdr:rowOff>
              </to>
            </anchor>
          </controlPr>
        </control>
      </mc:Choice>
    </mc:AlternateContent>
    <mc:AlternateContent xmlns:mc="http://schemas.openxmlformats.org/markup-compatibility/2006">
      <mc:Choice Requires="x14">
        <control shapeId="499778" r:id="rId15" name="activate_notes">
          <controlPr defaultSize="0" print="0" autoFill="0" autoPict="0" macro="[0]!thisworkbook.activate_notes">
            <anchor>
              <from>
                <xdr:col>16</xdr:col>
                <xdr:colOff>525780</xdr:colOff>
                <xdr:row>0</xdr:row>
                <xdr:rowOff>144780</xdr:rowOff>
              </from>
              <to>
                <xdr:col>19</xdr:col>
                <xdr:colOff>106680</xdr:colOff>
                <xdr:row>0</xdr:row>
                <xdr:rowOff>373380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5"/>
  <sheetViews>
    <sheetView workbookViewId="0">
      <selection activeCell="E9" sqref="E9"/>
    </sheetView>
  </sheetViews>
  <sheetFormatPr defaultRowHeight="14.4" x14ac:dyDescent="0.3"/>
  <cols>
    <col min="1" max="1" width="21.33203125" customWidth="1"/>
  </cols>
  <sheetData>
    <row r="1" spans="1:2" x14ac:dyDescent="0.3">
      <c r="A1" s="1" t="s">
        <v>637</v>
      </c>
      <c r="B1" s="1" t="s">
        <v>638</v>
      </c>
    </row>
    <row r="2" spans="1:2" x14ac:dyDescent="0.3">
      <c r="A2">
        <v>2025</v>
      </c>
    </row>
    <row r="3" spans="1:2" x14ac:dyDescent="0.3">
      <c r="A3">
        <v>2025</v>
      </c>
    </row>
    <row r="4" spans="1:2" x14ac:dyDescent="0.3">
      <c r="A4">
        <v>2025</v>
      </c>
    </row>
    <row r="5" spans="1:2" x14ac:dyDescent="0.3">
      <c r="A5" t="s">
        <v>1115</v>
      </c>
      <c r="B5" t="s">
        <v>1129</v>
      </c>
    </row>
  </sheetData>
  <sheetProtection algorithmName="SHA-512" hashValue="PzPgvToZz5BkzChG8osHj5OnqfsdFpYJcE2R+PcPHhwY7YJqmmEAChuFQ4MX1XiJq8h53nsMzHl+pwMdJqnT7A==" saltValue="lj065yWaMhvjdG50L0sb7A==" spinCount="100000" sheet="1" objects="1" scenarios="1"/>
  <pageMargins left="0.7" right="0.7" top="0.75" bottom="0.75" header="0.3" footer="0.3"/>
  <headerFooter>
    <oddFooter>&amp;C_x000D_&amp;1#&amp;"Verdana"&amp;7&amp;K000000 Confidential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V40"/>
  <sheetViews>
    <sheetView topLeftCell="E1" zoomScaleNormal="100" workbookViewId="0">
      <selection activeCell="L16" sqref="L16"/>
    </sheetView>
  </sheetViews>
  <sheetFormatPr defaultRowHeight="14.4" x14ac:dyDescent="0.3"/>
  <cols>
    <col min="1" max="1" width="43.33203125" bestFit="1" customWidth="1"/>
    <col min="2" max="2" width="12.6640625" customWidth="1"/>
    <col min="3" max="3" width="21.33203125" customWidth="1"/>
    <col min="7" max="7" width="43.33203125" bestFit="1" customWidth="1"/>
    <col min="12" max="12" width="45" bestFit="1" customWidth="1"/>
    <col min="14" max="14" width="57.33203125" customWidth="1"/>
    <col min="20" max="20" width="16.6640625" bestFit="1" customWidth="1"/>
    <col min="22" max="22" width="23.33203125" customWidth="1"/>
  </cols>
  <sheetData>
    <row r="1" spans="1:22" x14ac:dyDescent="0.3">
      <c r="L1" s="1" t="s">
        <v>313</v>
      </c>
      <c r="N1" s="1" t="s">
        <v>314</v>
      </c>
      <c r="T1" s="1" t="s">
        <v>325</v>
      </c>
      <c r="V1" t="s">
        <v>481</v>
      </c>
    </row>
    <row r="2" spans="1:22" ht="15.6" x14ac:dyDescent="0.3">
      <c r="A2" t="s">
        <v>431</v>
      </c>
      <c r="B2">
        <v>2</v>
      </c>
      <c r="C2" s="2" t="s">
        <v>274</v>
      </c>
      <c r="G2" t="str">
        <f>A2&amp;C2&amp;""").value"</f>
        <v>bulk_material_or_of_which_col= meta.Range("B2").value</v>
      </c>
      <c r="L2" t="s">
        <v>769</v>
      </c>
      <c r="N2" t="s">
        <v>139</v>
      </c>
      <c r="P2" t="s">
        <v>624</v>
      </c>
      <c r="R2" t="s">
        <v>152</v>
      </c>
      <c r="T2" t="s">
        <v>327</v>
      </c>
      <c r="V2" s="82" t="s">
        <v>472</v>
      </c>
    </row>
    <row r="3" spans="1:22" ht="15.6" x14ac:dyDescent="0.3">
      <c r="A3" t="s">
        <v>251</v>
      </c>
      <c r="B3">
        <v>3</v>
      </c>
      <c r="C3" s="2" t="s">
        <v>275</v>
      </c>
      <c r="G3" t="str">
        <f t="shared" ref="G3:G30" si="0">A3&amp;C3&amp;""").value"</f>
        <v>category_col= meta.Range("B3").value</v>
      </c>
      <c r="L3" t="s">
        <v>770</v>
      </c>
      <c r="N3" t="s">
        <v>140</v>
      </c>
      <c r="P3" t="s">
        <v>471</v>
      </c>
      <c r="R3" t="s">
        <v>153</v>
      </c>
      <c r="T3" t="s">
        <v>328</v>
      </c>
      <c r="V3" s="82" t="s">
        <v>473</v>
      </c>
    </row>
    <row r="4" spans="1:22" ht="16.8" x14ac:dyDescent="0.3">
      <c r="A4" t="s">
        <v>252</v>
      </c>
      <c r="B4">
        <v>4</v>
      </c>
      <c r="C4" s="2" t="s">
        <v>276</v>
      </c>
      <c r="G4" t="str">
        <f t="shared" si="0"/>
        <v>item_col= meta.Range("B4").value</v>
      </c>
      <c r="L4" t="s">
        <v>834</v>
      </c>
      <c r="N4" t="s">
        <v>141</v>
      </c>
      <c r="R4" t="s">
        <v>154</v>
      </c>
      <c r="V4" s="82" t="s">
        <v>474</v>
      </c>
    </row>
    <row r="5" spans="1:22" ht="16.8" x14ac:dyDescent="0.3">
      <c r="A5" t="s">
        <v>253</v>
      </c>
      <c r="B5">
        <v>5</v>
      </c>
      <c r="C5" s="2" t="s">
        <v>277</v>
      </c>
      <c r="G5" t="str">
        <f t="shared" si="0"/>
        <v>type_col= meta.Range("B5").value</v>
      </c>
      <c r="L5" t="s">
        <v>833</v>
      </c>
      <c r="N5" t="s">
        <v>142</v>
      </c>
      <c r="R5" t="s">
        <v>155</v>
      </c>
      <c r="V5" s="82" t="s">
        <v>475</v>
      </c>
    </row>
    <row r="6" spans="1:22" ht="15.6" x14ac:dyDescent="0.3">
      <c r="A6" t="s">
        <v>254</v>
      </c>
      <c r="B6">
        <v>6</v>
      </c>
      <c r="C6" s="2" t="s">
        <v>278</v>
      </c>
      <c r="G6" t="str">
        <f t="shared" si="0"/>
        <v>unit_col= meta.Range("B6").value</v>
      </c>
      <c r="L6" t="s">
        <v>766</v>
      </c>
      <c r="N6" t="s">
        <v>470</v>
      </c>
      <c r="R6" t="s">
        <v>156</v>
      </c>
      <c r="V6" s="82" t="s">
        <v>476</v>
      </c>
    </row>
    <row r="7" spans="1:22" ht="15.6" x14ac:dyDescent="0.35">
      <c r="A7" t="s">
        <v>255</v>
      </c>
      <c r="B7">
        <v>7</v>
      </c>
      <c r="C7" s="2" t="s">
        <v>279</v>
      </c>
      <c r="G7" t="str">
        <f t="shared" si="0"/>
        <v>material_type_col= meta.Range("B7").value</v>
      </c>
      <c r="L7" t="s">
        <v>138</v>
      </c>
      <c r="N7" t="s">
        <v>143</v>
      </c>
      <c r="V7" s="83" t="s">
        <v>477</v>
      </c>
    </row>
    <row r="8" spans="1:22" ht="15.6" x14ac:dyDescent="0.35">
      <c r="A8" t="s">
        <v>256</v>
      </c>
      <c r="B8">
        <v>8</v>
      </c>
      <c r="C8" s="2" t="s">
        <v>280</v>
      </c>
      <c r="G8" t="str">
        <f t="shared" si="0"/>
        <v>this_return_quantity_col= meta.Range("B8").value</v>
      </c>
      <c r="L8" t="s">
        <v>771</v>
      </c>
      <c r="N8" t="s">
        <v>144</v>
      </c>
      <c r="V8" s="83" t="s">
        <v>478</v>
      </c>
    </row>
    <row r="9" spans="1:22" ht="15.6" x14ac:dyDescent="0.3">
      <c r="A9" t="s">
        <v>257</v>
      </c>
      <c r="B9">
        <v>9</v>
      </c>
      <c r="C9" s="2" t="s">
        <v>281</v>
      </c>
      <c r="G9" t="str">
        <f t="shared" si="0"/>
        <v>next_return_quantity_forecast_col= meta.Range("B9").value</v>
      </c>
      <c r="L9" t="s">
        <v>745</v>
      </c>
      <c r="N9" t="s">
        <v>145</v>
      </c>
      <c r="V9" s="84" t="s">
        <v>479</v>
      </c>
    </row>
    <row r="10" spans="1:22" ht="15.6" x14ac:dyDescent="0.3">
      <c r="A10" t="s">
        <v>258</v>
      </c>
      <c r="B10">
        <v>10</v>
      </c>
      <c r="C10" s="2" t="s">
        <v>282</v>
      </c>
      <c r="G10" t="str">
        <f t="shared" si="0"/>
        <v>carbon_factor_value_col= meta.Range("B10").value</v>
      </c>
      <c r="L10" t="s">
        <v>767</v>
      </c>
      <c r="N10" t="s">
        <v>146</v>
      </c>
      <c r="V10" s="82" t="s">
        <v>480</v>
      </c>
    </row>
    <row r="11" spans="1:22" x14ac:dyDescent="0.3">
      <c r="A11" t="s">
        <v>259</v>
      </c>
      <c r="B11">
        <v>11</v>
      </c>
      <c r="C11" s="2" t="s">
        <v>283</v>
      </c>
      <c r="G11" t="str">
        <f t="shared" si="0"/>
        <v>carbon_factor_unit_col= meta.Range("B11").value</v>
      </c>
      <c r="L11" t="s">
        <v>835</v>
      </c>
      <c r="N11" t="s">
        <v>147</v>
      </c>
    </row>
    <row r="12" spans="1:22" x14ac:dyDescent="0.3">
      <c r="A12" t="s">
        <v>260</v>
      </c>
      <c r="B12">
        <v>12</v>
      </c>
      <c r="C12" s="2" t="s">
        <v>284</v>
      </c>
      <c r="G12" t="str">
        <f t="shared" si="0"/>
        <v>conversion_factor_col= meta.Range("B12").value</v>
      </c>
      <c r="L12" t="s">
        <v>772</v>
      </c>
      <c r="N12" t="s">
        <v>627</v>
      </c>
    </row>
    <row r="13" spans="1:22" x14ac:dyDescent="0.3">
      <c r="A13" t="s">
        <v>261</v>
      </c>
      <c r="B13">
        <v>13</v>
      </c>
      <c r="C13" s="2" t="s">
        <v>285</v>
      </c>
      <c r="G13" t="str">
        <f t="shared" si="0"/>
        <v>this_return_co2_col= meta.Range("B13").value</v>
      </c>
      <c r="L13" t="s">
        <v>839</v>
      </c>
      <c r="N13" t="s">
        <v>628</v>
      </c>
    </row>
    <row r="14" spans="1:22" x14ac:dyDescent="0.3">
      <c r="A14" t="s">
        <v>262</v>
      </c>
      <c r="B14">
        <v>14</v>
      </c>
      <c r="C14" s="2" t="s">
        <v>286</v>
      </c>
      <c r="G14" t="str">
        <f t="shared" si="0"/>
        <v>methodology_col= meta.Range("B14").value</v>
      </c>
      <c r="L14" t="s">
        <v>836</v>
      </c>
      <c r="N14" t="s">
        <v>148</v>
      </c>
    </row>
    <row r="15" spans="1:22" x14ac:dyDescent="0.3">
      <c r="A15" t="s">
        <v>436</v>
      </c>
      <c r="B15">
        <v>15</v>
      </c>
      <c r="C15" s="2" t="s">
        <v>287</v>
      </c>
      <c r="G15" t="str">
        <f t="shared" si="0"/>
        <v>asssign_check_col= meta.Range("B15").value</v>
      </c>
      <c r="L15" t="s">
        <v>773</v>
      </c>
      <c r="N15" t="s">
        <v>727</v>
      </c>
    </row>
    <row r="16" spans="1:22" x14ac:dyDescent="0.3">
      <c r="A16" t="s">
        <v>263</v>
      </c>
      <c r="B16">
        <v>17</v>
      </c>
      <c r="C16" s="2" t="s">
        <v>288</v>
      </c>
      <c r="G16" t="str">
        <f t="shared" si="0"/>
        <v>fencing_percent_col= meta.Range("B16").value</v>
      </c>
      <c r="L16" t="s">
        <v>774</v>
      </c>
      <c r="N16" t="s">
        <v>754</v>
      </c>
    </row>
    <row r="17" spans="1:14" x14ac:dyDescent="0.3">
      <c r="A17" t="s">
        <v>264</v>
      </c>
      <c r="B17">
        <v>18</v>
      </c>
      <c r="C17" s="2" t="s">
        <v>289</v>
      </c>
      <c r="G17" t="str">
        <f t="shared" si="0"/>
        <v>drainage_percent_col= meta.Range("B17").value</v>
      </c>
      <c r="L17" t="s">
        <v>837</v>
      </c>
      <c r="N17" t="s">
        <v>755</v>
      </c>
    </row>
    <row r="18" spans="1:14" x14ac:dyDescent="0.3">
      <c r="A18" t="s">
        <v>265</v>
      </c>
      <c r="B18">
        <v>19</v>
      </c>
      <c r="C18" s="2" t="s">
        <v>290</v>
      </c>
      <c r="G18" t="str">
        <f t="shared" si="0"/>
        <v>road_pavements_percent_col= meta.Range("B18").value</v>
      </c>
      <c r="L18" t="s">
        <v>838</v>
      </c>
      <c r="N18" t="s">
        <v>756</v>
      </c>
    </row>
    <row r="19" spans="1:14" x14ac:dyDescent="0.3">
      <c r="A19" t="s">
        <v>266</v>
      </c>
      <c r="B19">
        <v>20</v>
      </c>
      <c r="C19" s="2" t="s">
        <v>291</v>
      </c>
      <c r="G19" t="str">
        <f t="shared" si="0"/>
        <v>civils_structures_percent_col= meta.Range("B19").value</v>
      </c>
      <c r="N19" t="s">
        <v>757</v>
      </c>
    </row>
    <row r="20" spans="1:14" x14ac:dyDescent="0.3">
      <c r="A20" t="s">
        <v>267</v>
      </c>
      <c r="B20">
        <v>21</v>
      </c>
      <c r="C20" s="2" t="s">
        <v>292</v>
      </c>
      <c r="G20" t="str">
        <f t="shared" si="0"/>
        <v>waste_percent_col= meta.Range("B20").value</v>
      </c>
      <c r="N20" t="s">
        <v>758</v>
      </c>
    </row>
    <row r="21" spans="1:14" x14ac:dyDescent="0.3">
      <c r="C21" s="2" t="s">
        <v>293</v>
      </c>
      <c r="N21" t="s">
        <v>759</v>
      </c>
    </row>
    <row r="22" spans="1:14" x14ac:dyDescent="0.3">
      <c r="A22" t="s">
        <v>268</v>
      </c>
      <c r="B22">
        <v>23</v>
      </c>
      <c r="C22" s="2" t="s">
        <v>294</v>
      </c>
      <c r="G22" t="str">
        <f t="shared" si="0"/>
        <v>transport_mode_col= meta.Range("B22").value</v>
      </c>
      <c r="N22" t="s">
        <v>760</v>
      </c>
    </row>
    <row r="23" spans="1:14" x14ac:dyDescent="0.3">
      <c r="A23" t="s">
        <v>269</v>
      </c>
      <c r="B23">
        <v>24</v>
      </c>
      <c r="C23" s="2" t="s">
        <v>295</v>
      </c>
      <c r="G23" t="str">
        <f t="shared" si="0"/>
        <v>transport_distance_value_col= meta.Range("B23").value</v>
      </c>
      <c r="N23" t="s">
        <v>761</v>
      </c>
    </row>
    <row r="24" spans="1:14" x14ac:dyDescent="0.3">
      <c r="A24" t="s">
        <v>270</v>
      </c>
      <c r="B24">
        <v>25</v>
      </c>
      <c r="C24" s="2" t="s">
        <v>296</v>
      </c>
      <c r="G24" t="str">
        <f t="shared" si="0"/>
        <v>next_return_quantity_forecast_col_transport= meta.Range("B24").value</v>
      </c>
      <c r="N24" t="s">
        <v>762</v>
      </c>
    </row>
    <row r="25" spans="1:14" x14ac:dyDescent="0.3">
      <c r="A25" t="s">
        <v>271</v>
      </c>
      <c r="B25">
        <v>26</v>
      </c>
      <c r="C25" s="2" t="s">
        <v>297</v>
      </c>
      <c r="G25" t="str">
        <f t="shared" si="0"/>
        <v>this_return_co2_col_transport= meta.Range("B25").value</v>
      </c>
    </row>
    <row r="26" spans="1:14" x14ac:dyDescent="0.3">
      <c r="C26" s="2" t="s">
        <v>298</v>
      </c>
    </row>
    <row r="27" spans="1:14" x14ac:dyDescent="0.3">
      <c r="A27" t="s">
        <v>432</v>
      </c>
      <c r="B27">
        <v>28</v>
      </c>
      <c r="C27" s="2" t="s">
        <v>299</v>
      </c>
      <c r="G27" t="str">
        <f t="shared" si="0"/>
        <v>next_return_quantity_forecast_bulk_mat_col= meta.Range("B27").value</v>
      </c>
    </row>
    <row r="28" spans="1:14" x14ac:dyDescent="0.3">
      <c r="C28" s="2" t="s">
        <v>300</v>
      </c>
    </row>
    <row r="29" spans="1:14" x14ac:dyDescent="0.3">
      <c r="A29" t="s">
        <v>272</v>
      </c>
      <c r="B29">
        <v>32</v>
      </c>
      <c r="C29" s="2" t="s">
        <v>301</v>
      </c>
      <c r="D29" t="s">
        <v>249</v>
      </c>
      <c r="G29" t="str">
        <f t="shared" si="0"/>
        <v>standard_flag_col= meta.Range("B29").value</v>
      </c>
    </row>
    <row r="30" spans="1:14" x14ac:dyDescent="0.3">
      <c r="A30" t="s">
        <v>273</v>
      </c>
      <c r="B30">
        <v>33</v>
      </c>
      <c r="C30" s="2" t="s">
        <v>302</v>
      </c>
      <c r="D30" t="s">
        <v>250</v>
      </c>
      <c r="G30" t="str">
        <f t="shared" si="0"/>
        <v>blank_row_flag_col= meta.Range("B30").value</v>
      </c>
    </row>
    <row r="31" spans="1:14" x14ac:dyDescent="0.3">
      <c r="A31" t="s">
        <v>454</v>
      </c>
      <c r="B31">
        <v>16</v>
      </c>
      <c r="C31" s="2" t="s">
        <v>455</v>
      </c>
      <c r="G31" t="str">
        <f t="shared" ref="G31" si="1">A31&amp;C31&amp;""").value"</f>
        <v>unallocated_percent_col= meta.Range("B31").value</v>
      </c>
    </row>
    <row r="32" spans="1:14" x14ac:dyDescent="0.3">
      <c r="A32" t="s">
        <v>458</v>
      </c>
      <c r="B32">
        <v>34</v>
      </c>
      <c r="C32" s="2" t="s">
        <v>459</v>
      </c>
      <c r="G32" t="str">
        <f t="shared" ref="G32" si="2">A32&amp;C32&amp;""").value"</f>
        <v>bulk_refresh_check_flag_col= meta.Range("B32").value</v>
      </c>
    </row>
    <row r="33" spans="1:7" x14ac:dyDescent="0.3">
      <c r="A33" t="s">
        <v>322</v>
      </c>
      <c r="C33" t="s">
        <v>125</v>
      </c>
    </row>
    <row r="35" spans="1:7" x14ac:dyDescent="0.3">
      <c r="A35" t="s">
        <v>321</v>
      </c>
      <c r="B35">
        <v>2</v>
      </c>
    </row>
    <row r="36" spans="1:7" x14ac:dyDescent="0.3">
      <c r="A36" t="s">
        <v>452</v>
      </c>
      <c r="B36">
        <v>40</v>
      </c>
    </row>
    <row r="37" spans="1:7" x14ac:dyDescent="0.3">
      <c r="A37" t="s">
        <v>453</v>
      </c>
      <c r="B37">
        <v>17</v>
      </c>
    </row>
    <row r="39" spans="1:7" x14ac:dyDescent="0.3">
      <c r="A39" t="s">
        <v>597</v>
      </c>
      <c r="B39">
        <v>34</v>
      </c>
    </row>
    <row r="40" spans="1:7" x14ac:dyDescent="0.3">
      <c r="A40" t="s">
        <v>598</v>
      </c>
      <c r="B40">
        <v>49</v>
      </c>
      <c r="G40" t="s">
        <v>305</v>
      </c>
    </row>
  </sheetData>
  <sheetProtection algorithmName="SHA-512" hashValue="rlhnlBI6FdhQhctF603Kxj5zQVU8OctLdtWyQ5gWd4UwwmoU5hZFTr2TLg8uHX7ELmFC03KAoY4xCqMqojZ1vA==" saltValue="YAg9GkS5t9HoEhyf7xo7/A==" spinCount="100000" sheet="1" objects="1" scenarios="1"/>
  <pageMargins left="0.7" right="0.7" top="0.75" bottom="0.75" header="0.3" footer="0.3"/>
  <pageSetup paperSize="9" orientation="portrait" r:id="rId1"/>
  <headerFooter>
    <oddFooter>&amp;C_x000D_&amp;1#&amp;"Verdana"&amp;7&amp;K000000 Confidential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W3"/>
  <sheetViews>
    <sheetView zoomScale="85" zoomScaleNormal="85" workbookViewId="0">
      <selection activeCell="A2" sqref="A2:AF2"/>
    </sheetView>
  </sheetViews>
  <sheetFormatPr defaultRowHeight="14.4" x14ac:dyDescent="0.3"/>
  <sheetData>
    <row r="1" spans="1:49" x14ac:dyDescent="0.3">
      <c r="A1" t="s">
        <v>430</v>
      </c>
      <c r="B1" t="s">
        <v>430</v>
      </c>
      <c r="C1" t="s">
        <v>26</v>
      </c>
      <c r="D1" t="s">
        <v>424</v>
      </c>
      <c r="E1" t="s">
        <v>732</v>
      </c>
      <c r="F1" t="s">
        <v>59</v>
      </c>
      <c r="G1" t="s">
        <v>496</v>
      </c>
      <c r="H1">
        <v>837</v>
      </c>
      <c r="J1">
        <v>5.2534999999999998E-2</v>
      </c>
      <c r="K1" t="s">
        <v>237</v>
      </c>
      <c r="L1">
        <v>1</v>
      </c>
      <c r="M1">
        <v>43.971795</v>
      </c>
      <c r="N1" t="s">
        <v>744</v>
      </c>
      <c r="O1">
        <v>0</v>
      </c>
      <c r="P1">
        <v>0</v>
      </c>
      <c r="W1" t="s">
        <v>483</v>
      </c>
      <c r="X1">
        <v>45</v>
      </c>
      <c r="Y1">
        <v>1.1383433333333334E-4</v>
      </c>
      <c r="Z1">
        <v>8.57514033</v>
      </c>
      <c r="AF1">
        <v>0</v>
      </c>
      <c r="AW1">
        <v>1</v>
      </c>
    </row>
    <row r="2" spans="1:49" x14ac:dyDescent="0.3">
      <c r="B2" t="s">
        <v>430</v>
      </c>
      <c r="C2" t="s">
        <v>26</v>
      </c>
      <c r="D2" t="s">
        <v>424</v>
      </c>
      <c r="E2" t="s">
        <v>732</v>
      </c>
      <c r="F2" t="s">
        <v>59</v>
      </c>
      <c r="G2" t="s">
        <v>496</v>
      </c>
      <c r="H2">
        <v>154</v>
      </c>
      <c r="J2">
        <v>5.2534999999999998E-2</v>
      </c>
      <c r="K2" t="s">
        <v>237</v>
      </c>
      <c r="L2">
        <v>1</v>
      </c>
      <c r="M2">
        <v>8.0903899999999993</v>
      </c>
      <c r="N2" t="s">
        <v>744</v>
      </c>
      <c r="O2">
        <v>0</v>
      </c>
      <c r="P2">
        <v>0</v>
      </c>
      <c r="W2" t="s">
        <v>483</v>
      </c>
      <c r="X2">
        <v>45</v>
      </c>
      <c r="Y2">
        <v>1.1383433333333334E-4</v>
      </c>
      <c r="Z2">
        <v>1.5777438600000002</v>
      </c>
      <c r="AF2">
        <v>0</v>
      </c>
      <c r="AW2">
        <v>2</v>
      </c>
    </row>
    <row r="3" spans="1:49" x14ac:dyDescent="0.3">
      <c r="AW3">
        <v>3</v>
      </c>
    </row>
  </sheetData>
  <sheetProtection algorithmName="SHA-512" hashValue="DkTa2z/abxVJehpn07zzJGrq42O+tcn+tf0v5iXAOG0IsXzyJgjibf4UDXnyRoqgFlmftyxocvPd8XApoewC5Q==" saltValue="+/E3qMYRX47HNyvI7SLlwQ==" spinCount="100000" sheet="1" objects="1" scenarios="1"/>
  <sortState xmlns:xlrd2="http://schemas.microsoft.com/office/spreadsheetml/2017/richdata2" ref="A1:AW3">
    <sortCondition ref="C1"/>
    <sortCondition ref="D1"/>
    <sortCondition ref="E1"/>
  </sortState>
  <pageMargins left="0.7" right="0.7" top="0.75" bottom="0.75" header="0.3" footer="0.3"/>
  <headerFooter>
    <oddFooter>&amp;C_x000D_&amp;1#&amp;"Verdana"&amp;7&amp;K000000 Confidential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tabColor rgb="FF008BCB"/>
    <outlinePr summaryBelow="0" summaryRight="0"/>
  </sheetPr>
  <dimension ref="A1:AX141"/>
  <sheetViews>
    <sheetView showGridLines="0" showRowColHeaders="0" topLeftCell="B1" zoomScale="80" zoomScaleNormal="80" workbookViewId="0">
      <pane ySplit="8" topLeftCell="A9" activePane="bottomLeft" state="frozen"/>
      <selection activeCell="B7" sqref="B7:S19"/>
      <selection pane="bottomLeft" activeCell="A11" sqref="A11:AD11"/>
    </sheetView>
  </sheetViews>
  <sheetFormatPr defaultColWidth="0" defaultRowHeight="15" customHeight="1" x14ac:dyDescent="0.3"/>
  <cols>
    <col min="1" max="1" width="3" style="77" hidden="1"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customWidth="1"/>
    <col min="16" max="21" width="9.33203125" customWidth="1"/>
    <col min="22" max="22" width="3" customWidth="1"/>
    <col min="23" max="24" width="8.33203125" customWidth="1"/>
    <col min="25" max="25" width="12" customWidth="1"/>
    <col min="26" max="26" width="8.33203125" customWidth="1"/>
    <col min="27" max="27" width="3" customWidth="1"/>
    <col min="28" max="28" width="8.33203125" customWidth="1"/>
    <col min="29" max="29" width="4.33203125" customWidth="1"/>
    <col min="30" max="31" width="10.6640625" hidden="1" customWidth="1"/>
    <col min="32" max="33" width="10.6640625" style="14" hidden="1" customWidth="1"/>
    <col min="34" max="34" width="10.6640625" style="17" hidden="1" customWidth="1"/>
    <col min="35" max="50" width="0" style="14" hidden="1" customWidth="1"/>
    <col min="51" max="16384" width="10.6640625" style="14" hidden="1"/>
  </cols>
  <sheetData>
    <row r="1" spans="1:50" s="56" customFormat="1" ht="43.5" customHeight="1" x14ac:dyDescent="0.25">
      <c r="A1" s="75"/>
      <c r="O1" s="58"/>
      <c r="R1" s="57"/>
      <c r="AD1" s="447"/>
      <c r="AE1" s="447"/>
      <c r="AH1" s="164"/>
      <c r="AM1" s="58"/>
      <c r="AN1" s="447"/>
      <c r="AO1" s="447"/>
      <c r="AP1" s="447"/>
      <c r="AW1" s="56">
        <v>0</v>
      </c>
    </row>
    <row r="2" spans="1:50" s="56" customFormat="1" ht="50.25" customHeight="1" x14ac:dyDescent="0.25">
      <c r="A2" s="76"/>
      <c r="B2" s="49"/>
      <c r="O2" s="58"/>
      <c r="P2" s="61"/>
      <c r="Q2" s="61"/>
      <c r="R2" s="61"/>
      <c r="S2" s="61" t="str">
        <f>IF(SUM(O:O)&gt;0,"err","")</f>
        <v/>
      </c>
      <c r="AH2" s="164"/>
      <c r="AM2" s="58"/>
      <c r="AW2" s="56">
        <v>0</v>
      </c>
    </row>
    <row r="3" spans="1:50" ht="35.25" customHeight="1" x14ac:dyDescent="0.3">
      <c r="A3" s="28"/>
      <c r="B3" s="28"/>
      <c r="C3" s="28"/>
      <c r="D3" s="561" t="s">
        <v>1116</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4"/>
      <c r="N4" s="14"/>
      <c r="O4" s="67"/>
      <c r="P4" s="17"/>
      <c r="Q4" s="17"/>
      <c r="R4" s="17"/>
      <c r="S4" s="14"/>
      <c r="T4" s="14"/>
      <c r="U4" s="14"/>
      <c r="V4" s="14"/>
      <c r="W4" s="63" t="s">
        <v>450</v>
      </c>
      <c r="X4" s="562" t="s">
        <v>449</v>
      </c>
      <c r="Y4" s="563"/>
      <c r="Z4" s="63" t="s">
        <v>6</v>
      </c>
      <c r="AA4" s="14"/>
      <c r="AB4" s="14"/>
      <c r="AC4" s="14"/>
      <c r="AD4" s="14"/>
      <c r="AE4" s="14"/>
      <c r="AW4" s="14" t="s">
        <v>430</v>
      </c>
    </row>
    <row r="5" spans="1:50" ht="36.75" customHeight="1" x14ac:dyDescent="0.3">
      <c r="A5" s="28"/>
      <c r="B5"/>
      <c r="C5"/>
      <c r="D5" s="71" t="s">
        <v>460</v>
      </c>
      <c r="G5" s="14"/>
      <c r="H5" s="18"/>
      <c r="I5" s="18"/>
      <c r="J5" s="27" t="s">
        <v>324</v>
      </c>
      <c r="K5" s="557">
        <f>SUMIFS(M:M,AF:AF,"&lt;&gt;3")+SUMIFS(Z:Z,AF:AF,"&lt;&gt;3")-Z5</f>
        <v>0</v>
      </c>
      <c r="L5" s="558"/>
      <c r="M5" s="25" t="s">
        <v>5</v>
      </c>
      <c r="N5" s="14"/>
      <c r="O5" s="68"/>
      <c r="P5" s="19"/>
      <c r="Q5" s="19"/>
      <c r="R5" s="19"/>
      <c r="S5" s="19"/>
      <c r="T5" s="18"/>
      <c r="U5" s="14"/>
      <c r="V5" s="19"/>
      <c r="W5" s="162">
        <v>28</v>
      </c>
      <c r="X5" s="564" t="s">
        <v>449</v>
      </c>
      <c r="Y5" s="565"/>
      <c r="Z5" s="64">
        <f>1.609344*W5</f>
        <v>45.061632000000003</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W7" s="554" t="s">
        <v>1085</v>
      </c>
      <c r="X7" s="555"/>
      <c r="Y7" s="555"/>
      <c r="Z7" s="556"/>
      <c r="AA7" s="17"/>
      <c r="AB7" s="33" t="s">
        <v>245</v>
      </c>
      <c r="AD7" s="14"/>
      <c r="AE7" s="14"/>
      <c r="AF7" s="14" t="s">
        <v>247</v>
      </c>
    </row>
    <row r="8" spans="1:50" ht="51.75" customHeight="1" x14ac:dyDescent="0.3">
      <c r="A8" s="30"/>
      <c r="D8" s="263" t="s">
        <v>0</v>
      </c>
      <c r="E8" s="263" t="s">
        <v>1</v>
      </c>
      <c r="F8" s="160" t="s">
        <v>8</v>
      </c>
      <c r="G8" s="160" t="s">
        <v>51</v>
      </c>
      <c r="H8" s="160" t="s">
        <v>188</v>
      </c>
      <c r="I8" s="160" t="s">
        <v>187</v>
      </c>
      <c r="J8" s="160" t="s">
        <v>235</v>
      </c>
      <c r="K8" s="160" t="s">
        <v>236</v>
      </c>
      <c r="L8" s="160" t="s">
        <v>189</v>
      </c>
      <c r="M8" s="160" t="s">
        <v>323</v>
      </c>
      <c r="N8" s="160" t="s">
        <v>54</v>
      </c>
      <c r="O8" s="69"/>
      <c r="P8" s="161" t="s">
        <v>464</v>
      </c>
      <c r="Q8" s="161" t="s">
        <v>469</v>
      </c>
      <c r="R8" s="161" t="s">
        <v>468</v>
      </c>
      <c r="S8" s="163" t="s">
        <v>465</v>
      </c>
      <c r="T8" s="161" t="s">
        <v>466</v>
      </c>
      <c r="U8" s="161" t="s">
        <v>467</v>
      </c>
      <c r="W8" s="161" t="s">
        <v>3</v>
      </c>
      <c r="X8" s="161" t="s">
        <v>186</v>
      </c>
      <c r="Y8" s="161" t="s">
        <v>486</v>
      </c>
      <c r="Z8" s="161" t="s">
        <v>323</v>
      </c>
      <c r="AA8" s="14"/>
      <c r="AB8" s="161" t="s">
        <v>187</v>
      </c>
      <c r="AD8" s="14"/>
      <c r="AE8" s="14"/>
      <c r="AF8" s="21" t="s">
        <v>248</v>
      </c>
      <c r="AG8" s="21" t="s">
        <v>201</v>
      </c>
    </row>
    <row r="9" spans="1:50" ht="70.05" customHeight="1" x14ac:dyDescent="0.3">
      <c r="A9" s="316" t="s">
        <v>430</v>
      </c>
      <c r="B9" s="65"/>
      <c r="C9" s="45" t="s">
        <v>430</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65">
        <f>IF(P9&lt;0,1,0)</f>
        <v>0</v>
      </c>
      <c r="P9" s="319">
        <f>1-SUM(Q9:U9)</f>
        <v>1</v>
      </c>
      <c r="Q9" s="254"/>
      <c r="R9" s="254"/>
      <c r="S9" s="254"/>
      <c r="T9" s="254"/>
      <c r="U9" s="254"/>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7" t="str">
        <f>IF(ISERROR(VLOOKUP(D9&amp;E9,'Emissions Factors Lookup'!J4:R400,9,FALSE)),"",VLOOKUP(D9&amp;E9,'Emissions Factors Lookup'!J4:R400,9,FALSE))</f>
        <v/>
      </c>
    </row>
    <row r="10" spans="1:50" ht="70.05" customHeight="1" x14ac:dyDescent="0.3">
      <c r="A10"/>
      <c r="B10"/>
      <c r="C10"/>
      <c r="O10"/>
      <c r="AF10"/>
      <c r="AG10" s="21">
        <f>IF(AF10=1,COUNTA(D10:E10,H10:L10,N10,Q10:U10,W10:Y10,AB10),COUNTA(D10:E10,H10:I10,Q10:U10,W10:X10,AB10))</f>
        <v>0</v>
      </c>
      <c r="AH10" s="17" t="str">
        <f>IF(ISERROR(VLOOKUP(D10&amp;E10,'Emissions Factors Lookup'!J4:R400,9,FALSE)),"",VLOOKUP(D10&amp;E10,'Emissions Factors Lookup'!J4:R400,9,FALSE))</f>
        <v/>
      </c>
    </row>
    <row r="11" spans="1:50" ht="70.05" customHeight="1" x14ac:dyDescent="0.3">
      <c r="A11" s="316"/>
      <c r="B11"/>
      <c r="C11"/>
      <c r="O11"/>
      <c r="AF11"/>
      <c r="AG11" s="21">
        <f>IF(AF11=1,COUNTA(D11:E11,H11:L11,N11,Q11:U11,W11:Y11,AB11),COUNTA(D11:E11,H11:I11,Q11:U11,W11:X11,AB11))</f>
        <v>0</v>
      </c>
      <c r="AH11" s="17" t="str">
        <f>IF(ISERROR(VLOOKUP(D11&amp;E11,'Emissions Factors Lookup'!J4:R400,9,FALSE)),"",VLOOKUP(D11&amp;E11,'Emissions Factors Lookup'!J4:R400,9,FALSE))</f>
        <v/>
      </c>
    </row>
    <row r="12" spans="1:50" ht="59.25" customHeight="1" x14ac:dyDescent="0.3">
      <c r="A12" s="74"/>
      <c r="B12"/>
      <c r="C12"/>
      <c r="AF12"/>
      <c r="AG12" s="21">
        <f t="shared" ref="AG12:AG31" si="0">IF(AF12=1,COUNTA(D12:E12,H12:L12,N12,Q12:U12,W12:Y12,AB12),COUNTA(D12:E12,H12:I12,Q12:U12,W12:Y12,AB12))</f>
        <v>0</v>
      </c>
    </row>
    <row r="13" spans="1:50" ht="59.25" customHeight="1" x14ac:dyDescent="0.3">
      <c r="A13" s="74"/>
      <c r="B13"/>
      <c r="C13"/>
      <c r="AF13"/>
      <c r="AG13" s="21">
        <f t="shared" si="0"/>
        <v>0</v>
      </c>
    </row>
    <row r="14" spans="1:50" ht="59.25" customHeight="1" x14ac:dyDescent="0.3">
      <c r="A14" s="74"/>
      <c r="B14"/>
      <c r="C14"/>
      <c r="AF14"/>
      <c r="AG14" s="21">
        <f t="shared" si="0"/>
        <v>0</v>
      </c>
    </row>
    <row r="15" spans="1:50" ht="59.25" customHeight="1" x14ac:dyDescent="0.3">
      <c r="A15" s="74"/>
      <c r="B15"/>
      <c r="C15"/>
      <c r="AF15"/>
      <c r="AG15" s="21">
        <f t="shared" si="0"/>
        <v>0</v>
      </c>
    </row>
    <row r="16" spans="1:50" ht="59.25" customHeight="1" x14ac:dyDescent="0.3">
      <c r="A16" s="74"/>
      <c r="B16"/>
      <c r="C16"/>
      <c r="AF16"/>
      <c r="AG16" s="21">
        <f t="shared" si="0"/>
        <v>0</v>
      </c>
    </row>
    <row r="17" spans="1:33" ht="59.25" customHeight="1" x14ac:dyDescent="0.3">
      <c r="A17" s="74"/>
      <c r="B17"/>
      <c r="C17"/>
      <c r="AF17"/>
      <c r="AG17" s="21">
        <f t="shared" si="0"/>
        <v>0</v>
      </c>
    </row>
    <row r="18" spans="1:33" ht="51.75" customHeight="1" x14ac:dyDescent="0.3">
      <c r="A18" s="74"/>
      <c r="B18"/>
      <c r="C18"/>
      <c r="AF18"/>
      <c r="AG18" s="21">
        <f t="shared" si="0"/>
        <v>0</v>
      </c>
    </row>
    <row r="19" spans="1:33" ht="59.25" customHeight="1" x14ac:dyDescent="0.3">
      <c r="A19" s="74"/>
      <c r="B19"/>
      <c r="C19"/>
      <c r="AF19"/>
      <c r="AG19" s="21">
        <f t="shared" si="0"/>
        <v>0</v>
      </c>
    </row>
    <row r="20" spans="1:33" ht="51.7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9.25" customHeight="1" x14ac:dyDescent="0.3">
      <c r="A23" s="74"/>
      <c r="B23"/>
      <c r="C23"/>
      <c r="AF23"/>
      <c r="AG23" s="21">
        <f t="shared" si="0"/>
        <v>0</v>
      </c>
    </row>
    <row r="24" spans="1:33" ht="59.25" customHeight="1" x14ac:dyDescent="0.3">
      <c r="A24" s="74"/>
      <c r="B24"/>
      <c r="C24"/>
      <c r="AF24"/>
      <c r="AG24" s="21">
        <f t="shared" si="0"/>
        <v>0</v>
      </c>
    </row>
    <row r="25" spans="1:33" ht="51.7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9.25" customHeight="1" x14ac:dyDescent="0.3">
      <c r="A28" s="74"/>
      <c r="B28"/>
      <c r="C28"/>
      <c r="AF28"/>
      <c r="AG28" s="21">
        <f t="shared" si="0"/>
        <v>0</v>
      </c>
    </row>
    <row r="29" spans="1:33" ht="59.25" customHeight="1" x14ac:dyDescent="0.3">
      <c r="A29" s="74"/>
      <c r="B29"/>
      <c r="C29"/>
      <c r="AF29"/>
      <c r="AG29" s="21">
        <f t="shared" si="0"/>
        <v>0</v>
      </c>
    </row>
    <row r="30" spans="1:33" ht="51.75" customHeight="1" x14ac:dyDescent="0.3">
      <c r="A30" s="74"/>
      <c r="B30"/>
      <c r="C30"/>
      <c r="AF30"/>
      <c r="AG30" s="21">
        <f t="shared" si="0"/>
        <v>0</v>
      </c>
    </row>
    <row r="31" spans="1:33" ht="51.75" customHeight="1" x14ac:dyDescent="0.3">
      <c r="A31" s="74"/>
      <c r="B31"/>
      <c r="C31"/>
      <c r="AF31"/>
      <c r="AG31" s="21">
        <f t="shared" si="0"/>
        <v>0</v>
      </c>
    </row>
    <row r="32" spans="1:33" ht="59.25" customHeight="1" x14ac:dyDescent="0.3">
      <c r="A32" s="74"/>
      <c r="B32"/>
      <c r="C32"/>
      <c r="AF32"/>
      <c r="AG32" s="21">
        <f t="shared" ref="AG32:AG63" si="1">IF(AF32=1,COUNTA(D32:E32,H32:L32,N32,Q32:U32,W32:Y32,AB32),COUNTA(D32:E32,H32:I32,Q32:U32,W32:Y32,AB32))</f>
        <v>0</v>
      </c>
    </row>
    <row r="33" spans="1:33" ht="51.75" customHeight="1" x14ac:dyDescent="0.3">
      <c r="A33" s="74"/>
      <c r="B33"/>
      <c r="C33"/>
      <c r="AF33"/>
      <c r="AG33" s="21">
        <f t="shared" si="1"/>
        <v>0</v>
      </c>
    </row>
    <row r="34" spans="1:33" ht="51.75" customHeight="1" x14ac:dyDescent="0.3">
      <c r="A34" s="74"/>
      <c r="B34"/>
      <c r="C34"/>
      <c r="AF34"/>
      <c r="AG34" s="21">
        <f t="shared" si="1"/>
        <v>0</v>
      </c>
    </row>
    <row r="35" spans="1:33" ht="59.25" customHeight="1" x14ac:dyDescent="0.3">
      <c r="A35" s="74"/>
      <c r="B35"/>
      <c r="C35"/>
      <c r="AF35"/>
      <c r="AG35" s="21">
        <f t="shared" si="1"/>
        <v>0</v>
      </c>
    </row>
    <row r="36" spans="1:33" ht="51.75" customHeight="1" x14ac:dyDescent="0.3">
      <c r="A36" s="74"/>
      <c r="B36"/>
      <c r="C36"/>
      <c r="AF36"/>
      <c r="AG36" s="21">
        <f t="shared" si="1"/>
        <v>0</v>
      </c>
    </row>
    <row r="37" spans="1:33" ht="51.75" customHeight="1" x14ac:dyDescent="0.3">
      <c r="A37" s="74"/>
      <c r="B37"/>
      <c r="C37"/>
      <c r="AF37"/>
      <c r="AG37" s="21">
        <f t="shared" si="1"/>
        <v>0</v>
      </c>
    </row>
    <row r="38" spans="1:33" ht="59.25" customHeight="1" x14ac:dyDescent="0.3">
      <c r="A38" s="74"/>
      <c r="B38"/>
      <c r="C38"/>
      <c r="AF38"/>
      <c r="AG38" s="21">
        <f t="shared" si="1"/>
        <v>0</v>
      </c>
    </row>
    <row r="39" spans="1:33" ht="59.25" customHeight="1" x14ac:dyDescent="0.3">
      <c r="A39" s="74"/>
      <c r="B39"/>
      <c r="C39"/>
      <c r="AF39"/>
      <c r="AG39" s="21">
        <f t="shared" si="1"/>
        <v>0</v>
      </c>
    </row>
    <row r="40" spans="1:33" ht="59.25" customHeight="1" x14ac:dyDescent="0.3">
      <c r="A40" s="74"/>
      <c r="B40"/>
      <c r="C40"/>
      <c r="AF40"/>
      <c r="AG40" s="21">
        <f t="shared" si="1"/>
        <v>0</v>
      </c>
    </row>
    <row r="41" spans="1:33" ht="59.25" customHeight="1" x14ac:dyDescent="0.3">
      <c r="A41" s="74"/>
      <c r="B41"/>
      <c r="C41"/>
      <c r="AF41"/>
      <c r="AG41" s="21">
        <f t="shared" si="1"/>
        <v>0</v>
      </c>
    </row>
    <row r="42" spans="1:33" ht="59.25" customHeight="1" x14ac:dyDescent="0.3">
      <c r="A42" s="74"/>
      <c r="B42"/>
      <c r="C42"/>
      <c r="AF42"/>
      <c r="AG42" s="21">
        <f t="shared" si="1"/>
        <v>0</v>
      </c>
    </row>
    <row r="43" spans="1:33" ht="59.25" customHeight="1" x14ac:dyDescent="0.3">
      <c r="A43" s="74"/>
      <c r="B43"/>
      <c r="C43"/>
      <c r="AF43"/>
      <c r="AG43" s="21">
        <f t="shared" si="1"/>
        <v>0</v>
      </c>
    </row>
    <row r="44" spans="1:33" ht="59.25" customHeight="1" x14ac:dyDescent="0.3">
      <c r="A44" s="74"/>
      <c r="B44"/>
      <c r="C44"/>
      <c r="AF44"/>
      <c r="AG44" s="21">
        <f t="shared" si="1"/>
        <v>0</v>
      </c>
    </row>
    <row r="45" spans="1:33" ht="59.25" customHeight="1" x14ac:dyDescent="0.3">
      <c r="A45" s="74"/>
      <c r="B45"/>
      <c r="C45"/>
      <c r="AF45"/>
      <c r="AG45" s="21">
        <f t="shared" si="1"/>
        <v>0</v>
      </c>
    </row>
    <row r="46" spans="1:33" ht="59.25" customHeight="1" x14ac:dyDescent="0.3">
      <c r="A46" s="74"/>
      <c r="B46"/>
      <c r="C46"/>
      <c r="AF46"/>
      <c r="AG46" s="21">
        <f t="shared" si="1"/>
        <v>0</v>
      </c>
    </row>
    <row r="47" spans="1:33" ht="59.25" customHeight="1" x14ac:dyDescent="0.3">
      <c r="A47" s="74"/>
      <c r="B47"/>
      <c r="C47"/>
      <c r="AF47"/>
      <c r="AG47" s="21">
        <f t="shared" si="1"/>
        <v>0</v>
      </c>
    </row>
    <row r="48" spans="1:33" ht="59.2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14">
        <f t="shared" si="1"/>
        <v>0</v>
      </c>
    </row>
    <row r="57" spans="1:33" ht="59.25" customHeight="1" x14ac:dyDescent="0.3">
      <c r="A57" s="74"/>
      <c r="B57"/>
      <c r="C57"/>
      <c r="AF57"/>
      <c r="AG57" s="14">
        <f t="shared" si="1"/>
        <v>0</v>
      </c>
    </row>
    <row r="58" spans="1:33" ht="59.25" customHeight="1" x14ac:dyDescent="0.3">
      <c r="A58" s="74"/>
      <c r="B58"/>
      <c r="C58"/>
      <c r="AF58"/>
      <c r="AG58" s="14">
        <f t="shared" si="1"/>
        <v>0</v>
      </c>
    </row>
    <row r="59" spans="1:33" ht="59.25" customHeight="1" x14ac:dyDescent="0.3">
      <c r="A59" s="74"/>
      <c r="B59"/>
      <c r="C59"/>
      <c r="AF59"/>
      <c r="AG59" s="14">
        <f t="shared" si="1"/>
        <v>0</v>
      </c>
    </row>
    <row r="60" spans="1:33" ht="59.25" customHeight="1" x14ac:dyDescent="0.3">
      <c r="A60" s="74"/>
      <c r="B60"/>
      <c r="C60"/>
      <c r="AF60"/>
      <c r="AG60" s="14">
        <f t="shared" si="1"/>
        <v>0</v>
      </c>
    </row>
    <row r="61" spans="1:33" ht="59.25" customHeight="1" x14ac:dyDescent="0.3">
      <c r="A61" s="74"/>
      <c r="B61"/>
      <c r="C61"/>
      <c r="AF61"/>
      <c r="AG61" s="14">
        <f t="shared" si="1"/>
        <v>0</v>
      </c>
    </row>
    <row r="62" spans="1:33" ht="15" customHeight="1" x14ac:dyDescent="0.3">
      <c r="AG62" s="14">
        <f t="shared" si="1"/>
        <v>0</v>
      </c>
    </row>
    <row r="63" spans="1:33" ht="15" customHeight="1" x14ac:dyDescent="0.3">
      <c r="AG63" s="14">
        <f t="shared" si="1"/>
        <v>0</v>
      </c>
    </row>
    <row r="64" spans="1:33" ht="15" customHeight="1" x14ac:dyDescent="0.3">
      <c r="AG64" s="14">
        <f t="shared" ref="AG64:AG95" si="2">IF(AF64=1,COUNTA(D64:E64,H64:L64,N64,Q64:U64,W64:Y64,AB64),COUNTA(D64:E64,H64:I64,Q64:U64,W64:Y64,AB64))</f>
        <v>0</v>
      </c>
    </row>
    <row r="65" spans="33:33" ht="15" customHeight="1" x14ac:dyDescent="0.3">
      <c r="AG65" s="14">
        <f t="shared" si="2"/>
        <v>0</v>
      </c>
    </row>
    <row r="66" spans="33:33" ht="15" customHeight="1" x14ac:dyDescent="0.3">
      <c r="AG66" s="14">
        <f t="shared" si="2"/>
        <v>0</v>
      </c>
    </row>
    <row r="67" spans="33:33" ht="15" customHeight="1" x14ac:dyDescent="0.3">
      <c r="AG67" s="14">
        <f t="shared" si="2"/>
        <v>0</v>
      </c>
    </row>
    <row r="68" spans="33:33" ht="15" customHeight="1" x14ac:dyDescent="0.3">
      <c r="AG68" s="14">
        <f t="shared" si="2"/>
        <v>0</v>
      </c>
    </row>
    <row r="69" spans="33:33" ht="15" customHeight="1" x14ac:dyDescent="0.3">
      <c r="AG69" s="14">
        <f t="shared" si="2"/>
        <v>0</v>
      </c>
    </row>
    <row r="70" spans="33:33" ht="15" customHeight="1" x14ac:dyDescent="0.3">
      <c r="AG70" s="14">
        <f t="shared" si="2"/>
        <v>0</v>
      </c>
    </row>
    <row r="71" spans="33:33" ht="15" customHeight="1" x14ac:dyDescent="0.3">
      <c r="AG71" s="14">
        <f t="shared" si="2"/>
        <v>0</v>
      </c>
    </row>
    <row r="72" spans="33:33" ht="15" customHeight="1" x14ac:dyDescent="0.3">
      <c r="AG72" s="14">
        <f t="shared" si="2"/>
        <v>0</v>
      </c>
    </row>
    <row r="73" spans="33:33" ht="15" customHeight="1" x14ac:dyDescent="0.3">
      <c r="AG73" s="14">
        <f t="shared" si="2"/>
        <v>0</v>
      </c>
    </row>
    <row r="74" spans="33:33" ht="15" customHeight="1" x14ac:dyDescent="0.3">
      <c r="AG74" s="14">
        <f t="shared" si="2"/>
        <v>0</v>
      </c>
    </row>
    <row r="75" spans="33:33" ht="15" customHeight="1" x14ac:dyDescent="0.3">
      <c r="AG75" s="14">
        <f t="shared" si="2"/>
        <v>0</v>
      </c>
    </row>
    <row r="76" spans="33:33" ht="15" customHeight="1" x14ac:dyDescent="0.3">
      <c r="AG76" s="14">
        <f t="shared" si="2"/>
        <v>0</v>
      </c>
    </row>
    <row r="77" spans="33:33" ht="15" customHeight="1" x14ac:dyDescent="0.3">
      <c r="AG77" s="14">
        <f t="shared" si="2"/>
        <v>0</v>
      </c>
    </row>
    <row r="78" spans="33:33" ht="15" customHeight="1" x14ac:dyDescent="0.3">
      <c r="AG78" s="14">
        <f t="shared" si="2"/>
        <v>0</v>
      </c>
    </row>
    <row r="79" spans="33:33" ht="15" customHeight="1" x14ac:dyDescent="0.3">
      <c r="AG79" s="14">
        <f t="shared" si="2"/>
        <v>0</v>
      </c>
    </row>
    <row r="80" spans="33: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ref="AG96:AG127" si="3">IF(AF96=1,COUNTA(D96:E96,H96:L96,N96,Q96:U96,W96:Y96,AB96),COUNTA(D96:E96,H96:I96,Q96:U96,W96:Y96,AB96))</f>
        <v>0</v>
      </c>
    </row>
    <row r="97" spans="33:33" ht="15" customHeight="1" x14ac:dyDescent="0.3">
      <c r="AG97" s="14">
        <f t="shared" si="3"/>
        <v>0</v>
      </c>
    </row>
    <row r="98" spans="33:33" ht="15" customHeight="1" x14ac:dyDescent="0.3">
      <c r="AG98" s="14">
        <f t="shared" si="3"/>
        <v>0</v>
      </c>
    </row>
    <row r="99" spans="33:33" ht="15" customHeight="1" x14ac:dyDescent="0.3">
      <c r="AG99" s="14">
        <f t="shared" si="3"/>
        <v>0</v>
      </c>
    </row>
    <row r="100" spans="33:33" ht="15" customHeight="1" x14ac:dyDescent="0.3">
      <c r="AG100" s="14">
        <f t="shared" si="3"/>
        <v>0</v>
      </c>
    </row>
    <row r="101" spans="33:33" ht="15" customHeight="1" x14ac:dyDescent="0.3">
      <c r="AG101" s="14">
        <f t="shared" si="3"/>
        <v>0</v>
      </c>
    </row>
    <row r="102" spans="33:33" ht="15" customHeight="1" x14ac:dyDescent="0.3">
      <c r="AG102" s="14">
        <f t="shared" si="3"/>
        <v>0</v>
      </c>
    </row>
    <row r="103" spans="33:33" ht="15" customHeight="1" x14ac:dyDescent="0.3">
      <c r="AG103" s="14">
        <f t="shared" si="3"/>
        <v>0</v>
      </c>
    </row>
    <row r="104" spans="33:33" ht="15" customHeight="1" x14ac:dyDescent="0.3">
      <c r="AG104" s="14">
        <f t="shared" si="3"/>
        <v>0</v>
      </c>
    </row>
    <row r="105" spans="33:33" ht="15" customHeight="1" x14ac:dyDescent="0.3">
      <c r="AG105" s="14">
        <f t="shared" si="3"/>
        <v>0</v>
      </c>
    </row>
    <row r="106" spans="33:33" ht="15" customHeight="1" x14ac:dyDescent="0.3">
      <c r="AG106" s="14">
        <f t="shared" si="3"/>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ref="AG128:AG141" si="4">IF(AF128=1,COUNTA(D128:E128,H128:L128,N128,Q128:U128,W128:Y128,AB128),COUNTA(D128:E128,H128:I128,Q128:U128,W128:Y128,AB128))</f>
        <v>0</v>
      </c>
    </row>
    <row r="129" spans="33:33" ht="15" customHeight="1" x14ac:dyDescent="0.3">
      <c r="AG129" s="14">
        <f t="shared" si="4"/>
        <v>0</v>
      </c>
    </row>
    <row r="130" spans="33:33" ht="15" customHeight="1" x14ac:dyDescent="0.3">
      <c r="AG130" s="14">
        <f t="shared" si="4"/>
        <v>0</v>
      </c>
    </row>
    <row r="131" spans="33:33" ht="15" customHeight="1" x14ac:dyDescent="0.3">
      <c r="AG131" s="14">
        <f t="shared" si="4"/>
        <v>0</v>
      </c>
    </row>
    <row r="132" spans="33:33" ht="15" customHeight="1" x14ac:dyDescent="0.3">
      <c r="AG132" s="14">
        <f t="shared" si="4"/>
        <v>0</v>
      </c>
    </row>
    <row r="133" spans="33:33" ht="15" customHeight="1" x14ac:dyDescent="0.3">
      <c r="AG133" s="14">
        <f t="shared" si="4"/>
        <v>0</v>
      </c>
    </row>
    <row r="134" spans="33:33" ht="15" customHeight="1" x14ac:dyDescent="0.3">
      <c r="AG134" s="14">
        <f t="shared" si="4"/>
        <v>0</v>
      </c>
    </row>
    <row r="135" spans="33:33" ht="15" customHeight="1" x14ac:dyDescent="0.3">
      <c r="AG135" s="14">
        <f t="shared" si="4"/>
        <v>0</v>
      </c>
    </row>
    <row r="136" spans="33:33" ht="15" customHeight="1" x14ac:dyDescent="0.3">
      <c r="AG136" s="14">
        <f t="shared" si="4"/>
        <v>0</v>
      </c>
    </row>
    <row r="137" spans="33:33" ht="15" customHeight="1" x14ac:dyDescent="0.3">
      <c r="AG137" s="14">
        <f t="shared" si="4"/>
        <v>0</v>
      </c>
    </row>
    <row r="138" spans="33:33" ht="15" customHeight="1" x14ac:dyDescent="0.3">
      <c r="AG138" s="14">
        <f t="shared" si="4"/>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sheetData>
  <sheetProtection algorithmName="SHA-512" hashValue="09WRxvYWb9d0lJl5/JB7Sc7GxJlmCYBUSsGJRarkh2xQ/6XMsmArRhuGDN4ng7aaVMUskVbYnR5w/iI4uRRa6A==" saltValue="DNW4WHEc32wo5rlhnD0IQg==" spinCount="100000" sheet="1" objects="1" scenarios="1"/>
  <mergeCells count="10">
    <mergeCell ref="D7:N7"/>
    <mergeCell ref="W7:Z7"/>
    <mergeCell ref="AD1:AE1"/>
    <mergeCell ref="AN1:AP1"/>
    <mergeCell ref="K5:L5"/>
    <mergeCell ref="W3:Z3"/>
    <mergeCell ref="P7:U7"/>
    <mergeCell ref="D3:M3"/>
    <mergeCell ref="X4:Y4"/>
    <mergeCell ref="X5:Y5"/>
  </mergeCells>
  <conditionalFormatting sqref="P7:U7">
    <cfRule type="expression" dxfId="75" priority="833">
      <formula>$S$2="err"</formula>
    </cfRule>
  </conditionalFormatting>
  <conditionalFormatting sqref="Q9:U9">
    <cfRule type="expression" dxfId="30" priority="834" stopIfTrue="1">
      <formula>$O9=1</formula>
    </cfRule>
  </conditionalFormatting>
  <conditionalFormatting sqref="H9:N9">
    <cfRule type="expression" dxfId="29" priority="835" stopIfTrue="1">
      <formula>LOWER(MID($N9,1,19))="please include this"</formula>
    </cfRule>
  </conditionalFormatting>
  <conditionalFormatting sqref="W9:Z9">
    <cfRule type="expression" dxfId="28" priority="836" stopIfTrue="1">
      <formula>LOWER(MID($N9,1,19))="please include this"</formula>
    </cfRule>
    <cfRule type="expression" dxfId="27" priority="837" stopIfTrue="1">
      <formula>$AH9=0</formula>
    </cfRule>
  </conditionalFormatting>
  <dataValidations count="6">
    <dataValidation type="list" allowBlank="1" showInputMessage="1" showErrorMessage="1" sqref="D9:E9" xr:uid="{35B21687-F086-40B5-B159-82B8D8739A47}">
      <formula1>sublist_bulk_materials</formula1>
    </dataValidation>
    <dataValidation type="decimal" allowBlank="1" showInputMessage="1" showErrorMessage="1" errorTitle="Numeric value required" error="Please enter a numeric value." sqref="H9" xr:uid="{59CEEC9A-43CE-4B24-BB19-E04A84B41C8A}">
      <formula1>0</formula1>
      <formula2>99999999</formula2>
    </dataValidation>
    <dataValidation type="decimal" allowBlank="1" showInputMessage="1" showErrorMessage="1" errorTitle="Numeric value required" error="Please enter a numeric value." sqref="I9" xr:uid="{3C42944A-EDD9-4EBC-9E95-93866AC649FA}">
      <formula1>0</formula1>
      <formula2>99999999</formula2>
    </dataValidation>
    <dataValidation type="decimal" operator="lessThanOrEqual" allowBlank="1" showInputMessage="1" showErrorMessage="1" errorTitle="Numeric value required" error="Please enter a numeric value less than or equal to 500." sqref="X9" xr:uid="{50151E43-C18A-4A98-B200-9C7753AA6ADE}">
      <formula1>500</formula1>
    </dataValidation>
    <dataValidation type="decimal" allowBlank="1" showInputMessage="1" showErrorMessage="1" errorTitle="Numeric value required" error="Please enter a numeric value." sqref="AB9" xr:uid="{0D55F642-105E-4402-ABD0-116F8DF54E86}">
      <formula1>0</formula1>
      <formula2>99999999</formula2>
    </dataValidation>
    <dataValidation type="decimal" allowBlank="1" showInputMessage="1" showErrorMessage="1" errorTitle="Numeric value required" error="Please enter a numeric value." sqref="Q9:U9" xr:uid="{09C33BBA-0CDB-4563-9F03-CCF2C46177AC}">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add_new_row">
                <anchor moveWithCells="1">
                  <from>
                    <xdr:col>3</xdr:col>
                    <xdr:colOff>2171700</xdr:colOff>
                    <xdr:row>4</xdr:row>
                    <xdr:rowOff>259080</xdr:rowOff>
                  </from>
                  <to>
                    <xdr:col>4</xdr:col>
                    <xdr:colOff>1097280</xdr:colOff>
                    <xdr:row>5</xdr:row>
                    <xdr:rowOff>60960</xdr:rowOff>
                  </to>
                </anchor>
              </controlPr>
            </control>
          </mc:Choice>
        </mc:AlternateContent>
        <mc:AlternateContent xmlns:mc="http://schemas.openxmlformats.org/markup-compatibility/2006">
          <mc:Choice Requires="x14">
            <control shapeId="261122" r:id="rId5" name="Button 2">
              <controlPr defaultSize="0" print="0" autoFill="0" autoPict="0" macro="[0]!add_non_standard_row">
                <anchor moveWithCells="1">
                  <from>
                    <xdr:col>4</xdr:col>
                    <xdr:colOff>1181100</xdr:colOff>
                    <xdr:row>4</xdr:row>
                    <xdr:rowOff>259080</xdr:rowOff>
                  </from>
                  <to>
                    <xdr:col>7</xdr:col>
                    <xdr:colOff>251460</xdr:colOff>
                    <xdr:row>5</xdr:row>
                    <xdr:rowOff>60960</xdr:rowOff>
                  </to>
                </anchor>
              </controlPr>
            </control>
          </mc:Choice>
        </mc:AlternateContent>
        <mc:AlternateContent xmlns:mc="http://schemas.openxmlformats.org/markup-compatibility/2006">
          <mc:Choice Requires="x14">
            <control shapeId="261124"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261161" r:id="rId7" name="Button 41">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261676" r:id="rId8" name="Button 556">
              <controlPr defaultSize="0" print="0" autoFill="0" autoPict="0" macro="[0]!show_hide_methodology_col">
                <anchor moveWithCells="1">
                  <from>
                    <xdr:col>4</xdr:col>
                    <xdr:colOff>449580</xdr:colOff>
                    <xdr:row>3</xdr:row>
                    <xdr:rowOff>144780</xdr:rowOff>
                  </from>
                  <to>
                    <xdr:col>7</xdr:col>
                    <xdr:colOff>251460</xdr:colOff>
                    <xdr:row>4</xdr:row>
                    <xdr:rowOff>220980</xdr:rowOff>
                  </to>
                </anchor>
              </controlPr>
            </control>
          </mc:Choice>
        </mc:AlternateContent>
        <mc:AlternateContent xmlns:mc="http://schemas.openxmlformats.org/markup-compatibility/2006">
          <mc:Choice Requires="x14">
            <control shapeId="261741" r:id="rId9" name="activate_bulk_materials">
              <controlPr defaultSize="0" print="0" autoFill="0" autoPict="0" macro="[0]!thisworkbook.activate_bulk_materials">
                <anchor>
                  <from>
                    <xdr:col>3</xdr:col>
                    <xdr:colOff>1432560</xdr:colOff>
                    <xdr:row>0</xdr:row>
                    <xdr:rowOff>411480</xdr:rowOff>
                  </from>
                  <to>
                    <xdr:col>3</xdr:col>
                    <xdr:colOff>2385060</xdr:colOff>
                    <xdr:row>1</xdr:row>
                    <xdr:rowOff>480060</xdr:rowOff>
                  </to>
                </anchor>
              </controlPr>
            </control>
          </mc:Choice>
        </mc:AlternateContent>
        <mc:AlternateContent xmlns:mc="http://schemas.openxmlformats.org/markup-compatibility/2006">
          <mc:Choice Requires="x14">
            <control shapeId="261742" r:id="rId10" name="activate_earthworks">
              <controlPr defaultSize="0" print="0" autoFill="0" autoPict="0" macro="[0]!thisworkbook.activate_earthworks">
                <anchor>
                  <from>
                    <xdr:col>4</xdr:col>
                    <xdr:colOff>30480</xdr:colOff>
                    <xdr:row>0</xdr:row>
                    <xdr:rowOff>411480</xdr:rowOff>
                  </from>
                  <to>
                    <xdr:col>4</xdr:col>
                    <xdr:colOff>952500</xdr:colOff>
                    <xdr:row>1</xdr:row>
                    <xdr:rowOff>480060</xdr:rowOff>
                  </to>
                </anchor>
              </controlPr>
            </control>
          </mc:Choice>
        </mc:AlternateContent>
        <mc:AlternateContent xmlns:mc="http://schemas.openxmlformats.org/markup-compatibility/2006">
          <mc:Choice Requires="x14">
            <control shapeId="261743" r:id="rId11" name="activate_fencing">
              <controlPr defaultSize="0" print="0" autoFill="0" autoPict="0" macro="[0]!thisworkbook.activate_fencing">
                <anchor>
                  <from>
                    <xdr:col>4</xdr:col>
                    <xdr:colOff>1013460</xdr:colOff>
                    <xdr:row>0</xdr:row>
                    <xdr:rowOff>411480</xdr:rowOff>
                  </from>
                  <to>
                    <xdr:col>5</xdr:col>
                    <xdr:colOff>106680</xdr:colOff>
                    <xdr:row>1</xdr:row>
                    <xdr:rowOff>480060</xdr:rowOff>
                  </to>
                </anchor>
              </controlPr>
            </control>
          </mc:Choice>
        </mc:AlternateContent>
        <mc:AlternateContent xmlns:mc="http://schemas.openxmlformats.org/markup-compatibility/2006">
          <mc:Choice Requires="x14">
            <control shapeId="261744" r:id="rId12" name="activate_drainage">
              <controlPr defaultSize="0" print="0" autoFill="0" autoPict="0" macro="[0]!thisworkbook.activate_drainage">
                <anchor>
                  <from>
                    <xdr:col>5</xdr:col>
                    <xdr:colOff>114300</xdr:colOff>
                    <xdr:row>0</xdr:row>
                    <xdr:rowOff>411480</xdr:rowOff>
                  </from>
                  <to>
                    <xdr:col>9</xdr:col>
                    <xdr:colOff>114300</xdr:colOff>
                    <xdr:row>1</xdr:row>
                    <xdr:rowOff>480060</xdr:rowOff>
                  </to>
                </anchor>
              </controlPr>
            </control>
          </mc:Choice>
        </mc:AlternateContent>
        <mc:AlternateContent xmlns:mc="http://schemas.openxmlformats.org/markup-compatibility/2006">
          <mc:Choice Requires="x14">
            <control shapeId="261745" r:id="rId13" name="activate_road_pavements">
              <controlPr defaultSize="0" print="0" autoFill="0" autoPict="0" macro="[0]!thisworkbook.activate_road_pavements">
                <anchor>
                  <from>
                    <xdr:col>9</xdr:col>
                    <xdr:colOff>137160</xdr:colOff>
                    <xdr:row>0</xdr:row>
                    <xdr:rowOff>411480</xdr:rowOff>
                  </from>
                  <to>
                    <xdr:col>10</xdr:col>
                    <xdr:colOff>525780</xdr:colOff>
                    <xdr:row>1</xdr:row>
                    <xdr:rowOff>480060</xdr:rowOff>
                  </to>
                </anchor>
              </controlPr>
            </control>
          </mc:Choice>
        </mc:AlternateContent>
        <mc:AlternateContent xmlns:mc="http://schemas.openxmlformats.org/markup-compatibility/2006">
          <mc:Choice Requires="x14">
            <control shapeId="261746" r:id="rId14" name="activate_street_furniture">
              <controlPr defaultSize="0" print="0" autoFill="0" autoPict="0" macro="[0]!thisworkbook.activate_street_furniture">
                <anchor>
                  <from>
                    <xdr:col>10</xdr:col>
                    <xdr:colOff>563880</xdr:colOff>
                    <xdr:row>0</xdr:row>
                    <xdr:rowOff>411480</xdr:rowOff>
                  </from>
                  <to>
                    <xdr:col>12</xdr:col>
                    <xdr:colOff>99060</xdr:colOff>
                    <xdr:row>1</xdr:row>
                    <xdr:rowOff>480060</xdr:rowOff>
                  </to>
                </anchor>
              </controlPr>
            </control>
          </mc:Choice>
        </mc:AlternateContent>
        <mc:AlternateContent xmlns:mc="http://schemas.openxmlformats.org/markup-compatibility/2006">
          <mc:Choice Requires="x14">
            <control shapeId="261747" r:id="rId15" name="activate_civils_structures">
              <controlPr defaultSize="0" print="0" autoFill="0" autoPict="0" macro="[0]!thisworkbook.activate_civils_structures">
                <anchor>
                  <from>
                    <xdr:col>12</xdr:col>
                    <xdr:colOff>114300</xdr:colOff>
                    <xdr:row>0</xdr:row>
                    <xdr:rowOff>411480</xdr:rowOff>
                  </from>
                  <to>
                    <xdr:col>15</xdr:col>
                    <xdr:colOff>304800</xdr:colOff>
                    <xdr:row>1</xdr:row>
                    <xdr:rowOff>480060</xdr:rowOff>
                  </to>
                </anchor>
              </controlPr>
            </control>
          </mc:Choice>
        </mc:AlternateContent>
        <mc:AlternateContent xmlns:mc="http://schemas.openxmlformats.org/markup-compatibility/2006">
          <mc:Choice Requires="x14">
            <control shapeId="261748" r:id="rId16" name="activate_fuel_and_energy">
              <controlPr defaultSize="0" print="0" autoFill="0" autoPict="0" macro="[0]!thisworkbook.activate_fuel_and_energy">
                <anchor>
                  <from>
                    <xdr:col>15</xdr:col>
                    <xdr:colOff>335280</xdr:colOff>
                    <xdr:row>0</xdr:row>
                    <xdr:rowOff>411480</xdr:rowOff>
                  </from>
                  <to>
                    <xdr:col>17</xdr:col>
                    <xdr:colOff>30480</xdr:colOff>
                    <xdr:row>1</xdr:row>
                    <xdr:rowOff>480060</xdr:rowOff>
                  </to>
                </anchor>
              </controlPr>
            </control>
          </mc:Choice>
        </mc:AlternateContent>
        <mc:AlternateContent xmlns:mc="http://schemas.openxmlformats.org/markup-compatibility/2006">
          <mc:Choice Requires="x14">
            <control shapeId="261749" r:id="rId17" name="activate_business_transport">
              <controlPr defaultSize="0" print="0" autoFill="0" autoPict="0" macro="[0]!thisworkbook.activate_business_transport">
                <anchor>
                  <from>
                    <xdr:col>17</xdr:col>
                    <xdr:colOff>60960</xdr:colOff>
                    <xdr:row>0</xdr:row>
                    <xdr:rowOff>411480</xdr:rowOff>
                  </from>
                  <to>
                    <xdr:col>18</xdr:col>
                    <xdr:colOff>373380</xdr:colOff>
                    <xdr:row>1</xdr:row>
                    <xdr:rowOff>480060</xdr:rowOff>
                  </to>
                </anchor>
              </controlPr>
            </control>
          </mc:Choice>
        </mc:AlternateContent>
        <mc:AlternateContent xmlns:mc="http://schemas.openxmlformats.org/markup-compatibility/2006">
          <mc:Choice Requires="x14">
            <control shapeId="261750" r:id="rId18" name="activate_waste">
              <controlPr defaultSize="0" print="0" autoFill="0" autoPict="0" macro="[0]!thisworkbook.activate_waste">
                <anchor>
                  <from>
                    <xdr:col>18</xdr:col>
                    <xdr:colOff>411480</xdr:colOff>
                    <xdr:row>0</xdr:row>
                    <xdr:rowOff>411480</xdr:rowOff>
                  </from>
                  <to>
                    <xdr:col>20</xdr:col>
                    <xdr:colOff>99060</xdr:colOff>
                    <xdr:row>1</xdr:row>
                    <xdr:rowOff>480060</xdr:rowOff>
                  </to>
                </anchor>
              </controlPr>
            </control>
          </mc:Choice>
        </mc:AlternateContent>
        <mc:AlternateContent xmlns:mc="http://schemas.openxmlformats.org/markup-compatibility/2006">
          <mc:Choice Requires="x14">
            <control shapeId="261751" r:id="rId19" name="activate_home_page">
              <controlPr defaultSize="0" print="0" autoFill="0" autoPict="0" macro="[0]!thisworkbook.activate_home_page">
                <anchor>
                  <from>
                    <xdr:col>3</xdr:col>
                    <xdr:colOff>1432560</xdr:colOff>
                    <xdr:row>0</xdr:row>
                    <xdr:rowOff>144780</xdr:rowOff>
                  </from>
                  <to>
                    <xdr:col>4</xdr:col>
                    <xdr:colOff>411480</xdr:colOff>
                    <xdr:row>0</xdr:row>
                    <xdr:rowOff>373380</xdr:rowOff>
                  </to>
                </anchor>
              </controlPr>
            </control>
          </mc:Choice>
        </mc:AlternateContent>
        <mc:AlternateContent xmlns:mc="http://schemas.openxmlformats.org/markup-compatibility/2006">
          <mc:Choice Requires="x14">
            <control shapeId="261752" r:id="rId20" name="activate_guidance">
              <controlPr defaultSize="0" print="0" autoFill="0" autoPict="0" macro="[0]!thisworkbook.activate_guidance">
                <anchor>
                  <from>
                    <xdr:col>4</xdr:col>
                    <xdr:colOff>441960</xdr:colOff>
                    <xdr:row>0</xdr:row>
                    <xdr:rowOff>144780</xdr:rowOff>
                  </from>
                  <to>
                    <xdr:col>4</xdr:col>
                    <xdr:colOff>1813560</xdr:colOff>
                    <xdr:row>0</xdr:row>
                    <xdr:rowOff>373380</xdr:rowOff>
                  </to>
                </anchor>
              </controlPr>
            </control>
          </mc:Choice>
        </mc:AlternateContent>
        <mc:AlternateContent xmlns:mc="http://schemas.openxmlformats.org/markup-compatibility/2006">
          <mc:Choice Requires="x14">
            <control shapeId="261753" r:id="rId21" name="activate_summary_report">
              <controlPr defaultSize="0" print="0" autoFill="0" autoPict="0" macro="[0]!thisworkbook.activate_summary_report">
                <anchor>
                  <from>
                    <xdr:col>4</xdr:col>
                    <xdr:colOff>1828800</xdr:colOff>
                    <xdr:row>0</xdr:row>
                    <xdr:rowOff>144780</xdr:rowOff>
                  </from>
                  <to>
                    <xdr:col>9</xdr:col>
                    <xdr:colOff>373380</xdr:colOff>
                    <xdr:row>0</xdr:row>
                    <xdr:rowOff>373380</xdr:rowOff>
                  </to>
                </anchor>
              </controlPr>
            </control>
          </mc:Choice>
        </mc:AlternateContent>
        <mc:AlternateContent xmlns:mc="http://schemas.openxmlformats.org/markup-compatibility/2006">
          <mc:Choice Requires="x14">
            <control shapeId="261754" r:id="rId22" name="activate_outputs">
              <controlPr defaultSize="0" print="0" autoFill="0" autoPict="0" macro="[0]!thisworkbook.activate_outputs">
                <anchor>
                  <from>
                    <xdr:col>9</xdr:col>
                    <xdr:colOff>441960</xdr:colOff>
                    <xdr:row>0</xdr:row>
                    <xdr:rowOff>144780</xdr:rowOff>
                  </from>
                  <to>
                    <xdr:col>11</xdr:col>
                    <xdr:colOff>342900</xdr:colOff>
                    <xdr:row>0</xdr:row>
                    <xdr:rowOff>373380</xdr:rowOff>
                  </to>
                </anchor>
              </controlPr>
            </control>
          </mc:Choice>
        </mc:AlternateContent>
        <mc:AlternateContent xmlns:mc="http://schemas.openxmlformats.org/markup-compatibility/2006">
          <mc:Choice Requires="x14">
            <control shapeId="261755" r:id="rId23" name="activate_emissions_factors">
              <controlPr defaultSize="0" print="0" autoFill="0" autoPict="0" macro="[0]!thisworkbook.activate_emissions_factors">
                <anchor>
                  <from>
                    <xdr:col>11</xdr:col>
                    <xdr:colOff>373380</xdr:colOff>
                    <xdr:row>0</xdr:row>
                    <xdr:rowOff>144780</xdr:rowOff>
                  </from>
                  <to>
                    <xdr:col>15</xdr:col>
                    <xdr:colOff>480060</xdr:colOff>
                    <xdr:row>0</xdr:row>
                    <xdr:rowOff>373380</xdr:rowOff>
                  </to>
                </anchor>
              </controlPr>
            </control>
          </mc:Choice>
        </mc:AlternateContent>
        <mc:AlternateContent xmlns:mc="http://schemas.openxmlformats.org/markup-compatibility/2006">
          <mc:Choice Requires="x14">
            <control shapeId="261756" r:id="rId24" name="activate_material_density">
              <controlPr defaultSize="0" print="0" autoFill="0" autoPict="0" macro="[0]!thisworkbook.activate_material_density">
                <anchor>
                  <from>
                    <xdr:col>15</xdr:col>
                    <xdr:colOff>480060</xdr:colOff>
                    <xdr:row>0</xdr:row>
                    <xdr:rowOff>144780</xdr:rowOff>
                  </from>
                  <to>
                    <xdr:col>17</xdr:col>
                    <xdr:colOff>571500</xdr:colOff>
                    <xdr:row>0</xdr:row>
                    <xdr:rowOff>373380</xdr:rowOff>
                  </to>
                </anchor>
              </controlPr>
            </control>
          </mc:Choice>
        </mc:AlternateContent>
        <mc:AlternateContent xmlns:mc="http://schemas.openxmlformats.org/markup-compatibility/2006">
          <mc:Choice Requires="x14">
            <control shapeId="261757" r:id="rId25" name="activate_notes">
              <controlPr defaultSize="0" print="0" autoFill="0" autoPict="0" macro="[0]!thisworkbook.activate_notes">
                <anchor>
                  <from>
                    <xdr:col>18</xdr:col>
                    <xdr:colOff>0</xdr:colOff>
                    <xdr:row>0</xdr:row>
                    <xdr:rowOff>144780</xdr:rowOff>
                  </from>
                  <to>
                    <xdr:col>20</xdr:col>
                    <xdr:colOff>99060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9A968FE-845D-4F54-A1E5-A788A65DD85E}">
          <x14:formula1>
            <xm:f>'Emissions Factors Lookup'!$D$4:$D$7</xm:f>
          </x14:formula1>
          <xm:sqref>W9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tabColor rgb="FF008BCB"/>
    <outlinePr summaryBelow="0" summaryRight="0"/>
  </sheetPr>
  <dimension ref="A1:XFC146"/>
  <sheetViews>
    <sheetView showGridLines="0" showRowColHeaders="0" zoomScaleNormal="100" workbookViewId="0">
      <pane ySplit="8" topLeftCell="A9" activePane="bottomLeft" state="frozen"/>
      <selection activeCell="B7" sqref="B7:S19"/>
      <selection pane="bottomLeft" activeCell="M4" sqref="M4"/>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ol min="32" max="16383" width="10.6640625" style="14" hidden="1"/>
    <col min="16384" max="16384" width="120" style="14" hidden="1" customWidth="1"/>
  </cols>
  <sheetData>
    <row r="1" spans="1:50" s="56" customFormat="1" ht="43.5" customHeight="1" x14ac:dyDescent="0.25">
      <c r="A1" s="75"/>
      <c r="O1" s="58"/>
      <c r="R1" s="57"/>
      <c r="AD1" s="447"/>
      <c r="AE1" s="447"/>
      <c r="AH1" s="56">
        <v>1</v>
      </c>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1117</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t="s">
        <v>600</v>
      </c>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25</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25</v>
      </c>
      <c r="B9" s="65"/>
      <c r="C9" s="45" t="s">
        <v>25</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65">
        <f>IF(P9&lt;0,1,0)</f>
        <v>0</v>
      </c>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349999999999994"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70.349999999999994" customHeight="1" x14ac:dyDescent="0.3">
      <c r="A11" s="316"/>
      <c r="B11"/>
      <c r="C11"/>
      <c r="O11"/>
      <c r="AF11"/>
      <c r="AG11" s="21">
        <f>IF(AF11=1,COUNTA(D11:E11,H11:L11,N11,Q11:U11,W11:Y11,AB11),COUNTA(D11:E11,H11:I11,Q11:U11,W11:X11,AB11))</f>
        <v>0</v>
      </c>
      <c r="AH11" s="14" t="str">
        <f>IF(ISERROR(VLOOKUP(D11&amp;E11,'Emissions Factors Lookup'!J4:R400,9,FALSE)),"",VLOOKUP(D11&amp;E11,'Emissions Factors Lookup'!J4:R400,9,FALSE))</f>
        <v/>
      </c>
    </row>
    <row r="12" spans="1:50" ht="51.75" customHeight="1" x14ac:dyDescent="0.3">
      <c r="A12" s="316"/>
      <c r="B12"/>
      <c r="C12"/>
      <c r="O12"/>
      <c r="AF12"/>
      <c r="AG12" s="21">
        <f t="shared" ref="AG12:AG37" si="0">IF(AF12=1,COUNTA(D12:E12,H12:L12,N12,Q12:U12,W12:Y12,AB12),COUNTA(D12:E12,H12:I12,Q12:U12,W12:Y12,AB12))</f>
        <v>0</v>
      </c>
    </row>
    <row r="13" spans="1:50" ht="59.25" customHeight="1" x14ac:dyDescent="0.3">
      <c r="A13" s="74"/>
      <c r="B13"/>
      <c r="C13"/>
      <c r="AF13"/>
      <c r="AG13" s="21">
        <f t="shared" si="0"/>
        <v>0</v>
      </c>
    </row>
    <row r="14" spans="1:50" ht="59.25" customHeight="1" x14ac:dyDescent="0.3">
      <c r="A14" s="74"/>
      <c r="B14"/>
      <c r="C14"/>
      <c r="AF14"/>
      <c r="AG14" s="21">
        <f t="shared" si="0"/>
        <v>0</v>
      </c>
    </row>
    <row r="15" spans="1:50" ht="59.25" customHeight="1" x14ac:dyDescent="0.3">
      <c r="A15" s="74"/>
      <c r="B15"/>
      <c r="C15"/>
      <c r="AF15"/>
      <c r="AG15" s="21">
        <f t="shared" si="0"/>
        <v>0</v>
      </c>
    </row>
    <row r="16" spans="1:50" ht="59.25" customHeight="1" x14ac:dyDescent="0.3">
      <c r="A16" s="74"/>
      <c r="B16"/>
      <c r="C16"/>
      <c r="AF16"/>
      <c r="AG16" s="21">
        <f t="shared" si="0"/>
        <v>0</v>
      </c>
    </row>
    <row r="17" spans="1:33" ht="59.25" customHeight="1" x14ac:dyDescent="0.3">
      <c r="A17" s="74"/>
      <c r="B17"/>
      <c r="C17"/>
      <c r="AF17"/>
      <c r="AG17" s="21">
        <f t="shared" si="0"/>
        <v>0</v>
      </c>
    </row>
    <row r="18" spans="1:33" ht="59.25" customHeight="1" x14ac:dyDescent="0.3">
      <c r="A18" s="74"/>
      <c r="B18"/>
      <c r="C18"/>
      <c r="AF18"/>
      <c r="AG18" s="21">
        <f t="shared" si="0"/>
        <v>0</v>
      </c>
    </row>
    <row r="19" spans="1:33" ht="59.25" customHeight="1" x14ac:dyDescent="0.3">
      <c r="A19" s="74"/>
      <c r="B19"/>
      <c r="C19"/>
      <c r="AF19"/>
      <c r="AG19" s="21">
        <f t="shared" si="0"/>
        <v>0</v>
      </c>
    </row>
    <row r="20" spans="1:33" ht="59.2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1.75" customHeight="1" x14ac:dyDescent="0.3">
      <c r="A23" s="74"/>
      <c r="B23"/>
      <c r="C23"/>
      <c r="AF23"/>
      <c r="AG23" s="21">
        <f t="shared" si="0"/>
        <v>0</v>
      </c>
    </row>
    <row r="24" spans="1:33" ht="59.25" customHeight="1" x14ac:dyDescent="0.3">
      <c r="A24" s="74"/>
      <c r="B24"/>
      <c r="C24"/>
      <c r="AF24"/>
      <c r="AG24" s="21">
        <f t="shared" si="0"/>
        <v>0</v>
      </c>
    </row>
    <row r="25" spans="1:33" ht="51.7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9.25" customHeight="1" x14ac:dyDescent="0.3">
      <c r="A28" s="74"/>
      <c r="B28"/>
      <c r="C28"/>
      <c r="AF28"/>
      <c r="AG28" s="21">
        <f t="shared" si="0"/>
        <v>0</v>
      </c>
    </row>
    <row r="29" spans="1:33" ht="59.25" customHeight="1" x14ac:dyDescent="0.3">
      <c r="A29" s="74"/>
      <c r="B29"/>
      <c r="C29"/>
      <c r="AF29"/>
      <c r="AG29" s="21">
        <f t="shared" si="0"/>
        <v>0</v>
      </c>
    </row>
    <row r="30" spans="1:33" ht="51.75" customHeight="1" x14ac:dyDescent="0.3">
      <c r="A30" s="74"/>
      <c r="B30"/>
      <c r="C30"/>
      <c r="AF30"/>
      <c r="AG30" s="21">
        <f t="shared" si="0"/>
        <v>0</v>
      </c>
    </row>
    <row r="31" spans="1:33" ht="59.25" customHeight="1" x14ac:dyDescent="0.3">
      <c r="A31" s="74"/>
      <c r="B31"/>
      <c r="C31"/>
      <c r="AF31"/>
      <c r="AG31" s="21">
        <f t="shared" si="0"/>
        <v>0</v>
      </c>
    </row>
    <row r="32" spans="1:33" ht="59.25" customHeight="1" x14ac:dyDescent="0.3">
      <c r="A32" s="74"/>
      <c r="B32"/>
      <c r="C32"/>
      <c r="AF32"/>
      <c r="AG32" s="21">
        <f t="shared" si="0"/>
        <v>0</v>
      </c>
    </row>
    <row r="33" spans="1:33" ht="59.25" customHeight="1" x14ac:dyDescent="0.3">
      <c r="A33" s="74"/>
      <c r="B33"/>
      <c r="C33"/>
      <c r="AF33"/>
      <c r="AG33" s="21">
        <f t="shared" si="0"/>
        <v>0</v>
      </c>
    </row>
    <row r="34" spans="1:33" ht="59.25" customHeight="1" x14ac:dyDescent="0.3">
      <c r="A34" s="74"/>
      <c r="B34"/>
      <c r="C34"/>
      <c r="AF34"/>
      <c r="AG34" s="21">
        <f t="shared" si="0"/>
        <v>0</v>
      </c>
    </row>
    <row r="35" spans="1:33" ht="51.75" customHeight="1" x14ac:dyDescent="0.3">
      <c r="A35" s="74"/>
      <c r="B35"/>
      <c r="C35"/>
      <c r="AF35"/>
      <c r="AG35" s="21">
        <f t="shared" si="0"/>
        <v>0</v>
      </c>
    </row>
    <row r="36" spans="1:33" ht="51.75" customHeight="1" x14ac:dyDescent="0.3">
      <c r="A36" s="74"/>
      <c r="B36"/>
      <c r="C36"/>
      <c r="AF36"/>
      <c r="AG36" s="21">
        <f t="shared" si="0"/>
        <v>0</v>
      </c>
    </row>
    <row r="37" spans="1:33" ht="59.25" customHeight="1" x14ac:dyDescent="0.3">
      <c r="A37" s="74"/>
      <c r="B37"/>
      <c r="C37"/>
      <c r="AF37"/>
      <c r="AG37" s="21">
        <f t="shared" si="0"/>
        <v>0</v>
      </c>
    </row>
    <row r="38" spans="1:33" ht="51.75" customHeight="1" x14ac:dyDescent="0.3">
      <c r="A38" s="74"/>
      <c r="B38"/>
      <c r="C38"/>
      <c r="AF38"/>
      <c r="AG38" s="21">
        <f t="shared" ref="AG38:AG69" si="1">IF(AF38=1,COUNTA(D38:E38,H38:L38,N38,Q38:U38,W38:Y38,AB38),COUNTA(D38:E38,H38:I38,Q38:U38,W38:Y38,AB38))</f>
        <v>0</v>
      </c>
    </row>
    <row r="39" spans="1:33" ht="51.75" customHeight="1" x14ac:dyDescent="0.3">
      <c r="A39" s="74"/>
      <c r="B39"/>
      <c r="C39"/>
      <c r="AF39"/>
      <c r="AG39" s="21">
        <f t="shared" si="1"/>
        <v>0</v>
      </c>
    </row>
    <row r="40" spans="1:33" ht="59.25" customHeight="1" x14ac:dyDescent="0.3">
      <c r="A40" s="74"/>
      <c r="B40"/>
      <c r="C40"/>
      <c r="AF40"/>
      <c r="AG40" s="21">
        <f t="shared" si="1"/>
        <v>0</v>
      </c>
    </row>
    <row r="41" spans="1:33" ht="51.75" customHeight="1" x14ac:dyDescent="0.3">
      <c r="A41" s="74"/>
      <c r="B41"/>
      <c r="C41"/>
      <c r="AF41"/>
      <c r="AG41" s="21">
        <f t="shared" si="1"/>
        <v>0</v>
      </c>
    </row>
    <row r="42" spans="1:33" ht="51.75" customHeight="1" x14ac:dyDescent="0.3">
      <c r="A42" s="74"/>
      <c r="B42"/>
      <c r="C42"/>
      <c r="AF42"/>
      <c r="AG42" s="21">
        <f t="shared" si="1"/>
        <v>0</v>
      </c>
    </row>
    <row r="43" spans="1:33" ht="59.25" customHeight="1" x14ac:dyDescent="0.3">
      <c r="A43" s="74"/>
      <c r="B43"/>
      <c r="C43"/>
      <c r="AF43"/>
      <c r="AG43" s="21">
        <f t="shared" si="1"/>
        <v>0</v>
      </c>
    </row>
    <row r="44" spans="1:33" ht="59.25" customHeight="1" x14ac:dyDescent="0.3">
      <c r="A44" s="74"/>
      <c r="B44"/>
      <c r="C44"/>
      <c r="AF44"/>
      <c r="AG44" s="21">
        <f t="shared" si="1"/>
        <v>0</v>
      </c>
    </row>
    <row r="45" spans="1:33" ht="59.25" customHeight="1" x14ac:dyDescent="0.3">
      <c r="A45" s="74"/>
      <c r="B45"/>
      <c r="C45"/>
      <c r="AF45"/>
      <c r="AG45" s="21">
        <f t="shared" si="1"/>
        <v>0</v>
      </c>
    </row>
    <row r="46" spans="1:33" ht="59.25" customHeight="1" x14ac:dyDescent="0.3">
      <c r="A46" s="74"/>
      <c r="B46"/>
      <c r="C46"/>
      <c r="AF46"/>
      <c r="AG46" s="21">
        <f t="shared" si="1"/>
        <v>0</v>
      </c>
    </row>
    <row r="47" spans="1:33" ht="59.25" customHeight="1" x14ac:dyDescent="0.3">
      <c r="A47" s="74"/>
      <c r="B47"/>
      <c r="C47"/>
      <c r="AF47"/>
      <c r="AG47" s="21">
        <f t="shared" si="1"/>
        <v>0</v>
      </c>
    </row>
    <row r="48" spans="1:33" ht="59.2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21">
        <f t="shared" si="1"/>
        <v>0</v>
      </c>
    </row>
    <row r="57" spans="1:33" ht="59.25" customHeight="1" x14ac:dyDescent="0.3">
      <c r="A57" s="74"/>
      <c r="B57"/>
      <c r="C57"/>
      <c r="AF57"/>
      <c r="AG57" s="21">
        <f t="shared" si="1"/>
        <v>0</v>
      </c>
    </row>
    <row r="58" spans="1:33" ht="59.25" customHeight="1" x14ac:dyDescent="0.3">
      <c r="A58" s="74"/>
      <c r="B58"/>
      <c r="C58"/>
      <c r="AF58"/>
      <c r="AG58" s="21">
        <f t="shared" si="1"/>
        <v>0</v>
      </c>
    </row>
    <row r="59" spans="1:33" ht="59.25" customHeight="1" x14ac:dyDescent="0.3">
      <c r="A59" s="74"/>
      <c r="B59"/>
      <c r="C59"/>
      <c r="AF59"/>
      <c r="AG59" s="21">
        <f t="shared" si="1"/>
        <v>0</v>
      </c>
    </row>
    <row r="60" spans="1:33" ht="59.25" customHeight="1" x14ac:dyDescent="0.3">
      <c r="A60" s="74"/>
      <c r="B60"/>
      <c r="C60"/>
      <c r="AF60"/>
      <c r="AG60" s="21">
        <f t="shared" si="1"/>
        <v>0</v>
      </c>
    </row>
    <row r="61" spans="1:33" ht="59.25" customHeight="1" x14ac:dyDescent="0.3">
      <c r="A61" s="74"/>
      <c r="B61"/>
      <c r="C61"/>
      <c r="AF61"/>
      <c r="AG61" s="14">
        <f t="shared" si="1"/>
        <v>0</v>
      </c>
    </row>
    <row r="62" spans="1:33" ht="59.25" customHeight="1" x14ac:dyDescent="0.3">
      <c r="A62" s="74"/>
      <c r="B62"/>
      <c r="C62"/>
      <c r="AF62"/>
      <c r="AG62" s="14">
        <f t="shared" si="1"/>
        <v>0</v>
      </c>
    </row>
    <row r="63" spans="1:33" ht="59.25" customHeight="1" x14ac:dyDescent="0.3">
      <c r="A63" s="74"/>
      <c r="B63"/>
      <c r="C63"/>
      <c r="AF63"/>
      <c r="AG63" s="14">
        <f t="shared" si="1"/>
        <v>0</v>
      </c>
    </row>
    <row r="64" spans="1:33" ht="59.25" customHeight="1" x14ac:dyDescent="0.3">
      <c r="A64" s="74"/>
      <c r="B64"/>
      <c r="C64"/>
      <c r="AF64"/>
      <c r="AG64" s="14">
        <f t="shared" si="1"/>
        <v>0</v>
      </c>
    </row>
    <row r="65" spans="1:33" ht="59.25" customHeight="1" x14ac:dyDescent="0.3">
      <c r="A65" s="74"/>
      <c r="B65"/>
      <c r="C65"/>
      <c r="AF65"/>
      <c r="AG65" s="14">
        <f t="shared" si="1"/>
        <v>0</v>
      </c>
    </row>
    <row r="66" spans="1:33" ht="59.25" customHeight="1" x14ac:dyDescent="0.3">
      <c r="A66" s="74"/>
      <c r="B66"/>
      <c r="C66"/>
      <c r="AF66"/>
      <c r="AG66" s="14">
        <f t="shared" si="1"/>
        <v>0</v>
      </c>
    </row>
    <row r="67" spans="1:33" ht="15" customHeight="1" x14ac:dyDescent="0.3">
      <c r="AG67" s="14">
        <f t="shared" si="1"/>
        <v>0</v>
      </c>
    </row>
    <row r="68" spans="1:33" ht="15" customHeight="1" x14ac:dyDescent="0.3">
      <c r="AG68" s="14">
        <f t="shared" si="1"/>
        <v>0</v>
      </c>
    </row>
    <row r="69" spans="1:33" ht="15" customHeight="1" x14ac:dyDescent="0.3">
      <c r="AG69" s="14">
        <f t="shared" si="1"/>
        <v>0</v>
      </c>
    </row>
    <row r="70" spans="1:33" ht="15" customHeight="1" x14ac:dyDescent="0.3">
      <c r="AG70" s="14">
        <f t="shared" ref="AG70:AG101" si="2">IF(AF70=1,COUNTA(D70:E70,H70:L70,N70,Q70:U70,W70:Y70,AB70),COUNTA(D70:E70,H70:I70,Q70:U70,W70:Y70,AB70))</f>
        <v>0</v>
      </c>
    </row>
    <row r="71" spans="1:33" ht="15" customHeight="1" x14ac:dyDescent="0.3">
      <c r="AG71" s="14">
        <f t="shared" si="2"/>
        <v>0</v>
      </c>
    </row>
    <row r="72" spans="1:33" ht="15" customHeight="1" x14ac:dyDescent="0.3">
      <c r="AG72" s="14">
        <f t="shared" si="2"/>
        <v>0</v>
      </c>
    </row>
    <row r="73" spans="1:33" ht="15" customHeight="1" x14ac:dyDescent="0.3">
      <c r="AG73" s="14">
        <f t="shared" si="2"/>
        <v>0</v>
      </c>
    </row>
    <row r="74" spans="1:33" ht="15" customHeight="1" x14ac:dyDescent="0.3">
      <c r="AG74" s="14">
        <f t="shared" si="2"/>
        <v>0</v>
      </c>
    </row>
    <row r="75" spans="1:33" ht="15" customHeight="1" x14ac:dyDescent="0.3">
      <c r="AG75" s="14">
        <f t="shared" si="2"/>
        <v>0</v>
      </c>
    </row>
    <row r="76" spans="1:33" ht="15" customHeight="1" x14ac:dyDescent="0.3">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si="2"/>
        <v>0</v>
      </c>
    </row>
    <row r="97" spans="33:33" ht="15" customHeight="1" x14ac:dyDescent="0.3">
      <c r="AG97" s="14">
        <f t="shared" si="2"/>
        <v>0</v>
      </c>
    </row>
    <row r="98" spans="33:33" ht="15" customHeight="1" x14ac:dyDescent="0.3">
      <c r="AG98" s="14">
        <f t="shared" si="2"/>
        <v>0</v>
      </c>
    </row>
    <row r="99" spans="33:33" ht="15" customHeight="1" x14ac:dyDescent="0.3">
      <c r="AG99" s="14">
        <f t="shared" si="2"/>
        <v>0</v>
      </c>
    </row>
    <row r="100" spans="33:33" ht="15" customHeight="1" x14ac:dyDescent="0.3">
      <c r="AG100" s="14">
        <f t="shared" si="2"/>
        <v>0</v>
      </c>
    </row>
    <row r="101" spans="33:33" ht="15" customHeight="1" x14ac:dyDescent="0.3">
      <c r="AG101" s="14">
        <f t="shared" si="2"/>
        <v>0</v>
      </c>
    </row>
    <row r="102" spans="33:33" ht="15" customHeight="1" x14ac:dyDescent="0.3">
      <c r="AG102" s="14">
        <f t="shared" ref="AG102:AG133" si="3">IF(AF102=1,COUNTA(D102:E102,H102:L102,N102,Q102:U102,W102:Y102,AB102),COUNTA(D102:E102,H102:I102,Q102:U102,W102:Y102,AB102))</f>
        <v>0</v>
      </c>
    </row>
    <row r="103" spans="33:33" ht="15" customHeight="1" x14ac:dyDescent="0.3">
      <c r="AG103" s="14">
        <f t="shared" si="3"/>
        <v>0</v>
      </c>
    </row>
    <row r="104" spans="33:33" ht="15" customHeight="1" x14ac:dyDescent="0.3">
      <c r="AG104" s="14">
        <f t="shared" si="3"/>
        <v>0</v>
      </c>
    </row>
    <row r="105" spans="33:33" ht="15" customHeight="1" x14ac:dyDescent="0.3">
      <c r="AG105" s="14">
        <f t="shared" si="3"/>
        <v>0</v>
      </c>
    </row>
    <row r="106" spans="33:33" ht="15" customHeight="1" x14ac:dyDescent="0.3">
      <c r="AG106" s="14">
        <f t="shared" si="3"/>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si="3"/>
        <v>0</v>
      </c>
    </row>
    <row r="129" spans="33:33" ht="15" customHeight="1" x14ac:dyDescent="0.3">
      <c r="AG129" s="14">
        <f t="shared" si="3"/>
        <v>0</v>
      </c>
    </row>
    <row r="130" spans="33:33" ht="15" customHeight="1" x14ac:dyDescent="0.3">
      <c r="AG130" s="14">
        <f t="shared" si="3"/>
        <v>0</v>
      </c>
    </row>
    <row r="131" spans="33:33" ht="15" customHeight="1" x14ac:dyDescent="0.3">
      <c r="AG131" s="14">
        <f t="shared" si="3"/>
        <v>0</v>
      </c>
    </row>
    <row r="132" spans="33:33" ht="15" customHeight="1" x14ac:dyDescent="0.3">
      <c r="AG132" s="14">
        <f t="shared" si="3"/>
        <v>0</v>
      </c>
    </row>
    <row r="133" spans="33:33" ht="15" customHeight="1" x14ac:dyDescent="0.3">
      <c r="AG133" s="14">
        <f t="shared" si="3"/>
        <v>0</v>
      </c>
    </row>
    <row r="134" spans="33:33" ht="15" customHeight="1" x14ac:dyDescent="0.3">
      <c r="AG134" s="14">
        <f t="shared" ref="AG134:AG146" si="4">IF(AF134=1,COUNTA(D134:E134,H134:L134,N134,Q134:U134,W134:Y134,AB134),COUNTA(D134:E134,H134:I134,Q134:U134,W134:Y134,AB134))</f>
        <v>0</v>
      </c>
    </row>
    <row r="135" spans="33:33" ht="15" customHeight="1" x14ac:dyDescent="0.3">
      <c r="AG135" s="14">
        <f t="shared" si="4"/>
        <v>0</v>
      </c>
    </row>
    <row r="136" spans="33:33" ht="15" customHeight="1" x14ac:dyDescent="0.3">
      <c r="AG136" s="14">
        <f t="shared" si="4"/>
        <v>0</v>
      </c>
    </row>
    <row r="137" spans="33:33" ht="15" customHeight="1" x14ac:dyDescent="0.3">
      <c r="AG137" s="14">
        <f t="shared" si="4"/>
        <v>0</v>
      </c>
    </row>
    <row r="138" spans="33:33" ht="15" customHeight="1" x14ac:dyDescent="0.3">
      <c r="AG138" s="14">
        <f t="shared" si="4"/>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sheetData>
  <sheetProtection algorithmName="SHA-512" hashValue="ZF/kBLcZBoaELW6UORkN+j7C6A6BbOl8cWpPoU4RAJWRm9z9k7/qP1cgB1ekivWrAsfiVWyHkN30wlT22UGCug==" saltValue="VPNz2Mf96VVYjhc/jzXQbA=="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70" priority="147">
      <formula>$S$2="err"</formula>
    </cfRule>
  </conditionalFormatting>
  <conditionalFormatting sqref="H9:N9">
    <cfRule type="expression" dxfId="26" priority="148" stopIfTrue="1">
      <formula>LOWER(MID($N9,1,19))="please include this"</formula>
    </cfRule>
  </conditionalFormatting>
  <conditionalFormatting sqref="W9:Z9">
    <cfRule type="expression" dxfId="25" priority="149" stopIfTrue="1">
      <formula>LOWER(MID($N9,1,19))="please include this"</formula>
    </cfRule>
    <cfRule type="expression" dxfId="24" priority="150" stopIfTrue="1">
      <formula>$AH9=0</formula>
    </cfRule>
  </conditionalFormatting>
  <dataValidations count="6">
    <dataValidation type="list" allowBlank="1" showInputMessage="1" showErrorMessage="1" sqref="D9:E9" xr:uid="{00000000-0002-0000-0F00-000000000000}">
      <formula1>sublist_earthworks</formula1>
    </dataValidation>
    <dataValidation type="list" allowBlank="1" showInputMessage="1" showErrorMessage="1" sqref="K9" xr:uid="{00000000-0002-0000-0F00-000001000000}">
      <formula1>carbon_factor_units</formula1>
    </dataValidation>
    <dataValidation type="decimal" allowBlank="1" showInputMessage="1" showErrorMessage="1" errorTitle="Numeric value required" error="Please enter a numeric value." sqref="H9" xr:uid="{213D7140-A189-4FDE-BDF8-B0D442906D41}">
      <formula1>0</formula1>
      <formula2>99999999</formula2>
    </dataValidation>
    <dataValidation type="decimal" allowBlank="1" showInputMessage="1" showErrorMessage="1" errorTitle="Numeric value required" error="Please enter a numeric value." sqref="I9" xr:uid="{4A4117E6-5D2D-42F9-8480-10D4FABE5156}">
      <formula1>0</formula1>
      <formula2>99999999</formula2>
    </dataValidation>
    <dataValidation type="decimal" operator="lessThanOrEqual" allowBlank="1" showInputMessage="1" showErrorMessage="1" errorTitle="Numeric value required" error="Please enter a numeric value less than or equal to 500." sqref="X9" xr:uid="{8BE96180-B0A1-409F-8617-9C84E3B24052}">
      <formula1>500</formula1>
    </dataValidation>
    <dataValidation type="decimal" allowBlank="1" showInputMessage="1" showErrorMessage="1" errorTitle="Numeric value required" error="Please enter a numeric value." sqref="AB9" xr:uid="{5B991691-DCE3-431B-860F-764F83658035}">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2321"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2322"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2323"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2324"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2325"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2403"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2404"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2405"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2406"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2407"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2408"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2409"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2410"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2411"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2412"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2413"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2414"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2415"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2416"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2417"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2418"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2419"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3000000}">
          <x14:formula1>
            <xm:f>'Emissions Factors Lookup'!$D$4:$D$7</xm:f>
          </x14:formula1>
          <xm:sqref>W9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tabColor rgb="FF008BCB"/>
    <outlinePr summaryBelow="0" summaryRight="0"/>
  </sheetPr>
  <dimension ref="A1:AX159"/>
  <sheetViews>
    <sheetView showGridLines="0" showRowColHeaders="0" zoomScaleNormal="100" workbookViewId="0">
      <pane ySplit="8" topLeftCell="A9" activePane="bottomLeft" state="frozen"/>
      <selection activeCell="B7" sqref="B7:S19"/>
      <selection pane="bottomLeft" activeCell="M4" sqref="M4"/>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H1" s="56">
        <v>1</v>
      </c>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1118</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264" t="s">
        <v>601</v>
      </c>
      <c r="N4" s="14"/>
      <c r="O4" s="67"/>
      <c r="P4" s="17"/>
      <c r="Q4" s="17"/>
      <c r="R4" s="17"/>
      <c r="S4" s="14"/>
      <c r="T4" s="14"/>
      <c r="U4" s="14"/>
      <c r="V4" s="14"/>
      <c r="W4" s="63" t="s">
        <v>450</v>
      </c>
      <c r="X4" s="562" t="s">
        <v>449</v>
      </c>
      <c r="Y4" s="563"/>
      <c r="Z4" s="63" t="s">
        <v>6</v>
      </c>
      <c r="AA4" s="14"/>
      <c r="AB4" s="14"/>
      <c r="AC4" s="14"/>
      <c r="AD4" s="14"/>
      <c r="AE4" s="14"/>
      <c r="AW4" s="14" t="s">
        <v>46</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46</v>
      </c>
      <c r="B9" s="65"/>
      <c r="C9" s="45" t="s">
        <v>46</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65">
        <f>IF(P9&lt;0,1,0)</f>
        <v>0</v>
      </c>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349999999999994"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89.25" customHeight="1" x14ac:dyDescent="0.3">
      <c r="A11" s="316"/>
      <c r="B11"/>
      <c r="C11"/>
      <c r="O11"/>
      <c r="AF11"/>
      <c r="AG11" s="21">
        <f>IF(AF11=1,COUNTA(D11:E11,H11:L11,N11,Q11:U11,W11:Y11,AB11),COUNTA(D11:E11,H11:I11,Q11:U11,W11:X11,AB11))</f>
        <v>0</v>
      </c>
      <c r="AH11" s="14" t="str">
        <f>IF(ISERROR(VLOOKUP(D11&amp;E11,'Emissions Factors Lookup'!J4:R309,9,FALSE)),"",VLOOKUP(D11&amp;E11,'Emissions Factors Lookup'!J4:R309,9,FALSE))</f>
        <v/>
      </c>
    </row>
    <row r="12" spans="1:50" ht="89.25" customHeight="1" x14ac:dyDescent="0.3">
      <c r="A12" s="316"/>
      <c r="B12"/>
      <c r="C12"/>
      <c r="O12"/>
      <c r="AF12"/>
      <c r="AG12" s="21">
        <f>IF(AF12=1,COUNTA(D12:E12,H12:L12,N12,Q12:U12,W12:Y12,AB12),COUNTA(D12:E12,H12:I12,Q12:U12,W12:X12,AB12))</f>
        <v>0</v>
      </c>
      <c r="AH12" s="14" t="str">
        <f>IF(ISERROR(VLOOKUP(D12&amp;E12,'Emissions Factors Lookup'!J4:R309,9,FALSE)),"",VLOOKUP(D12&amp;E12,'Emissions Factors Lookup'!J4:R309,9,FALSE))</f>
        <v/>
      </c>
    </row>
    <row r="13" spans="1:50" ht="89.25" customHeight="1" x14ac:dyDescent="0.3">
      <c r="A13" s="74"/>
      <c r="B13"/>
      <c r="C13"/>
      <c r="O13"/>
      <c r="AF13"/>
      <c r="AG13" s="21">
        <f t="shared" ref="AG13:AG16" si="0">IF(AF13=1,COUNTA(D13:E13,H13:L13,N13,Q13:U13,W13:Y13,AB13),COUNTA(D13:E13,H13:I13,Q13:U13,W13:X13,AB13))</f>
        <v>0</v>
      </c>
      <c r="AH13" s="14" t="str">
        <f>IF(ISERROR(VLOOKUP(D13&amp;E13,'Emissions Factors Lookup'!J4:R309,9,FALSE)),"",VLOOKUP(D13&amp;E13,'Emissions Factors Lookup'!J4:R309,9,FALSE))</f>
        <v/>
      </c>
    </row>
    <row r="14" spans="1:50" ht="89.25" customHeight="1" x14ac:dyDescent="0.3">
      <c r="A14" s="74"/>
      <c r="B14"/>
      <c r="C14"/>
      <c r="O14"/>
      <c r="AF14"/>
      <c r="AG14" s="21">
        <f t="shared" si="0"/>
        <v>0</v>
      </c>
      <c r="AH14" s="14" t="str">
        <f>IF(ISERROR(VLOOKUP(D14&amp;E14,'Emissions Factors Lookup'!J4:R309,9,FALSE)),"",VLOOKUP(D14&amp;E14,'Emissions Factors Lookup'!J4:R309,9,FALSE))</f>
        <v/>
      </c>
    </row>
    <row r="15" spans="1:50" ht="89.25" customHeight="1" x14ac:dyDescent="0.3">
      <c r="A15" s="74"/>
      <c r="B15"/>
      <c r="C15"/>
      <c r="O15"/>
      <c r="AF15"/>
      <c r="AG15" s="21">
        <f t="shared" si="0"/>
        <v>0</v>
      </c>
      <c r="AH15" s="14">
        <v>1</v>
      </c>
    </row>
    <row r="16" spans="1:50" ht="89.25" customHeight="1" x14ac:dyDescent="0.3">
      <c r="A16" s="74"/>
      <c r="B16"/>
      <c r="C16"/>
      <c r="O16"/>
      <c r="AF16"/>
      <c r="AG16" s="21">
        <f t="shared" si="0"/>
        <v>0</v>
      </c>
      <c r="AH16" s="14">
        <v>1</v>
      </c>
    </row>
    <row r="17" spans="1:34" ht="89.25" customHeight="1" x14ac:dyDescent="0.3">
      <c r="A17" s="74"/>
      <c r="B17"/>
      <c r="C17"/>
      <c r="O17"/>
      <c r="AF17"/>
      <c r="AG17" s="21">
        <f t="shared" ref="AG17:AG20" si="1">IF(AF17=1,COUNTA(D17:E17,H17:L17,N17,Q17:U17,V17:X17,AA17),COUNTA(D17:E17,H17:I17,Q17:U17,V17:X17,AA17))</f>
        <v>0</v>
      </c>
      <c r="AH17" s="14">
        <v>1</v>
      </c>
    </row>
    <row r="18" spans="1:34" ht="89.25" customHeight="1" x14ac:dyDescent="0.3">
      <c r="A18" s="74"/>
      <c r="B18"/>
      <c r="C18"/>
      <c r="O18"/>
      <c r="AF18"/>
      <c r="AG18" s="21">
        <f t="shared" si="1"/>
        <v>0</v>
      </c>
      <c r="AH18" s="14">
        <v>1</v>
      </c>
    </row>
    <row r="19" spans="1:34" ht="89.25" customHeight="1" x14ac:dyDescent="0.3">
      <c r="A19" s="74"/>
      <c r="B19"/>
      <c r="C19"/>
      <c r="O19"/>
      <c r="AF19"/>
      <c r="AG19" s="21">
        <f t="shared" si="1"/>
        <v>0</v>
      </c>
    </row>
    <row r="20" spans="1:34" ht="89.25" customHeight="1" x14ac:dyDescent="0.3">
      <c r="A20" s="74"/>
      <c r="B20"/>
      <c r="C20"/>
      <c r="O20"/>
      <c r="AF20"/>
      <c r="AG20" s="21">
        <f t="shared" si="1"/>
        <v>0</v>
      </c>
    </row>
    <row r="21" spans="1:34" ht="51.75" customHeight="1" x14ac:dyDescent="0.3">
      <c r="A21" s="74"/>
      <c r="B21"/>
      <c r="C21"/>
      <c r="AF21"/>
      <c r="AG21" s="21">
        <f t="shared" ref="AG21:AG52" si="2">IF(AF21=1,COUNTA(D21:E21,H21:L21,N21,Q21:U21,W21:Y21,AB21),COUNTA(D21:E21,H21:I21,Q21:U21,W21:Y21,AB21))</f>
        <v>0</v>
      </c>
    </row>
    <row r="22" spans="1:34" ht="59.25" customHeight="1" x14ac:dyDescent="0.3">
      <c r="A22" s="74"/>
      <c r="B22"/>
      <c r="C22"/>
      <c r="AF22"/>
      <c r="AG22" s="21">
        <f t="shared" si="2"/>
        <v>0</v>
      </c>
    </row>
    <row r="23" spans="1:34" ht="51.75" customHeight="1" x14ac:dyDescent="0.3">
      <c r="A23" s="74"/>
      <c r="B23"/>
      <c r="C23"/>
      <c r="AF23"/>
      <c r="AG23" s="21">
        <f t="shared" si="2"/>
        <v>0</v>
      </c>
    </row>
    <row r="24" spans="1:34" ht="59.25" customHeight="1" x14ac:dyDescent="0.3">
      <c r="A24" s="74"/>
      <c r="B24"/>
      <c r="C24"/>
      <c r="AF24"/>
      <c r="AG24" s="21">
        <f t="shared" si="2"/>
        <v>0</v>
      </c>
    </row>
    <row r="25" spans="1:34" ht="51.75" customHeight="1" x14ac:dyDescent="0.3">
      <c r="A25" s="74"/>
      <c r="B25"/>
      <c r="C25"/>
      <c r="AF25"/>
      <c r="AG25" s="21">
        <f t="shared" si="2"/>
        <v>0</v>
      </c>
    </row>
    <row r="26" spans="1:34" ht="59.25" customHeight="1" x14ac:dyDescent="0.3">
      <c r="A26" s="74"/>
      <c r="B26"/>
      <c r="C26"/>
      <c r="AF26"/>
      <c r="AG26" s="21">
        <f t="shared" si="2"/>
        <v>0</v>
      </c>
    </row>
    <row r="27" spans="1:34" ht="59.25" customHeight="1" x14ac:dyDescent="0.3">
      <c r="A27" s="74"/>
      <c r="B27"/>
      <c r="C27"/>
      <c r="AF27"/>
      <c r="AG27" s="21">
        <f t="shared" si="2"/>
        <v>0</v>
      </c>
    </row>
    <row r="28" spans="1:34" ht="59.25" customHeight="1" x14ac:dyDescent="0.3">
      <c r="A28" s="74"/>
      <c r="B28"/>
      <c r="C28"/>
      <c r="AF28"/>
      <c r="AG28" s="21">
        <f t="shared" si="2"/>
        <v>0</v>
      </c>
    </row>
    <row r="29" spans="1:34" ht="59.25" customHeight="1" x14ac:dyDescent="0.3">
      <c r="A29" s="74"/>
      <c r="B29"/>
      <c r="C29"/>
      <c r="AF29"/>
      <c r="AG29" s="21">
        <f t="shared" si="2"/>
        <v>0</v>
      </c>
    </row>
    <row r="30" spans="1:34" ht="59.25" customHeight="1" x14ac:dyDescent="0.3">
      <c r="A30" s="74"/>
      <c r="B30"/>
      <c r="C30"/>
      <c r="AF30"/>
      <c r="AG30" s="21">
        <f t="shared" si="2"/>
        <v>0</v>
      </c>
    </row>
    <row r="31" spans="1:34" ht="59.25" customHeight="1" x14ac:dyDescent="0.3">
      <c r="A31" s="74"/>
      <c r="B31"/>
      <c r="C31"/>
      <c r="AF31"/>
      <c r="AG31" s="21">
        <f t="shared" si="2"/>
        <v>0</v>
      </c>
    </row>
    <row r="32" spans="1:34" ht="59.25" customHeight="1" x14ac:dyDescent="0.3">
      <c r="A32" s="74"/>
      <c r="B32"/>
      <c r="C32"/>
      <c r="AF32"/>
      <c r="AG32" s="21">
        <f t="shared" si="2"/>
        <v>0</v>
      </c>
    </row>
    <row r="33" spans="1:33" ht="59.25" customHeight="1" x14ac:dyDescent="0.3">
      <c r="A33" s="74"/>
      <c r="B33"/>
      <c r="C33"/>
      <c r="AF33"/>
      <c r="AG33" s="21">
        <f t="shared" si="2"/>
        <v>0</v>
      </c>
    </row>
    <row r="34" spans="1:33" ht="59.25" customHeight="1" x14ac:dyDescent="0.3">
      <c r="A34" s="74"/>
      <c r="B34"/>
      <c r="C34"/>
      <c r="AF34"/>
      <c r="AG34" s="21">
        <f t="shared" si="2"/>
        <v>0</v>
      </c>
    </row>
    <row r="35" spans="1:33" ht="59.25" customHeight="1" x14ac:dyDescent="0.3">
      <c r="A35" s="74"/>
      <c r="B35"/>
      <c r="C35"/>
      <c r="AF35"/>
      <c r="AG35" s="21">
        <f t="shared" si="2"/>
        <v>0</v>
      </c>
    </row>
    <row r="36" spans="1:33" ht="51.75" customHeight="1" x14ac:dyDescent="0.3">
      <c r="A36" s="74"/>
      <c r="B36"/>
      <c r="C36"/>
      <c r="AF36"/>
      <c r="AG36" s="21">
        <f t="shared" si="2"/>
        <v>0</v>
      </c>
    </row>
    <row r="37" spans="1:33" ht="59.25" customHeight="1" x14ac:dyDescent="0.3">
      <c r="A37" s="74"/>
      <c r="B37"/>
      <c r="C37"/>
      <c r="AF37"/>
      <c r="AG37" s="21">
        <f t="shared" si="2"/>
        <v>0</v>
      </c>
    </row>
    <row r="38" spans="1:33" ht="51.75" customHeight="1" x14ac:dyDescent="0.3">
      <c r="A38" s="74"/>
      <c r="B38"/>
      <c r="C38"/>
      <c r="AF38"/>
      <c r="AG38" s="21">
        <f t="shared" si="2"/>
        <v>0</v>
      </c>
    </row>
    <row r="39" spans="1:33" ht="59.25" customHeight="1" x14ac:dyDescent="0.3">
      <c r="A39" s="74"/>
      <c r="B39"/>
      <c r="C39"/>
      <c r="AF39"/>
      <c r="AG39" s="21">
        <f t="shared" si="2"/>
        <v>0</v>
      </c>
    </row>
    <row r="40" spans="1:33" ht="59.25" customHeight="1" x14ac:dyDescent="0.3">
      <c r="A40" s="74"/>
      <c r="B40"/>
      <c r="C40"/>
      <c r="AF40"/>
      <c r="AG40" s="21">
        <f t="shared" si="2"/>
        <v>0</v>
      </c>
    </row>
    <row r="41" spans="1:33" ht="59.25" customHeight="1" x14ac:dyDescent="0.3">
      <c r="A41" s="74"/>
      <c r="B41"/>
      <c r="C41"/>
      <c r="AF41"/>
      <c r="AG41" s="21">
        <f t="shared" si="2"/>
        <v>0</v>
      </c>
    </row>
    <row r="42" spans="1:33" ht="59.25" customHeight="1" x14ac:dyDescent="0.3">
      <c r="A42" s="74"/>
      <c r="B42"/>
      <c r="C42"/>
      <c r="AF42"/>
      <c r="AG42" s="21">
        <f t="shared" si="2"/>
        <v>0</v>
      </c>
    </row>
    <row r="43" spans="1:33" ht="51.75" customHeight="1" x14ac:dyDescent="0.3">
      <c r="A43" s="74"/>
      <c r="B43"/>
      <c r="C43"/>
      <c r="AF43"/>
      <c r="AG43" s="21">
        <f t="shared" si="2"/>
        <v>0</v>
      </c>
    </row>
    <row r="44" spans="1:33" ht="59.25" customHeight="1" x14ac:dyDescent="0.3">
      <c r="A44" s="74"/>
      <c r="B44"/>
      <c r="C44"/>
      <c r="AF44"/>
      <c r="AG44" s="21">
        <f t="shared" si="2"/>
        <v>0</v>
      </c>
    </row>
    <row r="45" spans="1:33" ht="59.25" customHeight="1" x14ac:dyDescent="0.3">
      <c r="A45" s="74"/>
      <c r="B45"/>
      <c r="C45"/>
      <c r="AF45"/>
      <c r="AG45" s="21">
        <f t="shared" si="2"/>
        <v>0</v>
      </c>
    </row>
    <row r="46" spans="1:33" ht="59.25" customHeight="1" x14ac:dyDescent="0.3">
      <c r="A46" s="74"/>
      <c r="B46"/>
      <c r="C46"/>
      <c r="AF46"/>
      <c r="AG46" s="21">
        <f t="shared" si="2"/>
        <v>0</v>
      </c>
    </row>
    <row r="47" spans="1:33" ht="59.25" customHeight="1" x14ac:dyDescent="0.3">
      <c r="A47" s="74"/>
      <c r="B47"/>
      <c r="C47"/>
      <c r="AF47"/>
      <c r="AG47" s="21">
        <f t="shared" si="2"/>
        <v>0</v>
      </c>
    </row>
    <row r="48" spans="1:33" ht="51.75" customHeight="1" x14ac:dyDescent="0.3">
      <c r="A48" s="74"/>
      <c r="B48"/>
      <c r="C48"/>
      <c r="AF48"/>
      <c r="AG48" s="21">
        <f t="shared" si="2"/>
        <v>0</v>
      </c>
    </row>
    <row r="49" spans="1:33" ht="51.75" customHeight="1" x14ac:dyDescent="0.3">
      <c r="A49" s="74"/>
      <c r="B49"/>
      <c r="C49"/>
      <c r="AF49"/>
      <c r="AG49" s="21">
        <f t="shared" si="2"/>
        <v>0</v>
      </c>
    </row>
    <row r="50" spans="1:33" ht="59.25" customHeight="1" x14ac:dyDescent="0.3">
      <c r="A50" s="74"/>
      <c r="B50"/>
      <c r="C50"/>
      <c r="AF50"/>
      <c r="AG50" s="21">
        <f t="shared" si="2"/>
        <v>0</v>
      </c>
    </row>
    <row r="51" spans="1:33" ht="51.75" customHeight="1" x14ac:dyDescent="0.3">
      <c r="A51" s="74"/>
      <c r="B51"/>
      <c r="C51"/>
      <c r="AF51"/>
      <c r="AG51" s="21">
        <f t="shared" si="2"/>
        <v>0</v>
      </c>
    </row>
    <row r="52" spans="1:33" ht="51.75" customHeight="1" x14ac:dyDescent="0.3">
      <c r="A52" s="74"/>
      <c r="B52"/>
      <c r="C52"/>
      <c r="AF52"/>
      <c r="AG52" s="21">
        <f t="shared" si="2"/>
        <v>0</v>
      </c>
    </row>
    <row r="53" spans="1:33" ht="59.25" customHeight="1" x14ac:dyDescent="0.3">
      <c r="A53" s="74"/>
      <c r="B53"/>
      <c r="C53"/>
      <c r="AF53"/>
      <c r="AG53" s="21">
        <f t="shared" ref="AG53:AG84" si="3">IF(AF53=1,COUNTA(D53:E53,H53:L53,N53,Q53:U53,W53:Y53,AB53),COUNTA(D53:E53,H53:I53,Q53:U53,W53:Y53,AB53))</f>
        <v>0</v>
      </c>
    </row>
    <row r="54" spans="1:33" ht="51.75" customHeight="1" x14ac:dyDescent="0.3">
      <c r="A54" s="74"/>
      <c r="B54"/>
      <c r="C54"/>
      <c r="AF54"/>
      <c r="AG54" s="21">
        <f t="shared" si="3"/>
        <v>0</v>
      </c>
    </row>
    <row r="55" spans="1:33" ht="51.75" customHeight="1" x14ac:dyDescent="0.3">
      <c r="A55" s="74"/>
      <c r="B55"/>
      <c r="C55"/>
      <c r="AF55"/>
      <c r="AG55" s="21">
        <f t="shared" si="3"/>
        <v>0</v>
      </c>
    </row>
    <row r="56" spans="1:33" ht="59.25" customHeight="1" x14ac:dyDescent="0.3">
      <c r="A56" s="74"/>
      <c r="B56"/>
      <c r="C56"/>
      <c r="AF56"/>
      <c r="AG56" s="21">
        <f t="shared" si="3"/>
        <v>0</v>
      </c>
    </row>
    <row r="57" spans="1:33" ht="59.25" customHeight="1" x14ac:dyDescent="0.3">
      <c r="A57" s="74"/>
      <c r="B57"/>
      <c r="C57"/>
      <c r="AF57"/>
      <c r="AG57" s="21">
        <f t="shared" si="3"/>
        <v>0</v>
      </c>
    </row>
    <row r="58" spans="1:33" ht="59.25" customHeight="1" x14ac:dyDescent="0.3">
      <c r="A58" s="74"/>
      <c r="B58"/>
      <c r="C58"/>
      <c r="AF58"/>
      <c r="AG58" s="21">
        <f t="shared" si="3"/>
        <v>0</v>
      </c>
    </row>
    <row r="59" spans="1:33" ht="59.25" customHeight="1" x14ac:dyDescent="0.3">
      <c r="A59" s="74"/>
      <c r="B59"/>
      <c r="C59"/>
      <c r="AF59"/>
      <c r="AG59" s="21">
        <f t="shared" si="3"/>
        <v>0</v>
      </c>
    </row>
    <row r="60" spans="1:33" ht="59.25" customHeight="1" x14ac:dyDescent="0.3">
      <c r="A60" s="74"/>
      <c r="B60"/>
      <c r="C60"/>
      <c r="AF60"/>
      <c r="AG60" s="21">
        <f t="shared" si="3"/>
        <v>0</v>
      </c>
    </row>
    <row r="61" spans="1:33" ht="59.25" customHeight="1" x14ac:dyDescent="0.3">
      <c r="A61" s="74"/>
      <c r="B61"/>
      <c r="C61"/>
      <c r="AF61"/>
      <c r="AG61" s="21">
        <f t="shared" si="3"/>
        <v>0</v>
      </c>
    </row>
    <row r="62" spans="1:33" ht="59.25" customHeight="1" x14ac:dyDescent="0.3">
      <c r="A62" s="74"/>
      <c r="B62"/>
      <c r="C62"/>
      <c r="AF62"/>
      <c r="AG62" s="21">
        <f t="shared" si="3"/>
        <v>0</v>
      </c>
    </row>
    <row r="63" spans="1:33" ht="59.25" customHeight="1" x14ac:dyDescent="0.3">
      <c r="A63" s="74"/>
      <c r="B63"/>
      <c r="C63"/>
      <c r="AF63"/>
      <c r="AG63" s="21">
        <f t="shared" si="3"/>
        <v>0</v>
      </c>
    </row>
    <row r="64" spans="1:33" ht="59.25" customHeight="1" x14ac:dyDescent="0.3">
      <c r="A64" s="74"/>
      <c r="B64"/>
      <c r="C64"/>
      <c r="AF64"/>
      <c r="AG64" s="21">
        <f t="shared" si="3"/>
        <v>0</v>
      </c>
    </row>
    <row r="65" spans="1:33" ht="59.25" customHeight="1" x14ac:dyDescent="0.3">
      <c r="A65" s="74"/>
      <c r="B65"/>
      <c r="C65"/>
      <c r="AF65"/>
      <c r="AG65" s="21">
        <f t="shared" si="3"/>
        <v>0</v>
      </c>
    </row>
    <row r="66" spans="1:33" ht="59.25" customHeight="1" x14ac:dyDescent="0.3">
      <c r="A66" s="74"/>
      <c r="B66"/>
      <c r="C66"/>
      <c r="AF66"/>
      <c r="AG66" s="21">
        <f t="shared" si="3"/>
        <v>0</v>
      </c>
    </row>
    <row r="67" spans="1:33" ht="59.25" customHeight="1" x14ac:dyDescent="0.3">
      <c r="A67" s="74"/>
      <c r="B67"/>
      <c r="C67"/>
      <c r="AF67"/>
      <c r="AG67" s="21">
        <f t="shared" si="3"/>
        <v>0</v>
      </c>
    </row>
    <row r="68" spans="1:33" ht="59.25" customHeight="1" x14ac:dyDescent="0.3">
      <c r="A68" s="74"/>
      <c r="B68"/>
      <c r="C68"/>
      <c r="AF68"/>
      <c r="AG68" s="21">
        <f t="shared" si="3"/>
        <v>0</v>
      </c>
    </row>
    <row r="69" spans="1:33" ht="59.25" customHeight="1" x14ac:dyDescent="0.3">
      <c r="A69" s="74"/>
      <c r="B69"/>
      <c r="C69"/>
      <c r="AF69"/>
      <c r="AG69" s="21">
        <f t="shared" si="3"/>
        <v>0</v>
      </c>
    </row>
    <row r="70" spans="1:33" ht="59.25" customHeight="1" x14ac:dyDescent="0.3">
      <c r="A70" s="74"/>
      <c r="B70"/>
      <c r="C70"/>
      <c r="AF70"/>
      <c r="AG70" s="21">
        <f t="shared" si="3"/>
        <v>0</v>
      </c>
    </row>
    <row r="71" spans="1:33" ht="59.25" customHeight="1" x14ac:dyDescent="0.3">
      <c r="A71" s="74"/>
      <c r="B71"/>
      <c r="C71"/>
      <c r="AF71"/>
      <c r="AG71" s="21">
        <f t="shared" si="3"/>
        <v>0</v>
      </c>
    </row>
    <row r="72" spans="1:33" ht="59.25" customHeight="1" x14ac:dyDescent="0.3">
      <c r="A72" s="74"/>
      <c r="B72"/>
      <c r="C72"/>
      <c r="AF72"/>
      <c r="AG72" s="21">
        <f t="shared" si="3"/>
        <v>0</v>
      </c>
    </row>
    <row r="73" spans="1:33" ht="59.25" customHeight="1" x14ac:dyDescent="0.3">
      <c r="A73" s="74"/>
      <c r="B73"/>
      <c r="C73"/>
      <c r="AF73"/>
      <c r="AG73" s="21">
        <f t="shared" si="3"/>
        <v>0</v>
      </c>
    </row>
    <row r="74" spans="1:33" ht="59.25" customHeight="1" x14ac:dyDescent="0.3">
      <c r="A74" s="74"/>
      <c r="B74"/>
      <c r="C74"/>
      <c r="AF74"/>
      <c r="AG74" s="14">
        <f t="shared" si="3"/>
        <v>0</v>
      </c>
    </row>
    <row r="75" spans="1:33" ht="59.25" customHeight="1" x14ac:dyDescent="0.3">
      <c r="A75" s="74"/>
      <c r="B75"/>
      <c r="C75"/>
      <c r="AF75"/>
      <c r="AG75" s="14">
        <f t="shared" si="3"/>
        <v>0</v>
      </c>
    </row>
    <row r="76" spans="1:33" ht="59.25" customHeight="1" x14ac:dyDescent="0.3">
      <c r="A76" s="74"/>
      <c r="B76"/>
      <c r="C76"/>
      <c r="AF76"/>
      <c r="AG76" s="14">
        <f t="shared" si="3"/>
        <v>0</v>
      </c>
    </row>
    <row r="77" spans="1:33" ht="59.25" customHeight="1" x14ac:dyDescent="0.3">
      <c r="A77" s="74"/>
      <c r="B77"/>
      <c r="C77"/>
      <c r="AF77"/>
      <c r="AG77" s="14">
        <f t="shared" si="3"/>
        <v>0</v>
      </c>
    </row>
    <row r="78" spans="1:33" ht="59.25" customHeight="1" x14ac:dyDescent="0.3">
      <c r="A78" s="74"/>
      <c r="B78"/>
      <c r="C78"/>
      <c r="AF78"/>
      <c r="AG78" s="14">
        <f t="shared" si="3"/>
        <v>0</v>
      </c>
    </row>
    <row r="79" spans="1:33" ht="59.25" customHeight="1" x14ac:dyDescent="0.3">
      <c r="A79" s="74"/>
      <c r="B79"/>
      <c r="C79"/>
      <c r="AF79"/>
      <c r="AG79" s="14">
        <f t="shared" si="3"/>
        <v>0</v>
      </c>
    </row>
    <row r="80" spans="1:33" ht="15" customHeight="1" x14ac:dyDescent="0.3">
      <c r="AG80" s="14">
        <f t="shared" si="3"/>
        <v>0</v>
      </c>
    </row>
    <row r="81" spans="33:33" ht="15" customHeight="1" x14ac:dyDescent="0.3">
      <c r="AG81" s="14">
        <f t="shared" si="3"/>
        <v>0</v>
      </c>
    </row>
    <row r="82" spans="33:33" ht="15" customHeight="1" x14ac:dyDescent="0.3">
      <c r="AG82" s="14">
        <f t="shared" si="3"/>
        <v>0</v>
      </c>
    </row>
    <row r="83" spans="33:33" ht="15" customHeight="1" x14ac:dyDescent="0.3">
      <c r="AG83" s="14">
        <f t="shared" si="3"/>
        <v>0</v>
      </c>
    </row>
    <row r="84" spans="33:33" ht="15" customHeight="1" x14ac:dyDescent="0.3">
      <c r="AG84" s="14">
        <f t="shared" si="3"/>
        <v>0</v>
      </c>
    </row>
    <row r="85" spans="33:33" ht="15" customHeight="1" x14ac:dyDescent="0.3">
      <c r="AG85" s="14">
        <f t="shared" ref="AG85:AG116" si="4">IF(AF85=1,COUNTA(D85:E85,H85:L85,N85,Q85:U85,W85:Y85,AB85),COUNTA(D85:E85,H85:I85,Q85:U85,W85:Y85,AB85))</f>
        <v>0</v>
      </c>
    </row>
    <row r="86" spans="33:33" ht="15" customHeight="1" x14ac:dyDescent="0.3">
      <c r="AG86" s="14">
        <f t="shared" si="4"/>
        <v>0</v>
      </c>
    </row>
    <row r="87" spans="33:33" ht="15" customHeight="1" x14ac:dyDescent="0.3">
      <c r="AG87" s="14">
        <f t="shared" si="4"/>
        <v>0</v>
      </c>
    </row>
    <row r="88" spans="33:33" ht="15" customHeight="1" x14ac:dyDescent="0.3">
      <c r="AG88" s="14">
        <f t="shared" si="4"/>
        <v>0</v>
      </c>
    </row>
    <row r="89" spans="33:33" ht="15" customHeight="1" x14ac:dyDescent="0.3">
      <c r="AG89" s="14">
        <f t="shared" si="4"/>
        <v>0</v>
      </c>
    </row>
    <row r="90" spans="33:33" ht="15" customHeight="1" x14ac:dyDescent="0.3">
      <c r="AG90" s="14">
        <f t="shared" si="4"/>
        <v>0</v>
      </c>
    </row>
    <row r="91" spans="33:33" ht="15" customHeight="1" x14ac:dyDescent="0.3">
      <c r="AG91" s="14">
        <f t="shared" si="4"/>
        <v>0</v>
      </c>
    </row>
    <row r="92" spans="33:33" ht="15" customHeight="1" x14ac:dyDescent="0.3">
      <c r="AG92" s="14">
        <f t="shared" si="4"/>
        <v>0</v>
      </c>
    </row>
    <row r="93" spans="33:33" ht="15" customHeight="1" x14ac:dyDescent="0.3">
      <c r="AG93" s="14">
        <f t="shared" si="4"/>
        <v>0</v>
      </c>
    </row>
    <row r="94" spans="33:33" ht="15" customHeight="1" x14ac:dyDescent="0.3">
      <c r="AG94" s="14">
        <f t="shared" si="4"/>
        <v>0</v>
      </c>
    </row>
    <row r="95" spans="33:33" ht="15" customHeight="1" x14ac:dyDescent="0.3">
      <c r="AG95" s="14">
        <f t="shared" si="4"/>
        <v>0</v>
      </c>
    </row>
    <row r="96" spans="33:33" ht="15" customHeight="1" x14ac:dyDescent="0.3">
      <c r="AG96" s="14">
        <f t="shared" si="4"/>
        <v>0</v>
      </c>
    </row>
    <row r="97" spans="33:33" ht="15" customHeight="1" x14ac:dyDescent="0.3">
      <c r="AG97" s="14">
        <f t="shared" si="4"/>
        <v>0</v>
      </c>
    </row>
    <row r="98" spans="33:33" ht="15" customHeight="1" x14ac:dyDescent="0.3">
      <c r="AG98" s="14">
        <f t="shared" si="4"/>
        <v>0</v>
      </c>
    </row>
    <row r="99" spans="33:33" ht="15" customHeight="1" x14ac:dyDescent="0.3">
      <c r="AG99" s="14">
        <f t="shared" si="4"/>
        <v>0</v>
      </c>
    </row>
    <row r="100" spans="33:33" ht="15" customHeight="1" x14ac:dyDescent="0.3">
      <c r="AG100" s="14">
        <f t="shared" si="4"/>
        <v>0</v>
      </c>
    </row>
    <row r="101" spans="33:33" ht="15" customHeight="1" x14ac:dyDescent="0.3">
      <c r="AG101" s="14">
        <f t="shared" si="4"/>
        <v>0</v>
      </c>
    </row>
    <row r="102" spans="33:33" ht="15" customHeight="1" x14ac:dyDescent="0.3">
      <c r="AG102" s="14">
        <f t="shared" si="4"/>
        <v>0</v>
      </c>
    </row>
    <row r="103" spans="33:33" ht="15" customHeight="1" x14ac:dyDescent="0.3">
      <c r="AG103" s="14">
        <f t="shared" si="4"/>
        <v>0</v>
      </c>
    </row>
    <row r="104" spans="33:33" ht="15" customHeight="1" x14ac:dyDescent="0.3">
      <c r="AG104" s="14">
        <f t="shared" si="4"/>
        <v>0</v>
      </c>
    </row>
    <row r="105" spans="33:33" ht="15" customHeight="1" x14ac:dyDescent="0.3">
      <c r="AG105" s="14">
        <f t="shared" si="4"/>
        <v>0</v>
      </c>
    </row>
    <row r="106" spans="33:33" ht="15" customHeight="1" x14ac:dyDescent="0.3">
      <c r="AG106" s="14">
        <f t="shared" si="4"/>
        <v>0</v>
      </c>
    </row>
    <row r="107" spans="33:33" ht="15" customHeight="1" x14ac:dyDescent="0.3">
      <c r="AG107" s="14">
        <f t="shared" si="4"/>
        <v>0</v>
      </c>
    </row>
    <row r="108" spans="33:33" ht="15" customHeight="1" x14ac:dyDescent="0.3">
      <c r="AG108" s="14">
        <f t="shared" si="4"/>
        <v>0</v>
      </c>
    </row>
    <row r="109" spans="33:33" ht="15" customHeight="1" x14ac:dyDescent="0.3">
      <c r="AG109" s="14">
        <f t="shared" si="4"/>
        <v>0</v>
      </c>
    </row>
    <row r="110" spans="33:33" ht="15" customHeight="1" x14ac:dyDescent="0.3">
      <c r="AG110" s="14">
        <f t="shared" si="4"/>
        <v>0</v>
      </c>
    </row>
    <row r="111" spans="33:33" ht="15" customHeight="1" x14ac:dyDescent="0.3">
      <c r="AG111" s="14">
        <f t="shared" si="4"/>
        <v>0</v>
      </c>
    </row>
    <row r="112" spans="33:33" ht="15" customHeight="1" x14ac:dyDescent="0.3">
      <c r="AG112" s="14">
        <f t="shared" si="4"/>
        <v>0</v>
      </c>
    </row>
    <row r="113" spans="33:33" ht="15" customHeight="1" x14ac:dyDescent="0.3">
      <c r="AG113" s="14">
        <f t="shared" si="4"/>
        <v>0</v>
      </c>
    </row>
    <row r="114" spans="33:33" ht="15" customHeight="1" x14ac:dyDescent="0.3">
      <c r="AG114" s="14">
        <f t="shared" si="4"/>
        <v>0</v>
      </c>
    </row>
    <row r="115" spans="33:33" ht="15" customHeight="1" x14ac:dyDescent="0.3">
      <c r="AG115" s="14">
        <f t="shared" si="4"/>
        <v>0</v>
      </c>
    </row>
    <row r="116" spans="33:33" ht="15" customHeight="1" x14ac:dyDescent="0.3">
      <c r="AG116" s="14">
        <f t="shared" si="4"/>
        <v>0</v>
      </c>
    </row>
    <row r="117" spans="33:33" ht="15" customHeight="1" x14ac:dyDescent="0.3">
      <c r="AG117" s="14">
        <f t="shared" ref="AG117:AG148" si="5">IF(AF117=1,COUNTA(D117:E117,H117:L117,N117,Q117:U117,W117:Y117,AB117),COUNTA(D117:E117,H117:I117,Q117:U117,W117:Y117,AB117))</f>
        <v>0</v>
      </c>
    </row>
    <row r="118" spans="33:33" ht="15" customHeight="1" x14ac:dyDescent="0.3">
      <c r="AG118" s="14">
        <f t="shared" si="5"/>
        <v>0</v>
      </c>
    </row>
    <row r="119" spans="33:33" ht="15" customHeight="1" x14ac:dyDescent="0.3">
      <c r="AG119" s="14">
        <f t="shared" si="5"/>
        <v>0</v>
      </c>
    </row>
    <row r="120" spans="33:33" ht="15" customHeight="1" x14ac:dyDescent="0.3">
      <c r="AG120" s="14">
        <f t="shared" si="5"/>
        <v>0</v>
      </c>
    </row>
    <row r="121" spans="33:33" ht="15" customHeight="1" x14ac:dyDescent="0.3">
      <c r="AG121" s="14">
        <f t="shared" si="5"/>
        <v>0</v>
      </c>
    </row>
    <row r="122" spans="33:33" ht="15" customHeight="1" x14ac:dyDescent="0.3">
      <c r="AG122" s="14">
        <f t="shared" si="5"/>
        <v>0</v>
      </c>
    </row>
    <row r="123" spans="33:33" ht="15" customHeight="1" x14ac:dyDescent="0.3">
      <c r="AG123" s="14">
        <f t="shared" si="5"/>
        <v>0</v>
      </c>
    </row>
    <row r="124" spans="33:33" ht="15" customHeight="1" x14ac:dyDescent="0.3">
      <c r="AG124" s="14">
        <f t="shared" si="5"/>
        <v>0</v>
      </c>
    </row>
    <row r="125" spans="33:33" ht="15" customHeight="1" x14ac:dyDescent="0.3">
      <c r="AG125" s="14">
        <f t="shared" si="5"/>
        <v>0</v>
      </c>
    </row>
    <row r="126" spans="33:33" ht="15" customHeight="1" x14ac:dyDescent="0.3">
      <c r="AG126" s="14">
        <f t="shared" si="5"/>
        <v>0</v>
      </c>
    </row>
    <row r="127" spans="33:33" ht="15" customHeight="1" x14ac:dyDescent="0.3">
      <c r="AG127" s="14">
        <f t="shared" si="5"/>
        <v>0</v>
      </c>
    </row>
    <row r="128" spans="33:33" ht="15" customHeight="1" x14ac:dyDescent="0.3">
      <c r="AG128" s="14">
        <f t="shared" si="5"/>
        <v>0</v>
      </c>
    </row>
    <row r="129" spans="33:33" ht="15" customHeight="1" x14ac:dyDescent="0.3">
      <c r="AG129" s="14">
        <f t="shared" si="5"/>
        <v>0</v>
      </c>
    </row>
    <row r="130" spans="33:33" ht="15" customHeight="1" x14ac:dyDescent="0.3">
      <c r="AG130" s="14">
        <f t="shared" si="5"/>
        <v>0</v>
      </c>
    </row>
    <row r="131" spans="33:33" ht="15" customHeight="1" x14ac:dyDescent="0.3">
      <c r="AG131" s="14">
        <f t="shared" si="5"/>
        <v>0</v>
      </c>
    </row>
    <row r="132" spans="33:33" ht="15" customHeight="1" x14ac:dyDescent="0.3">
      <c r="AG132" s="14">
        <f t="shared" si="5"/>
        <v>0</v>
      </c>
    </row>
    <row r="133" spans="33:33" ht="15" customHeight="1" x14ac:dyDescent="0.3">
      <c r="AG133" s="14">
        <f t="shared" si="5"/>
        <v>0</v>
      </c>
    </row>
    <row r="134" spans="33:33" ht="15" customHeight="1" x14ac:dyDescent="0.3">
      <c r="AG134" s="14">
        <f t="shared" si="5"/>
        <v>0</v>
      </c>
    </row>
    <row r="135" spans="33:33" ht="15" customHeight="1" x14ac:dyDescent="0.3">
      <c r="AG135" s="14">
        <f t="shared" si="5"/>
        <v>0</v>
      </c>
    </row>
    <row r="136" spans="33:33" ht="15" customHeight="1" x14ac:dyDescent="0.3">
      <c r="AG136" s="14">
        <f t="shared" si="5"/>
        <v>0</v>
      </c>
    </row>
    <row r="137" spans="33:33" ht="15" customHeight="1" x14ac:dyDescent="0.3">
      <c r="AG137" s="14">
        <f t="shared" si="5"/>
        <v>0</v>
      </c>
    </row>
    <row r="138" spans="33:33" ht="15" customHeight="1" x14ac:dyDescent="0.3">
      <c r="AG138" s="14">
        <f t="shared" si="5"/>
        <v>0</v>
      </c>
    </row>
    <row r="139" spans="33:33" ht="15" customHeight="1" x14ac:dyDescent="0.3">
      <c r="AG139" s="14">
        <f t="shared" si="5"/>
        <v>0</v>
      </c>
    </row>
    <row r="140" spans="33:33" ht="15" customHeight="1" x14ac:dyDescent="0.3">
      <c r="AG140" s="14">
        <f t="shared" si="5"/>
        <v>0</v>
      </c>
    </row>
    <row r="141" spans="33:33" ht="15" customHeight="1" x14ac:dyDescent="0.3">
      <c r="AG141" s="14">
        <f t="shared" si="5"/>
        <v>0</v>
      </c>
    </row>
    <row r="142" spans="33:33" ht="15" customHeight="1" x14ac:dyDescent="0.3">
      <c r="AG142" s="14">
        <f t="shared" si="5"/>
        <v>0</v>
      </c>
    </row>
    <row r="143" spans="33:33" ht="15" customHeight="1" x14ac:dyDescent="0.3">
      <c r="AG143" s="14">
        <f t="shared" si="5"/>
        <v>0</v>
      </c>
    </row>
    <row r="144" spans="33:33" ht="15" customHeight="1" x14ac:dyDescent="0.3">
      <c r="AG144" s="14">
        <f t="shared" si="5"/>
        <v>0</v>
      </c>
    </row>
    <row r="145" spans="33:33" ht="15" customHeight="1" x14ac:dyDescent="0.3">
      <c r="AG145" s="14">
        <f t="shared" si="5"/>
        <v>0</v>
      </c>
    </row>
    <row r="146" spans="33:33" ht="15" customHeight="1" x14ac:dyDescent="0.3">
      <c r="AG146" s="14">
        <f t="shared" si="5"/>
        <v>0</v>
      </c>
    </row>
    <row r="147" spans="33:33" ht="15" customHeight="1" x14ac:dyDescent="0.3">
      <c r="AG147" s="14">
        <f t="shared" si="5"/>
        <v>0</v>
      </c>
    </row>
    <row r="148" spans="33:33" ht="15" customHeight="1" x14ac:dyDescent="0.3">
      <c r="AG148" s="14">
        <f t="shared" si="5"/>
        <v>0</v>
      </c>
    </row>
    <row r="149" spans="33:33" ht="15" customHeight="1" x14ac:dyDescent="0.3">
      <c r="AG149" s="14">
        <f t="shared" ref="AG149:AG159" si="6">IF(AF149=1,COUNTA(D149:E149,H149:L149,N149,Q149:U149,W149:Y149,AB149),COUNTA(D149:E149,H149:I149,Q149:U149,W149:Y149,AB149))</f>
        <v>0</v>
      </c>
    </row>
    <row r="150" spans="33:33" ht="15" customHeight="1" x14ac:dyDescent="0.3">
      <c r="AG150" s="14">
        <f t="shared" si="6"/>
        <v>0</v>
      </c>
    </row>
    <row r="151" spans="33:33" ht="15" customHeight="1" x14ac:dyDescent="0.3">
      <c r="AG151" s="14">
        <f t="shared" si="6"/>
        <v>0</v>
      </c>
    </row>
    <row r="152" spans="33:33" ht="15" customHeight="1" x14ac:dyDescent="0.3">
      <c r="AG152" s="14">
        <f t="shared" si="6"/>
        <v>0</v>
      </c>
    </row>
    <row r="153" spans="33:33" ht="15" customHeight="1" x14ac:dyDescent="0.3">
      <c r="AG153" s="14">
        <f t="shared" si="6"/>
        <v>0</v>
      </c>
    </row>
    <row r="154" spans="33:33" ht="15" customHeight="1" x14ac:dyDescent="0.3">
      <c r="AG154" s="14">
        <f t="shared" si="6"/>
        <v>0</v>
      </c>
    </row>
    <row r="155" spans="33:33" ht="15" customHeight="1" x14ac:dyDescent="0.3">
      <c r="AG155" s="14">
        <f t="shared" si="6"/>
        <v>0</v>
      </c>
    </row>
    <row r="156" spans="33:33" ht="15" customHeight="1" x14ac:dyDescent="0.3">
      <c r="AG156" s="14">
        <f t="shared" si="6"/>
        <v>0</v>
      </c>
    </row>
    <row r="157" spans="33:33" ht="15" customHeight="1" x14ac:dyDescent="0.3">
      <c r="AG157" s="14">
        <f t="shared" si="6"/>
        <v>0</v>
      </c>
    </row>
    <row r="158" spans="33:33" ht="15" customHeight="1" x14ac:dyDescent="0.3">
      <c r="AG158" s="14">
        <f t="shared" si="6"/>
        <v>0</v>
      </c>
    </row>
    <row r="159" spans="33:33" ht="15" customHeight="1" x14ac:dyDescent="0.3">
      <c r="AG159" s="14">
        <f t="shared" si="6"/>
        <v>0</v>
      </c>
    </row>
  </sheetData>
  <sheetProtection algorithmName="SHA-512" hashValue="aPdDjBC0Czy5jTt7+j6Xa7lK2Fs143bRxNLj7N6xGk25zsF8yKUIllF8+6zfpmtS1qawqxU8P2M3s41knGp3LQ==" saltValue="5Q3eUjFnuxR4Vc8nV3ZFAA=="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66" priority="75">
      <formula>$S$2="err"</formula>
    </cfRule>
  </conditionalFormatting>
  <conditionalFormatting sqref="H9:N9">
    <cfRule type="expression" dxfId="23" priority="76" stopIfTrue="1">
      <formula>LOWER(MID($N9,1,19))="please include this"</formula>
    </cfRule>
  </conditionalFormatting>
  <conditionalFormatting sqref="W9:Z9">
    <cfRule type="expression" dxfId="22" priority="77" stopIfTrue="1">
      <formula>LOWER(MID($N9,1,19))="please include this"</formula>
    </cfRule>
    <cfRule type="expression" dxfId="21" priority="78" stopIfTrue="1">
      <formula>$AH9=0</formula>
    </cfRule>
  </conditionalFormatting>
  <dataValidations count="5">
    <dataValidation type="list" allowBlank="1" showInputMessage="1" showErrorMessage="1" sqref="D9:E9" xr:uid="{00000000-0002-0000-1000-000000000000}">
      <formula1>sublist_fencing</formula1>
    </dataValidation>
    <dataValidation type="decimal" allowBlank="1" showInputMessage="1" showErrorMessage="1" errorTitle="Numeric value required" error="Please enter a numeric value." sqref="H9" xr:uid="{14B32878-DCCF-4E75-9837-D2B3354EF8F8}">
      <formula1>0</formula1>
      <formula2>99999999</formula2>
    </dataValidation>
    <dataValidation type="decimal" allowBlank="1" showInputMessage="1" showErrorMessage="1" errorTitle="Numeric value required" error="Please enter a numeric value." sqref="I9" xr:uid="{8E9C97C7-7BD0-4186-8F48-9E12AA6DFE4A}">
      <formula1>0</formula1>
      <formula2>99999999</formula2>
    </dataValidation>
    <dataValidation type="decimal" operator="lessThanOrEqual" allowBlank="1" showInputMessage="1" showErrorMessage="1" errorTitle="Numeric value required" error="Please enter a numeric value less than or equal to 500." sqref="X9" xr:uid="{82265C93-7655-4EC3-A294-67C66013D490}">
      <formula1>500</formula1>
    </dataValidation>
    <dataValidation type="decimal" allowBlank="1" showInputMessage="1" showErrorMessage="1" errorTitle="Numeric value required" error="Please enter a numeric value." sqref="AB9" xr:uid="{7357503F-1FA3-400A-B25F-7CDE7C5A99B0}">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3346"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3347"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3348"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3349"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3418"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3419"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3420"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3421"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3422"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3423"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3424"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3425"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3426"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3427"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3428"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3429"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3430"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3431"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3432"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3433"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3434"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2000000}">
          <x14:formula1>
            <xm:f>'Emissions Factors Lookup'!$D$4:$D$7</xm:f>
          </x14:formula1>
          <xm:sqref>W9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8">
    <tabColor rgb="FF008BCB"/>
    <outlinePr summaryBelow="0" summaryRight="0"/>
  </sheetPr>
  <dimension ref="A1:AX158"/>
  <sheetViews>
    <sheetView showGridLines="0" showRowColHeaders="0" zoomScaleNormal="100" workbookViewId="0">
      <pane ySplit="8" topLeftCell="A9" activePane="bottomLeft" state="frozen"/>
      <selection activeCell="B7" sqref="B7:S19"/>
      <selection pane="bottomLeft" activeCell="M4" sqref="M4"/>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M1" s="58"/>
      <c r="AN1" s="447"/>
      <c r="AO1" s="447"/>
      <c r="AP1" s="447"/>
      <c r="AW1" s="56">
        <v>0</v>
      </c>
    </row>
    <row r="2" spans="1:50" s="56" customFormat="1" ht="50.25" customHeight="1" x14ac:dyDescent="0.25">
      <c r="A2" s="76"/>
      <c r="B2" s="49"/>
      <c r="O2" s="58"/>
      <c r="P2" s="61"/>
      <c r="Q2" s="61"/>
      <c r="R2" s="61"/>
      <c r="S2" s="61" t="str">
        <f>IF(SUM(O:O)&gt;0,"err","")</f>
        <v/>
      </c>
      <c r="W2" s="251">
        <v>0</v>
      </c>
      <c r="AM2" s="58"/>
      <c r="AW2" s="56">
        <v>0</v>
      </c>
    </row>
    <row r="3" spans="1:50" ht="30.75" customHeight="1" x14ac:dyDescent="0.3">
      <c r="A3" s="28"/>
      <c r="B3" s="28"/>
      <c r="C3" s="28"/>
      <c r="D3" s="561" t="s">
        <v>1119</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24</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24</v>
      </c>
      <c r="B9" s="65"/>
      <c r="C9" s="45" t="s">
        <v>24</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65">
        <f>IF(P9&lt;0,1,0)</f>
        <v>0</v>
      </c>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349999999999994"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89.25" customHeight="1" x14ac:dyDescent="0.3">
      <c r="A11" s="316"/>
      <c r="B11"/>
      <c r="C11"/>
      <c r="O11"/>
      <c r="AF11"/>
      <c r="AG11" s="21">
        <f>IF(AF11=1,COUNTA(D11:E11,H11:L11,N11,Q11:U11,W11:Y11,AB11),COUNTA(D11:E11,H11:I11,Q11:U11,W11:X11,AB11))</f>
        <v>0</v>
      </c>
      <c r="AH11" s="14" t="str">
        <f>IF(ISERROR(VLOOKUP(D11&amp;E11,'Emissions Factors Lookup'!J4:R309,9,FALSE)),"",VLOOKUP(D11&amp;E11,'Emissions Factors Lookup'!J4:R309,9,FALSE))</f>
        <v/>
      </c>
    </row>
    <row r="12" spans="1:50" ht="89.25" customHeight="1" x14ac:dyDescent="0.3">
      <c r="A12" s="316"/>
      <c r="B12"/>
      <c r="C12"/>
      <c r="O12"/>
      <c r="AF12"/>
      <c r="AG12" s="21">
        <f>IF(AF12=1,COUNTA(D12:E12,H12:L12,N12,Q12:U12,W12:Y12,AB12),COUNTA(D12:E12,H12:I12,Q12:U12,W12:X12,AB12))</f>
        <v>0</v>
      </c>
      <c r="AH12" s="14" t="str">
        <f>IF(ISERROR(VLOOKUP(D12&amp;E12,'Emissions Factors Lookup'!J4:R309,9,FALSE)),"",VLOOKUP(D12&amp;E12,'Emissions Factors Lookup'!J4:R309,9,FALSE))</f>
        <v/>
      </c>
    </row>
    <row r="13" spans="1:50" ht="89.25" customHeight="1" x14ac:dyDescent="0.3">
      <c r="A13" s="74"/>
      <c r="B13"/>
      <c r="C13"/>
      <c r="O13"/>
      <c r="AF13"/>
      <c r="AG13" s="21">
        <f>IF(AF13=1,COUNTA(D13:E13,H13:L13,N13,Q13:U13,W13:Y13,AB13),COUNTA(D13:E13,H13:I13,Q13:U13,W13:X13,AB13))</f>
        <v>0</v>
      </c>
      <c r="AH13" s="14">
        <v>1</v>
      </c>
    </row>
    <row r="14" spans="1:50" ht="89.25" customHeight="1" x14ac:dyDescent="0.3">
      <c r="A14" s="74"/>
      <c r="B14"/>
      <c r="C14"/>
      <c r="O14"/>
      <c r="AF14"/>
      <c r="AG14" s="21">
        <f t="shared" ref="AG14:AG18" si="0">IF(AF14=1,COUNTA(D14:E14,H14:L14,N14,Q14:U14,V14:X14,AA14),COUNTA(D14:E14,H14:I14,Q14:U14,V14:X14,AA14))</f>
        <v>0</v>
      </c>
      <c r="AH14" s="14">
        <v>1</v>
      </c>
    </row>
    <row r="15" spans="1:50" ht="89.25" customHeight="1" x14ac:dyDescent="0.3">
      <c r="A15" s="74"/>
      <c r="B15"/>
      <c r="C15"/>
      <c r="O15"/>
      <c r="AF15"/>
      <c r="AG15" s="21">
        <f t="shared" si="0"/>
        <v>0</v>
      </c>
      <c r="AH15" s="14">
        <v>1</v>
      </c>
    </row>
    <row r="16" spans="1:50" ht="89.25" customHeight="1" x14ac:dyDescent="0.3">
      <c r="A16" s="74"/>
      <c r="B16"/>
      <c r="C16"/>
      <c r="O16"/>
      <c r="AF16"/>
      <c r="AG16" s="21">
        <f t="shared" si="0"/>
        <v>0</v>
      </c>
    </row>
    <row r="17" spans="1:33" ht="89.25" customHeight="1" x14ac:dyDescent="0.3">
      <c r="A17" s="74"/>
      <c r="B17"/>
      <c r="C17"/>
      <c r="O17"/>
      <c r="AF17"/>
      <c r="AG17" s="21">
        <f t="shared" si="0"/>
        <v>0</v>
      </c>
    </row>
    <row r="18" spans="1:33" ht="89.25" customHeight="1" x14ac:dyDescent="0.3">
      <c r="A18" s="74"/>
      <c r="B18"/>
      <c r="C18"/>
      <c r="O18"/>
      <c r="AF18"/>
      <c r="AG18" s="21">
        <f t="shared" si="0"/>
        <v>0</v>
      </c>
    </row>
    <row r="19" spans="1:33" ht="59.25" customHeight="1" x14ac:dyDescent="0.3">
      <c r="A19" s="74"/>
      <c r="B19"/>
      <c r="C19"/>
      <c r="AF19"/>
      <c r="AG19" s="21">
        <f t="shared" ref="AG19:AG50" si="1">IF(AF19=1,COUNTA(D19:E19,H19:L19,N19,Q19:U19,W19:Y19,AB19),COUNTA(D19:E19,H19:I19,Q19:U19,W19:Y19,AB19))</f>
        <v>0</v>
      </c>
    </row>
    <row r="20" spans="1:33" ht="51.75" customHeight="1" x14ac:dyDescent="0.3">
      <c r="A20" s="74"/>
      <c r="B20"/>
      <c r="C20"/>
      <c r="AF20"/>
      <c r="AG20" s="21">
        <f t="shared" si="1"/>
        <v>0</v>
      </c>
    </row>
    <row r="21" spans="1:33" ht="59.25" customHeight="1" x14ac:dyDescent="0.3">
      <c r="A21" s="74"/>
      <c r="B21"/>
      <c r="C21"/>
      <c r="AF21"/>
      <c r="AG21" s="21">
        <f t="shared" si="1"/>
        <v>0</v>
      </c>
    </row>
    <row r="22" spans="1:33" ht="51.75" customHeight="1" x14ac:dyDescent="0.3">
      <c r="A22" s="74"/>
      <c r="B22"/>
      <c r="C22"/>
      <c r="AF22"/>
      <c r="AG22" s="21">
        <f t="shared" si="1"/>
        <v>0</v>
      </c>
    </row>
    <row r="23" spans="1:33" ht="59.25" customHeight="1" x14ac:dyDescent="0.3">
      <c r="A23" s="74"/>
      <c r="B23"/>
      <c r="C23"/>
      <c r="AF23"/>
      <c r="AG23" s="21">
        <f t="shared" si="1"/>
        <v>0</v>
      </c>
    </row>
    <row r="24" spans="1:33" ht="51.75" customHeight="1" x14ac:dyDescent="0.3">
      <c r="A24" s="74"/>
      <c r="B24"/>
      <c r="C24"/>
      <c r="AF24"/>
      <c r="AG24" s="21">
        <f t="shared" si="1"/>
        <v>0</v>
      </c>
    </row>
    <row r="25" spans="1:33" ht="59.25" customHeight="1" x14ac:dyDescent="0.3">
      <c r="A25" s="74"/>
      <c r="B25"/>
      <c r="C25"/>
      <c r="AF25"/>
      <c r="AG25" s="21">
        <f t="shared" si="1"/>
        <v>0</v>
      </c>
    </row>
    <row r="26" spans="1:33" ht="59.25" customHeight="1" x14ac:dyDescent="0.3">
      <c r="A26" s="74"/>
      <c r="B26"/>
      <c r="C26"/>
      <c r="AF26"/>
      <c r="AG26" s="21">
        <f t="shared" si="1"/>
        <v>0</v>
      </c>
    </row>
    <row r="27" spans="1:33" ht="59.25" customHeight="1" x14ac:dyDescent="0.3">
      <c r="A27" s="74"/>
      <c r="B27"/>
      <c r="C27"/>
      <c r="AF27"/>
      <c r="AG27" s="21">
        <f t="shared" si="1"/>
        <v>0</v>
      </c>
    </row>
    <row r="28" spans="1:33" ht="59.25" customHeight="1" x14ac:dyDescent="0.3">
      <c r="A28" s="74"/>
      <c r="B28"/>
      <c r="C28"/>
      <c r="AF28"/>
      <c r="AG28" s="21">
        <f t="shared" si="1"/>
        <v>0</v>
      </c>
    </row>
    <row r="29" spans="1:33" ht="59.25" customHeight="1" x14ac:dyDescent="0.3">
      <c r="A29" s="74"/>
      <c r="B29"/>
      <c r="C29"/>
      <c r="AF29"/>
      <c r="AG29" s="21">
        <f t="shared" si="1"/>
        <v>0</v>
      </c>
    </row>
    <row r="30" spans="1:33" ht="59.25" customHeight="1" x14ac:dyDescent="0.3">
      <c r="A30" s="74"/>
      <c r="B30"/>
      <c r="C30"/>
      <c r="AF30"/>
      <c r="AG30" s="21">
        <f t="shared" si="1"/>
        <v>0</v>
      </c>
    </row>
    <row r="31" spans="1:33" ht="59.25" customHeight="1" x14ac:dyDescent="0.3">
      <c r="A31" s="74"/>
      <c r="B31"/>
      <c r="C31"/>
      <c r="AF31"/>
      <c r="AG31" s="21">
        <f t="shared" si="1"/>
        <v>0</v>
      </c>
    </row>
    <row r="32" spans="1:33" ht="59.25" customHeight="1" x14ac:dyDescent="0.3">
      <c r="A32" s="74"/>
      <c r="B32"/>
      <c r="C32"/>
      <c r="AF32"/>
      <c r="AG32" s="21">
        <f t="shared" si="1"/>
        <v>0</v>
      </c>
    </row>
    <row r="33" spans="1:33" ht="59.25" customHeight="1" x14ac:dyDescent="0.3">
      <c r="A33" s="74"/>
      <c r="B33"/>
      <c r="C33"/>
      <c r="AF33"/>
      <c r="AG33" s="21">
        <f t="shared" si="1"/>
        <v>0</v>
      </c>
    </row>
    <row r="34" spans="1:33" ht="59.25" customHeight="1" x14ac:dyDescent="0.3">
      <c r="A34" s="74"/>
      <c r="B34"/>
      <c r="C34"/>
      <c r="AF34"/>
      <c r="AG34" s="21">
        <f t="shared" si="1"/>
        <v>0</v>
      </c>
    </row>
    <row r="35" spans="1:33" ht="51.75" customHeight="1" x14ac:dyDescent="0.3">
      <c r="A35" s="74"/>
      <c r="B35"/>
      <c r="C35"/>
      <c r="AF35"/>
      <c r="AG35" s="21">
        <f t="shared" si="1"/>
        <v>0</v>
      </c>
    </row>
    <row r="36" spans="1:33" ht="59.25" customHeight="1" x14ac:dyDescent="0.3">
      <c r="A36" s="74"/>
      <c r="B36"/>
      <c r="C36"/>
      <c r="AF36"/>
      <c r="AG36" s="21">
        <f t="shared" si="1"/>
        <v>0</v>
      </c>
    </row>
    <row r="37" spans="1:33" ht="51.75" customHeight="1" x14ac:dyDescent="0.3">
      <c r="A37" s="74"/>
      <c r="B37"/>
      <c r="C37"/>
      <c r="AF37"/>
      <c r="AG37" s="21">
        <f t="shared" si="1"/>
        <v>0</v>
      </c>
    </row>
    <row r="38" spans="1:33" ht="59.25" customHeight="1" x14ac:dyDescent="0.3">
      <c r="A38" s="74"/>
      <c r="B38"/>
      <c r="C38"/>
      <c r="AF38"/>
      <c r="AG38" s="21">
        <f t="shared" si="1"/>
        <v>0</v>
      </c>
    </row>
    <row r="39" spans="1:33" ht="59.25" customHeight="1" x14ac:dyDescent="0.3">
      <c r="A39" s="74"/>
      <c r="B39"/>
      <c r="C39"/>
      <c r="AF39"/>
      <c r="AG39" s="21">
        <f t="shared" si="1"/>
        <v>0</v>
      </c>
    </row>
    <row r="40" spans="1:33" ht="59.25" customHeight="1" x14ac:dyDescent="0.3">
      <c r="A40" s="74"/>
      <c r="B40"/>
      <c r="C40"/>
      <c r="AF40"/>
      <c r="AG40" s="21">
        <f t="shared" si="1"/>
        <v>0</v>
      </c>
    </row>
    <row r="41" spans="1:33" ht="59.25" customHeight="1" x14ac:dyDescent="0.3">
      <c r="A41" s="74"/>
      <c r="B41"/>
      <c r="C41"/>
      <c r="AF41"/>
      <c r="AG41" s="21">
        <f t="shared" si="1"/>
        <v>0</v>
      </c>
    </row>
    <row r="42" spans="1:33" ht="51.75" customHeight="1" x14ac:dyDescent="0.3">
      <c r="A42" s="74"/>
      <c r="B42"/>
      <c r="C42"/>
      <c r="AF42"/>
      <c r="AG42" s="21">
        <f t="shared" si="1"/>
        <v>0</v>
      </c>
    </row>
    <row r="43" spans="1:33" ht="59.25" customHeight="1" x14ac:dyDescent="0.3">
      <c r="A43" s="74"/>
      <c r="B43"/>
      <c r="C43"/>
      <c r="AF43"/>
      <c r="AG43" s="21">
        <f t="shared" si="1"/>
        <v>0</v>
      </c>
    </row>
    <row r="44" spans="1:33" ht="59.25" customHeight="1" x14ac:dyDescent="0.3">
      <c r="A44" s="74"/>
      <c r="B44"/>
      <c r="C44"/>
      <c r="AF44"/>
      <c r="AG44" s="21">
        <f t="shared" si="1"/>
        <v>0</v>
      </c>
    </row>
    <row r="45" spans="1:33" ht="59.25" customHeight="1" x14ac:dyDescent="0.3">
      <c r="A45" s="74"/>
      <c r="B45"/>
      <c r="C45"/>
      <c r="AF45"/>
      <c r="AG45" s="21">
        <f t="shared" si="1"/>
        <v>0</v>
      </c>
    </row>
    <row r="46" spans="1:33" ht="59.25" customHeight="1" x14ac:dyDescent="0.3">
      <c r="A46" s="74"/>
      <c r="B46"/>
      <c r="C46"/>
      <c r="AF46"/>
      <c r="AG46" s="21">
        <f t="shared" si="1"/>
        <v>0</v>
      </c>
    </row>
    <row r="47" spans="1:33" ht="51.75" customHeight="1" x14ac:dyDescent="0.3">
      <c r="A47" s="74"/>
      <c r="B47"/>
      <c r="C47"/>
      <c r="AF47"/>
      <c r="AG47" s="21">
        <f t="shared" si="1"/>
        <v>0</v>
      </c>
    </row>
    <row r="48" spans="1:33" ht="51.75" customHeight="1" x14ac:dyDescent="0.3">
      <c r="A48" s="74"/>
      <c r="B48"/>
      <c r="C48"/>
      <c r="AF48"/>
      <c r="AG48" s="21">
        <f t="shared" si="1"/>
        <v>0</v>
      </c>
    </row>
    <row r="49" spans="1:33" ht="59.25" customHeight="1" x14ac:dyDescent="0.3">
      <c r="A49" s="74"/>
      <c r="B49"/>
      <c r="C49"/>
      <c r="AF49"/>
      <c r="AG49" s="21">
        <f t="shared" si="1"/>
        <v>0</v>
      </c>
    </row>
    <row r="50" spans="1:33" ht="51.75" customHeight="1" x14ac:dyDescent="0.3">
      <c r="A50" s="74"/>
      <c r="B50"/>
      <c r="C50"/>
      <c r="AF50"/>
      <c r="AG50" s="21">
        <f t="shared" si="1"/>
        <v>0</v>
      </c>
    </row>
    <row r="51" spans="1:33" ht="51.75" customHeight="1" x14ac:dyDescent="0.3">
      <c r="A51" s="74"/>
      <c r="B51"/>
      <c r="C51"/>
      <c r="AF51"/>
      <c r="AG51" s="21">
        <f t="shared" ref="AG51:AG82" si="2">IF(AF51=1,COUNTA(D51:E51,H51:L51,N51,Q51:U51,W51:Y51,AB51),COUNTA(D51:E51,H51:I51,Q51:U51,W51:Y51,AB51))</f>
        <v>0</v>
      </c>
    </row>
    <row r="52" spans="1:33" ht="59.25" customHeight="1" x14ac:dyDescent="0.3">
      <c r="A52" s="74"/>
      <c r="B52"/>
      <c r="C52"/>
      <c r="AF52"/>
      <c r="AG52" s="21">
        <f t="shared" si="2"/>
        <v>0</v>
      </c>
    </row>
    <row r="53" spans="1:33" ht="51.75" customHeight="1" x14ac:dyDescent="0.3">
      <c r="A53" s="74"/>
      <c r="B53"/>
      <c r="C53"/>
      <c r="AF53"/>
      <c r="AG53" s="21">
        <f t="shared" si="2"/>
        <v>0</v>
      </c>
    </row>
    <row r="54" spans="1:33" ht="51.75" customHeight="1" x14ac:dyDescent="0.3">
      <c r="A54" s="74"/>
      <c r="B54"/>
      <c r="C54"/>
      <c r="AF54"/>
      <c r="AG54" s="21">
        <f t="shared" si="2"/>
        <v>0</v>
      </c>
    </row>
    <row r="55" spans="1:33" ht="59.25" customHeight="1" x14ac:dyDescent="0.3">
      <c r="A55" s="74"/>
      <c r="B55"/>
      <c r="C55"/>
      <c r="AF55"/>
      <c r="AG55" s="21">
        <f t="shared" si="2"/>
        <v>0</v>
      </c>
    </row>
    <row r="56" spans="1:33" ht="59.25" customHeight="1" x14ac:dyDescent="0.3">
      <c r="A56" s="74"/>
      <c r="B56"/>
      <c r="C56"/>
      <c r="AF56"/>
      <c r="AG56" s="21">
        <f t="shared" si="2"/>
        <v>0</v>
      </c>
    </row>
    <row r="57" spans="1:33" ht="59.25" customHeight="1" x14ac:dyDescent="0.3">
      <c r="A57" s="74"/>
      <c r="B57"/>
      <c r="C57"/>
      <c r="AF57"/>
      <c r="AG57" s="21">
        <f t="shared" si="2"/>
        <v>0</v>
      </c>
    </row>
    <row r="58" spans="1:33" ht="59.25" customHeight="1" x14ac:dyDescent="0.3">
      <c r="A58" s="74"/>
      <c r="B58"/>
      <c r="C58"/>
      <c r="AF58"/>
      <c r="AG58" s="21">
        <f t="shared" si="2"/>
        <v>0</v>
      </c>
    </row>
    <row r="59" spans="1:33" ht="59.25" customHeight="1" x14ac:dyDescent="0.3">
      <c r="A59" s="74"/>
      <c r="B59"/>
      <c r="C59"/>
      <c r="AF59"/>
      <c r="AG59" s="21">
        <f t="shared" si="2"/>
        <v>0</v>
      </c>
    </row>
    <row r="60" spans="1:33" ht="59.25" customHeight="1" x14ac:dyDescent="0.3">
      <c r="A60" s="74"/>
      <c r="B60"/>
      <c r="C60"/>
      <c r="AF60"/>
      <c r="AG60" s="21">
        <f t="shared" si="2"/>
        <v>0</v>
      </c>
    </row>
    <row r="61" spans="1:33" ht="59.25" customHeight="1" x14ac:dyDescent="0.3">
      <c r="A61" s="74"/>
      <c r="B61"/>
      <c r="C61"/>
      <c r="AF61"/>
      <c r="AG61" s="21">
        <f t="shared" si="2"/>
        <v>0</v>
      </c>
    </row>
    <row r="62" spans="1:33" ht="59.25" customHeight="1" x14ac:dyDescent="0.3">
      <c r="A62" s="74"/>
      <c r="B62"/>
      <c r="C62"/>
      <c r="AF62"/>
      <c r="AG62" s="21">
        <f t="shared" si="2"/>
        <v>0</v>
      </c>
    </row>
    <row r="63" spans="1:33" ht="59.25" customHeight="1" x14ac:dyDescent="0.3">
      <c r="A63" s="74"/>
      <c r="B63"/>
      <c r="C63"/>
      <c r="AF63"/>
      <c r="AG63" s="21">
        <f t="shared" si="2"/>
        <v>0</v>
      </c>
    </row>
    <row r="64" spans="1:33" ht="59.25" customHeight="1" x14ac:dyDescent="0.3">
      <c r="A64" s="74"/>
      <c r="B64"/>
      <c r="C64"/>
      <c r="AF64"/>
      <c r="AG64" s="21">
        <f t="shared" si="2"/>
        <v>0</v>
      </c>
    </row>
    <row r="65" spans="1:33" ht="59.25" customHeight="1" x14ac:dyDescent="0.3">
      <c r="A65" s="74"/>
      <c r="B65"/>
      <c r="C65"/>
      <c r="AF65"/>
      <c r="AG65" s="21">
        <f t="shared" si="2"/>
        <v>0</v>
      </c>
    </row>
    <row r="66" spans="1:33" ht="59.25" customHeight="1" x14ac:dyDescent="0.3">
      <c r="A66" s="74"/>
      <c r="B66"/>
      <c r="C66"/>
      <c r="AF66"/>
      <c r="AG66" s="21">
        <f t="shared" si="2"/>
        <v>0</v>
      </c>
    </row>
    <row r="67" spans="1:33" ht="59.25" customHeight="1" x14ac:dyDescent="0.3">
      <c r="A67" s="74"/>
      <c r="B67"/>
      <c r="C67"/>
      <c r="AF67"/>
      <c r="AG67" s="21">
        <f t="shared" si="2"/>
        <v>0</v>
      </c>
    </row>
    <row r="68" spans="1:33" ht="59.25" customHeight="1" x14ac:dyDescent="0.3">
      <c r="A68" s="74"/>
      <c r="B68"/>
      <c r="C68"/>
      <c r="AF68"/>
      <c r="AG68" s="21">
        <f t="shared" si="2"/>
        <v>0</v>
      </c>
    </row>
    <row r="69" spans="1:33" ht="59.25" customHeight="1" x14ac:dyDescent="0.3">
      <c r="A69" s="74"/>
      <c r="B69"/>
      <c r="C69"/>
      <c r="AF69"/>
      <c r="AG69" s="21">
        <f t="shared" si="2"/>
        <v>0</v>
      </c>
    </row>
    <row r="70" spans="1:33" ht="59.25" customHeight="1" x14ac:dyDescent="0.3">
      <c r="A70" s="74"/>
      <c r="B70"/>
      <c r="C70"/>
      <c r="AF70"/>
      <c r="AG70" s="21">
        <f t="shared" si="2"/>
        <v>0</v>
      </c>
    </row>
    <row r="71" spans="1:33" ht="59.25" customHeight="1" x14ac:dyDescent="0.3">
      <c r="A71" s="74"/>
      <c r="B71"/>
      <c r="C71"/>
      <c r="AF71"/>
      <c r="AG71" s="21">
        <f t="shared" si="2"/>
        <v>0</v>
      </c>
    </row>
    <row r="72" spans="1:33" ht="59.25" customHeight="1" x14ac:dyDescent="0.3">
      <c r="A72" s="74"/>
      <c r="B72"/>
      <c r="C72"/>
      <c r="AF72"/>
      <c r="AG72" s="21">
        <f t="shared" si="2"/>
        <v>0</v>
      </c>
    </row>
    <row r="73" spans="1:33" ht="59.25" customHeight="1" x14ac:dyDescent="0.3">
      <c r="A73" s="74"/>
      <c r="B73"/>
      <c r="C73"/>
      <c r="AF73"/>
      <c r="AG73" s="14">
        <f t="shared" si="2"/>
        <v>0</v>
      </c>
    </row>
    <row r="74" spans="1:33" ht="59.25" customHeight="1" x14ac:dyDescent="0.3">
      <c r="A74" s="74"/>
      <c r="B74"/>
      <c r="C74"/>
      <c r="AF74"/>
      <c r="AG74" s="14">
        <f t="shared" si="2"/>
        <v>0</v>
      </c>
    </row>
    <row r="75" spans="1:33" ht="59.25" customHeight="1" x14ac:dyDescent="0.3">
      <c r="A75" s="74"/>
      <c r="B75"/>
      <c r="C75"/>
      <c r="AF75"/>
      <c r="AG75" s="14">
        <f t="shared" si="2"/>
        <v>0</v>
      </c>
    </row>
    <row r="76" spans="1:33" ht="59.25" customHeight="1" x14ac:dyDescent="0.3">
      <c r="A76" s="74"/>
      <c r="B76"/>
      <c r="C76"/>
      <c r="AF76"/>
      <c r="AG76" s="14">
        <f t="shared" si="2"/>
        <v>0</v>
      </c>
    </row>
    <row r="77" spans="1:33" ht="59.25" customHeight="1" x14ac:dyDescent="0.3">
      <c r="A77" s="74"/>
      <c r="B77"/>
      <c r="C77"/>
      <c r="AF77"/>
      <c r="AG77" s="14">
        <f t="shared" si="2"/>
        <v>0</v>
      </c>
    </row>
    <row r="78" spans="1:33" ht="59.25" customHeight="1" x14ac:dyDescent="0.3">
      <c r="A78" s="74"/>
      <c r="B78"/>
      <c r="C78"/>
      <c r="AF78"/>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ref="AG83:AG114" si="3">IF(AF83=1,COUNTA(D83:E83,H83:L83,N83,Q83:U83,W83:Y83,AB83),COUNTA(D83:E83,H83:I83,Q83:U83,W83:Y83,AB83))</f>
        <v>0</v>
      </c>
    </row>
    <row r="84" spans="33:33" ht="15" customHeight="1" x14ac:dyDescent="0.3">
      <c r="AG84" s="14">
        <f t="shared" si="3"/>
        <v>0</v>
      </c>
    </row>
    <row r="85" spans="33:33" ht="15" customHeight="1" x14ac:dyDescent="0.3">
      <c r="AG85" s="14">
        <f t="shared" si="3"/>
        <v>0</v>
      </c>
    </row>
    <row r="86" spans="33:33" ht="15" customHeight="1" x14ac:dyDescent="0.3">
      <c r="AG86" s="14">
        <f t="shared" si="3"/>
        <v>0</v>
      </c>
    </row>
    <row r="87" spans="33:33" ht="15" customHeight="1" x14ac:dyDescent="0.3">
      <c r="AG87" s="14">
        <f t="shared" si="3"/>
        <v>0</v>
      </c>
    </row>
    <row r="88" spans="33:33" ht="15" customHeight="1" x14ac:dyDescent="0.3">
      <c r="AG88" s="14">
        <f t="shared" si="3"/>
        <v>0</v>
      </c>
    </row>
    <row r="89" spans="33:33" ht="15" customHeight="1" x14ac:dyDescent="0.3">
      <c r="AG89" s="14">
        <f t="shared" si="3"/>
        <v>0</v>
      </c>
    </row>
    <row r="90" spans="33:33" ht="15" customHeight="1" x14ac:dyDescent="0.3">
      <c r="AG90" s="14">
        <f t="shared" si="3"/>
        <v>0</v>
      </c>
    </row>
    <row r="91" spans="33:33" ht="15" customHeight="1" x14ac:dyDescent="0.3">
      <c r="AG91" s="14">
        <f t="shared" si="3"/>
        <v>0</v>
      </c>
    </row>
    <row r="92" spans="33:33" ht="15" customHeight="1" x14ac:dyDescent="0.3">
      <c r="AG92" s="14">
        <f t="shared" si="3"/>
        <v>0</v>
      </c>
    </row>
    <row r="93" spans="33:33" ht="15" customHeight="1" x14ac:dyDescent="0.3">
      <c r="AG93" s="14">
        <f t="shared" si="3"/>
        <v>0</v>
      </c>
    </row>
    <row r="94" spans="33:33" ht="15" customHeight="1" x14ac:dyDescent="0.3">
      <c r="AG94" s="14">
        <f t="shared" si="3"/>
        <v>0</v>
      </c>
    </row>
    <row r="95" spans="33:33" ht="15" customHeight="1" x14ac:dyDescent="0.3">
      <c r="AG95" s="14">
        <f t="shared" si="3"/>
        <v>0</v>
      </c>
    </row>
    <row r="96" spans="33:33" ht="15" customHeight="1" x14ac:dyDescent="0.3">
      <c r="AG96" s="14">
        <f t="shared" si="3"/>
        <v>0</v>
      </c>
    </row>
    <row r="97" spans="33:33" ht="15" customHeight="1" x14ac:dyDescent="0.3">
      <c r="AG97" s="14">
        <f t="shared" si="3"/>
        <v>0</v>
      </c>
    </row>
    <row r="98" spans="33:33" ht="15" customHeight="1" x14ac:dyDescent="0.3">
      <c r="AG98" s="14">
        <f t="shared" si="3"/>
        <v>0</v>
      </c>
    </row>
    <row r="99" spans="33:33" ht="15" customHeight="1" x14ac:dyDescent="0.3">
      <c r="AG99" s="14">
        <f t="shared" si="3"/>
        <v>0</v>
      </c>
    </row>
    <row r="100" spans="33:33" ht="15" customHeight="1" x14ac:dyDescent="0.3">
      <c r="AG100" s="14">
        <f t="shared" si="3"/>
        <v>0</v>
      </c>
    </row>
    <row r="101" spans="33:33" ht="15" customHeight="1" x14ac:dyDescent="0.3">
      <c r="AG101" s="14">
        <f t="shared" si="3"/>
        <v>0</v>
      </c>
    </row>
    <row r="102" spans="33:33" ht="15" customHeight="1" x14ac:dyDescent="0.3">
      <c r="AG102" s="14">
        <f t="shared" si="3"/>
        <v>0</v>
      </c>
    </row>
    <row r="103" spans="33:33" ht="15" customHeight="1" x14ac:dyDescent="0.3">
      <c r="AG103" s="14">
        <f t="shared" si="3"/>
        <v>0</v>
      </c>
    </row>
    <row r="104" spans="33:33" ht="15" customHeight="1" x14ac:dyDescent="0.3">
      <c r="AG104" s="14">
        <f t="shared" si="3"/>
        <v>0</v>
      </c>
    </row>
    <row r="105" spans="33:33" ht="15" customHeight="1" x14ac:dyDescent="0.3">
      <c r="AG105" s="14">
        <f t="shared" si="3"/>
        <v>0</v>
      </c>
    </row>
    <row r="106" spans="33:33" ht="15" customHeight="1" x14ac:dyDescent="0.3">
      <c r="AG106" s="14">
        <f t="shared" si="3"/>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ref="AG115:AG146" si="4">IF(AF115=1,COUNTA(D115:E115,H115:L115,N115,Q115:U115,W115:Y115,AB115),COUNTA(D115:E115,H115:I115,Q115:U115,W115:Y115,AB115))</f>
        <v>0</v>
      </c>
    </row>
    <row r="116" spans="33:33" ht="15" customHeight="1" x14ac:dyDescent="0.3">
      <c r="AG116" s="14">
        <f t="shared" si="4"/>
        <v>0</v>
      </c>
    </row>
    <row r="117" spans="33:33" ht="15" customHeight="1" x14ac:dyDescent="0.3">
      <c r="AG117" s="14">
        <f t="shared" si="4"/>
        <v>0</v>
      </c>
    </row>
    <row r="118" spans="33:33" ht="15" customHeight="1" x14ac:dyDescent="0.3">
      <c r="AG118" s="14">
        <f t="shared" si="4"/>
        <v>0</v>
      </c>
    </row>
    <row r="119" spans="33:33" ht="15" customHeight="1" x14ac:dyDescent="0.3">
      <c r="AG119" s="14">
        <f t="shared" si="4"/>
        <v>0</v>
      </c>
    </row>
    <row r="120" spans="33:33" ht="15" customHeight="1" x14ac:dyDescent="0.3">
      <c r="AG120" s="14">
        <f t="shared" si="4"/>
        <v>0</v>
      </c>
    </row>
    <row r="121" spans="33:33" ht="15" customHeight="1" x14ac:dyDescent="0.3">
      <c r="AG121" s="14">
        <f t="shared" si="4"/>
        <v>0</v>
      </c>
    </row>
    <row r="122" spans="33:33" ht="15" customHeight="1" x14ac:dyDescent="0.3">
      <c r="AG122" s="14">
        <f t="shared" si="4"/>
        <v>0</v>
      </c>
    </row>
    <row r="123" spans="33:33" ht="15" customHeight="1" x14ac:dyDescent="0.3">
      <c r="AG123" s="14">
        <f t="shared" si="4"/>
        <v>0</v>
      </c>
    </row>
    <row r="124" spans="33:33" ht="15" customHeight="1" x14ac:dyDescent="0.3">
      <c r="AG124" s="14">
        <f t="shared" si="4"/>
        <v>0</v>
      </c>
    </row>
    <row r="125" spans="33:33" ht="15" customHeight="1" x14ac:dyDescent="0.3">
      <c r="AG125" s="14">
        <f t="shared" si="4"/>
        <v>0</v>
      </c>
    </row>
    <row r="126" spans="33:33" ht="15" customHeight="1" x14ac:dyDescent="0.3">
      <c r="AG126" s="14">
        <f t="shared" si="4"/>
        <v>0</v>
      </c>
    </row>
    <row r="127" spans="33:33" ht="15" customHeight="1" x14ac:dyDescent="0.3">
      <c r="AG127" s="14">
        <f t="shared" si="4"/>
        <v>0</v>
      </c>
    </row>
    <row r="128" spans="33:33" ht="15" customHeight="1" x14ac:dyDescent="0.3">
      <c r="AG128" s="14">
        <f t="shared" si="4"/>
        <v>0</v>
      </c>
    </row>
    <row r="129" spans="33:33" ht="15" customHeight="1" x14ac:dyDescent="0.3">
      <c r="AG129" s="14">
        <f t="shared" si="4"/>
        <v>0</v>
      </c>
    </row>
    <row r="130" spans="33:33" ht="15" customHeight="1" x14ac:dyDescent="0.3">
      <c r="AG130" s="14">
        <f t="shared" si="4"/>
        <v>0</v>
      </c>
    </row>
    <row r="131" spans="33:33" ht="15" customHeight="1" x14ac:dyDescent="0.3">
      <c r="AG131" s="14">
        <f t="shared" si="4"/>
        <v>0</v>
      </c>
    </row>
    <row r="132" spans="33:33" ht="15" customHeight="1" x14ac:dyDescent="0.3">
      <c r="AG132" s="14">
        <f t="shared" si="4"/>
        <v>0</v>
      </c>
    </row>
    <row r="133" spans="33:33" ht="15" customHeight="1" x14ac:dyDescent="0.3">
      <c r="AG133" s="14">
        <f t="shared" si="4"/>
        <v>0</v>
      </c>
    </row>
    <row r="134" spans="33:33" ht="15" customHeight="1" x14ac:dyDescent="0.3">
      <c r="AG134" s="14">
        <f t="shared" si="4"/>
        <v>0</v>
      </c>
    </row>
    <row r="135" spans="33:33" ht="15" customHeight="1" x14ac:dyDescent="0.3">
      <c r="AG135" s="14">
        <f t="shared" si="4"/>
        <v>0</v>
      </c>
    </row>
    <row r="136" spans="33:33" ht="15" customHeight="1" x14ac:dyDescent="0.3">
      <c r="AG136" s="14">
        <f t="shared" si="4"/>
        <v>0</v>
      </c>
    </row>
    <row r="137" spans="33:33" ht="15" customHeight="1" x14ac:dyDescent="0.3">
      <c r="AG137" s="14">
        <f t="shared" si="4"/>
        <v>0</v>
      </c>
    </row>
    <row r="138" spans="33:33" ht="15" customHeight="1" x14ac:dyDescent="0.3">
      <c r="AG138" s="14">
        <f t="shared" si="4"/>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row r="147" spans="33:33" ht="15" customHeight="1" x14ac:dyDescent="0.3">
      <c r="AG147" s="14">
        <f t="shared" ref="AG147:AG158" si="5">IF(AF147=1,COUNTA(D147:E147,H147:L147,N147,Q147:U147,W147:Y147,AB147),COUNTA(D147:E147,H147:I147,Q147:U147,W147:Y147,AB147))</f>
        <v>0</v>
      </c>
    </row>
    <row r="148" spans="33:33" ht="15" customHeight="1" x14ac:dyDescent="0.3">
      <c r="AG148" s="14">
        <f t="shared" si="5"/>
        <v>0</v>
      </c>
    </row>
    <row r="149" spans="33:33" ht="15" customHeight="1" x14ac:dyDescent="0.3">
      <c r="AG149" s="14">
        <f t="shared" si="5"/>
        <v>0</v>
      </c>
    </row>
    <row r="150" spans="33:33" ht="15" customHeight="1" x14ac:dyDescent="0.3">
      <c r="AG150" s="14">
        <f t="shared" si="5"/>
        <v>0</v>
      </c>
    </row>
    <row r="151" spans="33:33" ht="15" customHeight="1" x14ac:dyDescent="0.3">
      <c r="AG151" s="14">
        <f t="shared" si="5"/>
        <v>0</v>
      </c>
    </row>
    <row r="152" spans="33:33" ht="15" customHeight="1" x14ac:dyDescent="0.3">
      <c r="AG152" s="14">
        <f t="shared" si="5"/>
        <v>0</v>
      </c>
    </row>
    <row r="153" spans="33:33" ht="15" customHeight="1" x14ac:dyDescent="0.3">
      <c r="AG153" s="14">
        <f t="shared" si="5"/>
        <v>0</v>
      </c>
    </row>
    <row r="154" spans="33:33" ht="15" customHeight="1" x14ac:dyDescent="0.3">
      <c r="AG154" s="14">
        <f t="shared" si="5"/>
        <v>0</v>
      </c>
    </row>
    <row r="155" spans="33:33" ht="15" customHeight="1" x14ac:dyDescent="0.3">
      <c r="AG155" s="14">
        <f t="shared" si="5"/>
        <v>0</v>
      </c>
    </row>
    <row r="156" spans="33:33" ht="15" customHeight="1" x14ac:dyDescent="0.3">
      <c r="AG156" s="14">
        <f t="shared" si="5"/>
        <v>0</v>
      </c>
    </row>
    <row r="157" spans="33:33" ht="15" customHeight="1" x14ac:dyDescent="0.3">
      <c r="AG157" s="14">
        <f t="shared" si="5"/>
        <v>0</v>
      </c>
    </row>
    <row r="158" spans="33:33" ht="15" customHeight="1" x14ac:dyDescent="0.3">
      <c r="AG158" s="14">
        <f t="shared" si="5"/>
        <v>0</v>
      </c>
    </row>
  </sheetData>
  <sheetProtection algorithmName="SHA-512" hashValue="3OKC10NxneqTbwFi4nBER455CMerfmyUpM+LdkrpfMVCYGy/RRp6FYxXuC0T/gKa8LkuCl6+AoumTrI+zDBOgg==" saltValue="6mJHmzaWlsnZ1fDzVJ8hyw=="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62" priority="61">
      <formula>$S$2="err"</formula>
    </cfRule>
  </conditionalFormatting>
  <conditionalFormatting sqref="H9:N9">
    <cfRule type="expression" dxfId="20" priority="62" stopIfTrue="1">
      <formula>LOWER(MID($N9,1,19))="please include this"</formula>
    </cfRule>
  </conditionalFormatting>
  <conditionalFormatting sqref="W9:Z9">
    <cfRule type="expression" dxfId="19" priority="63" stopIfTrue="1">
      <formula>LOWER(MID($N9,1,19))="please include this"</formula>
    </cfRule>
    <cfRule type="expression" dxfId="18" priority="64" stopIfTrue="1">
      <formula>$AH9=0</formula>
    </cfRule>
  </conditionalFormatting>
  <dataValidations count="5">
    <dataValidation type="list" allowBlank="1" showInputMessage="1" showErrorMessage="1" sqref="D9:E9" xr:uid="{00000000-0002-0000-1100-000000000000}">
      <formula1>sublist_drainage</formula1>
    </dataValidation>
    <dataValidation type="decimal" allowBlank="1" showInputMessage="1" showErrorMessage="1" errorTitle="Numeric value required" error="Please enter a numeric value." sqref="H9" xr:uid="{C3BCAF9F-D626-4F37-81DA-62AE3F7C8E2A}">
      <formula1>0</formula1>
      <formula2>99999999</formula2>
    </dataValidation>
    <dataValidation type="decimal" allowBlank="1" showInputMessage="1" showErrorMessage="1" errorTitle="Numeric value required" error="Please enter a numeric value." sqref="I9" xr:uid="{D4165B57-0798-4348-9C8D-015A626F46FD}">
      <formula1>0</formula1>
      <formula2>99999999</formula2>
    </dataValidation>
    <dataValidation type="decimal" operator="lessThanOrEqual" allowBlank="1" showInputMessage="1" showErrorMessage="1" errorTitle="Numeric value required" error="Please enter a numeric value less than or equal to 500." sqref="X9" xr:uid="{BD9492C6-14AB-4C19-9C66-7F82E85854DD}">
      <formula1>500</formula1>
    </dataValidation>
    <dataValidation type="decimal" allowBlank="1" showInputMessage="1" showErrorMessage="1" errorTitle="Numeric value required" error="Please enter a numeric value." sqref="AB9" xr:uid="{522275BD-02DF-4914-AECC-278848443F80}">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4369"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4370"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4371"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4372"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4373"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4442"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4443"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4444"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4445"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4446"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4447"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4448"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4449"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4450"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4451" r:id="rId18" name="activate_waste">
              <controlPr defaultSize="0" print="0" autoFill="0" autoPict="0" macro="[0]!thisworkbook.activate_waste">
                <anchor>
                  <from>
                    <xdr:col>25</xdr:col>
                    <xdr:colOff>182880</xdr:colOff>
                    <xdr:row>0</xdr:row>
                    <xdr:rowOff>411480</xdr:rowOff>
                  </from>
                  <to>
                    <xdr:col>26</xdr:col>
                    <xdr:colOff>563880</xdr:colOff>
                    <xdr:row>1</xdr:row>
                    <xdr:rowOff>457200</xdr:rowOff>
                  </to>
                </anchor>
              </controlPr>
            </control>
          </mc:Choice>
        </mc:AlternateContent>
        <mc:AlternateContent xmlns:mc="http://schemas.openxmlformats.org/markup-compatibility/2006">
          <mc:Choice Requires="x14">
            <control shapeId="314452"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4453"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4454"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4455"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4456"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4457"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4458" r:id="rId25" name="activate_notes">
              <controlPr defaultSize="0" print="0" autoFill="0" autoPict="0" macro="[0]!thisworkbook.activate_notes">
                <anchor>
                  <from>
                    <xdr:col>24</xdr:col>
                    <xdr:colOff>563880</xdr:colOff>
                    <xdr:row>0</xdr:row>
                    <xdr:rowOff>144780</xdr:rowOff>
                  </from>
                  <to>
                    <xdr:col>26</xdr:col>
                    <xdr:colOff>563880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2000000}">
          <x14:formula1>
            <xm:f>'Emissions Factors Lookup'!$D$4:$D$7</xm:f>
          </x14:formula1>
          <xm:sqref>W9</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tabColor rgb="FF008BCB"/>
    <outlinePr summaryBelow="0" summaryRight="0"/>
  </sheetPr>
  <dimension ref="A1:AX156"/>
  <sheetViews>
    <sheetView showGridLines="0" showRowColHeaders="0" zoomScaleNormal="100" workbookViewId="0">
      <pane ySplit="8" topLeftCell="A9" activePane="bottomLeft" state="frozen"/>
      <selection activeCell="B7" sqref="B7:S19"/>
      <selection pane="bottomLeft" activeCell="A12" sqref="A12:AD12"/>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H1" s="56">
        <v>1</v>
      </c>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1120</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26</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s="334" customFormat="1" ht="70.05" customHeight="1" x14ac:dyDescent="0.3">
      <c r="A9" s="329" t="s">
        <v>26</v>
      </c>
      <c r="B9" s="65"/>
      <c r="C9" s="330" t="s">
        <v>26</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331">
        <f>IF(P9&lt;0,1,0)</f>
        <v>0</v>
      </c>
      <c r="P9" s="332"/>
      <c r="Q9" s="332"/>
      <c r="R9" s="332"/>
      <c r="S9" s="332"/>
      <c r="T9" s="332"/>
      <c r="U9" s="332"/>
      <c r="V9" s="333"/>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C9" s="335"/>
      <c r="AF9" s="336">
        <v>0</v>
      </c>
      <c r="AG9" s="336">
        <f>IF(AF9=1,COUNTA(D9:E9,H9:L9,N9,Q9:U9,W9:Y9,AB9),COUNTA(D9:E9,H9:I9,Q9:U9,W9:X9,AB9))</f>
        <v>0</v>
      </c>
      <c r="AH9" s="334" t="str">
        <f>IF(ISERROR(VLOOKUP(D9&amp;E9,'Emissions Factors Lookup'!J4:R400,9,FALSE)),"",VLOOKUP(D9&amp;E9,'Emissions Factors Lookup'!J4:R400,9,FALSE))</f>
        <v/>
      </c>
    </row>
    <row r="10" spans="1:50" s="334" customFormat="1" ht="70.05" customHeight="1" x14ac:dyDescent="0.3">
      <c r="A10"/>
      <c r="B10"/>
      <c r="C10"/>
      <c r="D10"/>
      <c r="E10"/>
      <c r="F10"/>
      <c r="G10"/>
      <c r="H10"/>
      <c r="I10"/>
      <c r="J10"/>
      <c r="K10"/>
      <c r="L10"/>
      <c r="M10"/>
      <c r="N10"/>
      <c r="O10"/>
      <c r="P10"/>
      <c r="Q10"/>
      <c r="R10"/>
      <c r="S10"/>
      <c r="T10"/>
      <c r="U10"/>
      <c r="V10"/>
      <c r="W10"/>
      <c r="X10"/>
      <c r="Y10"/>
      <c r="Z10"/>
      <c r="AA10"/>
      <c r="AB10"/>
      <c r="AC10"/>
      <c r="AD10"/>
      <c r="AE10"/>
      <c r="AF10"/>
      <c r="AG10" s="336">
        <f t="shared" ref="AG9:AG15" si="0">IF(AF10=1,COUNTA(D10:E10,H10:L10,N10,Q10:U10,W10:Y10,AB10),COUNTA(D10:E10,H10:I10,Q10:U10,W10:X10,AB10))</f>
        <v>0</v>
      </c>
      <c r="AH10" s="334" t="str">
        <f>IF(ISERROR(VLOOKUP(D10&amp;E10,'Emissions Factors Lookup'!J4:R400,9,FALSE)),"",VLOOKUP(D10&amp;E10,'Emissions Factors Lookup'!J4:R400,9,FALSE))</f>
        <v/>
      </c>
    </row>
    <row r="11" spans="1:50" ht="70.05" customHeight="1" x14ac:dyDescent="0.3">
      <c r="A11" s="316"/>
      <c r="B11"/>
      <c r="C11"/>
      <c r="O11"/>
      <c r="AF11"/>
      <c r="AG11" s="21">
        <f t="shared" si="0"/>
        <v>0</v>
      </c>
      <c r="AH11" s="14" t="str">
        <f>IF(ISERROR(VLOOKUP(D11&amp;E11,'Emissions Factors Lookup'!J4:R400,9,FALSE)),"",VLOOKUP(D11&amp;E11,'Emissions Factors Lookup'!J4:R400,9,FALSE))</f>
        <v/>
      </c>
    </row>
    <row r="12" spans="1:50" ht="70.05" customHeight="1" x14ac:dyDescent="0.3">
      <c r="A12" s="316"/>
      <c r="B12"/>
      <c r="C12"/>
      <c r="O12"/>
      <c r="AF12"/>
      <c r="AG12" s="21">
        <f t="shared" si="0"/>
        <v>0</v>
      </c>
      <c r="AH12" s="14" t="str">
        <f>IF(ISERROR(VLOOKUP(D12&amp;E12,'Emissions Factors Lookup'!J4:R400,9,FALSE)),"",VLOOKUP(D12&amp;E12,'Emissions Factors Lookup'!J4:R400,9,FALSE))</f>
        <v/>
      </c>
    </row>
    <row r="13" spans="1:50" ht="70.349999999999994" customHeight="1" x14ac:dyDescent="0.3">
      <c r="A13" s="316"/>
      <c r="B13"/>
      <c r="C13"/>
      <c r="O13"/>
      <c r="AF13"/>
      <c r="AG13" s="21">
        <f t="shared" si="0"/>
        <v>0</v>
      </c>
      <c r="AH13" s="14" t="str">
        <f>IF(ISERROR(VLOOKUP(D13&amp;E13,'Emissions Factors Lookup'!J4:R400,9,FALSE)),"",VLOOKUP(D13&amp;E13,'Emissions Factors Lookup'!J4:R400,9,FALSE))</f>
        <v/>
      </c>
    </row>
    <row r="14" spans="1:50" ht="89.25" customHeight="1" x14ac:dyDescent="0.3">
      <c r="A14" s="316"/>
      <c r="B14"/>
      <c r="C14"/>
      <c r="O14"/>
      <c r="AF14"/>
      <c r="AG14" s="21">
        <f t="shared" si="0"/>
        <v>0</v>
      </c>
      <c r="AH14" s="14" t="str">
        <f>IF(ISERROR(VLOOKUP(D14&amp;E14,'Emissions Factors Lookup'!J4:R309,9,FALSE)),"",VLOOKUP(D14&amp;E14,'Emissions Factors Lookup'!J4:R309,9,FALSE))</f>
        <v/>
      </c>
    </row>
    <row r="15" spans="1:50" ht="89.25" customHeight="1" x14ac:dyDescent="0.3">
      <c r="A15" s="74"/>
      <c r="B15"/>
      <c r="C15"/>
      <c r="O15"/>
      <c r="AF15"/>
      <c r="AG15" s="21">
        <f t="shared" si="0"/>
        <v>0</v>
      </c>
      <c r="AH15" s="14" t="str">
        <f>IF(ISERROR(VLOOKUP(D15&amp;E15,'Emissions Factors Lookup'!J4:R309,9,FALSE)),"",VLOOKUP(D15&amp;E15,'Emissions Factors Lookup'!J4:R309,9,FALSE))</f>
        <v/>
      </c>
    </row>
    <row r="16" spans="1:50" ht="51.75" customHeight="1" x14ac:dyDescent="0.3">
      <c r="A16" s="74"/>
      <c r="B16"/>
      <c r="C16"/>
      <c r="AF16"/>
      <c r="AG16" s="21">
        <f t="shared" ref="AG16:AG46" si="1">IF(AF16=1,COUNTA(D16:E16,H16:L16,N16,Q16:U16,W16:Y16,AB16),COUNTA(D16:E16,H16:I16,Q16:U16,W16:Y16,AB16))</f>
        <v>0</v>
      </c>
    </row>
    <row r="17" spans="1:33" ht="59.25" customHeight="1" x14ac:dyDescent="0.3">
      <c r="A17" s="74"/>
      <c r="B17"/>
      <c r="C17"/>
      <c r="AF17"/>
      <c r="AG17" s="21">
        <f t="shared" si="1"/>
        <v>0</v>
      </c>
    </row>
    <row r="18" spans="1:33" ht="51.75" customHeight="1" x14ac:dyDescent="0.3">
      <c r="A18" s="74"/>
      <c r="B18"/>
      <c r="C18"/>
      <c r="AF18"/>
      <c r="AG18" s="21">
        <f t="shared" si="1"/>
        <v>0</v>
      </c>
    </row>
    <row r="19" spans="1:33" ht="59.25" customHeight="1" x14ac:dyDescent="0.3">
      <c r="A19" s="74"/>
      <c r="B19"/>
      <c r="C19"/>
      <c r="AF19"/>
      <c r="AG19" s="21">
        <f t="shared" si="1"/>
        <v>0</v>
      </c>
    </row>
    <row r="20" spans="1:33" ht="51.75" customHeight="1" x14ac:dyDescent="0.3">
      <c r="A20" s="74"/>
      <c r="B20"/>
      <c r="C20"/>
      <c r="AF20"/>
      <c r="AG20" s="21">
        <f t="shared" si="1"/>
        <v>0</v>
      </c>
    </row>
    <row r="21" spans="1:33" ht="59.25" customHeight="1" x14ac:dyDescent="0.3">
      <c r="A21" s="74"/>
      <c r="B21"/>
      <c r="C21"/>
      <c r="AF21"/>
      <c r="AG21" s="21">
        <f t="shared" si="1"/>
        <v>0</v>
      </c>
    </row>
    <row r="22" spans="1:33" ht="51.75" customHeight="1" x14ac:dyDescent="0.3">
      <c r="A22" s="74"/>
      <c r="B22"/>
      <c r="C22"/>
      <c r="AF22"/>
      <c r="AG22" s="21">
        <f t="shared" si="1"/>
        <v>0</v>
      </c>
    </row>
    <row r="23" spans="1:33" ht="59.25" customHeight="1" x14ac:dyDescent="0.3">
      <c r="A23" s="74"/>
      <c r="B23"/>
      <c r="C23"/>
      <c r="AF23"/>
      <c r="AG23" s="21">
        <f t="shared" si="1"/>
        <v>0</v>
      </c>
    </row>
    <row r="24" spans="1:33" ht="59.25" customHeight="1" x14ac:dyDescent="0.3">
      <c r="A24" s="74"/>
      <c r="B24"/>
      <c r="C24"/>
      <c r="AF24"/>
      <c r="AG24" s="21">
        <f t="shared" si="1"/>
        <v>0</v>
      </c>
    </row>
    <row r="25" spans="1:33" ht="59.25" customHeight="1" x14ac:dyDescent="0.3">
      <c r="A25" s="74"/>
      <c r="B25"/>
      <c r="C25"/>
      <c r="AF25"/>
      <c r="AG25" s="21">
        <f t="shared" si="1"/>
        <v>0</v>
      </c>
    </row>
    <row r="26" spans="1:33" ht="59.25" customHeight="1" x14ac:dyDescent="0.3">
      <c r="A26" s="74"/>
      <c r="B26"/>
      <c r="C26"/>
      <c r="AF26"/>
      <c r="AG26" s="21">
        <f t="shared" si="1"/>
        <v>0</v>
      </c>
    </row>
    <row r="27" spans="1:33" ht="59.25" customHeight="1" x14ac:dyDescent="0.3">
      <c r="A27" s="74"/>
      <c r="B27"/>
      <c r="C27"/>
      <c r="AF27"/>
      <c r="AG27" s="21">
        <f t="shared" si="1"/>
        <v>0</v>
      </c>
    </row>
    <row r="28" spans="1:33" ht="59.25" customHeight="1" x14ac:dyDescent="0.3">
      <c r="A28" s="74"/>
      <c r="B28"/>
      <c r="C28"/>
      <c r="AF28"/>
      <c r="AG28" s="21">
        <f t="shared" si="1"/>
        <v>0</v>
      </c>
    </row>
    <row r="29" spans="1:33" ht="59.25" customHeight="1" x14ac:dyDescent="0.3">
      <c r="A29" s="74"/>
      <c r="B29"/>
      <c r="C29"/>
      <c r="AF29"/>
      <c r="AG29" s="21">
        <f t="shared" si="1"/>
        <v>0</v>
      </c>
    </row>
    <row r="30" spans="1:33" ht="59.25" customHeight="1" x14ac:dyDescent="0.3">
      <c r="A30" s="74"/>
      <c r="B30"/>
      <c r="C30"/>
      <c r="AF30"/>
      <c r="AG30" s="21">
        <f t="shared" si="1"/>
        <v>0</v>
      </c>
    </row>
    <row r="31" spans="1:33" ht="59.25" customHeight="1" x14ac:dyDescent="0.3">
      <c r="A31" s="74"/>
      <c r="B31"/>
      <c r="C31"/>
      <c r="AF31"/>
      <c r="AG31" s="21">
        <f t="shared" si="1"/>
        <v>0</v>
      </c>
    </row>
    <row r="32" spans="1:33" ht="59.25" customHeight="1" x14ac:dyDescent="0.3">
      <c r="A32" s="74"/>
      <c r="B32"/>
      <c r="C32"/>
      <c r="AF32"/>
      <c r="AG32" s="21">
        <f t="shared" si="1"/>
        <v>0</v>
      </c>
    </row>
    <row r="33" spans="1:33" ht="51.75" customHeight="1" x14ac:dyDescent="0.3">
      <c r="A33" s="74"/>
      <c r="B33"/>
      <c r="C33"/>
      <c r="AF33"/>
      <c r="AG33" s="21">
        <f t="shared" si="1"/>
        <v>0</v>
      </c>
    </row>
    <row r="34" spans="1:33" ht="59.25" customHeight="1" x14ac:dyDescent="0.3">
      <c r="A34" s="74"/>
      <c r="B34"/>
      <c r="C34"/>
      <c r="AF34"/>
      <c r="AG34" s="21">
        <f t="shared" si="1"/>
        <v>0</v>
      </c>
    </row>
    <row r="35" spans="1:33" ht="51.75" customHeight="1" x14ac:dyDescent="0.3">
      <c r="A35" s="74"/>
      <c r="B35"/>
      <c r="C35"/>
      <c r="AF35"/>
      <c r="AG35" s="21">
        <f t="shared" si="1"/>
        <v>0</v>
      </c>
    </row>
    <row r="36" spans="1:33" ht="59.25" customHeight="1" x14ac:dyDescent="0.3">
      <c r="A36" s="74"/>
      <c r="B36"/>
      <c r="C36"/>
      <c r="AF36"/>
      <c r="AG36" s="21">
        <f t="shared" si="1"/>
        <v>0</v>
      </c>
    </row>
    <row r="37" spans="1:33" ht="59.25" customHeight="1" x14ac:dyDescent="0.3">
      <c r="A37" s="74"/>
      <c r="B37"/>
      <c r="C37"/>
      <c r="AF37"/>
      <c r="AG37" s="21">
        <f t="shared" si="1"/>
        <v>0</v>
      </c>
    </row>
    <row r="38" spans="1:33" ht="59.25" customHeight="1" x14ac:dyDescent="0.3">
      <c r="A38" s="74"/>
      <c r="B38"/>
      <c r="C38"/>
      <c r="AF38"/>
      <c r="AG38" s="21">
        <f t="shared" si="1"/>
        <v>0</v>
      </c>
    </row>
    <row r="39" spans="1:33" ht="59.25" customHeight="1" x14ac:dyDescent="0.3">
      <c r="A39" s="74"/>
      <c r="B39"/>
      <c r="C39"/>
      <c r="AF39"/>
      <c r="AG39" s="21">
        <f t="shared" si="1"/>
        <v>0</v>
      </c>
    </row>
    <row r="40" spans="1:33" ht="51.75" customHeight="1" x14ac:dyDescent="0.3">
      <c r="A40" s="74"/>
      <c r="B40"/>
      <c r="C40"/>
      <c r="AF40"/>
      <c r="AG40" s="21">
        <f t="shared" si="1"/>
        <v>0</v>
      </c>
    </row>
    <row r="41" spans="1:33" ht="59.25" customHeight="1" x14ac:dyDescent="0.3">
      <c r="A41" s="74"/>
      <c r="B41"/>
      <c r="C41"/>
      <c r="AF41"/>
      <c r="AG41" s="21">
        <f t="shared" si="1"/>
        <v>0</v>
      </c>
    </row>
    <row r="42" spans="1:33" ht="59.25" customHeight="1" x14ac:dyDescent="0.3">
      <c r="A42" s="74"/>
      <c r="B42"/>
      <c r="C42"/>
      <c r="AF42"/>
      <c r="AG42" s="21">
        <f t="shared" si="1"/>
        <v>0</v>
      </c>
    </row>
    <row r="43" spans="1:33" ht="59.25" customHeight="1" x14ac:dyDescent="0.3">
      <c r="A43" s="74"/>
      <c r="B43"/>
      <c r="C43"/>
      <c r="AF43"/>
      <c r="AG43" s="21">
        <f t="shared" si="1"/>
        <v>0</v>
      </c>
    </row>
    <row r="44" spans="1:33" ht="59.25" customHeight="1" x14ac:dyDescent="0.3">
      <c r="A44" s="74"/>
      <c r="B44"/>
      <c r="C44"/>
      <c r="AF44"/>
      <c r="AG44" s="21">
        <f t="shared" si="1"/>
        <v>0</v>
      </c>
    </row>
    <row r="45" spans="1:33" ht="51.75" customHeight="1" x14ac:dyDescent="0.3">
      <c r="A45" s="74"/>
      <c r="B45"/>
      <c r="C45"/>
      <c r="AF45"/>
      <c r="AG45" s="21">
        <f t="shared" si="1"/>
        <v>0</v>
      </c>
    </row>
    <row r="46" spans="1:33" ht="51.75" customHeight="1" x14ac:dyDescent="0.3">
      <c r="A46" s="74"/>
      <c r="B46"/>
      <c r="C46"/>
      <c r="AF46"/>
      <c r="AG46" s="21">
        <f t="shared" si="1"/>
        <v>0</v>
      </c>
    </row>
    <row r="47" spans="1:33" ht="59.25" customHeight="1" x14ac:dyDescent="0.3">
      <c r="A47" s="74"/>
      <c r="B47"/>
      <c r="C47"/>
      <c r="AF47"/>
      <c r="AG47" s="21">
        <f t="shared" ref="AG47:AG78" si="2">IF(AF47=1,COUNTA(D47:E47,H47:L47,N47,Q47:U47,W47:Y47,AB47),COUNTA(D47:E47,H47:I47,Q47:U47,W47:Y47,AB47))</f>
        <v>0</v>
      </c>
    </row>
    <row r="48" spans="1:33" ht="51.75" customHeight="1" x14ac:dyDescent="0.3">
      <c r="A48" s="74"/>
      <c r="B48"/>
      <c r="C48"/>
      <c r="AF48"/>
      <c r="AG48" s="21">
        <f t="shared" si="2"/>
        <v>0</v>
      </c>
    </row>
    <row r="49" spans="1:33" ht="51.75" customHeight="1" x14ac:dyDescent="0.3">
      <c r="A49" s="74"/>
      <c r="B49"/>
      <c r="C49"/>
      <c r="AF49"/>
      <c r="AG49" s="21">
        <f t="shared" si="2"/>
        <v>0</v>
      </c>
    </row>
    <row r="50" spans="1:33" ht="59.25" customHeight="1" x14ac:dyDescent="0.3">
      <c r="A50" s="74"/>
      <c r="B50"/>
      <c r="C50"/>
      <c r="AF50"/>
      <c r="AG50" s="21">
        <f t="shared" si="2"/>
        <v>0</v>
      </c>
    </row>
    <row r="51" spans="1:33" ht="51.75" customHeight="1" x14ac:dyDescent="0.3">
      <c r="A51" s="74"/>
      <c r="B51"/>
      <c r="C51"/>
      <c r="AF51"/>
      <c r="AG51" s="21">
        <f t="shared" si="2"/>
        <v>0</v>
      </c>
    </row>
    <row r="52" spans="1:33" ht="51.75" customHeight="1" x14ac:dyDescent="0.3">
      <c r="A52" s="74"/>
      <c r="B52"/>
      <c r="C52"/>
      <c r="AF52"/>
      <c r="AG52" s="21">
        <f t="shared" si="2"/>
        <v>0</v>
      </c>
    </row>
    <row r="53" spans="1:33" ht="59.25" customHeight="1" x14ac:dyDescent="0.3">
      <c r="A53" s="74"/>
      <c r="B53"/>
      <c r="C53"/>
      <c r="AF53"/>
      <c r="AG53" s="21">
        <f t="shared" si="2"/>
        <v>0</v>
      </c>
    </row>
    <row r="54" spans="1:33" ht="59.25" customHeight="1" x14ac:dyDescent="0.3">
      <c r="A54" s="74"/>
      <c r="B54"/>
      <c r="C54"/>
      <c r="AF54"/>
      <c r="AG54" s="21">
        <f t="shared" si="2"/>
        <v>0</v>
      </c>
    </row>
    <row r="55" spans="1:33" ht="59.25" customHeight="1" x14ac:dyDescent="0.3">
      <c r="A55" s="74"/>
      <c r="B55"/>
      <c r="C55"/>
      <c r="AF55"/>
      <c r="AG55" s="21">
        <f t="shared" si="2"/>
        <v>0</v>
      </c>
    </row>
    <row r="56" spans="1:33" ht="59.25" customHeight="1" x14ac:dyDescent="0.3">
      <c r="A56" s="74"/>
      <c r="B56"/>
      <c r="C56"/>
      <c r="AF56"/>
      <c r="AG56" s="21">
        <f t="shared" si="2"/>
        <v>0</v>
      </c>
    </row>
    <row r="57" spans="1:33" ht="59.25" customHeight="1" x14ac:dyDescent="0.3">
      <c r="A57" s="74"/>
      <c r="B57"/>
      <c r="C57"/>
      <c r="AF57"/>
      <c r="AG57" s="21">
        <f t="shared" si="2"/>
        <v>0</v>
      </c>
    </row>
    <row r="58" spans="1:33" ht="59.25" customHeight="1" x14ac:dyDescent="0.3">
      <c r="A58" s="74"/>
      <c r="B58"/>
      <c r="C58"/>
      <c r="AF58"/>
      <c r="AG58" s="21">
        <f t="shared" si="2"/>
        <v>0</v>
      </c>
    </row>
    <row r="59" spans="1:33" ht="59.25" customHeight="1" x14ac:dyDescent="0.3">
      <c r="A59" s="74"/>
      <c r="B59"/>
      <c r="C59"/>
      <c r="AF59"/>
      <c r="AG59" s="21">
        <f t="shared" si="2"/>
        <v>0</v>
      </c>
    </row>
    <row r="60" spans="1:33" ht="59.25" customHeight="1" x14ac:dyDescent="0.3">
      <c r="A60" s="74"/>
      <c r="B60"/>
      <c r="C60"/>
      <c r="AF60"/>
      <c r="AG60" s="21">
        <f t="shared" si="2"/>
        <v>0</v>
      </c>
    </row>
    <row r="61" spans="1:33" ht="59.25" customHeight="1" x14ac:dyDescent="0.3">
      <c r="A61" s="74"/>
      <c r="B61"/>
      <c r="C61"/>
      <c r="AF61"/>
      <c r="AG61" s="21">
        <f t="shared" si="2"/>
        <v>0</v>
      </c>
    </row>
    <row r="62" spans="1:33" ht="59.25" customHeight="1" x14ac:dyDescent="0.3">
      <c r="A62" s="74"/>
      <c r="B62"/>
      <c r="C62"/>
      <c r="AF62"/>
      <c r="AG62" s="21">
        <f t="shared" si="2"/>
        <v>0</v>
      </c>
    </row>
    <row r="63" spans="1:33" ht="59.25" customHeight="1" x14ac:dyDescent="0.3">
      <c r="A63" s="74"/>
      <c r="B63"/>
      <c r="C63"/>
      <c r="AF63"/>
      <c r="AG63" s="21">
        <f t="shared" si="2"/>
        <v>0</v>
      </c>
    </row>
    <row r="64" spans="1:33" ht="59.25" customHeight="1" x14ac:dyDescent="0.3">
      <c r="A64" s="74"/>
      <c r="B64"/>
      <c r="C64"/>
      <c r="AF64"/>
      <c r="AG64" s="21">
        <f t="shared" si="2"/>
        <v>0</v>
      </c>
    </row>
    <row r="65" spans="1:33" ht="59.25" customHeight="1" x14ac:dyDescent="0.3">
      <c r="A65" s="74"/>
      <c r="B65"/>
      <c r="C65"/>
      <c r="AF65"/>
      <c r="AG65" s="21">
        <f t="shared" si="2"/>
        <v>0</v>
      </c>
    </row>
    <row r="66" spans="1:33" ht="59.25" customHeight="1" x14ac:dyDescent="0.3">
      <c r="A66" s="74"/>
      <c r="B66"/>
      <c r="C66"/>
      <c r="AF66"/>
      <c r="AG66" s="21">
        <f t="shared" si="2"/>
        <v>0</v>
      </c>
    </row>
    <row r="67" spans="1:33" ht="59.25" customHeight="1" x14ac:dyDescent="0.3">
      <c r="A67" s="74"/>
      <c r="B67"/>
      <c r="C67"/>
      <c r="AF67"/>
      <c r="AG67" s="21">
        <f t="shared" si="2"/>
        <v>0</v>
      </c>
    </row>
    <row r="68" spans="1:33" ht="59.25" customHeight="1" x14ac:dyDescent="0.3">
      <c r="A68" s="74"/>
      <c r="B68"/>
      <c r="C68"/>
      <c r="AF68"/>
      <c r="AG68" s="21">
        <f t="shared" si="2"/>
        <v>0</v>
      </c>
    </row>
    <row r="69" spans="1:33" ht="59.25" customHeight="1" x14ac:dyDescent="0.3">
      <c r="A69" s="74"/>
      <c r="B69"/>
      <c r="C69"/>
      <c r="AF69"/>
      <c r="AG69" s="21">
        <f t="shared" si="2"/>
        <v>0</v>
      </c>
    </row>
    <row r="70" spans="1:33" ht="59.25" customHeight="1" x14ac:dyDescent="0.3">
      <c r="A70" s="74"/>
      <c r="B70"/>
      <c r="C70"/>
      <c r="AF70"/>
      <c r="AG70" s="21">
        <f t="shared" si="2"/>
        <v>0</v>
      </c>
    </row>
    <row r="71" spans="1:33" ht="59.25" customHeight="1" x14ac:dyDescent="0.3">
      <c r="A71" s="74"/>
      <c r="B71"/>
      <c r="C71"/>
      <c r="AF71"/>
      <c r="AG71" s="14">
        <f t="shared" si="2"/>
        <v>0</v>
      </c>
    </row>
    <row r="72" spans="1:33" ht="59.25" customHeight="1" x14ac:dyDescent="0.3">
      <c r="A72" s="74"/>
      <c r="B72"/>
      <c r="C72"/>
      <c r="AF72"/>
      <c r="AG72" s="14">
        <f t="shared" si="2"/>
        <v>0</v>
      </c>
    </row>
    <row r="73" spans="1:33" ht="59.25" customHeight="1" x14ac:dyDescent="0.3">
      <c r="A73" s="74"/>
      <c r="B73"/>
      <c r="C73"/>
      <c r="AF73"/>
      <c r="AG73" s="14">
        <f t="shared" si="2"/>
        <v>0</v>
      </c>
    </row>
    <row r="74" spans="1:33" ht="59.25" customHeight="1" x14ac:dyDescent="0.3">
      <c r="A74" s="74"/>
      <c r="B74"/>
      <c r="C74"/>
      <c r="AF74"/>
      <c r="AG74" s="14">
        <f t="shared" si="2"/>
        <v>0</v>
      </c>
    </row>
    <row r="75" spans="1:33" ht="59.25" customHeight="1" x14ac:dyDescent="0.3">
      <c r="A75" s="74"/>
      <c r="B75"/>
      <c r="C75"/>
      <c r="AF75"/>
      <c r="AG75" s="14">
        <f t="shared" si="2"/>
        <v>0</v>
      </c>
    </row>
    <row r="76" spans="1:33" ht="59.25" customHeight="1" x14ac:dyDescent="0.3">
      <c r="A76" s="74"/>
      <c r="B76"/>
      <c r="C76"/>
      <c r="AF76"/>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ref="AG79:AG110" si="3">IF(AF79=1,COUNTA(D79:E79,H79:L79,N79,Q79:U79,W79:Y79,AB79),COUNTA(D79:E79,H79:I79,Q79:U79,W79:Y79,AB79))</f>
        <v>0</v>
      </c>
    </row>
    <row r="80" spans="1:33" ht="15" customHeight="1" x14ac:dyDescent="0.3">
      <c r="AG80" s="14">
        <f t="shared" si="3"/>
        <v>0</v>
      </c>
    </row>
    <row r="81" spans="33:33" ht="15" customHeight="1" x14ac:dyDescent="0.3">
      <c r="AG81" s="14">
        <f t="shared" si="3"/>
        <v>0</v>
      </c>
    </row>
    <row r="82" spans="33:33" ht="15" customHeight="1" x14ac:dyDescent="0.3">
      <c r="AG82" s="14">
        <f t="shared" si="3"/>
        <v>0</v>
      </c>
    </row>
    <row r="83" spans="33:33" ht="15" customHeight="1" x14ac:dyDescent="0.3">
      <c r="AG83" s="14">
        <f t="shared" si="3"/>
        <v>0</v>
      </c>
    </row>
    <row r="84" spans="33:33" ht="15" customHeight="1" x14ac:dyDescent="0.3">
      <c r="AG84" s="14">
        <f t="shared" si="3"/>
        <v>0</v>
      </c>
    </row>
    <row r="85" spans="33:33" ht="15" customHeight="1" x14ac:dyDescent="0.3">
      <c r="AG85" s="14">
        <f t="shared" si="3"/>
        <v>0</v>
      </c>
    </row>
    <row r="86" spans="33:33" ht="15" customHeight="1" x14ac:dyDescent="0.3">
      <c r="AG86" s="14">
        <f t="shared" si="3"/>
        <v>0</v>
      </c>
    </row>
    <row r="87" spans="33:33" ht="15" customHeight="1" x14ac:dyDescent="0.3">
      <c r="AG87" s="14">
        <f t="shared" si="3"/>
        <v>0</v>
      </c>
    </row>
    <row r="88" spans="33:33" ht="15" customHeight="1" x14ac:dyDescent="0.3">
      <c r="AG88" s="14">
        <f t="shared" si="3"/>
        <v>0</v>
      </c>
    </row>
    <row r="89" spans="33:33" ht="15" customHeight="1" x14ac:dyDescent="0.3">
      <c r="AG89" s="14">
        <f t="shared" si="3"/>
        <v>0</v>
      </c>
    </row>
    <row r="90" spans="33:33" ht="15" customHeight="1" x14ac:dyDescent="0.3">
      <c r="AG90" s="14">
        <f t="shared" si="3"/>
        <v>0</v>
      </c>
    </row>
    <row r="91" spans="33:33" ht="15" customHeight="1" x14ac:dyDescent="0.3">
      <c r="AG91" s="14">
        <f t="shared" si="3"/>
        <v>0</v>
      </c>
    </row>
    <row r="92" spans="33:33" ht="15" customHeight="1" x14ac:dyDescent="0.3">
      <c r="AG92" s="14">
        <f t="shared" si="3"/>
        <v>0</v>
      </c>
    </row>
    <row r="93" spans="33:33" ht="15" customHeight="1" x14ac:dyDescent="0.3">
      <c r="AG93" s="14">
        <f t="shared" si="3"/>
        <v>0</v>
      </c>
    </row>
    <row r="94" spans="33:33" ht="15" customHeight="1" x14ac:dyDescent="0.3">
      <c r="AG94" s="14">
        <f t="shared" si="3"/>
        <v>0</v>
      </c>
    </row>
    <row r="95" spans="33:33" ht="15" customHeight="1" x14ac:dyDescent="0.3">
      <c r="AG95" s="14">
        <f t="shared" si="3"/>
        <v>0</v>
      </c>
    </row>
    <row r="96" spans="33:33" ht="15" customHeight="1" x14ac:dyDescent="0.3">
      <c r="AG96" s="14">
        <f t="shared" si="3"/>
        <v>0</v>
      </c>
    </row>
    <row r="97" spans="33:33" ht="15" customHeight="1" x14ac:dyDescent="0.3">
      <c r="AG97" s="14">
        <f t="shared" si="3"/>
        <v>0</v>
      </c>
    </row>
    <row r="98" spans="33:33" ht="15" customHeight="1" x14ac:dyDescent="0.3">
      <c r="AG98" s="14">
        <f t="shared" si="3"/>
        <v>0</v>
      </c>
    </row>
    <row r="99" spans="33:33" ht="15" customHeight="1" x14ac:dyDescent="0.3">
      <c r="AG99" s="14">
        <f t="shared" si="3"/>
        <v>0</v>
      </c>
    </row>
    <row r="100" spans="33:33" ht="15" customHeight="1" x14ac:dyDescent="0.3">
      <c r="AG100" s="14">
        <f t="shared" si="3"/>
        <v>0</v>
      </c>
    </row>
    <row r="101" spans="33:33" ht="15" customHeight="1" x14ac:dyDescent="0.3">
      <c r="AG101" s="14">
        <f t="shared" si="3"/>
        <v>0</v>
      </c>
    </row>
    <row r="102" spans="33:33" ht="15" customHeight="1" x14ac:dyDescent="0.3">
      <c r="AG102" s="14">
        <f t="shared" si="3"/>
        <v>0</v>
      </c>
    </row>
    <row r="103" spans="33:33" ht="15" customHeight="1" x14ac:dyDescent="0.3">
      <c r="AG103" s="14">
        <f t="shared" si="3"/>
        <v>0</v>
      </c>
    </row>
    <row r="104" spans="33:33" ht="15" customHeight="1" x14ac:dyDescent="0.3">
      <c r="AG104" s="14">
        <f t="shared" si="3"/>
        <v>0</v>
      </c>
    </row>
    <row r="105" spans="33:33" ht="15" customHeight="1" x14ac:dyDescent="0.3">
      <c r="AG105" s="14">
        <f t="shared" si="3"/>
        <v>0</v>
      </c>
    </row>
    <row r="106" spans="33:33" ht="15" customHeight="1" x14ac:dyDescent="0.3">
      <c r="AG106" s="14">
        <f t="shared" si="3"/>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ref="AG111:AG142" si="4">IF(AF111=1,COUNTA(D111:E111,H111:L111,N111,Q111:U111,W111:Y111,AB111),COUNTA(D111:E111,H111:I111,Q111:U111,W111:Y111,AB111))</f>
        <v>0</v>
      </c>
    </row>
    <row r="112" spans="33:33" ht="15" customHeight="1" x14ac:dyDescent="0.3">
      <c r="AG112" s="14">
        <f t="shared" si="4"/>
        <v>0</v>
      </c>
    </row>
    <row r="113" spans="33:33" ht="15" customHeight="1" x14ac:dyDescent="0.3">
      <c r="AG113" s="14">
        <f t="shared" si="4"/>
        <v>0</v>
      </c>
    </row>
    <row r="114" spans="33:33" ht="15" customHeight="1" x14ac:dyDescent="0.3">
      <c r="AG114" s="14">
        <f t="shared" si="4"/>
        <v>0</v>
      </c>
    </row>
    <row r="115" spans="33:33" ht="15" customHeight="1" x14ac:dyDescent="0.3">
      <c r="AG115" s="14">
        <f t="shared" si="4"/>
        <v>0</v>
      </c>
    </row>
    <row r="116" spans="33:33" ht="15" customHeight="1" x14ac:dyDescent="0.3">
      <c r="AG116" s="14">
        <f t="shared" si="4"/>
        <v>0</v>
      </c>
    </row>
    <row r="117" spans="33:33" ht="15" customHeight="1" x14ac:dyDescent="0.3">
      <c r="AG117" s="14">
        <f t="shared" si="4"/>
        <v>0</v>
      </c>
    </row>
    <row r="118" spans="33:33" ht="15" customHeight="1" x14ac:dyDescent="0.3">
      <c r="AG118" s="14">
        <f t="shared" si="4"/>
        <v>0</v>
      </c>
    </row>
    <row r="119" spans="33:33" ht="15" customHeight="1" x14ac:dyDescent="0.3">
      <c r="AG119" s="14">
        <f t="shared" si="4"/>
        <v>0</v>
      </c>
    </row>
    <row r="120" spans="33:33" ht="15" customHeight="1" x14ac:dyDescent="0.3">
      <c r="AG120" s="14">
        <f t="shared" si="4"/>
        <v>0</v>
      </c>
    </row>
    <row r="121" spans="33:33" ht="15" customHeight="1" x14ac:dyDescent="0.3">
      <c r="AG121" s="14">
        <f t="shared" si="4"/>
        <v>0</v>
      </c>
    </row>
    <row r="122" spans="33:33" ht="15" customHeight="1" x14ac:dyDescent="0.3">
      <c r="AG122" s="14">
        <f t="shared" si="4"/>
        <v>0</v>
      </c>
    </row>
    <row r="123" spans="33:33" ht="15" customHeight="1" x14ac:dyDescent="0.3">
      <c r="AG123" s="14">
        <f t="shared" si="4"/>
        <v>0</v>
      </c>
    </row>
    <row r="124" spans="33:33" ht="15" customHeight="1" x14ac:dyDescent="0.3">
      <c r="AG124" s="14">
        <f t="shared" si="4"/>
        <v>0</v>
      </c>
    </row>
    <row r="125" spans="33:33" ht="15" customHeight="1" x14ac:dyDescent="0.3">
      <c r="AG125" s="14">
        <f t="shared" si="4"/>
        <v>0</v>
      </c>
    </row>
    <row r="126" spans="33:33" ht="15" customHeight="1" x14ac:dyDescent="0.3">
      <c r="AG126" s="14">
        <f t="shared" si="4"/>
        <v>0</v>
      </c>
    </row>
    <row r="127" spans="33:33" ht="15" customHeight="1" x14ac:dyDescent="0.3">
      <c r="AG127" s="14">
        <f t="shared" si="4"/>
        <v>0</v>
      </c>
    </row>
    <row r="128" spans="33:33" ht="15" customHeight="1" x14ac:dyDescent="0.3">
      <c r="AG128" s="14">
        <f t="shared" si="4"/>
        <v>0</v>
      </c>
    </row>
    <row r="129" spans="33:33" ht="15" customHeight="1" x14ac:dyDescent="0.3">
      <c r="AG129" s="14">
        <f t="shared" si="4"/>
        <v>0</v>
      </c>
    </row>
    <row r="130" spans="33:33" ht="15" customHeight="1" x14ac:dyDescent="0.3">
      <c r="AG130" s="14">
        <f t="shared" si="4"/>
        <v>0</v>
      </c>
    </row>
    <row r="131" spans="33:33" ht="15" customHeight="1" x14ac:dyDescent="0.3">
      <c r="AG131" s="14">
        <f t="shared" si="4"/>
        <v>0</v>
      </c>
    </row>
    <row r="132" spans="33:33" ht="15" customHeight="1" x14ac:dyDescent="0.3">
      <c r="AG132" s="14">
        <f t="shared" si="4"/>
        <v>0</v>
      </c>
    </row>
    <row r="133" spans="33:33" ht="15" customHeight="1" x14ac:dyDescent="0.3">
      <c r="AG133" s="14">
        <f t="shared" si="4"/>
        <v>0</v>
      </c>
    </row>
    <row r="134" spans="33:33" ht="15" customHeight="1" x14ac:dyDescent="0.3">
      <c r="AG134" s="14">
        <f t="shared" si="4"/>
        <v>0</v>
      </c>
    </row>
    <row r="135" spans="33:33" ht="15" customHeight="1" x14ac:dyDescent="0.3">
      <c r="AG135" s="14">
        <f t="shared" si="4"/>
        <v>0</v>
      </c>
    </row>
    <row r="136" spans="33:33" ht="15" customHeight="1" x14ac:dyDescent="0.3">
      <c r="AG136" s="14">
        <f t="shared" si="4"/>
        <v>0</v>
      </c>
    </row>
    <row r="137" spans="33:33" ht="15" customHeight="1" x14ac:dyDescent="0.3">
      <c r="AG137" s="14">
        <f t="shared" si="4"/>
        <v>0</v>
      </c>
    </row>
    <row r="138" spans="33:33" ht="15" customHeight="1" x14ac:dyDescent="0.3">
      <c r="AG138" s="14">
        <f t="shared" si="4"/>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ref="AG143:AG156" si="5">IF(AF143=1,COUNTA(D143:E143,H143:L143,N143,Q143:U143,W143:Y143,AB143),COUNTA(D143:E143,H143:I143,Q143:U143,W143:Y143,AB143))</f>
        <v>0</v>
      </c>
    </row>
    <row r="144" spans="33:33" ht="15" customHeight="1" x14ac:dyDescent="0.3">
      <c r="AG144" s="14">
        <f t="shared" si="5"/>
        <v>0</v>
      </c>
    </row>
    <row r="145" spans="33:33" ht="15" customHeight="1" x14ac:dyDescent="0.3">
      <c r="AG145" s="14">
        <f t="shared" si="5"/>
        <v>0</v>
      </c>
    </row>
    <row r="146" spans="33:33" ht="15" customHeight="1" x14ac:dyDescent="0.3">
      <c r="AG146" s="14">
        <f t="shared" si="5"/>
        <v>0</v>
      </c>
    </row>
    <row r="147" spans="33:33" ht="15" customHeight="1" x14ac:dyDescent="0.3">
      <c r="AG147" s="14">
        <f t="shared" si="5"/>
        <v>0</v>
      </c>
    </row>
    <row r="148" spans="33:33" ht="15" customHeight="1" x14ac:dyDescent="0.3">
      <c r="AG148" s="14">
        <f t="shared" si="5"/>
        <v>0</v>
      </c>
    </row>
    <row r="149" spans="33:33" ht="15" customHeight="1" x14ac:dyDescent="0.3">
      <c r="AG149" s="14">
        <f t="shared" si="5"/>
        <v>0</v>
      </c>
    </row>
    <row r="150" spans="33:33" ht="15" customHeight="1" x14ac:dyDescent="0.3">
      <c r="AG150" s="14">
        <f t="shared" si="5"/>
        <v>0</v>
      </c>
    </row>
    <row r="151" spans="33:33" ht="15" customHeight="1" x14ac:dyDescent="0.3">
      <c r="AG151" s="14">
        <f t="shared" si="5"/>
        <v>0</v>
      </c>
    </row>
    <row r="152" spans="33:33" ht="15" customHeight="1" x14ac:dyDescent="0.3">
      <c r="AG152" s="14">
        <f t="shared" si="5"/>
        <v>0</v>
      </c>
    </row>
    <row r="153" spans="33:33" ht="15" customHeight="1" x14ac:dyDescent="0.3">
      <c r="AG153" s="14">
        <f t="shared" si="5"/>
        <v>0</v>
      </c>
    </row>
    <row r="154" spans="33:33" ht="15" customHeight="1" x14ac:dyDescent="0.3">
      <c r="AG154" s="14">
        <f t="shared" si="5"/>
        <v>0</v>
      </c>
    </row>
    <row r="155" spans="33:33" ht="15" customHeight="1" x14ac:dyDescent="0.3">
      <c r="AG155" s="14">
        <f t="shared" si="5"/>
        <v>0</v>
      </c>
    </row>
    <row r="156" spans="33:33" ht="15" customHeight="1" x14ac:dyDescent="0.3">
      <c r="AG156" s="14">
        <f t="shared" si="5"/>
        <v>0</v>
      </c>
    </row>
  </sheetData>
  <sheetProtection algorithmName="SHA-512" hashValue="qF8GzituTX59fjjbe8hL9y9FVZahXQN9MUeEskqlh5yykgqKyRg5H3WeSdwJkceNkeo9Z/Cn4LFSJuD+Z50R0A==" saltValue="Ep0ujPE7GJnWM08oCmgU+g=="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58" priority="60">
      <formula>$S$2="err"</formula>
    </cfRule>
  </conditionalFormatting>
  <conditionalFormatting sqref="H9:N9">
    <cfRule type="expression" dxfId="17" priority="61" stopIfTrue="1">
      <formula>LOWER(MID($N9,1,19))="please include this"</formula>
    </cfRule>
  </conditionalFormatting>
  <conditionalFormatting sqref="W9:Z9">
    <cfRule type="expression" dxfId="16" priority="62" stopIfTrue="1">
      <formula>LOWER(MID($N9,1,19))="please include this"</formula>
    </cfRule>
    <cfRule type="expression" dxfId="15" priority="63" stopIfTrue="1">
      <formula>$AH9=0</formula>
    </cfRule>
  </conditionalFormatting>
  <dataValidations count="5">
    <dataValidation type="list" allowBlank="1" showInputMessage="1" showErrorMessage="1" sqref="D9:E9" xr:uid="{8F28A480-E91A-4CFF-B970-114442CDAE97}">
      <formula1>sublist_road_pavements</formula1>
    </dataValidation>
    <dataValidation type="decimal" allowBlank="1" showInputMessage="1" showErrorMessage="1" errorTitle="Numeric value required" error="Please enter a numeric value." sqref="H9" xr:uid="{BC76D423-2FFA-40AE-8B67-7861DC2456D1}">
      <formula1>0</formula1>
      <formula2>99999999</formula2>
    </dataValidation>
    <dataValidation type="decimal" allowBlank="1" showInputMessage="1" showErrorMessage="1" errorTitle="Numeric value required" error="Please enter a numeric value." sqref="I9" xr:uid="{6CE99EB6-77C6-4A19-BEC1-493BA8F8F55C}">
      <formula1>0</formula1>
      <formula2>99999999</formula2>
    </dataValidation>
    <dataValidation type="decimal" operator="lessThanOrEqual" allowBlank="1" showInputMessage="1" showErrorMessage="1" errorTitle="Numeric value required" error="Please enter a numeric value less than or equal to 500." sqref="X9" xr:uid="{DDAFFC6F-FB56-48B9-8C06-5368083DFBCF}">
      <formula1>500</formula1>
    </dataValidation>
    <dataValidation type="decimal" allowBlank="1" showInputMessage="1" showErrorMessage="1" errorTitle="Numeric value required" error="Please enter a numeric value." sqref="AB9" xr:uid="{4F1E02A0-A03D-4D53-B2D4-7AFB66AAEE03}">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5393"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5394"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5395"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5396"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5397"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5466"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5467"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5468"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5469"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5470"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5471"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5472"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5473"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5474"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5475"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5476"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5477"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5478"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5479"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5480"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5481"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5482"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2000000}">
          <x14:formula1>
            <xm:f>'Emissions Factors Lookup'!$D$4:$D$7</xm:f>
          </x14:formula1>
          <xm:sqref>W9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rgb="FF008BCB"/>
    <outlinePr summaryBelow="0" summaryRight="0"/>
  </sheetPr>
  <dimension ref="A1:AX151"/>
  <sheetViews>
    <sheetView showGridLines="0" showRowColHeaders="0" topLeftCell="B1" zoomScaleNormal="100" workbookViewId="0">
      <pane ySplit="8" topLeftCell="A9" activePane="bottomLeft" state="frozen"/>
      <selection activeCell="B7" sqref="B7:S19"/>
      <selection pane="bottomLeft" activeCell="M4" sqref="M4"/>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1121</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27</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27</v>
      </c>
      <c r="B9" s="65"/>
      <c r="C9" s="45" t="s">
        <v>27</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70">
        <f>IF(P9&lt;0,1,0)</f>
        <v>0</v>
      </c>
      <c r="P9" s="66"/>
      <c r="Q9" s="62"/>
      <c r="R9" s="62"/>
      <c r="S9" s="62"/>
      <c r="T9" s="62"/>
      <c r="U9" s="62"/>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89.25" customHeight="1" x14ac:dyDescent="0.3">
      <c r="A10"/>
      <c r="B10"/>
      <c r="C10"/>
      <c r="O10"/>
      <c r="AF10"/>
      <c r="AG10" s="21">
        <f>IF(AF10=1,COUNTA(D10:E10,H10:L10,N10,Q10:U10,W10:Y10,AB10),COUNTA(D10:E10,H10:I10,Q10:U10,W10:X10,AB10))</f>
        <v>0</v>
      </c>
      <c r="AH10" s="14" t="str">
        <f>IF(ISERROR(VLOOKUP(D10&amp;E10,'Emissions Factors Lookup'!J4:R309,9,FALSE)),"",VLOOKUP(D10&amp;E10,'Emissions Factors Lookup'!J4:R309,9,FALSE))</f>
        <v/>
      </c>
    </row>
    <row r="11" spans="1:50" ht="51.75" customHeight="1" x14ac:dyDescent="0.3">
      <c r="A11" s="74"/>
      <c r="B11"/>
      <c r="C11"/>
      <c r="AF11"/>
      <c r="AG11" s="21">
        <f t="shared" ref="AG11:AG41" si="0">IF(AF11=1,COUNTA(D11:E11,H11:L11,N11,Q11:U11,W11:Y11,AB11),COUNTA(D11:E11,H11:I11,Q11:U11,W11:Y11,AB11))</f>
        <v>0</v>
      </c>
    </row>
    <row r="12" spans="1:50" ht="59.25" customHeight="1" x14ac:dyDescent="0.3">
      <c r="A12" s="74"/>
      <c r="B12"/>
      <c r="C12"/>
      <c r="AF12"/>
      <c r="AG12" s="21">
        <f t="shared" si="0"/>
        <v>0</v>
      </c>
    </row>
    <row r="13" spans="1:50" ht="51.75" customHeight="1" x14ac:dyDescent="0.3">
      <c r="A13" s="74"/>
      <c r="B13"/>
      <c r="C13"/>
      <c r="AF13"/>
      <c r="AG13" s="21">
        <f t="shared" si="0"/>
        <v>0</v>
      </c>
    </row>
    <row r="14" spans="1:50" ht="59.25" customHeight="1" x14ac:dyDescent="0.3">
      <c r="A14" s="74"/>
      <c r="B14"/>
      <c r="C14"/>
      <c r="AF14"/>
      <c r="AG14" s="21">
        <f t="shared" si="0"/>
        <v>0</v>
      </c>
    </row>
    <row r="15" spans="1:50" ht="51.75" customHeight="1" x14ac:dyDescent="0.3">
      <c r="A15" s="74"/>
      <c r="B15"/>
      <c r="C15"/>
      <c r="AF15"/>
      <c r="AG15" s="21">
        <f t="shared" si="0"/>
        <v>0</v>
      </c>
    </row>
    <row r="16" spans="1:50" ht="59.25" customHeight="1" x14ac:dyDescent="0.3">
      <c r="A16" s="74"/>
      <c r="B16"/>
      <c r="C16"/>
      <c r="AF16"/>
      <c r="AG16" s="21">
        <f t="shared" si="0"/>
        <v>0</v>
      </c>
    </row>
    <row r="17" spans="1:33" ht="51.75" customHeight="1" x14ac:dyDescent="0.3">
      <c r="A17" s="74"/>
      <c r="B17"/>
      <c r="C17"/>
      <c r="AF17"/>
      <c r="AG17" s="21">
        <f t="shared" si="0"/>
        <v>0</v>
      </c>
    </row>
    <row r="18" spans="1:33" ht="59.25" customHeight="1" x14ac:dyDescent="0.3">
      <c r="A18" s="74"/>
      <c r="B18"/>
      <c r="C18"/>
      <c r="AF18"/>
      <c r="AG18" s="21">
        <f t="shared" si="0"/>
        <v>0</v>
      </c>
    </row>
    <row r="19" spans="1:33" ht="59.25" customHeight="1" x14ac:dyDescent="0.3">
      <c r="A19" s="74"/>
      <c r="B19"/>
      <c r="C19"/>
      <c r="AF19"/>
      <c r="AG19" s="21">
        <f t="shared" si="0"/>
        <v>0</v>
      </c>
    </row>
    <row r="20" spans="1:33" ht="59.2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9.25" customHeight="1" x14ac:dyDescent="0.3">
      <c r="A23" s="74"/>
      <c r="B23"/>
      <c r="C23"/>
      <c r="AF23"/>
      <c r="AG23" s="21">
        <f t="shared" si="0"/>
        <v>0</v>
      </c>
    </row>
    <row r="24" spans="1:33" ht="59.25" customHeight="1" x14ac:dyDescent="0.3">
      <c r="A24" s="74"/>
      <c r="B24"/>
      <c r="C24"/>
      <c r="AF24"/>
      <c r="AG24" s="21">
        <f t="shared" si="0"/>
        <v>0</v>
      </c>
    </row>
    <row r="25" spans="1:33" ht="59.2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1.75" customHeight="1" x14ac:dyDescent="0.3">
      <c r="A28" s="74"/>
      <c r="B28"/>
      <c r="C28"/>
      <c r="AF28"/>
      <c r="AG28" s="21">
        <f t="shared" si="0"/>
        <v>0</v>
      </c>
    </row>
    <row r="29" spans="1:33" ht="59.25" customHeight="1" x14ac:dyDescent="0.3">
      <c r="A29" s="74"/>
      <c r="B29"/>
      <c r="C29"/>
      <c r="AF29"/>
      <c r="AG29" s="21">
        <f t="shared" si="0"/>
        <v>0</v>
      </c>
    </row>
    <row r="30" spans="1:33" ht="51.75" customHeight="1" x14ac:dyDescent="0.3">
      <c r="A30" s="74"/>
      <c r="B30"/>
      <c r="C30"/>
      <c r="AF30"/>
      <c r="AG30" s="21">
        <f t="shared" si="0"/>
        <v>0</v>
      </c>
    </row>
    <row r="31" spans="1:33" ht="59.25" customHeight="1" x14ac:dyDescent="0.3">
      <c r="A31" s="74"/>
      <c r="B31"/>
      <c r="C31"/>
      <c r="AF31"/>
      <c r="AG31" s="21">
        <f t="shared" si="0"/>
        <v>0</v>
      </c>
    </row>
    <row r="32" spans="1:33" ht="59.25" customHeight="1" x14ac:dyDescent="0.3">
      <c r="A32" s="74"/>
      <c r="B32"/>
      <c r="C32"/>
      <c r="AF32"/>
      <c r="AG32" s="21">
        <f t="shared" si="0"/>
        <v>0</v>
      </c>
    </row>
    <row r="33" spans="1:33" ht="59.25" customHeight="1" x14ac:dyDescent="0.3">
      <c r="A33" s="74"/>
      <c r="B33"/>
      <c r="C33"/>
      <c r="AF33"/>
      <c r="AG33" s="21">
        <f t="shared" si="0"/>
        <v>0</v>
      </c>
    </row>
    <row r="34" spans="1:33" ht="59.25" customHeight="1" x14ac:dyDescent="0.3">
      <c r="A34" s="74"/>
      <c r="B34"/>
      <c r="C34"/>
      <c r="AF34"/>
      <c r="AG34" s="21">
        <f t="shared" si="0"/>
        <v>0</v>
      </c>
    </row>
    <row r="35" spans="1:33" ht="51.75" customHeight="1" x14ac:dyDescent="0.3">
      <c r="A35" s="74"/>
      <c r="B35"/>
      <c r="C35"/>
      <c r="AF35"/>
      <c r="AG35" s="21">
        <f t="shared" si="0"/>
        <v>0</v>
      </c>
    </row>
    <row r="36" spans="1:33" ht="59.25" customHeight="1" x14ac:dyDescent="0.3">
      <c r="A36" s="74"/>
      <c r="B36"/>
      <c r="C36"/>
      <c r="AF36"/>
      <c r="AG36" s="21">
        <f t="shared" si="0"/>
        <v>0</v>
      </c>
    </row>
    <row r="37" spans="1:33" ht="59.25" customHeight="1" x14ac:dyDescent="0.3">
      <c r="A37" s="74"/>
      <c r="B37"/>
      <c r="C37"/>
      <c r="AF37"/>
      <c r="AG37" s="21">
        <f t="shared" si="0"/>
        <v>0</v>
      </c>
    </row>
    <row r="38" spans="1:33" ht="59.25" customHeight="1" x14ac:dyDescent="0.3">
      <c r="A38" s="74"/>
      <c r="B38"/>
      <c r="C38"/>
      <c r="AF38"/>
      <c r="AG38" s="21">
        <f t="shared" si="0"/>
        <v>0</v>
      </c>
    </row>
    <row r="39" spans="1:33" ht="59.25" customHeight="1" x14ac:dyDescent="0.3">
      <c r="A39" s="74"/>
      <c r="B39"/>
      <c r="C39"/>
      <c r="AF39"/>
      <c r="AG39" s="21">
        <f t="shared" si="0"/>
        <v>0</v>
      </c>
    </row>
    <row r="40" spans="1:33" ht="51.75" customHeight="1" x14ac:dyDescent="0.3">
      <c r="A40" s="74"/>
      <c r="B40"/>
      <c r="C40"/>
      <c r="AF40"/>
      <c r="AG40" s="21">
        <f t="shared" si="0"/>
        <v>0</v>
      </c>
    </row>
    <row r="41" spans="1:33" ht="51.75" customHeight="1" x14ac:dyDescent="0.3">
      <c r="A41" s="74"/>
      <c r="B41"/>
      <c r="C41"/>
      <c r="AF41"/>
      <c r="AG41" s="21">
        <f t="shared" si="0"/>
        <v>0</v>
      </c>
    </row>
    <row r="42" spans="1:33" ht="59.25" customHeight="1" x14ac:dyDescent="0.3">
      <c r="A42" s="74"/>
      <c r="B42"/>
      <c r="C42"/>
      <c r="AF42"/>
      <c r="AG42" s="21">
        <f t="shared" ref="AG42:AG73" si="1">IF(AF42=1,COUNTA(D42:E42,H42:L42,N42,Q42:U42,W42:Y42,AB42),COUNTA(D42:E42,H42:I42,Q42:U42,W42:Y42,AB42))</f>
        <v>0</v>
      </c>
    </row>
    <row r="43" spans="1:33" ht="51.75" customHeight="1" x14ac:dyDescent="0.3">
      <c r="A43" s="74"/>
      <c r="B43"/>
      <c r="C43"/>
      <c r="AF43"/>
      <c r="AG43" s="21">
        <f t="shared" si="1"/>
        <v>0</v>
      </c>
    </row>
    <row r="44" spans="1:33" ht="51.75" customHeight="1" x14ac:dyDescent="0.3">
      <c r="A44" s="74"/>
      <c r="B44"/>
      <c r="C44"/>
      <c r="AF44"/>
      <c r="AG44" s="21">
        <f t="shared" si="1"/>
        <v>0</v>
      </c>
    </row>
    <row r="45" spans="1:33" ht="59.25" customHeight="1" x14ac:dyDescent="0.3">
      <c r="A45" s="74"/>
      <c r="B45"/>
      <c r="C45"/>
      <c r="AF45"/>
      <c r="AG45" s="21">
        <f t="shared" si="1"/>
        <v>0</v>
      </c>
    </row>
    <row r="46" spans="1:33" ht="51.75" customHeight="1" x14ac:dyDescent="0.3">
      <c r="A46" s="74"/>
      <c r="B46"/>
      <c r="C46"/>
      <c r="AF46"/>
      <c r="AG46" s="21">
        <f t="shared" si="1"/>
        <v>0</v>
      </c>
    </row>
    <row r="47" spans="1:33" ht="51.75" customHeight="1" x14ac:dyDescent="0.3">
      <c r="A47" s="74"/>
      <c r="B47"/>
      <c r="C47"/>
      <c r="AF47"/>
      <c r="AG47" s="21">
        <f t="shared" si="1"/>
        <v>0</v>
      </c>
    </row>
    <row r="48" spans="1:33" ht="59.2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21">
        <f t="shared" si="1"/>
        <v>0</v>
      </c>
    </row>
    <row r="57" spans="1:33" ht="59.25" customHeight="1" x14ac:dyDescent="0.3">
      <c r="A57" s="74"/>
      <c r="B57"/>
      <c r="C57"/>
      <c r="AF57"/>
      <c r="AG57" s="21">
        <f t="shared" si="1"/>
        <v>0</v>
      </c>
    </row>
    <row r="58" spans="1:33" ht="59.25" customHeight="1" x14ac:dyDescent="0.3">
      <c r="A58" s="74"/>
      <c r="B58"/>
      <c r="C58"/>
      <c r="AF58"/>
      <c r="AG58" s="21">
        <f t="shared" si="1"/>
        <v>0</v>
      </c>
    </row>
    <row r="59" spans="1:33" ht="59.25" customHeight="1" x14ac:dyDescent="0.3">
      <c r="A59" s="74"/>
      <c r="B59"/>
      <c r="C59"/>
      <c r="AF59"/>
      <c r="AG59" s="21">
        <f t="shared" si="1"/>
        <v>0</v>
      </c>
    </row>
    <row r="60" spans="1:33" ht="59.25" customHeight="1" x14ac:dyDescent="0.3">
      <c r="A60" s="74"/>
      <c r="B60"/>
      <c r="C60"/>
      <c r="AF60"/>
      <c r="AG60" s="21">
        <f t="shared" si="1"/>
        <v>0</v>
      </c>
    </row>
    <row r="61" spans="1:33" ht="59.25" customHeight="1" x14ac:dyDescent="0.3">
      <c r="A61" s="74"/>
      <c r="B61"/>
      <c r="C61"/>
      <c r="AF61"/>
      <c r="AG61" s="21">
        <f t="shared" si="1"/>
        <v>0</v>
      </c>
    </row>
    <row r="62" spans="1:33" ht="59.25" customHeight="1" x14ac:dyDescent="0.3">
      <c r="A62" s="74"/>
      <c r="B62"/>
      <c r="C62"/>
      <c r="AF62"/>
      <c r="AG62" s="21">
        <f t="shared" si="1"/>
        <v>0</v>
      </c>
    </row>
    <row r="63" spans="1:33" ht="59.25" customHeight="1" x14ac:dyDescent="0.3">
      <c r="A63" s="74"/>
      <c r="B63"/>
      <c r="C63"/>
      <c r="AF63"/>
      <c r="AG63" s="21">
        <f t="shared" si="1"/>
        <v>0</v>
      </c>
    </row>
    <row r="64" spans="1:33" ht="59.25" customHeight="1" x14ac:dyDescent="0.3">
      <c r="A64" s="74"/>
      <c r="B64"/>
      <c r="C64"/>
      <c r="AF64"/>
      <c r="AG64" s="21">
        <f t="shared" si="1"/>
        <v>0</v>
      </c>
    </row>
    <row r="65" spans="1:33" ht="59.25" customHeight="1" x14ac:dyDescent="0.3">
      <c r="A65" s="74"/>
      <c r="B65"/>
      <c r="C65"/>
      <c r="AF65"/>
      <c r="AG65" s="21">
        <f t="shared" si="1"/>
        <v>0</v>
      </c>
    </row>
    <row r="66" spans="1:33" ht="59.25" customHeight="1" x14ac:dyDescent="0.3">
      <c r="A66" s="74"/>
      <c r="B66"/>
      <c r="C66"/>
      <c r="AF66"/>
      <c r="AG66" s="14">
        <f t="shared" si="1"/>
        <v>0</v>
      </c>
    </row>
    <row r="67" spans="1:33" ht="59.25" customHeight="1" x14ac:dyDescent="0.3">
      <c r="A67" s="74"/>
      <c r="B67"/>
      <c r="C67"/>
      <c r="AF67"/>
      <c r="AG67" s="14">
        <f t="shared" si="1"/>
        <v>0</v>
      </c>
    </row>
    <row r="68" spans="1:33" ht="59.25" customHeight="1" x14ac:dyDescent="0.3">
      <c r="A68" s="74"/>
      <c r="B68"/>
      <c r="C68"/>
      <c r="AF68"/>
      <c r="AG68" s="14">
        <f t="shared" si="1"/>
        <v>0</v>
      </c>
    </row>
    <row r="69" spans="1:33" ht="59.25" customHeight="1" x14ac:dyDescent="0.3">
      <c r="A69" s="74"/>
      <c r="B69"/>
      <c r="C69"/>
      <c r="AF69"/>
      <c r="AG69" s="14">
        <f t="shared" si="1"/>
        <v>0</v>
      </c>
    </row>
    <row r="70" spans="1:33" ht="59.25" customHeight="1" x14ac:dyDescent="0.3">
      <c r="A70" s="74"/>
      <c r="B70"/>
      <c r="C70"/>
      <c r="AF70"/>
      <c r="AG70" s="14">
        <f t="shared" si="1"/>
        <v>0</v>
      </c>
    </row>
    <row r="71" spans="1:33" ht="59.25" customHeight="1" x14ac:dyDescent="0.3">
      <c r="A71" s="74"/>
      <c r="B71"/>
      <c r="C71"/>
      <c r="AF71"/>
      <c r="AG71" s="14">
        <f t="shared" si="1"/>
        <v>0</v>
      </c>
    </row>
    <row r="72" spans="1:33" ht="15" customHeight="1" x14ac:dyDescent="0.3">
      <c r="AG72" s="14">
        <f t="shared" si="1"/>
        <v>0</v>
      </c>
    </row>
    <row r="73" spans="1:33" ht="15" customHeight="1" x14ac:dyDescent="0.3">
      <c r="AG73" s="14">
        <f t="shared" si="1"/>
        <v>0</v>
      </c>
    </row>
    <row r="74" spans="1:33" ht="15" customHeight="1" x14ac:dyDescent="0.3">
      <c r="AG74" s="14">
        <f t="shared" ref="AG74:AG105" si="2">IF(AF74=1,COUNTA(D74:E74,H74:L74,N74,Q74:U74,W74:Y74,AB74),COUNTA(D74:E74,H74:I74,Q74:U74,W74:Y74,AB74))</f>
        <v>0</v>
      </c>
    </row>
    <row r="75" spans="1:33" ht="15" customHeight="1" x14ac:dyDescent="0.3">
      <c r="AG75" s="14">
        <f t="shared" si="2"/>
        <v>0</v>
      </c>
    </row>
    <row r="76" spans="1:33" ht="15" customHeight="1" x14ac:dyDescent="0.3">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si="2"/>
        <v>0</v>
      </c>
    </row>
    <row r="97" spans="33:33" ht="15" customHeight="1" x14ac:dyDescent="0.3">
      <c r="AG97" s="14">
        <f t="shared" si="2"/>
        <v>0</v>
      </c>
    </row>
    <row r="98" spans="33:33" ht="15" customHeight="1" x14ac:dyDescent="0.3">
      <c r="AG98" s="14">
        <f t="shared" si="2"/>
        <v>0</v>
      </c>
    </row>
    <row r="99" spans="33:33" ht="15" customHeight="1" x14ac:dyDescent="0.3">
      <c r="AG99" s="14">
        <f t="shared" si="2"/>
        <v>0</v>
      </c>
    </row>
    <row r="100" spans="33:33" ht="15" customHeight="1" x14ac:dyDescent="0.3">
      <c r="AG100" s="14">
        <f t="shared" si="2"/>
        <v>0</v>
      </c>
    </row>
    <row r="101" spans="33:33" ht="15" customHeight="1" x14ac:dyDescent="0.3">
      <c r="AG101" s="14">
        <f t="shared" si="2"/>
        <v>0</v>
      </c>
    </row>
    <row r="102" spans="33:33" ht="15" customHeight="1" x14ac:dyDescent="0.3">
      <c r="AG102" s="14">
        <f t="shared" si="2"/>
        <v>0</v>
      </c>
    </row>
    <row r="103" spans="33:33" ht="15" customHeight="1" x14ac:dyDescent="0.3">
      <c r="AG103" s="14">
        <f t="shared" si="2"/>
        <v>0</v>
      </c>
    </row>
    <row r="104" spans="33:33" ht="15" customHeight="1" x14ac:dyDescent="0.3">
      <c r="AG104" s="14">
        <f t="shared" si="2"/>
        <v>0</v>
      </c>
    </row>
    <row r="105" spans="33:33" ht="15" customHeight="1" x14ac:dyDescent="0.3">
      <c r="AG105" s="14">
        <f t="shared" si="2"/>
        <v>0</v>
      </c>
    </row>
    <row r="106" spans="33:33" ht="15" customHeight="1" x14ac:dyDescent="0.3">
      <c r="AG106" s="14">
        <f t="shared" ref="AG106:AG137" si="3">IF(AF106=1,COUNTA(D106:E106,H106:L106,N106,Q106:U106,W106:Y106,AB106),COUNTA(D106:E106,H106:I106,Q106:U106,W106:Y106,AB106))</f>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si="3"/>
        <v>0</v>
      </c>
    </row>
    <row r="129" spans="33:33" ht="15" customHeight="1" x14ac:dyDescent="0.3">
      <c r="AG129" s="14">
        <f t="shared" si="3"/>
        <v>0</v>
      </c>
    </row>
    <row r="130" spans="33:33" ht="15" customHeight="1" x14ac:dyDescent="0.3">
      <c r="AG130" s="14">
        <f t="shared" si="3"/>
        <v>0</v>
      </c>
    </row>
    <row r="131" spans="33:33" ht="15" customHeight="1" x14ac:dyDescent="0.3">
      <c r="AG131" s="14">
        <f t="shared" si="3"/>
        <v>0</v>
      </c>
    </row>
    <row r="132" spans="33:33" ht="15" customHeight="1" x14ac:dyDescent="0.3">
      <c r="AG132" s="14">
        <f t="shared" si="3"/>
        <v>0</v>
      </c>
    </row>
    <row r="133" spans="33:33" ht="15" customHeight="1" x14ac:dyDescent="0.3">
      <c r="AG133" s="14">
        <f t="shared" si="3"/>
        <v>0</v>
      </c>
    </row>
    <row r="134" spans="33:33" ht="15" customHeight="1" x14ac:dyDescent="0.3">
      <c r="AG134" s="14">
        <f t="shared" si="3"/>
        <v>0</v>
      </c>
    </row>
    <row r="135" spans="33:33" ht="15" customHeight="1" x14ac:dyDescent="0.3">
      <c r="AG135" s="14">
        <f t="shared" si="3"/>
        <v>0</v>
      </c>
    </row>
    <row r="136" spans="33:33" ht="15" customHeight="1" x14ac:dyDescent="0.3">
      <c r="AG136" s="14">
        <f t="shared" si="3"/>
        <v>0</v>
      </c>
    </row>
    <row r="137" spans="33:33" ht="15" customHeight="1" x14ac:dyDescent="0.3">
      <c r="AG137" s="14">
        <f t="shared" si="3"/>
        <v>0</v>
      </c>
    </row>
    <row r="138" spans="33:33" ht="15" customHeight="1" x14ac:dyDescent="0.3">
      <c r="AG138" s="14">
        <f t="shared" ref="AG138:AG151" si="4">IF(AF138=1,COUNTA(D138:E138,H138:L138,N138,Q138:U138,W138:Y138,AB138),COUNTA(D138:E138,H138:I138,Q138:U138,W138:Y138,AB138))</f>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row r="147" spans="33:33" ht="15" customHeight="1" x14ac:dyDescent="0.3">
      <c r="AG147" s="14">
        <f t="shared" si="4"/>
        <v>0</v>
      </c>
    </row>
    <row r="148" spans="33:33" ht="15" customHeight="1" x14ac:dyDescent="0.3">
      <c r="AG148" s="14">
        <f t="shared" si="4"/>
        <v>0</v>
      </c>
    </row>
    <row r="149" spans="33:33" ht="15" customHeight="1" x14ac:dyDescent="0.3">
      <c r="AG149" s="14">
        <f t="shared" si="4"/>
        <v>0</v>
      </c>
    </row>
    <row r="150" spans="33:33" ht="15" customHeight="1" x14ac:dyDescent="0.3">
      <c r="AG150" s="14">
        <f t="shared" si="4"/>
        <v>0</v>
      </c>
    </row>
    <row r="151" spans="33:33" ht="15" customHeight="1" x14ac:dyDescent="0.3">
      <c r="AG151" s="14">
        <f t="shared" si="4"/>
        <v>0</v>
      </c>
    </row>
  </sheetData>
  <sheetProtection algorithmName="SHA-512" hashValue="FOspUcIdcglIOUjceZZXxRU24odpPJTY1HVWACWkAZVR6EQuaxX2O7kql63z3dNc1xqnnYcWCKUCLuCbP+nuKA==" saltValue="Vjww35k8mfWd6/9CQuIMPA=="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54" priority="45">
      <formula>$S$2="err"</formula>
    </cfRule>
  </conditionalFormatting>
  <conditionalFormatting sqref="Q9:U9">
    <cfRule type="expression" dxfId="53" priority="48" stopIfTrue="1">
      <formula>$O9=1</formula>
    </cfRule>
  </conditionalFormatting>
  <conditionalFormatting sqref="H9:N9">
    <cfRule type="expression" dxfId="14" priority="49" stopIfTrue="1">
      <formula>LOWER(MID($N9,1,19))="please include this"</formula>
    </cfRule>
  </conditionalFormatting>
  <conditionalFormatting sqref="W9:Z9">
    <cfRule type="expression" dxfId="13" priority="50" stopIfTrue="1">
      <formula>LOWER(MID($N9,1,19))="please include this"</formula>
    </cfRule>
    <cfRule type="expression" dxfId="12" priority="51" stopIfTrue="1">
      <formula>$AH9=0</formula>
    </cfRule>
  </conditionalFormatting>
  <dataValidations count="5">
    <dataValidation type="list" allowBlank="1" showInputMessage="1" showErrorMessage="1" sqref="D9:E9" xr:uid="{00000000-0002-0000-1300-000000000000}">
      <formula1>sublist_street_furniture</formula1>
    </dataValidation>
    <dataValidation type="decimal" allowBlank="1" showInputMessage="1" showErrorMessage="1" errorTitle="Numeric value required" error="Please enter a numeric value." sqref="H9" xr:uid="{26D64E59-D704-4659-9D77-AA5A8AE515AF}">
      <formula1>0</formula1>
      <formula2>99999999</formula2>
    </dataValidation>
    <dataValidation type="decimal" allowBlank="1" showInputMessage="1" showErrorMessage="1" errorTitle="Numeric value required" error="Please enter a numeric value." sqref="I9" xr:uid="{7121D95A-5EB7-4F96-AEF5-AE4B082E15E3}">
      <formula1>0</formula1>
      <formula2>99999999</formula2>
    </dataValidation>
    <dataValidation type="decimal" operator="lessThanOrEqual" allowBlank="1" showInputMessage="1" showErrorMessage="1" errorTitle="Numeric value required" error="Please enter a numeric value less than or equal to 500." sqref="X9" xr:uid="{F5591805-2255-498E-AA6C-9A5FA70764ED}">
      <formula1>500</formula1>
    </dataValidation>
    <dataValidation type="decimal" allowBlank="1" showInputMessage="1" showErrorMessage="1" errorTitle="Numeric value required" error="Please enter a numeric value." sqref="AB9" xr:uid="{94B24CA4-E59A-44D9-9606-67F586278753}">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6418"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6419"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6420"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6421"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6490"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6491"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6492"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6493"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6494"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6495"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6496"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6497"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6498"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6499"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6500"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6501"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6502"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6503"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6504"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6505"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6506"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2000000}">
          <x14:formula1>
            <xm:f>'Emissions Factors Lookup'!$D$4:$D$7</xm:f>
          </x14:formula1>
          <xm:sqref>W9</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1">
    <tabColor rgb="FF008BCB"/>
    <outlinePr summaryBelow="0" summaryRight="0"/>
  </sheetPr>
  <dimension ref="A1:AX156"/>
  <sheetViews>
    <sheetView showGridLines="0" showRowColHeaders="0" zoomScaleNormal="100" workbookViewId="0">
      <pane ySplit="8" topLeftCell="A9" activePane="bottomLeft" state="frozen"/>
      <selection activeCell="B7" sqref="B7:S19"/>
      <selection pane="bottomLeft" activeCell="M4" sqref="M4"/>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H1" s="56">
        <v>1</v>
      </c>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1122</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28</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1086</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30" t="s">
        <v>28</v>
      </c>
      <c r="B9" s="65"/>
      <c r="C9" s="45" t="s">
        <v>28</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297">
        <f>IF(P9&lt;0,1,0)</f>
        <v>0</v>
      </c>
      <c r="P9" s="298"/>
      <c r="Q9" s="298"/>
      <c r="R9" s="298"/>
      <c r="S9" s="298"/>
      <c r="T9" s="298"/>
      <c r="U9" s="298"/>
      <c r="V9" s="299"/>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A9" s="14"/>
      <c r="AB9" s="253"/>
      <c r="AD9" s="14"/>
      <c r="AE9" s="14"/>
      <c r="AF9" s="21">
        <v>0</v>
      </c>
      <c r="AG9" s="21">
        <f>IF(AF9=1,COUNTA(D9:E9,H9:L9,N9,Q9:U9,W9:Y9,AB9),COUNTA(D9:E9,H9:I9,Q9:U9,W9:X9,AB9))</f>
        <v>0</v>
      </c>
      <c r="AH9" s="14" t="str">
        <f>IF(ISERROR(VLOOKUP(D9&amp;E9,'Emissions Factors Lookup'!J4:R400,9,FALSE)),"",VLOOKUP(D9&amp;E9,'Emissions Factors Lookup'!J4:R400,9,FALSE))</f>
        <v/>
      </c>
    </row>
    <row r="10" spans="1:50" ht="70.349999999999994" customHeight="1" x14ac:dyDescent="0.3">
      <c r="A10"/>
      <c r="B10"/>
      <c r="C10"/>
      <c r="O10"/>
      <c r="AF10"/>
      <c r="AG10" s="21">
        <f t="shared" ref="AG10:AG14" si="0">IF(AF10=1,COUNTA(D10:E10,H10:L10,N10,Q10:U10,W10:Y10,AB10),COUNTA(D10:E10,H10:I10,Q10:U10,W10:X10,AB10))</f>
        <v>0</v>
      </c>
      <c r="AH10" s="14" t="str">
        <f>IF(ISERROR(VLOOKUP(D10&amp;E10,'Emissions Factors Lookup'!J4:R400,9,FALSE)),"",VLOOKUP(D10&amp;E10,'Emissions Factors Lookup'!J4:R400,9,FALSE))</f>
        <v/>
      </c>
    </row>
    <row r="11" spans="1:50" ht="70.349999999999994" customHeight="1" x14ac:dyDescent="0.3">
      <c r="A11" s="316"/>
      <c r="B11"/>
      <c r="C11"/>
      <c r="O11"/>
      <c r="AF11"/>
      <c r="AG11" s="21">
        <f t="shared" si="0"/>
        <v>0</v>
      </c>
      <c r="AH11" s="14" t="str">
        <f>IF(ISERROR(VLOOKUP(D11&amp;E11,'Emissions Factors Lookup'!J4:R400,9,FALSE)),"",VLOOKUP(D11&amp;E11,'Emissions Factors Lookup'!J4:R400,9,FALSE))</f>
        <v/>
      </c>
    </row>
    <row r="12" spans="1:50" ht="70.349999999999994" customHeight="1" x14ac:dyDescent="0.3">
      <c r="A12" s="316"/>
      <c r="B12"/>
      <c r="C12"/>
      <c r="O12"/>
      <c r="AF12"/>
      <c r="AG12" s="21">
        <f t="shared" si="0"/>
        <v>0</v>
      </c>
      <c r="AH12" s="14" t="str">
        <f>IF(ISERROR(VLOOKUP(D12&amp;E12,'Emissions Factors Lookup'!J4:R400,9,FALSE)),"",VLOOKUP(D12&amp;E12,'Emissions Factors Lookup'!J4:R400,9,FALSE))</f>
        <v/>
      </c>
    </row>
    <row r="13" spans="1:50" ht="89.25" customHeight="1" x14ac:dyDescent="0.3">
      <c r="A13" s="316"/>
      <c r="B13"/>
      <c r="C13"/>
      <c r="O13"/>
      <c r="AF13"/>
      <c r="AG13" s="21">
        <f t="shared" si="0"/>
        <v>0</v>
      </c>
      <c r="AH13" s="14" t="str">
        <f>IF(ISERROR(VLOOKUP(D13&amp;E13,'Emissions Factors Lookup'!J4:R309,9,FALSE)),"",VLOOKUP(D13&amp;E13,'Emissions Factors Lookup'!J4:R309,9,FALSE))</f>
        <v/>
      </c>
    </row>
    <row r="14" spans="1:50" ht="89.25" customHeight="1" x14ac:dyDescent="0.3">
      <c r="A14" s="74"/>
      <c r="B14"/>
      <c r="C14"/>
      <c r="O14"/>
      <c r="AF14"/>
      <c r="AG14" s="21">
        <f t="shared" si="0"/>
        <v>0</v>
      </c>
      <c r="AH14" s="14" t="str">
        <f>IF(ISERROR(VLOOKUP(D14&amp;E14,'Emissions Factors Lookup'!J4:R309,9,FALSE)),"",VLOOKUP(D14&amp;E14,'Emissions Factors Lookup'!J4:R309,9,FALSE))</f>
        <v/>
      </c>
    </row>
    <row r="15" spans="1:50" ht="51.75" customHeight="1" x14ac:dyDescent="0.3">
      <c r="A15" s="74"/>
      <c r="B15"/>
      <c r="C15"/>
      <c r="O15"/>
      <c r="AF15"/>
      <c r="AG15" s="21">
        <f t="shared" ref="AG15:AG46" si="1">IF(AF15=1,COUNTA(D15:E15,H15:L15,N15,Q15:U15,W15:Y15,AB15),COUNTA(D15:E15,H15:I15,Q15:U15,W15:Y15,AB15))</f>
        <v>0</v>
      </c>
    </row>
    <row r="16" spans="1:50" ht="51.75" customHeight="1" x14ac:dyDescent="0.3">
      <c r="A16" s="74"/>
      <c r="B16"/>
      <c r="C16"/>
      <c r="AF16"/>
      <c r="AG16" s="21">
        <f t="shared" si="1"/>
        <v>0</v>
      </c>
    </row>
    <row r="17" spans="1:33" ht="59.25" customHeight="1" x14ac:dyDescent="0.3">
      <c r="A17" s="74"/>
      <c r="B17"/>
      <c r="C17"/>
      <c r="AF17"/>
      <c r="AG17" s="21">
        <f t="shared" si="1"/>
        <v>0</v>
      </c>
    </row>
    <row r="18" spans="1:33" ht="51.75" customHeight="1" x14ac:dyDescent="0.3">
      <c r="A18" s="74"/>
      <c r="B18"/>
      <c r="C18"/>
      <c r="AF18"/>
      <c r="AG18" s="21">
        <f t="shared" si="1"/>
        <v>0</v>
      </c>
    </row>
    <row r="19" spans="1:33" ht="59.25" customHeight="1" x14ac:dyDescent="0.3">
      <c r="A19" s="74"/>
      <c r="B19"/>
      <c r="C19"/>
      <c r="AF19"/>
      <c r="AG19" s="21">
        <f t="shared" si="1"/>
        <v>0</v>
      </c>
    </row>
    <row r="20" spans="1:33" ht="51.75" customHeight="1" x14ac:dyDescent="0.3">
      <c r="A20" s="74"/>
      <c r="B20"/>
      <c r="C20"/>
      <c r="AF20"/>
      <c r="AG20" s="21">
        <f t="shared" si="1"/>
        <v>0</v>
      </c>
    </row>
    <row r="21" spans="1:33" ht="59.25" customHeight="1" x14ac:dyDescent="0.3">
      <c r="A21" s="74"/>
      <c r="B21"/>
      <c r="C21"/>
      <c r="AF21"/>
      <c r="AG21" s="21">
        <f t="shared" si="1"/>
        <v>0</v>
      </c>
    </row>
    <row r="22" spans="1:33" ht="51.75" customHeight="1" x14ac:dyDescent="0.3">
      <c r="A22" s="74"/>
      <c r="B22"/>
      <c r="C22"/>
      <c r="AF22"/>
      <c r="AG22" s="21">
        <f t="shared" si="1"/>
        <v>0</v>
      </c>
    </row>
    <row r="23" spans="1:33" ht="59.25" customHeight="1" x14ac:dyDescent="0.3">
      <c r="A23" s="74"/>
      <c r="B23"/>
      <c r="C23"/>
      <c r="AF23"/>
      <c r="AG23" s="21">
        <f t="shared" si="1"/>
        <v>0</v>
      </c>
    </row>
    <row r="24" spans="1:33" ht="59.25" customHeight="1" x14ac:dyDescent="0.3">
      <c r="A24" s="74"/>
      <c r="B24"/>
      <c r="C24"/>
      <c r="AF24"/>
      <c r="AG24" s="21">
        <f t="shared" si="1"/>
        <v>0</v>
      </c>
    </row>
    <row r="25" spans="1:33" ht="59.25" customHeight="1" x14ac:dyDescent="0.3">
      <c r="A25" s="74"/>
      <c r="B25"/>
      <c r="C25"/>
      <c r="AF25"/>
      <c r="AG25" s="21">
        <f t="shared" si="1"/>
        <v>0</v>
      </c>
    </row>
    <row r="26" spans="1:33" ht="59.25" customHeight="1" x14ac:dyDescent="0.3">
      <c r="A26" s="74"/>
      <c r="B26"/>
      <c r="C26"/>
      <c r="AF26"/>
      <c r="AG26" s="21">
        <f t="shared" si="1"/>
        <v>0</v>
      </c>
    </row>
    <row r="27" spans="1:33" ht="59.25" customHeight="1" x14ac:dyDescent="0.3">
      <c r="A27" s="74"/>
      <c r="B27"/>
      <c r="C27"/>
      <c r="AF27"/>
      <c r="AG27" s="21">
        <f t="shared" si="1"/>
        <v>0</v>
      </c>
    </row>
    <row r="28" spans="1:33" ht="59.25" customHeight="1" x14ac:dyDescent="0.3">
      <c r="A28" s="74"/>
      <c r="B28"/>
      <c r="C28"/>
      <c r="AF28"/>
      <c r="AG28" s="21">
        <f t="shared" si="1"/>
        <v>0</v>
      </c>
    </row>
    <row r="29" spans="1:33" ht="59.25" customHeight="1" x14ac:dyDescent="0.3">
      <c r="A29" s="74"/>
      <c r="B29"/>
      <c r="C29"/>
      <c r="AF29"/>
      <c r="AG29" s="21">
        <f t="shared" si="1"/>
        <v>0</v>
      </c>
    </row>
    <row r="30" spans="1:33" ht="59.25" customHeight="1" x14ac:dyDescent="0.3">
      <c r="A30" s="74"/>
      <c r="B30"/>
      <c r="C30"/>
      <c r="AF30"/>
      <c r="AG30" s="21">
        <f t="shared" si="1"/>
        <v>0</v>
      </c>
    </row>
    <row r="31" spans="1:33" ht="59.25" customHeight="1" x14ac:dyDescent="0.3">
      <c r="A31" s="74"/>
      <c r="B31"/>
      <c r="C31"/>
      <c r="AF31"/>
      <c r="AG31" s="21">
        <f t="shared" si="1"/>
        <v>0</v>
      </c>
    </row>
    <row r="32" spans="1:33" ht="59.25" customHeight="1" x14ac:dyDescent="0.3">
      <c r="A32" s="74"/>
      <c r="B32"/>
      <c r="C32"/>
      <c r="AF32"/>
      <c r="AG32" s="21">
        <f t="shared" si="1"/>
        <v>0</v>
      </c>
    </row>
    <row r="33" spans="1:33" ht="51.75" customHeight="1" x14ac:dyDescent="0.3">
      <c r="A33" s="74"/>
      <c r="B33"/>
      <c r="C33"/>
      <c r="AF33"/>
      <c r="AG33" s="21">
        <f t="shared" si="1"/>
        <v>0</v>
      </c>
    </row>
    <row r="34" spans="1:33" ht="59.25" customHeight="1" x14ac:dyDescent="0.3">
      <c r="A34" s="74"/>
      <c r="B34"/>
      <c r="C34"/>
      <c r="AF34"/>
      <c r="AG34" s="21">
        <f t="shared" si="1"/>
        <v>0</v>
      </c>
    </row>
    <row r="35" spans="1:33" ht="51.75" customHeight="1" x14ac:dyDescent="0.3">
      <c r="A35" s="74"/>
      <c r="B35"/>
      <c r="C35"/>
      <c r="AF35"/>
      <c r="AG35" s="21">
        <f t="shared" si="1"/>
        <v>0</v>
      </c>
    </row>
    <row r="36" spans="1:33" ht="59.25" customHeight="1" x14ac:dyDescent="0.3">
      <c r="A36" s="74"/>
      <c r="B36"/>
      <c r="C36"/>
      <c r="AF36"/>
      <c r="AG36" s="21">
        <f t="shared" si="1"/>
        <v>0</v>
      </c>
    </row>
    <row r="37" spans="1:33" ht="59.25" customHeight="1" x14ac:dyDescent="0.3">
      <c r="A37" s="74"/>
      <c r="B37"/>
      <c r="C37"/>
      <c r="AF37"/>
      <c r="AG37" s="21">
        <f t="shared" si="1"/>
        <v>0</v>
      </c>
    </row>
    <row r="38" spans="1:33" ht="59.25" customHeight="1" x14ac:dyDescent="0.3">
      <c r="A38" s="74"/>
      <c r="B38"/>
      <c r="C38"/>
      <c r="AF38"/>
      <c r="AG38" s="21">
        <f t="shared" si="1"/>
        <v>0</v>
      </c>
    </row>
    <row r="39" spans="1:33" ht="59.25" customHeight="1" x14ac:dyDescent="0.3">
      <c r="A39" s="74"/>
      <c r="B39"/>
      <c r="C39"/>
      <c r="AF39"/>
      <c r="AG39" s="21">
        <f t="shared" si="1"/>
        <v>0</v>
      </c>
    </row>
    <row r="40" spans="1:33" ht="51.75" customHeight="1" x14ac:dyDescent="0.3">
      <c r="A40" s="74"/>
      <c r="B40"/>
      <c r="C40"/>
      <c r="AF40"/>
      <c r="AG40" s="21">
        <f t="shared" si="1"/>
        <v>0</v>
      </c>
    </row>
    <row r="41" spans="1:33" ht="59.25" customHeight="1" x14ac:dyDescent="0.3">
      <c r="A41" s="74"/>
      <c r="B41"/>
      <c r="C41"/>
      <c r="AF41"/>
      <c r="AG41" s="21">
        <f t="shared" si="1"/>
        <v>0</v>
      </c>
    </row>
    <row r="42" spans="1:33" ht="59.25" customHeight="1" x14ac:dyDescent="0.3">
      <c r="A42" s="74"/>
      <c r="B42"/>
      <c r="C42"/>
      <c r="AF42"/>
      <c r="AG42" s="21">
        <f t="shared" si="1"/>
        <v>0</v>
      </c>
    </row>
    <row r="43" spans="1:33" ht="59.25" customHeight="1" x14ac:dyDescent="0.3">
      <c r="A43" s="74"/>
      <c r="B43"/>
      <c r="C43"/>
      <c r="AF43"/>
      <c r="AG43" s="21">
        <f t="shared" si="1"/>
        <v>0</v>
      </c>
    </row>
    <row r="44" spans="1:33" ht="59.25" customHeight="1" x14ac:dyDescent="0.3">
      <c r="A44" s="74"/>
      <c r="B44"/>
      <c r="C44"/>
      <c r="AF44"/>
      <c r="AG44" s="21">
        <f t="shared" si="1"/>
        <v>0</v>
      </c>
    </row>
    <row r="45" spans="1:33" ht="51.75" customHeight="1" x14ac:dyDescent="0.3">
      <c r="A45" s="74"/>
      <c r="B45"/>
      <c r="C45"/>
      <c r="AF45"/>
      <c r="AG45" s="21">
        <f t="shared" si="1"/>
        <v>0</v>
      </c>
    </row>
    <row r="46" spans="1:33" ht="51.75" customHeight="1" x14ac:dyDescent="0.3">
      <c r="A46" s="74"/>
      <c r="B46"/>
      <c r="C46"/>
      <c r="AF46"/>
      <c r="AG46" s="21">
        <f t="shared" si="1"/>
        <v>0</v>
      </c>
    </row>
    <row r="47" spans="1:33" ht="59.25" customHeight="1" x14ac:dyDescent="0.3">
      <c r="A47" s="74"/>
      <c r="B47"/>
      <c r="C47"/>
      <c r="AF47"/>
      <c r="AG47" s="21">
        <f t="shared" ref="AG47:AG78" si="2">IF(AF47=1,COUNTA(D47:E47,H47:L47,N47,Q47:U47,W47:Y47,AB47),COUNTA(D47:E47,H47:I47,Q47:U47,W47:Y47,AB47))</f>
        <v>0</v>
      </c>
    </row>
    <row r="48" spans="1:33" ht="51.75" customHeight="1" x14ac:dyDescent="0.3">
      <c r="A48" s="74"/>
      <c r="B48"/>
      <c r="C48"/>
      <c r="AF48"/>
      <c r="AG48" s="21">
        <f t="shared" si="2"/>
        <v>0</v>
      </c>
    </row>
    <row r="49" spans="1:33" ht="51.75" customHeight="1" x14ac:dyDescent="0.3">
      <c r="A49" s="74"/>
      <c r="B49"/>
      <c r="C49"/>
      <c r="AF49"/>
      <c r="AG49" s="21">
        <f t="shared" si="2"/>
        <v>0</v>
      </c>
    </row>
    <row r="50" spans="1:33" ht="59.25" customHeight="1" x14ac:dyDescent="0.3">
      <c r="A50" s="74"/>
      <c r="B50"/>
      <c r="C50"/>
      <c r="AF50"/>
      <c r="AG50" s="21">
        <f t="shared" si="2"/>
        <v>0</v>
      </c>
    </row>
    <row r="51" spans="1:33" ht="51.75" customHeight="1" x14ac:dyDescent="0.3">
      <c r="A51" s="74"/>
      <c r="B51"/>
      <c r="C51"/>
      <c r="AF51"/>
      <c r="AG51" s="21">
        <f t="shared" si="2"/>
        <v>0</v>
      </c>
    </row>
    <row r="52" spans="1:33" ht="51.75" customHeight="1" x14ac:dyDescent="0.3">
      <c r="A52" s="74"/>
      <c r="B52"/>
      <c r="C52"/>
      <c r="AF52"/>
      <c r="AG52" s="21">
        <f t="shared" si="2"/>
        <v>0</v>
      </c>
    </row>
    <row r="53" spans="1:33" ht="59.25" customHeight="1" x14ac:dyDescent="0.3">
      <c r="A53" s="74"/>
      <c r="B53"/>
      <c r="C53"/>
      <c r="AF53"/>
      <c r="AG53" s="21">
        <f t="shared" si="2"/>
        <v>0</v>
      </c>
    </row>
    <row r="54" spans="1:33" ht="59.25" customHeight="1" x14ac:dyDescent="0.3">
      <c r="A54" s="74"/>
      <c r="B54"/>
      <c r="C54"/>
      <c r="AF54"/>
      <c r="AG54" s="21">
        <f t="shared" si="2"/>
        <v>0</v>
      </c>
    </row>
    <row r="55" spans="1:33" ht="59.25" customHeight="1" x14ac:dyDescent="0.3">
      <c r="A55" s="74"/>
      <c r="B55"/>
      <c r="C55"/>
      <c r="AF55"/>
      <c r="AG55" s="21">
        <f t="shared" si="2"/>
        <v>0</v>
      </c>
    </row>
    <row r="56" spans="1:33" ht="59.25" customHeight="1" x14ac:dyDescent="0.3">
      <c r="A56" s="74"/>
      <c r="B56"/>
      <c r="C56"/>
      <c r="AF56"/>
      <c r="AG56" s="21">
        <f t="shared" si="2"/>
        <v>0</v>
      </c>
    </row>
    <row r="57" spans="1:33" ht="59.25" customHeight="1" x14ac:dyDescent="0.3">
      <c r="A57" s="74"/>
      <c r="B57"/>
      <c r="C57"/>
      <c r="AF57"/>
      <c r="AG57" s="21">
        <f t="shared" si="2"/>
        <v>0</v>
      </c>
    </row>
    <row r="58" spans="1:33" ht="59.25" customHeight="1" x14ac:dyDescent="0.3">
      <c r="A58" s="74"/>
      <c r="B58"/>
      <c r="C58"/>
      <c r="AF58"/>
      <c r="AG58" s="21">
        <f t="shared" si="2"/>
        <v>0</v>
      </c>
    </row>
    <row r="59" spans="1:33" ht="59.25" customHeight="1" x14ac:dyDescent="0.3">
      <c r="A59" s="74"/>
      <c r="B59"/>
      <c r="C59"/>
      <c r="AF59"/>
      <c r="AG59" s="21">
        <f t="shared" si="2"/>
        <v>0</v>
      </c>
    </row>
    <row r="60" spans="1:33" ht="59.25" customHeight="1" x14ac:dyDescent="0.3">
      <c r="A60" s="74"/>
      <c r="B60"/>
      <c r="C60"/>
      <c r="AF60"/>
      <c r="AG60" s="21">
        <f t="shared" si="2"/>
        <v>0</v>
      </c>
    </row>
    <row r="61" spans="1:33" ht="59.25" customHeight="1" x14ac:dyDescent="0.3">
      <c r="A61" s="74"/>
      <c r="B61"/>
      <c r="C61"/>
      <c r="AF61"/>
      <c r="AG61" s="21">
        <f t="shared" si="2"/>
        <v>0</v>
      </c>
    </row>
    <row r="62" spans="1:33" ht="59.25" customHeight="1" x14ac:dyDescent="0.3">
      <c r="A62" s="74"/>
      <c r="B62"/>
      <c r="C62"/>
      <c r="AF62"/>
      <c r="AG62" s="21">
        <f t="shared" si="2"/>
        <v>0</v>
      </c>
    </row>
    <row r="63" spans="1:33" ht="59.25" customHeight="1" x14ac:dyDescent="0.3">
      <c r="A63" s="74"/>
      <c r="B63"/>
      <c r="C63"/>
      <c r="AF63"/>
      <c r="AG63" s="21">
        <f t="shared" si="2"/>
        <v>0</v>
      </c>
    </row>
    <row r="64" spans="1:33" ht="59.25" customHeight="1" x14ac:dyDescent="0.3">
      <c r="A64" s="74"/>
      <c r="B64"/>
      <c r="C64"/>
      <c r="AF64"/>
      <c r="AG64" s="21">
        <f t="shared" si="2"/>
        <v>0</v>
      </c>
    </row>
    <row r="65" spans="1:33" ht="59.25" customHeight="1" x14ac:dyDescent="0.3">
      <c r="A65" s="74"/>
      <c r="B65"/>
      <c r="C65"/>
      <c r="AF65"/>
      <c r="AG65" s="21">
        <f t="shared" si="2"/>
        <v>0</v>
      </c>
    </row>
    <row r="66" spans="1:33" ht="59.25" customHeight="1" x14ac:dyDescent="0.3">
      <c r="A66" s="74"/>
      <c r="B66"/>
      <c r="C66"/>
      <c r="AF66"/>
      <c r="AG66" s="21">
        <f t="shared" si="2"/>
        <v>0</v>
      </c>
    </row>
    <row r="67" spans="1:33" ht="59.25" customHeight="1" x14ac:dyDescent="0.3">
      <c r="A67" s="74"/>
      <c r="B67"/>
      <c r="C67"/>
      <c r="AF67"/>
      <c r="AG67" s="21">
        <f t="shared" si="2"/>
        <v>0</v>
      </c>
    </row>
    <row r="68" spans="1:33" ht="59.25" customHeight="1" x14ac:dyDescent="0.3">
      <c r="A68" s="74"/>
      <c r="B68"/>
      <c r="C68"/>
      <c r="AF68"/>
      <c r="AG68" s="21">
        <f t="shared" si="2"/>
        <v>0</v>
      </c>
    </row>
    <row r="69" spans="1:33" ht="59.25" customHeight="1" x14ac:dyDescent="0.3">
      <c r="A69" s="74"/>
      <c r="B69"/>
      <c r="C69"/>
      <c r="AF69"/>
      <c r="AG69" s="21">
        <f t="shared" si="2"/>
        <v>0</v>
      </c>
    </row>
    <row r="70" spans="1:33" ht="59.25" customHeight="1" x14ac:dyDescent="0.3">
      <c r="A70" s="74"/>
      <c r="B70"/>
      <c r="C70"/>
      <c r="AF70"/>
      <c r="AG70" s="21">
        <f t="shared" si="2"/>
        <v>0</v>
      </c>
    </row>
    <row r="71" spans="1:33" ht="59.25" customHeight="1" x14ac:dyDescent="0.3">
      <c r="A71" s="74"/>
      <c r="B71"/>
      <c r="C71"/>
      <c r="AF71"/>
      <c r="AG71" s="14">
        <f t="shared" si="2"/>
        <v>0</v>
      </c>
    </row>
    <row r="72" spans="1:33" ht="59.25" customHeight="1" x14ac:dyDescent="0.3">
      <c r="A72" s="74"/>
      <c r="B72"/>
      <c r="C72"/>
      <c r="AF72"/>
      <c r="AG72" s="14">
        <f t="shared" si="2"/>
        <v>0</v>
      </c>
    </row>
    <row r="73" spans="1:33" ht="59.25" customHeight="1" x14ac:dyDescent="0.3">
      <c r="A73" s="74"/>
      <c r="B73"/>
      <c r="C73"/>
      <c r="AF73"/>
      <c r="AG73" s="14">
        <f t="shared" si="2"/>
        <v>0</v>
      </c>
    </row>
    <row r="74" spans="1:33" ht="59.25" customHeight="1" x14ac:dyDescent="0.3">
      <c r="A74" s="74"/>
      <c r="B74"/>
      <c r="C74"/>
      <c r="AF74"/>
      <c r="AG74" s="14">
        <f t="shared" si="2"/>
        <v>0</v>
      </c>
    </row>
    <row r="75" spans="1:33" ht="59.25" customHeight="1" x14ac:dyDescent="0.3">
      <c r="A75" s="74"/>
      <c r="B75"/>
      <c r="C75"/>
      <c r="AF75"/>
      <c r="AG75" s="14">
        <f t="shared" si="2"/>
        <v>0</v>
      </c>
    </row>
    <row r="76" spans="1:33" ht="59.25" customHeight="1" x14ac:dyDescent="0.3">
      <c r="A76" s="74"/>
      <c r="B76"/>
      <c r="C76"/>
      <c r="AF76"/>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ref="AG79:AG110" si="3">IF(AF79=1,COUNTA(D79:E79,H79:L79,N79,Q79:U79,W79:Y79,AB79),COUNTA(D79:E79,H79:I79,Q79:U79,W79:Y79,AB79))</f>
        <v>0</v>
      </c>
    </row>
    <row r="80" spans="1:33" ht="15" customHeight="1" x14ac:dyDescent="0.3">
      <c r="AG80" s="14">
        <f t="shared" si="3"/>
        <v>0</v>
      </c>
    </row>
    <row r="81" spans="33:33" ht="15" customHeight="1" x14ac:dyDescent="0.3">
      <c r="AG81" s="14">
        <f t="shared" si="3"/>
        <v>0</v>
      </c>
    </row>
    <row r="82" spans="33:33" ht="15" customHeight="1" x14ac:dyDescent="0.3">
      <c r="AG82" s="14">
        <f t="shared" si="3"/>
        <v>0</v>
      </c>
    </row>
    <row r="83" spans="33:33" ht="15" customHeight="1" x14ac:dyDescent="0.3">
      <c r="AG83" s="14">
        <f t="shared" si="3"/>
        <v>0</v>
      </c>
    </row>
    <row r="84" spans="33:33" ht="15" customHeight="1" x14ac:dyDescent="0.3">
      <c r="AG84" s="14">
        <f t="shared" si="3"/>
        <v>0</v>
      </c>
    </row>
    <row r="85" spans="33:33" ht="15" customHeight="1" x14ac:dyDescent="0.3">
      <c r="AG85" s="14">
        <f t="shared" si="3"/>
        <v>0</v>
      </c>
    </row>
    <row r="86" spans="33:33" ht="15" customHeight="1" x14ac:dyDescent="0.3">
      <c r="AG86" s="14">
        <f t="shared" si="3"/>
        <v>0</v>
      </c>
    </row>
    <row r="87" spans="33:33" ht="15" customHeight="1" x14ac:dyDescent="0.3">
      <c r="AG87" s="14">
        <f t="shared" si="3"/>
        <v>0</v>
      </c>
    </row>
    <row r="88" spans="33:33" ht="15" customHeight="1" x14ac:dyDescent="0.3">
      <c r="AG88" s="14">
        <f t="shared" si="3"/>
        <v>0</v>
      </c>
    </row>
    <row r="89" spans="33:33" ht="15" customHeight="1" x14ac:dyDescent="0.3">
      <c r="AG89" s="14">
        <f t="shared" si="3"/>
        <v>0</v>
      </c>
    </row>
    <row r="90" spans="33:33" ht="15" customHeight="1" x14ac:dyDescent="0.3">
      <c r="AG90" s="14">
        <f t="shared" si="3"/>
        <v>0</v>
      </c>
    </row>
    <row r="91" spans="33:33" ht="15" customHeight="1" x14ac:dyDescent="0.3">
      <c r="AG91" s="14">
        <f t="shared" si="3"/>
        <v>0</v>
      </c>
    </row>
    <row r="92" spans="33:33" ht="15" customHeight="1" x14ac:dyDescent="0.3">
      <c r="AG92" s="14">
        <f t="shared" si="3"/>
        <v>0</v>
      </c>
    </row>
    <row r="93" spans="33:33" ht="15" customHeight="1" x14ac:dyDescent="0.3">
      <c r="AG93" s="14">
        <f t="shared" si="3"/>
        <v>0</v>
      </c>
    </row>
    <row r="94" spans="33:33" ht="15" customHeight="1" x14ac:dyDescent="0.3">
      <c r="AG94" s="14">
        <f t="shared" si="3"/>
        <v>0</v>
      </c>
    </row>
    <row r="95" spans="33:33" ht="15" customHeight="1" x14ac:dyDescent="0.3">
      <c r="AG95" s="14">
        <f t="shared" si="3"/>
        <v>0</v>
      </c>
    </row>
    <row r="96" spans="33:33" ht="15" customHeight="1" x14ac:dyDescent="0.3">
      <c r="AG96" s="14">
        <f t="shared" si="3"/>
        <v>0</v>
      </c>
    </row>
    <row r="97" spans="33:33" ht="15" customHeight="1" x14ac:dyDescent="0.3">
      <c r="AG97" s="14">
        <f t="shared" si="3"/>
        <v>0</v>
      </c>
    </row>
    <row r="98" spans="33:33" ht="15" customHeight="1" x14ac:dyDescent="0.3">
      <c r="AG98" s="14">
        <f t="shared" si="3"/>
        <v>0</v>
      </c>
    </row>
    <row r="99" spans="33:33" ht="15" customHeight="1" x14ac:dyDescent="0.3">
      <c r="AG99" s="14">
        <f t="shared" si="3"/>
        <v>0</v>
      </c>
    </row>
    <row r="100" spans="33:33" ht="15" customHeight="1" x14ac:dyDescent="0.3">
      <c r="AG100" s="14">
        <f t="shared" si="3"/>
        <v>0</v>
      </c>
    </row>
    <row r="101" spans="33:33" ht="15" customHeight="1" x14ac:dyDescent="0.3">
      <c r="AG101" s="14">
        <f t="shared" si="3"/>
        <v>0</v>
      </c>
    </row>
    <row r="102" spans="33:33" ht="15" customHeight="1" x14ac:dyDescent="0.3">
      <c r="AG102" s="14">
        <f t="shared" si="3"/>
        <v>0</v>
      </c>
    </row>
    <row r="103" spans="33:33" ht="15" customHeight="1" x14ac:dyDescent="0.3">
      <c r="AG103" s="14">
        <f t="shared" si="3"/>
        <v>0</v>
      </c>
    </row>
    <row r="104" spans="33:33" ht="15" customHeight="1" x14ac:dyDescent="0.3">
      <c r="AG104" s="14">
        <f t="shared" si="3"/>
        <v>0</v>
      </c>
    </row>
    <row r="105" spans="33:33" ht="15" customHeight="1" x14ac:dyDescent="0.3">
      <c r="AG105" s="14">
        <f t="shared" si="3"/>
        <v>0</v>
      </c>
    </row>
    <row r="106" spans="33:33" ht="15" customHeight="1" x14ac:dyDescent="0.3">
      <c r="AG106" s="14">
        <f t="shared" si="3"/>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ref="AG111:AG142" si="4">IF(AF111=1,COUNTA(D111:E111,H111:L111,N111,Q111:U111,W111:Y111,AB111),COUNTA(D111:E111,H111:I111,Q111:U111,W111:Y111,AB111))</f>
        <v>0</v>
      </c>
    </row>
    <row r="112" spans="33:33" ht="15" customHeight="1" x14ac:dyDescent="0.3">
      <c r="AG112" s="14">
        <f t="shared" si="4"/>
        <v>0</v>
      </c>
    </row>
    <row r="113" spans="33:33" ht="15" customHeight="1" x14ac:dyDescent="0.3">
      <c r="AG113" s="14">
        <f t="shared" si="4"/>
        <v>0</v>
      </c>
    </row>
    <row r="114" spans="33:33" ht="15" customHeight="1" x14ac:dyDescent="0.3">
      <c r="AG114" s="14">
        <f t="shared" si="4"/>
        <v>0</v>
      </c>
    </row>
    <row r="115" spans="33:33" ht="15" customHeight="1" x14ac:dyDescent="0.3">
      <c r="AG115" s="14">
        <f t="shared" si="4"/>
        <v>0</v>
      </c>
    </row>
    <row r="116" spans="33:33" ht="15" customHeight="1" x14ac:dyDescent="0.3">
      <c r="AG116" s="14">
        <f t="shared" si="4"/>
        <v>0</v>
      </c>
    </row>
    <row r="117" spans="33:33" ht="15" customHeight="1" x14ac:dyDescent="0.3">
      <c r="AG117" s="14">
        <f t="shared" si="4"/>
        <v>0</v>
      </c>
    </row>
    <row r="118" spans="33:33" ht="15" customHeight="1" x14ac:dyDescent="0.3">
      <c r="AG118" s="14">
        <f t="shared" si="4"/>
        <v>0</v>
      </c>
    </row>
    <row r="119" spans="33:33" ht="15" customHeight="1" x14ac:dyDescent="0.3">
      <c r="AG119" s="14">
        <f t="shared" si="4"/>
        <v>0</v>
      </c>
    </row>
    <row r="120" spans="33:33" ht="15" customHeight="1" x14ac:dyDescent="0.3">
      <c r="AG120" s="14">
        <f t="shared" si="4"/>
        <v>0</v>
      </c>
    </row>
    <row r="121" spans="33:33" ht="15" customHeight="1" x14ac:dyDescent="0.3">
      <c r="AG121" s="14">
        <f t="shared" si="4"/>
        <v>0</v>
      </c>
    </row>
    <row r="122" spans="33:33" ht="15" customHeight="1" x14ac:dyDescent="0.3">
      <c r="AG122" s="14">
        <f t="shared" si="4"/>
        <v>0</v>
      </c>
    </row>
    <row r="123" spans="33:33" ht="15" customHeight="1" x14ac:dyDescent="0.3">
      <c r="AG123" s="14">
        <f t="shared" si="4"/>
        <v>0</v>
      </c>
    </row>
    <row r="124" spans="33:33" ht="15" customHeight="1" x14ac:dyDescent="0.3">
      <c r="AG124" s="14">
        <f t="shared" si="4"/>
        <v>0</v>
      </c>
    </row>
    <row r="125" spans="33:33" ht="15" customHeight="1" x14ac:dyDescent="0.3">
      <c r="AG125" s="14">
        <f t="shared" si="4"/>
        <v>0</v>
      </c>
    </row>
    <row r="126" spans="33:33" ht="15" customHeight="1" x14ac:dyDescent="0.3">
      <c r="AG126" s="14">
        <f t="shared" si="4"/>
        <v>0</v>
      </c>
    </row>
    <row r="127" spans="33:33" ht="15" customHeight="1" x14ac:dyDescent="0.3">
      <c r="AG127" s="14">
        <f t="shared" si="4"/>
        <v>0</v>
      </c>
    </row>
    <row r="128" spans="33:33" ht="15" customHeight="1" x14ac:dyDescent="0.3">
      <c r="AG128" s="14">
        <f t="shared" si="4"/>
        <v>0</v>
      </c>
    </row>
    <row r="129" spans="33:33" ht="15" customHeight="1" x14ac:dyDescent="0.3">
      <c r="AG129" s="14">
        <f t="shared" si="4"/>
        <v>0</v>
      </c>
    </row>
    <row r="130" spans="33:33" ht="15" customHeight="1" x14ac:dyDescent="0.3">
      <c r="AG130" s="14">
        <f t="shared" si="4"/>
        <v>0</v>
      </c>
    </row>
    <row r="131" spans="33:33" ht="15" customHeight="1" x14ac:dyDescent="0.3">
      <c r="AG131" s="14">
        <f t="shared" si="4"/>
        <v>0</v>
      </c>
    </row>
    <row r="132" spans="33:33" ht="15" customHeight="1" x14ac:dyDescent="0.3">
      <c r="AG132" s="14">
        <f t="shared" si="4"/>
        <v>0</v>
      </c>
    </row>
    <row r="133" spans="33:33" ht="15" customHeight="1" x14ac:dyDescent="0.3">
      <c r="AG133" s="14">
        <f t="shared" si="4"/>
        <v>0</v>
      </c>
    </row>
    <row r="134" spans="33:33" ht="15" customHeight="1" x14ac:dyDescent="0.3">
      <c r="AG134" s="14">
        <f t="shared" si="4"/>
        <v>0</v>
      </c>
    </row>
    <row r="135" spans="33:33" ht="15" customHeight="1" x14ac:dyDescent="0.3">
      <c r="AG135" s="14">
        <f t="shared" si="4"/>
        <v>0</v>
      </c>
    </row>
    <row r="136" spans="33:33" ht="15" customHeight="1" x14ac:dyDescent="0.3">
      <c r="AG136" s="14">
        <f t="shared" si="4"/>
        <v>0</v>
      </c>
    </row>
    <row r="137" spans="33:33" ht="15" customHeight="1" x14ac:dyDescent="0.3">
      <c r="AG137" s="14">
        <f t="shared" si="4"/>
        <v>0</v>
      </c>
    </row>
    <row r="138" spans="33:33" ht="15" customHeight="1" x14ac:dyDescent="0.3">
      <c r="AG138" s="14">
        <f t="shared" si="4"/>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ref="AG143:AG156" si="5">IF(AF143=1,COUNTA(D143:E143,H143:L143,N143,Q143:U143,W143:Y143,AB143),COUNTA(D143:E143,H143:I143,Q143:U143,W143:Y143,AB143))</f>
        <v>0</v>
      </c>
    </row>
    <row r="144" spans="33:33" ht="15" customHeight="1" x14ac:dyDescent="0.3">
      <c r="AG144" s="14">
        <f t="shared" si="5"/>
        <v>0</v>
      </c>
    </row>
    <row r="145" spans="33:33" ht="15" customHeight="1" x14ac:dyDescent="0.3">
      <c r="AG145" s="14">
        <f t="shared" si="5"/>
        <v>0</v>
      </c>
    </row>
    <row r="146" spans="33:33" ht="15" customHeight="1" x14ac:dyDescent="0.3">
      <c r="AG146" s="14">
        <f t="shared" si="5"/>
        <v>0</v>
      </c>
    </row>
    <row r="147" spans="33:33" ht="15" customHeight="1" x14ac:dyDescent="0.3">
      <c r="AG147" s="14">
        <f t="shared" si="5"/>
        <v>0</v>
      </c>
    </row>
    <row r="148" spans="33:33" ht="15" customHeight="1" x14ac:dyDescent="0.3">
      <c r="AG148" s="14">
        <f t="shared" si="5"/>
        <v>0</v>
      </c>
    </row>
    <row r="149" spans="33:33" ht="15" customHeight="1" x14ac:dyDescent="0.3">
      <c r="AG149" s="14">
        <f t="shared" si="5"/>
        <v>0</v>
      </c>
    </row>
    <row r="150" spans="33:33" ht="15" customHeight="1" x14ac:dyDescent="0.3">
      <c r="AG150" s="14">
        <f t="shared" si="5"/>
        <v>0</v>
      </c>
    </row>
    <row r="151" spans="33:33" ht="15" customHeight="1" x14ac:dyDescent="0.3">
      <c r="AG151" s="14">
        <f t="shared" si="5"/>
        <v>0</v>
      </c>
    </row>
    <row r="152" spans="33:33" ht="15" customHeight="1" x14ac:dyDescent="0.3">
      <c r="AG152" s="14">
        <f t="shared" si="5"/>
        <v>0</v>
      </c>
    </row>
    <row r="153" spans="33:33" ht="15" customHeight="1" x14ac:dyDescent="0.3">
      <c r="AG153" s="14">
        <f t="shared" si="5"/>
        <v>0</v>
      </c>
    </row>
    <row r="154" spans="33:33" ht="15" customHeight="1" x14ac:dyDescent="0.3">
      <c r="AG154" s="14">
        <f t="shared" si="5"/>
        <v>0</v>
      </c>
    </row>
    <row r="155" spans="33:33" ht="15" customHeight="1" x14ac:dyDescent="0.3">
      <c r="AG155" s="14">
        <f t="shared" si="5"/>
        <v>0</v>
      </c>
    </row>
    <row r="156" spans="33:33" ht="15" customHeight="1" x14ac:dyDescent="0.3">
      <c r="AG156" s="14">
        <f t="shared" si="5"/>
        <v>0</v>
      </c>
    </row>
  </sheetData>
  <sheetProtection algorithmName="SHA-512" hashValue="2r7aq1JpII+xDnMSICvqBuJuyVdBs6CBY5gpQfcTNIVcpRzsPDgNg+6lXHFZ6qM5vpVZywk+JLhUHLabBKR65Q==" saltValue="ckAB1pOXnRR8ZjkHS2TIHA=="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49" priority="166">
      <formula>$S$2="err"</formula>
    </cfRule>
  </conditionalFormatting>
  <conditionalFormatting sqref="H9:N9">
    <cfRule type="expression" dxfId="11" priority="167" stopIfTrue="1">
      <formula>LOWER(MID($N9,1,19))="please include this"</formula>
    </cfRule>
  </conditionalFormatting>
  <conditionalFormatting sqref="W9:Z9">
    <cfRule type="expression" dxfId="10" priority="168" stopIfTrue="1">
      <formula>LOWER(MID($N9,1,19))="please include this"</formula>
    </cfRule>
    <cfRule type="expression" dxfId="9" priority="169" stopIfTrue="1">
      <formula>$AH9=0</formula>
    </cfRule>
  </conditionalFormatting>
  <dataValidations count="5">
    <dataValidation type="list" allowBlank="1" showInputMessage="1" showErrorMessage="1" sqref="D9:E9" xr:uid="{00000000-0002-0000-1400-000000000000}">
      <formula1>sublist_civils_structures</formula1>
    </dataValidation>
    <dataValidation type="decimal" allowBlank="1" showInputMessage="1" showErrorMessage="1" errorTitle="Numeric value required" error="Please enter a numeric value." sqref="H9" xr:uid="{1A856193-A212-44BA-8F6D-540743FE71A4}">
      <formula1>0</formula1>
      <formula2>99999999</formula2>
    </dataValidation>
    <dataValidation type="decimal" allowBlank="1" showInputMessage="1" showErrorMessage="1" errorTitle="Numeric value required" error="Please enter a numeric value." sqref="I9" xr:uid="{DD7EE069-EDD1-4E04-9CDD-C2FB9F897D49}">
      <formula1>0</formula1>
      <formula2>99999999</formula2>
    </dataValidation>
    <dataValidation type="decimal" operator="lessThanOrEqual" allowBlank="1" showInputMessage="1" showErrorMessage="1" errorTitle="Numeric value required" error="Please enter a numeric value less than or equal to 500." sqref="X9" xr:uid="{EF155902-E564-4C3C-99ED-5D796CAAF291}">
      <formula1>500</formula1>
    </dataValidation>
    <dataValidation type="decimal" allowBlank="1" showInputMessage="1" showErrorMessage="1" errorTitle="Numeric value required" error="Please enter a numeric value." sqref="AB9" xr:uid="{CB64FCC5-4BDD-45D6-AF38-F9F032984E67}">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7442"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7443"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7444"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7445"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7514"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7515"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7516"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7517"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7518"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7519"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7520"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7521"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7522"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7523"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7524"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7525"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7526"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7527"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7528"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7529"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7530"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2000000}">
          <x14:formula1>
            <xm:f>'Emissions Factors Lookup'!$D$4:$D$7</xm:f>
          </x14:formula1>
          <xm:sqref>W9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2">
    <tabColor rgb="FF008BCB"/>
    <outlinePr summaryBelow="0" summaryRight="0"/>
  </sheetPr>
  <dimension ref="A1:AX151"/>
  <sheetViews>
    <sheetView showGridLines="0" showRowColHeaders="0" zoomScaleNormal="100" workbookViewId="0">
      <pane ySplit="8" topLeftCell="A9" activePane="bottomLeft" state="frozen"/>
      <selection activeCell="B7" sqref="B7:S19"/>
      <selection pane="bottomLeft" activeCell="A10" sqref="A10:AD10"/>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1123</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551</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1086</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551</v>
      </c>
      <c r="B9" s="65"/>
      <c r="C9" s="45" t="s">
        <v>551</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70">
        <f>IF(P9&lt;0,1,0)</f>
        <v>0</v>
      </c>
      <c r="P9" s="66"/>
      <c r="Q9" s="62"/>
      <c r="R9" s="62"/>
      <c r="S9" s="62"/>
      <c r="T9" s="62"/>
      <c r="U9" s="62"/>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05"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70.349999999999994" customHeight="1" x14ac:dyDescent="0.3">
      <c r="A11" s="316"/>
      <c r="B11"/>
      <c r="C11"/>
      <c r="O11"/>
      <c r="AF11"/>
      <c r="AG11" s="21">
        <f>IF(AF11=1,COUNTA(D11:E11,H11:L11,N11,Q11:U11,W11:Y11,AB11),COUNTA(D11:E11,H11:I11,Q11:U11,W11:X11,AB11))</f>
        <v>0</v>
      </c>
      <c r="AH11" s="14" t="str">
        <f>IF(ISERROR(VLOOKUP(D11&amp;E11,'Emissions Factors Lookup'!J4:R400,9,FALSE)),"",VLOOKUP(D11&amp;E11,'Emissions Factors Lookup'!J4:R400,9,FALSE))</f>
        <v/>
      </c>
    </row>
    <row r="12" spans="1:50" ht="70.349999999999994" customHeight="1" x14ac:dyDescent="0.3">
      <c r="A12" s="316"/>
      <c r="B12"/>
      <c r="C12"/>
      <c r="O12"/>
      <c r="AF12"/>
      <c r="AG12" s="21">
        <f>IF(AF12=1,COUNTA(D12:E12,H12:L12,N12,Q12:U12,W12:Y12,AB12),COUNTA(D12:E12,H12:I12,Q12:U12,W12:X12,AB12))</f>
        <v>0</v>
      </c>
      <c r="AH12" s="14" t="str">
        <f>IF(ISERROR(VLOOKUP(D12&amp;E12,'Emissions Factors Lookup'!J4:R400,9,FALSE)),"",VLOOKUP(D12&amp;E12,'Emissions Factors Lookup'!J4:R400,9,FALSE))</f>
        <v/>
      </c>
    </row>
    <row r="13" spans="1:50" ht="51.75" customHeight="1" x14ac:dyDescent="0.3">
      <c r="A13" s="74"/>
      <c r="B13"/>
      <c r="C13"/>
      <c r="AF13"/>
      <c r="AG13" s="21">
        <f t="shared" ref="AG13:AG41" si="0">IF(AF13=1,COUNTA(D13:E13,H13:L13,N13,Q13:U13,W13:Y13,AB13),COUNTA(D13:E13,H13:I13,Q13:U13,W13:Y13,AB13))</f>
        <v>0</v>
      </c>
    </row>
    <row r="14" spans="1:50" ht="59.25" customHeight="1" x14ac:dyDescent="0.3">
      <c r="A14" s="74"/>
      <c r="B14"/>
      <c r="C14"/>
      <c r="AF14"/>
      <c r="AG14" s="21">
        <f t="shared" si="0"/>
        <v>0</v>
      </c>
    </row>
    <row r="15" spans="1:50" ht="51.75" customHeight="1" x14ac:dyDescent="0.3">
      <c r="A15" s="74"/>
      <c r="B15"/>
      <c r="C15"/>
      <c r="AF15"/>
      <c r="AG15" s="21">
        <f t="shared" si="0"/>
        <v>0</v>
      </c>
    </row>
    <row r="16" spans="1:50" ht="59.25" customHeight="1" x14ac:dyDescent="0.3">
      <c r="A16" s="74"/>
      <c r="B16"/>
      <c r="C16"/>
      <c r="AF16"/>
      <c r="AG16" s="21">
        <f t="shared" si="0"/>
        <v>0</v>
      </c>
    </row>
    <row r="17" spans="1:33" ht="51.75" customHeight="1" x14ac:dyDescent="0.3">
      <c r="A17" s="74"/>
      <c r="B17"/>
      <c r="C17"/>
      <c r="AF17"/>
      <c r="AG17" s="21">
        <f t="shared" si="0"/>
        <v>0</v>
      </c>
    </row>
    <row r="18" spans="1:33" ht="59.25" customHeight="1" x14ac:dyDescent="0.3">
      <c r="A18" s="74"/>
      <c r="B18"/>
      <c r="C18"/>
      <c r="AF18"/>
      <c r="AG18" s="21">
        <f t="shared" si="0"/>
        <v>0</v>
      </c>
    </row>
    <row r="19" spans="1:33" ht="59.25" customHeight="1" x14ac:dyDescent="0.3">
      <c r="A19" s="74"/>
      <c r="B19"/>
      <c r="C19"/>
      <c r="AF19"/>
      <c r="AG19" s="21">
        <f t="shared" si="0"/>
        <v>0</v>
      </c>
    </row>
    <row r="20" spans="1:33" ht="59.2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9.25" customHeight="1" x14ac:dyDescent="0.3">
      <c r="A23" s="74"/>
      <c r="B23"/>
      <c r="C23"/>
      <c r="AF23"/>
      <c r="AG23" s="21">
        <f t="shared" si="0"/>
        <v>0</v>
      </c>
    </row>
    <row r="24" spans="1:33" ht="59.25" customHeight="1" x14ac:dyDescent="0.3">
      <c r="A24" s="74"/>
      <c r="B24"/>
      <c r="C24"/>
      <c r="AF24"/>
      <c r="AG24" s="21">
        <f t="shared" si="0"/>
        <v>0</v>
      </c>
    </row>
    <row r="25" spans="1:33" ht="59.2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1.75" customHeight="1" x14ac:dyDescent="0.3">
      <c r="A28" s="74"/>
      <c r="B28"/>
      <c r="C28"/>
      <c r="AF28"/>
      <c r="AG28" s="21">
        <f t="shared" si="0"/>
        <v>0</v>
      </c>
    </row>
    <row r="29" spans="1:33" ht="59.25" customHeight="1" x14ac:dyDescent="0.3">
      <c r="A29" s="74"/>
      <c r="B29"/>
      <c r="C29"/>
      <c r="AF29"/>
      <c r="AG29" s="21">
        <f t="shared" si="0"/>
        <v>0</v>
      </c>
    </row>
    <row r="30" spans="1:33" ht="51.75" customHeight="1" x14ac:dyDescent="0.3">
      <c r="A30" s="74"/>
      <c r="B30"/>
      <c r="C30"/>
      <c r="AF30"/>
      <c r="AG30" s="21">
        <f t="shared" si="0"/>
        <v>0</v>
      </c>
    </row>
    <row r="31" spans="1:33" ht="59.25" customHeight="1" x14ac:dyDescent="0.3">
      <c r="A31" s="74"/>
      <c r="B31"/>
      <c r="C31"/>
      <c r="AF31"/>
      <c r="AG31" s="21">
        <f t="shared" si="0"/>
        <v>0</v>
      </c>
    </row>
    <row r="32" spans="1:33" ht="59.25" customHeight="1" x14ac:dyDescent="0.3">
      <c r="A32" s="74"/>
      <c r="B32"/>
      <c r="C32"/>
      <c r="AF32"/>
      <c r="AG32" s="21">
        <f t="shared" si="0"/>
        <v>0</v>
      </c>
    </row>
    <row r="33" spans="1:33" ht="59.25" customHeight="1" x14ac:dyDescent="0.3">
      <c r="A33" s="74"/>
      <c r="B33"/>
      <c r="C33"/>
      <c r="AF33"/>
      <c r="AG33" s="21">
        <f t="shared" si="0"/>
        <v>0</v>
      </c>
    </row>
    <row r="34" spans="1:33" ht="59.25" customHeight="1" x14ac:dyDescent="0.3">
      <c r="A34" s="74"/>
      <c r="B34"/>
      <c r="C34"/>
      <c r="AF34"/>
      <c r="AG34" s="21">
        <f t="shared" si="0"/>
        <v>0</v>
      </c>
    </row>
    <row r="35" spans="1:33" ht="51.75" customHeight="1" x14ac:dyDescent="0.3">
      <c r="A35" s="74"/>
      <c r="B35"/>
      <c r="C35"/>
      <c r="AF35"/>
      <c r="AG35" s="21">
        <f t="shared" si="0"/>
        <v>0</v>
      </c>
    </row>
    <row r="36" spans="1:33" ht="59.25" customHeight="1" x14ac:dyDescent="0.3">
      <c r="A36" s="74"/>
      <c r="B36"/>
      <c r="C36"/>
      <c r="AF36"/>
      <c r="AG36" s="21">
        <f t="shared" si="0"/>
        <v>0</v>
      </c>
    </row>
    <row r="37" spans="1:33" ht="59.25" customHeight="1" x14ac:dyDescent="0.3">
      <c r="A37" s="74"/>
      <c r="B37"/>
      <c r="C37"/>
      <c r="AF37"/>
      <c r="AG37" s="21">
        <f t="shared" si="0"/>
        <v>0</v>
      </c>
    </row>
    <row r="38" spans="1:33" ht="59.25" customHeight="1" x14ac:dyDescent="0.3">
      <c r="A38" s="74"/>
      <c r="B38"/>
      <c r="C38"/>
      <c r="AF38"/>
      <c r="AG38" s="21">
        <f t="shared" si="0"/>
        <v>0</v>
      </c>
    </row>
    <row r="39" spans="1:33" ht="59.25" customHeight="1" x14ac:dyDescent="0.3">
      <c r="A39" s="74"/>
      <c r="B39"/>
      <c r="C39"/>
      <c r="AF39"/>
      <c r="AG39" s="21">
        <f t="shared" si="0"/>
        <v>0</v>
      </c>
    </row>
    <row r="40" spans="1:33" ht="51.75" customHeight="1" x14ac:dyDescent="0.3">
      <c r="A40" s="74"/>
      <c r="B40"/>
      <c r="C40"/>
      <c r="AF40"/>
      <c r="AG40" s="21">
        <f t="shared" si="0"/>
        <v>0</v>
      </c>
    </row>
    <row r="41" spans="1:33" ht="51.75" customHeight="1" x14ac:dyDescent="0.3">
      <c r="A41" s="74"/>
      <c r="B41"/>
      <c r="C41"/>
      <c r="AF41"/>
      <c r="AG41" s="21">
        <f t="shared" si="0"/>
        <v>0</v>
      </c>
    </row>
    <row r="42" spans="1:33" ht="59.25" customHeight="1" x14ac:dyDescent="0.3">
      <c r="A42" s="74"/>
      <c r="B42"/>
      <c r="C42"/>
      <c r="AF42"/>
      <c r="AG42" s="21">
        <f t="shared" ref="AG42:AG73" si="1">IF(AF42=1,COUNTA(D42:E42,H42:L42,N42,Q42:U42,W42:Y42,AB42),COUNTA(D42:E42,H42:I42,Q42:U42,W42:Y42,AB42))</f>
        <v>0</v>
      </c>
    </row>
    <row r="43" spans="1:33" ht="51.75" customHeight="1" x14ac:dyDescent="0.3">
      <c r="A43" s="74"/>
      <c r="B43"/>
      <c r="C43"/>
      <c r="AF43"/>
      <c r="AG43" s="21">
        <f t="shared" si="1"/>
        <v>0</v>
      </c>
    </row>
    <row r="44" spans="1:33" ht="51.75" customHeight="1" x14ac:dyDescent="0.3">
      <c r="A44" s="74"/>
      <c r="B44"/>
      <c r="C44"/>
      <c r="AF44"/>
      <c r="AG44" s="21">
        <f t="shared" si="1"/>
        <v>0</v>
      </c>
    </row>
    <row r="45" spans="1:33" ht="59.25" customHeight="1" x14ac:dyDescent="0.3">
      <c r="A45" s="74"/>
      <c r="B45"/>
      <c r="C45"/>
      <c r="AF45"/>
      <c r="AG45" s="21">
        <f t="shared" si="1"/>
        <v>0</v>
      </c>
    </row>
    <row r="46" spans="1:33" ht="51.75" customHeight="1" x14ac:dyDescent="0.3">
      <c r="A46" s="74"/>
      <c r="B46"/>
      <c r="C46"/>
      <c r="AF46"/>
      <c r="AG46" s="21">
        <f t="shared" si="1"/>
        <v>0</v>
      </c>
    </row>
    <row r="47" spans="1:33" ht="51.75" customHeight="1" x14ac:dyDescent="0.3">
      <c r="A47" s="74"/>
      <c r="B47"/>
      <c r="C47"/>
      <c r="AF47"/>
      <c r="AG47" s="21">
        <f t="shared" si="1"/>
        <v>0</v>
      </c>
    </row>
    <row r="48" spans="1:33" ht="59.2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21">
        <f t="shared" si="1"/>
        <v>0</v>
      </c>
    </row>
    <row r="57" spans="1:33" ht="59.25" customHeight="1" x14ac:dyDescent="0.3">
      <c r="A57" s="74"/>
      <c r="B57"/>
      <c r="C57"/>
      <c r="AF57"/>
      <c r="AG57" s="21">
        <f t="shared" si="1"/>
        <v>0</v>
      </c>
    </row>
    <row r="58" spans="1:33" ht="59.25" customHeight="1" x14ac:dyDescent="0.3">
      <c r="A58" s="74"/>
      <c r="B58"/>
      <c r="C58"/>
      <c r="AF58"/>
      <c r="AG58" s="21">
        <f t="shared" si="1"/>
        <v>0</v>
      </c>
    </row>
    <row r="59" spans="1:33" ht="59.25" customHeight="1" x14ac:dyDescent="0.3">
      <c r="A59" s="74"/>
      <c r="B59"/>
      <c r="C59"/>
      <c r="AF59"/>
      <c r="AG59" s="21">
        <f t="shared" si="1"/>
        <v>0</v>
      </c>
    </row>
    <row r="60" spans="1:33" ht="59.25" customHeight="1" x14ac:dyDescent="0.3">
      <c r="A60" s="74"/>
      <c r="B60"/>
      <c r="C60"/>
      <c r="AF60"/>
      <c r="AG60" s="21">
        <f t="shared" si="1"/>
        <v>0</v>
      </c>
    </row>
    <row r="61" spans="1:33" ht="59.25" customHeight="1" x14ac:dyDescent="0.3">
      <c r="A61" s="74"/>
      <c r="B61"/>
      <c r="C61"/>
      <c r="AF61"/>
      <c r="AG61" s="21">
        <f t="shared" si="1"/>
        <v>0</v>
      </c>
    </row>
    <row r="62" spans="1:33" ht="59.25" customHeight="1" x14ac:dyDescent="0.3">
      <c r="A62" s="74"/>
      <c r="B62"/>
      <c r="C62"/>
      <c r="AF62"/>
      <c r="AG62" s="21">
        <f t="shared" si="1"/>
        <v>0</v>
      </c>
    </row>
    <row r="63" spans="1:33" ht="59.25" customHeight="1" x14ac:dyDescent="0.3">
      <c r="A63" s="74"/>
      <c r="B63"/>
      <c r="C63"/>
      <c r="AF63"/>
      <c r="AG63" s="21">
        <f t="shared" si="1"/>
        <v>0</v>
      </c>
    </row>
    <row r="64" spans="1:33" ht="59.25" customHeight="1" x14ac:dyDescent="0.3">
      <c r="A64" s="74"/>
      <c r="B64"/>
      <c r="C64"/>
      <c r="AF64"/>
      <c r="AG64" s="21">
        <f t="shared" si="1"/>
        <v>0</v>
      </c>
    </row>
    <row r="65" spans="1:33" ht="59.25" customHeight="1" x14ac:dyDescent="0.3">
      <c r="A65" s="74"/>
      <c r="B65"/>
      <c r="C65"/>
      <c r="AF65"/>
      <c r="AG65" s="21">
        <f t="shared" si="1"/>
        <v>0</v>
      </c>
    </row>
    <row r="66" spans="1:33" ht="59.25" customHeight="1" x14ac:dyDescent="0.3">
      <c r="A66" s="74"/>
      <c r="B66"/>
      <c r="C66"/>
      <c r="AF66"/>
      <c r="AG66" s="14">
        <f t="shared" si="1"/>
        <v>0</v>
      </c>
    </row>
    <row r="67" spans="1:33" ht="59.25" customHeight="1" x14ac:dyDescent="0.3">
      <c r="A67" s="74"/>
      <c r="B67"/>
      <c r="C67"/>
      <c r="AF67"/>
      <c r="AG67" s="14">
        <f t="shared" si="1"/>
        <v>0</v>
      </c>
    </row>
    <row r="68" spans="1:33" ht="59.25" customHeight="1" x14ac:dyDescent="0.3">
      <c r="A68" s="74"/>
      <c r="B68"/>
      <c r="C68"/>
      <c r="AF68"/>
      <c r="AG68" s="14">
        <f t="shared" si="1"/>
        <v>0</v>
      </c>
    </row>
    <row r="69" spans="1:33" ht="59.25" customHeight="1" x14ac:dyDescent="0.3">
      <c r="A69" s="74"/>
      <c r="B69"/>
      <c r="C69"/>
      <c r="AF69"/>
      <c r="AG69" s="14">
        <f t="shared" si="1"/>
        <v>0</v>
      </c>
    </row>
    <row r="70" spans="1:33" ht="59.25" customHeight="1" x14ac:dyDescent="0.3">
      <c r="A70" s="74"/>
      <c r="B70"/>
      <c r="C70"/>
      <c r="AF70"/>
      <c r="AG70" s="14">
        <f t="shared" si="1"/>
        <v>0</v>
      </c>
    </row>
    <row r="71" spans="1:33" ht="59.25" customHeight="1" x14ac:dyDescent="0.3">
      <c r="A71" s="74"/>
      <c r="B71"/>
      <c r="C71"/>
      <c r="AF71"/>
      <c r="AG71" s="14">
        <f t="shared" si="1"/>
        <v>0</v>
      </c>
    </row>
    <row r="72" spans="1:33" ht="15" customHeight="1" x14ac:dyDescent="0.3">
      <c r="AG72" s="14">
        <f t="shared" si="1"/>
        <v>0</v>
      </c>
    </row>
    <row r="73" spans="1:33" ht="15" customHeight="1" x14ac:dyDescent="0.3">
      <c r="AG73" s="14">
        <f t="shared" si="1"/>
        <v>0</v>
      </c>
    </row>
    <row r="74" spans="1:33" ht="15" customHeight="1" x14ac:dyDescent="0.3">
      <c r="AG74" s="14">
        <f t="shared" ref="AG74:AG105" si="2">IF(AF74=1,COUNTA(D74:E74,H74:L74,N74,Q74:U74,W74:Y74,AB74),COUNTA(D74:E74,H74:I74,Q74:U74,W74:Y74,AB74))</f>
        <v>0</v>
      </c>
    </row>
    <row r="75" spans="1:33" ht="15" customHeight="1" x14ac:dyDescent="0.3">
      <c r="AG75" s="14">
        <f t="shared" si="2"/>
        <v>0</v>
      </c>
    </row>
    <row r="76" spans="1:33" ht="15" customHeight="1" x14ac:dyDescent="0.3">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si="2"/>
        <v>0</v>
      </c>
    </row>
    <row r="97" spans="33:33" ht="15" customHeight="1" x14ac:dyDescent="0.3">
      <c r="AG97" s="14">
        <f t="shared" si="2"/>
        <v>0</v>
      </c>
    </row>
    <row r="98" spans="33:33" ht="15" customHeight="1" x14ac:dyDescent="0.3">
      <c r="AG98" s="14">
        <f t="shared" si="2"/>
        <v>0</v>
      </c>
    </row>
    <row r="99" spans="33:33" ht="15" customHeight="1" x14ac:dyDescent="0.3">
      <c r="AG99" s="14">
        <f t="shared" si="2"/>
        <v>0</v>
      </c>
    </row>
    <row r="100" spans="33:33" ht="15" customHeight="1" x14ac:dyDescent="0.3">
      <c r="AG100" s="14">
        <f t="shared" si="2"/>
        <v>0</v>
      </c>
    </row>
    <row r="101" spans="33:33" ht="15" customHeight="1" x14ac:dyDescent="0.3">
      <c r="AG101" s="14">
        <f t="shared" si="2"/>
        <v>0</v>
      </c>
    </row>
    <row r="102" spans="33:33" ht="15" customHeight="1" x14ac:dyDescent="0.3">
      <c r="AG102" s="14">
        <f t="shared" si="2"/>
        <v>0</v>
      </c>
    </row>
    <row r="103" spans="33:33" ht="15" customHeight="1" x14ac:dyDescent="0.3">
      <c r="AG103" s="14">
        <f t="shared" si="2"/>
        <v>0</v>
      </c>
    </row>
    <row r="104" spans="33:33" ht="15" customHeight="1" x14ac:dyDescent="0.3">
      <c r="AG104" s="14">
        <f t="shared" si="2"/>
        <v>0</v>
      </c>
    </row>
    <row r="105" spans="33:33" ht="15" customHeight="1" x14ac:dyDescent="0.3">
      <c r="AG105" s="14">
        <f t="shared" si="2"/>
        <v>0</v>
      </c>
    </row>
    <row r="106" spans="33:33" ht="15" customHeight="1" x14ac:dyDescent="0.3">
      <c r="AG106" s="14">
        <f t="shared" ref="AG106:AG137" si="3">IF(AF106=1,COUNTA(D106:E106,H106:L106,N106,Q106:U106,W106:Y106,AB106),COUNTA(D106:E106,H106:I106,Q106:U106,W106:Y106,AB106))</f>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si="3"/>
        <v>0</v>
      </c>
    </row>
    <row r="129" spans="33:33" ht="15" customHeight="1" x14ac:dyDescent="0.3">
      <c r="AG129" s="14">
        <f t="shared" si="3"/>
        <v>0</v>
      </c>
    </row>
    <row r="130" spans="33:33" ht="15" customHeight="1" x14ac:dyDescent="0.3">
      <c r="AG130" s="14">
        <f t="shared" si="3"/>
        <v>0</v>
      </c>
    </row>
    <row r="131" spans="33:33" ht="15" customHeight="1" x14ac:dyDescent="0.3">
      <c r="AG131" s="14">
        <f t="shared" si="3"/>
        <v>0</v>
      </c>
    </row>
    <row r="132" spans="33:33" ht="15" customHeight="1" x14ac:dyDescent="0.3">
      <c r="AG132" s="14">
        <f t="shared" si="3"/>
        <v>0</v>
      </c>
    </row>
    <row r="133" spans="33:33" ht="15" customHeight="1" x14ac:dyDescent="0.3">
      <c r="AG133" s="14">
        <f t="shared" si="3"/>
        <v>0</v>
      </c>
    </row>
    <row r="134" spans="33:33" ht="15" customHeight="1" x14ac:dyDescent="0.3">
      <c r="AG134" s="14">
        <f t="shared" si="3"/>
        <v>0</v>
      </c>
    </row>
    <row r="135" spans="33:33" ht="15" customHeight="1" x14ac:dyDescent="0.3">
      <c r="AG135" s="14">
        <f t="shared" si="3"/>
        <v>0</v>
      </c>
    </row>
    <row r="136" spans="33:33" ht="15" customHeight="1" x14ac:dyDescent="0.3">
      <c r="AG136" s="14">
        <f t="shared" si="3"/>
        <v>0</v>
      </c>
    </row>
    <row r="137" spans="33:33" ht="15" customHeight="1" x14ac:dyDescent="0.3">
      <c r="AG137" s="14">
        <f t="shared" si="3"/>
        <v>0</v>
      </c>
    </row>
    <row r="138" spans="33:33" ht="15" customHeight="1" x14ac:dyDescent="0.3">
      <c r="AG138" s="14">
        <f t="shared" ref="AG138:AG151" si="4">IF(AF138=1,COUNTA(D138:E138,H138:L138,N138,Q138:U138,W138:Y138,AB138),COUNTA(D138:E138,H138:I138,Q138:U138,W138:Y138,AB138))</f>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row r="147" spans="33:33" ht="15" customHeight="1" x14ac:dyDescent="0.3">
      <c r="AG147" s="14">
        <f t="shared" si="4"/>
        <v>0</v>
      </c>
    </row>
    <row r="148" spans="33:33" ht="15" customHeight="1" x14ac:dyDescent="0.3">
      <c r="AG148" s="14">
        <f t="shared" si="4"/>
        <v>0</v>
      </c>
    </row>
    <row r="149" spans="33:33" ht="15" customHeight="1" x14ac:dyDescent="0.3">
      <c r="AG149" s="14">
        <f t="shared" si="4"/>
        <v>0</v>
      </c>
    </row>
    <row r="150" spans="33:33" ht="15" customHeight="1" x14ac:dyDescent="0.3">
      <c r="AG150" s="14">
        <f t="shared" si="4"/>
        <v>0</v>
      </c>
    </row>
    <row r="151" spans="33:33" ht="15" customHeight="1" x14ac:dyDescent="0.3">
      <c r="AG151" s="14">
        <f t="shared" si="4"/>
        <v>0</v>
      </c>
    </row>
  </sheetData>
  <sheetProtection algorithmName="SHA-512" hashValue="gZBxJndjG5EpMNc2CIbMmnIUz1iMZ3uXZQAQnG0W9/tqsCLRam278Pjj8IPTlpTuGi1irhtxEC2jcebB/s81rw==" saltValue="zUQv57BgZvavc2GJtqTYvQ=="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45" priority="159">
      <formula>$S$2="err"</formula>
    </cfRule>
  </conditionalFormatting>
  <conditionalFormatting sqref="Q9:U9">
    <cfRule type="expression" dxfId="44" priority="162" stopIfTrue="1">
      <formula>$O9=1</formula>
    </cfRule>
  </conditionalFormatting>
  <conditionalFormatting sqref="H9:N9">
    <cfRule type="expression" dxfId="8" priority="163" stopIfTrue="1">
      <formula>LOWER(MID($N9,1,19))="please include this"</formula>
    </cfRule>
  </conditionalFormatting>
  <conditionalFormatting sqref="W9:Z9">
    <cfRule type="expression" dxfId="7" priority="164" stopIfTrue="1">
      <formula>LOWER(MID($N9,1,19))="please include this"</formula>
    </cfRule>
    <cfRule type="expression" dxfId="6" priority="165" stopIfTrue="1">
      <formula>$AH9=0</formula>
    </cfRule>
  </conditionalFormatting>
  <dataValidations count="5">
    <dataValidation type="list" allowBlank="1" showInputMessage="1" showErrorMessage="1" sqref="D9:E9" xr:uid="{00000000-0002-0000-1500-000000000000}">
      <formula1>sublist_fuel_and_energy</formula1>
    </dataValidation>
    <dataValidation type="decimal" allowBlank="1" showInputMessage="1" showErrorMessage="1" errorTitle="Numeric value required" error="Please enter a numeric value." sqref="H9" xr:uid="{36613082-0BE7-44F1-92EF-625DFB02C841}">
      <formula1>0</formula1>
      <formula2>99999999</formula2>
    </dataValidation>
    <dataValidation type="decimal" allowBlank="1" showInputMessage="1" showErrorMessage="1" errorTitle="Numeric value required" error="Please enter a numeric value." sqref="I9" xr:uid="{6B2357B4-1E22-48B4-BCCF-5C33CBC1DF40}">
      <formula1>0</formula1>
      <formula2>99999999</formula2>
    </dataValidation>
    <dataValidation type="decimal" operator="lessThanOrEqual" allowBlank="1" showInputMessage="1" showErrorMessage="1" errorTitle="Numeric value required" error="Please enter a numeric value less than or equal to 500." sqref="X9" xr:uid="{B2F1E0EA-068A-4535-835F-AFB2C4A9CC06}">
      <formula1>500</formula1>
    </dataValidation>
    <dataValidation type="decimal" allowBlank="1" showInputMessage="1" showErrorMessage="1" errorTitle="Numeric value required" error="Please enter a numeric value." sqref="AB9" xr:uid="{3F5D191A-86E6-4B59-BF32-7DF9698BD137}">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8466"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8467"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8468"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8469"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8539"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8540"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8541"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8542"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8543"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8544"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8545"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8546"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8547"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8548"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8549"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8550"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8551"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8552"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8553"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8554"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8555"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2000000}">
          <x14:formula1>
            <xm:f>'Emissions Factors Lookup'!$D$4:$D$7</xm:f>
          </x14:formula1>
          <xm:sqref>W9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3">
    <tabColor rgb="FF008BCB"/>
    <outlinePr summaryBelow="0" summaryRight="0"/>
  </sheetPr>
  <dimension ref="A1:AX151"/>
  <sheetViews>
    <sheetView showGridLines="0" showRowColHeaders="0" topLeftCell="B1" zoomScaleNormal="100" workbookViewId="0">
      <pane ySplit="8" topLeftCell="A9" activePane="bottomLeft" state="frozen"/>
      <selection activeCell="B7" sqref="B7:S19"/>
      <selection pane="bottomLeft" activeCell="A10" sqref="A10:AD10"/>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554687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M1" s="58"/>
      <c r="AN1" s="447"/>
      <c r="AO1" s="447"/>
      <c r="AP1" s="447"/>
      <c r="AW1" s="56">
        <v>0</v>
      </c>
    </row>
    <row r="2" spans="1:50" s="56" customFormat="1" ht="50.25" customHeight="1" x14ac:dyDescent="0.25">
      <c r="A2" s="76"/>
      <c r="B2" s="49"/>
      <c r="O2" s="58"/>
      <c r="P2" s="61"/>
      <c r="Q2" s="61"/>
      <c r="R2" s="61"/>
      <c r="S2" s="61" t="str">
        <f>IF(SUM(O:O)&gt;0,"err","")</f>
        <v/>
      </c>
      <c r="W2" s="56">
        <v>0</v>
      </c>
      <c r="AM2" s="58"/>
      <c r="AW2" s="56">
        <v>0</v>
      </c>
    </row>
    <row r="3" spans="1:50" ht="30.75" customHeight="1" x14ac:dyDescent="0.3">
      <c r="A3" s="28"/>
      <c r="B3" s="28"/>
      <c r="C3" s="28"/>
      <c r="D3" s="561" t="s">
        <v>1124</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246</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1085</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246</v>
      </c>
      <c r="B9" s="65"/>
      <c r="C9" s="45" t="s">
        <v>246</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70">
        <f>IF(P9&lt;0,1,0)</f>
        <v>0</v>
      </c>
      <c r="P9" s="66"/>
      <c r="Q9" s="62"/>
      <c r="R9" s="62"/>
      <c r="S9" s="62"/>
      <c r="T9" s="62"/>
      <c r="U9" s="62"/>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05"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70.349999999999994" customHeight="1" x14ac:dyDescent="0.3">
      <c r="A11" s="316"/>
      <c r="B11"/>
      <c r="C11"/>
      <c r="O11"/>
      <c r="AF11"/>
      <c r="AG11" s="21">
        <f>IF(AF11=1,COUNTA(D11:E11,H11:L11,N11,Q11:U11,W11:Y11,AB11),COUNTA(D11:E11,H11:I11,Q11:U11,W11:X11,AB11))</f>
        <v>0</v>
      </c>
      <c r="AH11" s="14" t="str">
        <f>IF(ISERROR(VLOOKUP(D11&amp;E11,'Emissions Factors Lookup'!J4:R400,9,FALSE)),"",VLOOKUP(D11&amp;E11,'Emissions Factors Lookup'!J4:R400,9,FALSE))</f>
        <v/>
      </c>
    </row>
    <row r="12" spans="1:50" ht="59.25" customHeight="1" x14ac:dyDescent="0.3">
      <c r="A12" s="74"/>
      <c r="B12"/>
      <c r="C12"/>
      <c r="AF12"/>
      <c r="AG12" s="21">
        <f t="shared" ref="AG12:AG41" si="0">IF(AF12=1,COUNTA(D12:E12,H12:L12,N12,Q12:U12,W12:Y12,AB12),COUNTA(D12:E12,H12:I12,Q12:U12,W12:Y12,AB12))</f>
        <v>0</v>
      </c>
    </row>
    <row r="13" spans="1:50" ht="51.75" customHeight="1" x14ac:dyDescent="0.3">
      <c r="A13" s="74"/>
      <c r="B13"/>
      <c r="C13"/>
      <c r="AF13"/>
      <c r="AG13" s="21">
        <f t="shared" si="0"/>
        <v>0</v>
      </c>
    </row>
    <row r="14" spans="1:50" ht="59.25" customHeight="1" x14ac:dyDescent="0.3">
      <c r="A14" s="74"/>
      <c r="B14"/>
      <c r="C14"/>
      <c r="AF14"/>
      <c r="AG14" s="21">
        <f t="shared" si="0"/>
        <v>0</v>
      </c>
    </row>
    <row r="15" spans="1:50" ht="51.75" customHeight="1" x14ac:dyDescent="0.3">
      <c r="A15" s="74"/>
      <c r="B15"/>
      <c r="C15"/>
      <c r="AF15"/>
      <c r="AG15" s="21">
        <f t="shared" si="0"/>
        <v>0</v>
      </c>
    </row>
    <row r="16" spans="1:50" ht="59.25" customHeight="1" x14ac:dyDescent="0.3">
      <c r="A16" s="74"/>
      <c r="B16"/>
      <c r="C16"/>
      <c r="AF16"/>
      <c r="AG16" s="21">
        <f t="shared" si="0"/>
        <v>0</v>
      </c>
    </row>
    <row r="17" spans="1:33" ht="51.75" customHeight="1" x14ac:dyDescent="0.3">
      <c r="A17" s="74"/>
      <c r="B17"/>
      <c r="C17"/>
      <c r="AF17"/>
      <c r="AG17" s="21">
        <f t="shared" si="0"/>
        <v>0</v>
      </c>
    </row>
    <row r="18" spans="1:33" ht="59.25" customHeight="1" x14ac:dyDescent="0.3">
      <c r="A18" s="74"/>
      <c r="B18"/>
      <c r="C18"/>
      <c r="AF18"/>
      <c r="AG18" s="21">
        <f t="shared" si="0"/>
        <v>0</v>
      </c>
    </row>
    <row r="19" spans="1:33" ht="59.25" customHeight="1" x14ac:dyDescent="0.3">
      <c r="A19" s="74"/>
      <c r="B19"/>
      <c r="C19"/>
      <c r="AF19"/>
      <c r="AG19" s="21">
        <f t="shared" si="0"/>
        <v>0</v>
      </c>
    </row>
    <row r="20" spans="1:33" ht="59.2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9.25" customHeight="1" x14ac:dyDescent="0.3">
      <c r="A23" s="74"/>
      <c r="B23"/>
      <c r="C23"/>
      <c r="AF23"/>
      <c r="AG23" s="21">
        <f t="shared" si="0"/>
        <v>0</v>
      </c>
    </row>
    <row r="24" spans="1:33" ht="59.25" customHeight="1" x14ac:dyDescent="0.3">
      <c r="A24" s="74"/>
      <c r="B24"/>
      <c r="C24"/>
      <c r="AF24"/>
      <c r="AG24" s="21">
        <f t="shared" si="0"/>
        <v>0</v>
      </c>
    </row>
    <row r="25" spans="1:33" ht="59.2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1.75" customHeight="1" x14ac:dyDescent="0.3">
      <c r="A28" s="74"/>
      <c r="B28"/>
      <c r="C28"/>
      <c r="AF28"/>
      <c r="AG28" s="21">
        <f t="shared" si="0"/>
        <v>0</v>
      </c>
    </row>
    <row r="29" spans="1:33" ht="59.25" customHeight="1" x14ac:dyDescent="0.3">
      <c r="A29" s="74"/>
      <c r="B29"/>
      <c r="C29"/>
      <c r="AF29"/>
      <c r="AG29" s="21">
        <f t="shared" si="0"/>
        <v>0</v>
      </c>
    </row>
    <row r="30" spans="1:33" ht="51.75" customHeight="1" x14ac:dyDescent="0.3">
      <c r="A30" s="74"/>
      <c r="B30"/>
      <c r="C30"/>
      <c r="AF30"/>
      <c r="AG30" s="21">
        <f t="shared" si="0"/>
        <v>0</v>
      </c>
    </row>
    <row r="31" spans="1:33" ht="59.25" customHeight="1" x14ac:dyDescent="0.3">
      <c r="A31" s="74"/>
      <c r="B31"/>
      <c r="C31"/>
      <c r="AF31"/>
      <c r="AG31" s="21">
        <f t="shared" si="0"/>
        <v>0</v>
      </c>
    </row>
    <row r="32" spans="1:33" ht="59.25" customHeight="1" x14ac:dyDescent="0.3">
      <c r="A32" s="74"/>
      <c r="B32"/>
      <c r="C32"/>
      <c r="AF32"/>
      <c r="AG32" s="21">
        <f t="shared" si="0"/>
        <v>0</v>
      </c>
    </row>
    <row r="33" spans="1:33" ht="59.25" customHeight="1" x14ac:dyDescent="0.3">
      <c r="A33" s="74"/>
      <c r="B33"/>
      <c r="C33"/>
      <c r="AF33"/>
      <c r="AG33" s="21">
        <f t="shared" si="0"/>
        <v>0</v>
      </c>
    </row>
    <row r="34" spans="1:33" ht="59.25" customHeight="1" x14ac:dyDescent="0.3">
      <c r="A34" s="74"/>
      <c r="B34"/>
      <c r="C34"/>
      <c r="AF34"/>
      <c r="AG34" s="21">
        <f t="shared" si="0"/>
        <v>0</v>
      </c>
    </row>
    <row r="35" spans="1:33" ht="51.75" customHeight="1" x14ac:dyDescent="0.3">
      <c r="A35" s="74"/>
      <c r="B35"/>
      <c r="C35"/>
      <c r="AF35"/>
      <c r="AG35" s="21">
        <f t="shared" si="0"/>
        <v>0</v>
      </c>
    </row>
    <row r="36" spans="1:33" ht="59.25" customHeight="1" x14ac:dyDescent="0.3">
      <c r="A36" s="74"/>
      <c r="B36"/>
      <c r="C36"/>
      <c r="AF36"/>
      <c r="AG36" s="21">
        <f t="shared" si="0"/>
        <v>0</v>
      </c>
    </row>
    <row r="37" spans="1:33" ht="59.25" customHeight="1" x14ac:dyDescent="0.3">
      <c r="A37" s="74"/>
      <c r="B37"/>
      <c r="C37"/>
      <c r="AF37"/>
      <c r="AG37" s="21">
        <f t="shared" si="0"/>
        <v>0</v>
      </c>
    </row>
    <row r="38" spans="1:33" ht="59.25" customHeight="1" x14ac:dyDescent="0.3">
      <c r="A38" s="74"/>
      <c r="B38"/>
      <c r="C38"/>
      <c r="AF38"/>
      <c r="AG38" s="21">
        <f t="shared" si="0"/>
        <v>0</v>
      </c>
    </row>
    <row r="39" spans="1:33" ht="59.25" customHeight="1" x14ac:dyDescent="0.3">
      <c r="A39" s="74"/>
      <c r="B39"/>
      <c r="C39"/>
      <c r="AF39"/>
      <c r="AG39" s="21">
        <f t="shared" si="0"/>
        <v>0</v>
      </c>
    </row>
    <row r="40" spans="1:33" ht="51.75" customHeight="1" x14ac:dyDescent="0.3">
      <c r="A40" s="74"/>
      <c r="B40"/>
      <c r="C40"/>
      <c r="AF40"/>
      <c r="AG40" s="21">
        <f t="shared" si="0"/>
        <v>0</v>
      </c>
    </row>
    <row r="41" spans="1:33" ht="51.75" customHeight="1" x14ac:dyDescent="0.3">
      <c r="A41" s="74"/>
      <c r="B41"/>
      <c r="C41"/>
      <c r="AF41"/>
      <c r="AG41" s="21">
        <f t="shared" si="0"/>
        <v>0</v>
      </c>
    </row>
    <row r="42" spans="1:33" ht="59.25" customHeight="1" x14ac:dyDescent="0.3">
      <c r="A42" s="74"/>
      <c r="B42"/>
      <c r="C42"/>
      <c r="AF42"/>
      <c r="AG42" s="21">
        <f t="shared" ref="AG42:AG73" si="1">IF(AF42=1,COUNTA(D42:E42,H42:L42,N42,Q42:U42,W42:Y42,AB42),COUNTA(D42:E42,H42:I42,Q42:U42,W42:Y42,AB42))</f>
        <v>0</v>
      </c>
    </row>
    <row r="43" spans="1:33" ht="51.75" customHeight="1" x14ac:dyDescent="0.3">
      <c r="A43" s="74"/>
      <c r="B43"/>
      <c r="C43"/>
      <c r="AF43"/>
      <c r="AG43" s="21">
        <f t="shared" si="1"/>
        <v>0</v>
      </c>
    </row>
    <row r="44" spans="1:33" ht="51.75" customHeight="1" x14ac:dyDescent="0.3">
      <c r="A44" s="74"/>
      <c r="B44"/>
      <c r="C44"/>
      <c r="AF44"/>
      <c r="AG44" s="21">
        <f t="shared" si="1"/>
        <v>0</v>
      </c>
    </row>
    <row r="45" spans="1:33" ht="59.25" customHeight="1" x14ac:dyDescent="0.3">
      <c r="A45" s="74"/>
      <c r="B45"/>
      <c r="C45"/>
      <c r="AF45"/>
      <c r="AG45" s="21">
        <f t="shared" si="1"/>
        <v>0</v>
      </c>
    </row>
    <row r="46" spans="1:33" ht="51.75" customHeight="1" x14ac:dyDescent="0.3">
      <c r="A46" s="74"/>
      <c r="B46"/>
      <c r="C46"/>
      <c r="AF46"/>
      <c r="AG46" s="21">
        <f t="shared" si="1"/>
        <v>0</v>
      </c>
    </row>
    <row r="47" spans="1:33" ht="51.75" customHeight="1" x14ac:dyDescent="0.3">
      <c r="A47" s="74"/>
      <c r="B47"/>
      <c r="C47"/>
      <c r="AF47"/>
      <c r="AG47" s="21">
        <f t="shared" si="1"/>
        <v>0</v>
      </c>
    </row>
    <row r="48" spans="1:33" ht="59.2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21">
        <f t="shared" si="1"/>
        <v>0</v>
      </c>
    </row>
    <row r="57" spans="1:33" ht="59.25" customHeight="1" x14ac:dyDescent="0.3">
      <c r="A57" s="74"/>
      <c r="B57"/>
      <c r="C57"/>
      <c r="AF57"/>
      <c r="AG57" s="21">
        <f t="shared" si="1"/>
        <v>0</v>
      </c>
    </row>
    <row r="58" spans="1:33" ht="59.25" customHeight="1" x14ac:dyDescent="0.3">
      <c r="A58" s="74"/>
      <c r="B58"/>
      <c r="C58"/>
      <c r="AF58"/>
      <c r="AG58" s="21">
        <f t="shared" si="1"/>
        <v>0</v>
      </c>
    </row>
    <row r="59" spans="1:33" ht="59.25" customHeight="1" x14ac:dyDescent="0.3">
      <c r="A59" s="74"/>
      <c r="B59"/>
      <c r="C59"/>
      <c r="AF59"/>
      <c r="AG59" s="21">
        <f t="shared" si="1"/>
        <v>0</v>
      </c>
    </row>
    <row r="60" spans="1:33" ht="59.25" customHeight="1" x14ac:dyDescent="0.3">
      <c r="A60" s="74"/>
      <c r="B60"/>
      <c r="C60"/>
      <c r="AF60"/>
      <c r="AG60" s="21">
        <f t="shared" si="1"/>
        <v>0</v>
      </c>
    </row>
    <row r="61" spans="1:33" ht="59.25" customHeight="1" x14ac:dyDescent="0.3">
      <c r="A61" s="74"/>
      <c r="B61"/>
      <c r="C61"/>
      <c r="AF61"/>
      <c r="AG61" s="21">
        <f t="shared" si="1"/>
        <v>0</v>
      </c>
    </row>
    <row r="62" spans="1:33" ht="59.25" customHeight="1" x14ac:dyDescent="0.3">
      <c r="A62" s="74"/>
      <c r="B62"/>
      <c r="C62"/>
      <c r="AF62"/>
      <c r="AG62" s="21">
        <f t="shared" si="1"/>
        <v>0</v>
      </c>
    </row>
    <row r="63" spans="1:33" ht="59.25" customHeight="1" x14ac:dyDescent="0.3">
      <c r="A63" s="74"/>
      <c r="B63"/>
      <c r="C63"/>
      <c r="AF63"/>
      <c r="AG63" s="21">
        <f t="shared" si="1"/>
        <v>0</v>
      </c>
    </row>
    <row r="64" spans="1:33" ht="59.25" customHeight="1" x14ac:dyDescent="0.3">
      <c r="A64" s="74"/>
      <c r="B64"/>
      <c r="C64"/>
      <c r="AF64"/>
      <c r="AG64" s="21">
        <f t="shared" si="1"/>
        <v>0</v>
      </c>
    </row>
    <row r="65" spans="1:33" ht="59.25" customHeight="1" x14ac:dyDescent="0.3">
      <c r="A65" s="74"/>
      <c r="B65"/>
      <c r="C65"/>
      <c r="AF65"/>
      <c r="AG65" s="21">
        <f t="shared" si="1"/>
        <v>0</v>
      </c>
    </row>
    <row r="66" spans="1:33" ht="59.25" customHeight="1" x14ac:dyDescent="0.3">
      <c r="A66" s="74"/>
      <c r="B66"/>
      <c r="C66"/>
      <c r="AF66"/>
      <c r="AG66" s="14">
        <f t="shared" si="1"/>
        <v>0</v>
      </c>
    </row>
    <row r="67" spans="1:33" ht="59.25" customHeight="1" x14ac:dyDescent="0.3">
      <c r="A67" s="74"/>
      <c r="B67"/>
      <c r="C67"/>
      <c r="AF67"/>
      <c r="AG67" s="14">
        <f t="shared" si="1"/>
        <v>0</v>
      </c>
    </row>
    <row r="68" spans="1:33" ht="59.25" customHeight="1" x14ac:dyDescent="0.3">
      <c r="A68" s="74"/>
      <c r="B68"/>
      <c r="C68"/>
      <c r="AF68"/>
      <c r="AG68" s="14">
        <f t="shared" si="1"/>
        <v>0</v>
      </c>
    </row>
    <row r="69" spans="1:33" ht="59.25" customHeight="1" x14ac:dyDescent="0.3">
      <c r="A69" s="74"/>
      <c r="B69"/>
      <c r="C69"/>
      <c r="AF69"/>
      <c r="AG69" s="14">
        <f t="shared" si="1"/>
        <v>0</v>
      </c>
    </row>
    <row r="70" spans="1:33" ht="59.25" customHeight="1" x14ac:dyDescent="0.3">
      <c r="A70" s="74"/>
      <c r="B70"/>
      <c r="C70"/>
      <c r="AF70"/>
      <c r="AG70" s="14">
        <f t="shared" si="1"/>
        <v>0</v>
      </c>
    </row>
    <row r="71" spans="1:33" ht="59.25" customHeight="1" x14ac:dyDescent="0.3">
      <c r="A71" s="74"/>
      <c r="B71"/>
      <c r="C71"/>
      <c r="AF71"/>
      <c r="AG71" s="14">
        <f t="shared" si="1"/>
        <v>0</v>
      </c>
    </row>
    <row r="72" spans="1:33" ht="15" customHeight="1" x14ac:dyDescent="0.3">
      <c r="AG72" s="14">
        <f t="shared" si="1"/>
        <v>0</v>
      </c>
    </row>
    <row r="73" spans="1:33" ht="15" customHeight="1" x14ac:dyDescent="0.3">
      <c r="AG73" s="14">
        <f t="shared" si="1"/>
        <v>0</v>
      </c>
    </row>
    <row r="74" spans="1:33" ht="15" customHeight="1" x14ac:dyDescent="0.3">
      <c r="AG74" s="14">
        <f t="shared" ref="AG74:AG105" si="2">IF(AF74=1,COUNTA(D74:E74,H74:L74,N74,Q74:U74,W74:Y74,AB74),COUNTA(D74:E74,H74:I74,Q74:U74,W74:Y74,AB74))</f>
        <v>0</v>
      </c>
    </row>
    <row r="75" spans="1:33" ht="15" customHeight="1" x14ac:dyDescent="0.3">
      <c r="AG75" s="14">
        <f t="shared" si="2"/>
        <v>0</v>
      </c>
    </row>
    <row r="76" spans="1:33" ht="15" customHeight="1" x14ac:dyDescent="0.3">
      <c r="AG76" s="14">
        <f t="shared" si="2"/>
        <v>0</v>
      </c>
    </row>
    <row r="77" spans="1:33" ht="15" customHeight="1" x14ac:dyDescent="0.3">
      <c r="AG77" s="14">
        <f t="shared" si="2"/>
        <v>0</v>
      </c>
    </row>
    <row r="78" spans="1:33" ht="15" customHeight="1" x14ac:dyDescent="0.3">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si="2"/>
        <v>0</v>
      </c>
    </row>
    <row r="97" spans="33:33" ht="15" customHeight="1" x14ac:dyDescent="0.3">
      <c r="AG97" s="14">
        <f t="shared" si="2"/>
        <v>0</v>
      </c>
    </row>
    <row r="98" spans="33:33" ht="15" customHeight="1" x14ac:dyDescent="0.3">
      <c r="AG98" s="14">
        <f t="shared" si="2"/>
        <v>0</v>
      </c>
    </row>
    <row r="99" spans="33:33" ht="15" customHeight="1" x14ac:dyDescent="0.3">
      <c r="AG99" s="14">
        <f t="shared" si="2"/>
        <v>0</v>
      </c>
    </row>
    <row r="100" spans="33:33" ht="15" customHeight="1" x14ac:dyDescent="0.3">
      <c r="AG100" s="14">
        <f t="shared" si="2"/>
        <v>0</v>
      </c>
    </row>
    <row r="101" spans="33:33" ht="15" customHeight="1" x14ac:dyDescent="0.3">
      <c r="AG101" s="14">
        <f t="shared" si="2"/>
        <v>0</v>
      </c>
    </row>
    <row r="102" spans="33:33" ht="15" customHeight="1" x14ac:dyDescent="0.3">
      <c r="AG102" s="14">
        <f t="shared" si="2"/>
        <v>0</v>
      </c>
    </row>
    <row r="103" spans="33:33" ht="15" customHeight="1" x14ac:dyDescent="0.3">
      <c r="AG103" s="14">
        <f t="shared" si="2"/>
        <v>0</v>
      </c>
    </row>
    <row r="104" spans="33:33" ht="15" customHeight="1" x14ac:dyDescent="0.3">
      <c r="AG104" s="14">
        <f t="shared" si="2"/>
        <v>0</v>
      </c>
    </row>
    <row r="105" spans="33:33" ht="15" customHeight="1" x14ac:dyDescent="0.3">
      <c r="AG105" s="14">
        <f t="shared" si="2"/>
        <v>0</v>
      </c>
    </row>
    <row r="106" spans="33:33" ht="15" customHeight="1" x14ac:dyDescent="0.3">
      <c r="AG106" s="14">
        <f t="shared" ref="AG106:AG137" si="3">IF(AF106=1,COUNTA(D106:E106,H106:L106,N106,Q106:U106,W106:Y106,AB106),COUNTA(D106:E106,H106:I106,Q106:U106,W106:Y106,AB106))</f>
        <v>0</v>
      </c>
    </row>
    <row r="107" spans="33:33" ht="15" customHeight="1" x14ac:dyDescent="0.3">
      <c r="AG107" s="14">
        <f t="shared" si="3"/>
        <v>0</v>
      </c>
    </row>
    <row r="108" spans="33:33" ht="15" customHeight="1" x14ac:dyDescent="0.3">
      <c r="AG108" s="14">
        <f t="shared" si="3"/>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si="3"/>
        <v>0</v>
      </c>
    </row>
    <row r="129" spans="33:33" ht="15" customHeight="1" x14ac:dyDescent="0.3">
      <c r="AG129" s="14">
        <f t="shared" si="3"/>
        <v>0</v>
      </c>
    </row>
    <row r="130" spans="33:33" ht="15" customHeight="1" x14ac:dyDescent="0.3">
      <c r="AG130" s="14">
        <f t="shared" si="3"/>
        <v>0</v>
      </c>
    </row>
    <row r="131" spans="33:33" ht="15" customHeight="1" x14ac:dyDescent="0.3">
      <c r="AG131" s="14">
        <f t="shared" si="3"/>
        <v>0</v>
      </c>
    </row>
    <row r="132" spans="33:33" ht="15" customHeight="1" x14ac:dyDescent="0.3">
      <c r="AG132" s="14">
        <f t="shared" si="3"/>
        <v>0</v>
      </c>
    </row>
    <row r="133" spans="33:33" ht="15" customHeight="1" x14ac:dyDescent="0.3">
      <c r="AG133" s="14">
        <f t="shared" si="3"/>
        <v>0</v>
      </c>
    </row>
    <row r="134" spans="33:33" ht="15" customHeight="1" x14ac:dyDescent="0.3">
      <c r="AG134" s="14">
        <f t="shared" si="3"/>
        <v>0</v>
      </c>
    </row>
    <row r="135" spans="33:33" ht="15" customHeight="1" x14ac:dyDescent="0.3">
      <c r="AG135" s="14">
        <f t="shared" si="3"/>
        <v>0</v>
      </c>
    </row>
    <row r="136" spans="33:33" ht="15" customHeight="1" x14ac:dyDescent="0.3">
      <c r="AG136" s="14">
        <f t="shared" si="3"/>
        <v>0</v>
      </c>
    </row>
    <row r="137" spans="33:33" ht="15" customHeight="1" x14ac:dyDescent="0.3">
      <c r="AG137" s="14">
        <f t="shared" si="3"/>
        <v>0</v>
      </c>
    </row>
    <row r="138" spans="33:33" ht="15" customHeight="1" x14ac:dyDescent="0.3">
      <c r="AG138" s="14">
        <f t="shared" ref="AG138:AG151" si="4">IF(AF138=1,COUNTA(D138:E138,H138:L138,N138,Q138:U138,W138:Y138,AB138),COUNTA(D138:E138,H138:I138,Q138:U138,W138:Y138,AB138))</f>
        <v>0</v>
      </c>
    </row>
    <row r="139" spans="33:33" ht="15" customHeight="1" x14ac:dyDescent="0.3">
      <c r="AG139" s="14">
        <f t="shared" si="4"/>
        <v>0</v>
      </c>
    </row>
    <row r="140" spans="33:33" ht="15" customHeight="1" x14ac:dyDescent="0.3">
      <c r="AG140" s="14">
        <f t="shared" si="4"/>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row r="147" spans="33:33" ht="15" customHeight="1" x14ac:dyDescent="0.3">
      <c r="AG147" s="14">
        <f t="shared" si="4"/>
        <v>0</v>
      </c>
    </row>
    <row r="148" spans="33:33" ht="15" customHeight="1" x14ac:dyDescent="0.3">
      <c r="AG148" s="14">
        <f t="shared" si="4"/>
        <v>0</v>
      </c>
    </row>
    <row r="149" spans="33:33" ht="15" customHeight="1" x14ac:dyDescent="0.3">
      <c r="AG149" s="14">
        <f t="shared" si="4"/>
        <v>0</v>
      </c>
    </row>
    <row r="150" spans="33:33" ht="15" customHeight="1" x14ac:dyDescent="0.3">
      <c r="AG150" s="14">
        <f t="shared" si="4"/>
        <v>0</v>
      </c>
    </row>
    <row r="151" spans="33:33" ht="15" customHeight="1" x14ac:dyDescent="0.3">
      <c r="AG151" s="14">
        <f t="shared" si="4"/>
        <v>0</v>
      </c>
    </row>
  </sheetData>
  <sheetProtection algorithmName="SHA-512" hashValue="mjTgglVQ/Y3fo0haA1zI5dTHi2fSGaZikt7a5ce5oUGjOk+pFXauSiIgPhR/QkV0JmqAy0kKv1jh7kA9d4QFpg==" saltValue="7WPA5XhABtx8c+I494djCg=="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40" priority="217">
      <formula>$S$2="err"</formula>
    </cfRule>
  </conditionalFormatting>
  <conditionalFormatting sqref="Q9:U9">
    <cfRule type="expression" dxfId="39" priority="220" stopIfTrue="1">
      <formula>$O9=1</formula>
    </cfRule>
  </conditionalFormatting>
  <conditionalFormatting sqref="H9:N9">
    <cfRule type="expression" dxfId="5" priority="221" stopIfTrue="1">
      <formula>LOWER(MID($N9,1,19))="please include this"</formula>
    </cfRule>
  </conditionalFormatting>
  <conditionalFormatting sqref="W9:Z9">
    <cfRule type="expression" dxfId="4" priority="222" stopIfTrue="1">
      <formula>LOWER(MID($N9,1,19))="please include this"</formula>
    </cfRule>
    <cfRule type="expression" dxfId="3" priority="223" stopIfTrue="1">
      <formula>$AH9=0</formula>
    </cfRule>
  </conditionalFormatting>
  <dataValidations count="5">
    <dataValidation type="list" allowBlank="1" showInputMessage="1" showErrorMessage="1" sqref="D9:E9" xr:uid="{00000000-0002-0000-1600-000000000000}">
      <formula1>sublist_business_transport</formula1>
    </dataValidation>
    <dataValidation type="decimal" allowBlank="1" showInputMessage="1" showErrorMessage="1" errorTitle="Numeric value required" error="Please enter a numeric value." sqref="H9" xr:uid="{C523B170-19D2-452C-B9A3-97C653B7DD2D}">
      <formula1>0</formula1>
      <formula2>99999999</formula2>
    </dataValidation>
    <dataValidation type="decimal" allowBlank="1" showInputMessage="1" showErrorMessage="1" errorTitle="Numeric value required" error="Please enter a numeric value." sqref="I9" xr:uid="{730B3940-D78C-4A88-BD87-9FA6DE2BD79F}">
      <formula1>0</formula1>
      <formula2>99999999</formula2>
    </dataValidation>
    <dataValidation type="decimal" operator="lessThanOrEqual" allowBlank="1" showInputMessage="1" showErrorMessage="1" errorTitle="Numeric value required" error="Please enter a numeric value less than or equal to 500." sqref="X9" xr:uid="{9D30C09B-95A8-419A-BD45-D4A11FB81EA5}">
      <formula1>500</formula1>
    </dataValidation>
    <dataValidation type="decimal" allowBlank="1" showInputMessage="1" showErrorMessage="1" errorTitle="Numeric value required" error="Please enter a numeric value." sqref="AB9" xr:uid="{4256F5CD-803E-4176-92B6-D51F7901B5D4}">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19490"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19491"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19492"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19493"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19562"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19563"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19564"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19565"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19566"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19567"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19568"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19569"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19570"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19571"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19572"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19573"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19574"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19575"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19576"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19577"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19578"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2000000}">
          <x14:formula1>
            <xm:f>'Emissions Factors Lookup'!$D$4:$D$7</xm:f>
          </x14:formula1>
          <xm:sqref>W9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4">
    <tabColor rgb="FF008BCB"/>
    <outlinePr summaryBelow="0" summaryRight="0"/>
  </sheetPr>
  <dimension ref="A1:AX152"/>
  <sheetViews>
    <sheetView showGridLines="0" showRowColHeaders="0" zoomScaleNormal="100" workbookViewId="0">
      <pane ySplit="8" topLeftCell="A9" activePane="bottomLeft" state="frozen"/>
      <selection activeCell="B7" sqref="B7:S19"/>
      <selection pane="bottomLeft" activeCell="A10" sqref="A10:AD10"/>
    </sheetView>
  </sheetViews>
  <sheetFormatPr defaultColWidth="0" defaultRowHeight="15" customHeight="1" x14ac:dyDescent="0.3"/>
  <cols>
    <col min="1" max="1" width="3" style="77" customWidth="1"/>
    <col min="2" max="2" width="10.5546875" style="31" customWidth="1"/>
    <col min="3" max="3" width="8.33203125" style="31" hidden="1" customWidth="1"/>
    <col min="4" max="4" width="35.6640625" customWidth="1"/>
    <col min="5" max="5" width="27.6640625" customWidth="1"/>
    <col min="6" max="6" width="6" customWidth="1"/>
    <col min="7" max="7" width="8.33203125" hidden="1" customWidth="1"/>
    <col min="8" max="8" width="8.33203125" customWidth="1"/>
    <col min="9" max="9" width="8.33203125" hidden="1" customWidth="1"/>
    <col min="10" max="10" width="8.33203125" customWidth="1"/>
    <col min="11" max="11" width="13.33203125" customWidth="1"/>
    <col min="12" max="13" width="8.33203125" customWidth="1"/>
    <col min="14" max="14" width="57.33203125" hidden="1" customWidth="1"/>
    <col min="15" max="15" width="3" style="3" hidden="1" customWidth="1"/>
    <col min="16" max="21" width="9.33203125" hidden="1" customWidth="1"/>
    <col min="22" max="22" width="3" customWidth="1"/>
    <col min="23" max="24" width="8.33203125" customWidth="1"/>
    <col min="25" max="25" width="12" customWidth="1"/>
    <col min="26" max="26" width="8.33203125" customWidth="1"/>
    <col min="27" max="27" width="11.6640625" customWidth="1"/>
    <col min="28" max="28" width="8.33203125" hidden="1" customWidth="1"/>
    <col min="29" max="29" width="253.6640625" hidden="1" customWidth="1"/>
    <col min="30" max="31" width="10.6640625" hidden="1" customWidth="1"/>
    <col min="32" max="16384" width="10.6640625" style="14" hidden="1"/>
  </cols>
  <sheetData>
    <row r="1" spans="1:50" s="56" customFormat="1" ht="43.5" customHeight="1" x14ac:dyDescent="0.25">
      <c r="A1" s="75"/>
      <c r="O1" s="58"/>
      <c r="R1" s="57"/>
      <c r="AD1" s="447"/>
      <c r="AE1" s="447"/>
      <c r="AH1" s="56">
        <v>1</v>
      </c>
      <c r="AM1" s="58"/>
      <c r="AN1" s="447"/>
      <c r="AO1" s="447"/>
      <c r="AP1" s="447"/>
      <c r="AW1" s="56">
        <v>0</v>
      </c>
    </row>
    <row r="2" spans="1:50" s="56" customFormat="1" ht="50.25" customHeight="1" x14ac:dyDescent="0.25">
      <c r="A2" s="76"/>
      <c r="B2" s="49"/>
      <c r="O2" s="58"/>
      <c r="P2" s="61"/>
      <c r="Q2" s="61"/>
      <c r="R2" s="61"/>
      <c r="S2" s="61" t="str">
        <f>IF(SUM(O:O)&gt;0,"err","")</f>
        <v/>
      </c>
      <c r="AM2" s="58"/>
      <c r="AW2" s="56">
        <v>0</v>
      </c>
    </row>
    <row r="3" spans="1:50" ht="30.75" customHeight="1" x14ac:dyDescent="0.3">
      <c r="A3" s="28"/>
      <c r="B3" s="28"/>
      <c r="C3" s="28"/>
      <c r="D3" s="561" t="s">
        <v>1125</v>
      </c>
      <c r="E3" s="561"/>
      <c r="F3" s="561"/>
      <c r="G3" s="561"/>
      <c r="H3" s="561"/>
      <c r="I3" s="561"/>
      <c r="J3" s="561"/>
      <c r="K3" s="561"/>
      <c r="L3" s="561"/>
      <c r="M3" s="561"/>
      <c r="N3" s="73"/>
      <c r="O3" s="67"/>
      <c r="P3" s="14"/>
      <c r="Q3" s="14"/>
      <c r="R3" s="14"/>
      <c r="S3" s="14"/>
      <c r="T3" s="14"/>
      <c r="U3" s="14"/>
      <c r="V3" s="14"/>
      <c r="W3" s="559" t="s">
        <v>448</v>
      </c>
      <c r="X3" s="559"/>
      <c r="Y3" s="559"/>
      <c r="Z3" s="559"/>
      <c r="AA3" s="14"/>
      <c r="AB3" s="14"/>
      <c r="AC3" s="14"/>
      <c r="AD3" s="14"/>
      <c r="AE3" s="14"/>
      <c r="AW3" s="26">
        <v>0</v>
      </c>
      <c r="AX3" s="14" t="s">
        <v>44</v>
      </c>
    </row>
    <row r="4" spans="1:50" ht="14.4" x14ac:dyDescent="0.3">
      <c r="A4" s="29"/>
      <c r="B4" s="29"/>
      <c r="C4" s="29"/>
      <c r="D4" s="14"/>
      <c r="E4" s="14"/>
      <c r="F4" s="14"/>
      <c r="G4" s="14"/>
      <c r="H4" s="14"/>
      <c r="I4" s="14"/>
      <c r="J4" s="14"/>
      <c r="K4" s="14"/>
      <c r="L4" s="14"/>
      <c r="M4" s="194" t="s">
        <v>601</v>
      </c>
      <c r="N4" s="14"/>
      <c r="O4" s="67"/>
      <c r="P4" s="17"/>
      <c r="Q4" s="17"/>
      <c r="R4" s="17"/>
      <c r="S4" s="14"/>
      <c r="T4" s="14"/>
      <c r="U4" s="14"/>
      <c r="V4" s="14"/>
      <c r="W4" s="63" t="s">
        <v>450</v>
      </c>
      <c r="X4" s="562" t="s">
        <v>449</v>
      </c>
      <c r="Y4" s="563"/>
      <c r="Z4" s="63" t="s">
        <v>6</v>
      </c>
      <c r="AA4" s="14"/>
      <c r="AB4" s="14"/>
      <c r="AC4" s="14"/>
      <c r="AD4" s="14"/>
      <c r="AE4" s="14"/>
      <c r="AW4" s="14" t="s">
        <v>29</v>
      </c>
    </row>
    <row r="5" spans="1:50" ht="36.75" customHeight="1" x14ac:dyDescent="0.3">
      <c r="A5" s="28"/>
      <c r="B5"/>
      <c r="C5"/>
      <c r="D5" s="71" t="s">
        <v>460</v>
      </c>
      <c r="G5" s="14"/>
      <c r="H5" s="18"/>
      <c r="I5" s="18"/>
      <c r="J5" s="27" t="s">
        <v>324</v>
      </c>
      <c r="K5" s="557">
        <f>SUMIFS(M:M,AF:AF,"&lt;&gt;2")+SUMIFS(Z:Z,AF:AF,"&lt;&gt;2")-Z5</f>
        <v>0</v>
      </c>
      <c r="L5" s="558"/>
      <c r="M5" s="25" t="s">
        <v>5</v>
      </c>
      <c r="N5" s="14"/>
      <c r="O5" s="68"/>
      <c r="P5" s="19"/>
      <c r="Q5" s="19"/>
      <c r="R5" s="19"/>
      <c r="S5" s="19"/>
      <c r="T5" s="18"/>
      <c r="U5" s="14"/>
      <c r="V5" s="19"/>
      <c r="W5" s="162">
        <v>1</v>
      </c>
      <c r="X5" s="564" t="s">
        <v>449</v>
      </c>
      <c r="Y5" s="565"/>
      <c r="Z5" s="64">
        <f>1.609344*W5</f>
        <v>1.6093440000000001</v>
      </c>
      <c r="AA5" s="14"/>
      <c r="AB5" s="14"/>
      <c r="AC5" s="14"/>
      <c r="AD5" s="14"/>
      <c r="AE5" s="14"/>
    </row>
    <row r="6" spans="1:50" ht="15" customHeight="1" x14ac:dyDescent="0.3">
      <c r="A6" s="28"/>
      <c r="B6" s="28"/>
      <c r="C6" s="28"/>
      <c r="D6" s="14"/>
      <c r="E6" s="18"/>
      <c r="F6" s="18"/>
      <c r="G6" s="14"/>
      <c r="H6" s="18"/>
      <c r="I6" s="18"/>
      <c r="J6" s="20"/>
      <c r="K6" s="20"/>
      <c r="L6" s="18"/>
      <c r="M6" s="18"/>
      <c r="N6" s="18"/>
      <c r="O6" s="69"/>
      <c r="P6" s="19"/>
      <c r="Q6" s="19"/>
      <c r="R6" s="19"/>
      <c r="S6" s="18"/>
      <c r="T6" s="18"/>
      <c r="U6" s="14"/>
      <c r="V6" s="18"/>
      <c r="W6" s="14"/>
      <c r="X6" s="14"/>
      <c r="Y6" s="14"/>
      <c r="Z6" s="14"/>
      <c r="AA6" s="14"/>
      <c r="AB6" s="14"/>
      <c r="AC6" s="14"/>
      <c r="AD6" s="14"/>
      <c r="AE6" s="14"/>
    </row>
    <row r="7" spans="1:50" ht="15" customHeight="1" x14ac:dyDescent="0.3">
      <c r="A7" s="28"/>
      <c r="D7" s="551" t="s">
        <v>2</v>
      </c>
      <c r="E7" s="552"/>
      <c r="F7" s="552"/>
      <c r="G7" s="552"/>
      <c r="H7" s="552"/>
      <c r="I7" s="552"/>
      <c r="J7" s="552"/>
      <c r="K7" s="552"/>
      <c r="L7" s="552"/>
      <c r="M7" s="552"/>
      <c r="N7" s="553"/>
      <c r="O7" s="72"/>
      <c r="P7" s="560" t="s">
        <v>457</v>
      </c>
      <c r="Q7" s="560"/>
      <c r="R7" s="560"/>
      <c r="S7" s="560"/>
      <c r="T7" s="560"/>
      <c r="U7" s="560"/>
      <c r="V7" s="78"/>
      <c r="W7" s="554" t="s">
        <v>1086</v>
      </c>
      <c r="X7" s="555"/>
      <c r="Y7" s="555"/>
      <c r="Z7" s="556"/>
      <c r="AA7" s="17"/>
      <c r="AB7" s="33" t="s">
        <v>245</v>
      </c>
      <c r="AD7" s="14"/>
      <c r="AE7" s="14"/>
      <c r="AF7" s="14" t="s">
        <v>247</v>
      </c>
    </row>
    <row r="8" spans="1:50" ht="51.75" customHeight="1" x14ac:dyDescent="0.3">
      <c r="A8" s="30"/>
      <c r="D8" s="160" t="s">
        <v>0</v>
      </c>
      <c r="E8" s="160" t="s">
        <v>1</v>
      </c>
      <c r="F8" s="160" t="s">
        <v>8</v>
      </c>
      <c r="G8" s="160" t="s">
        <v>51</v>
      </c>
      <c r="H8" s="160" t="s">
        <v>188</v>
      </c>
      <c r="I8" s="160" t="s">
        <v>187</v>
      </c>
      <c r="J8" s="160" t="s">
        <v>235</v>
      </c>
      <c r="K8" s="160" t="s">
        <v>236</v>
      </c>
      <c r="L8" s="160" t="s">
        <v>189</v>
      </c>
      <c r="M8" s="160" t="s">
        <v>323</v>
      </c>
      <c r="N8" s="160" t="s">
        <v>54</v>
      </c>
      <c r="O8" s="69"/>
      <c r="P8" s="161" t="s">
        <v>456</v>
      </c>
      <c r="Q8" s="161" t="s">
        <v>30</v>
      </c>
      <c r="R8" s="161" t="s">
        <v>24</v>
      </c>
      <c r="S8" s="161" t="s">
        <v>26</v>
      </c>
      <c r="T8" s="161" t="s">
        <v>32</v>
      </c>
      <c r="U8" s="161" t="s">
        <v>29</v>
      </c>
      <c r="W8" s="161" t="s">
        <v>3</v>
      </c>
      <c r="X8" s="161" t="s">
        <v>186</v>
      </c>
      <c r="Y8" s="161" t="s">
        <v>486</v>
      </c>
      <c r="Z8" s="161" t="s">
        <v>323</v>
      </c>
      <c r="AA8" s="14"/>
      <c r="AB8" s="161" t="s">
        <v>187</v>
      </c>
      <c r="AD8" s="14"/>
      <c r="AE8" s="14"/>
      <c r="AF8" s="21" t="s">
        <v>248</v>
      </c>
      <c r="AG8" s="21" t="s">
        <v>201</v>
      </c>
    </row>
    <row r="9" spans="1:50" ht="70.05" customHeight="1" x14ac:dyDescent="0.3">
      <c r="A9" s="74" t="s">
        <v>29</v>
      </c>
      <c r="B9" s="65"/>
      <c r="C9" s="45" t="s">
        <v>29</v>
      </c>
      <c r="D9" s="252"/>
      <c r="E9" s="252"/>
      <c r="F9" s="317" t="str">
        <f>IF(ISERROR(VLOOKUP(D9&amp;E9,'Emissions Factors Lookup'!J4:Q400,2,FALSE)),"",VLOOKUP(D9&amp;E9,'Emissions Factors Lookup'!J4:Q400,2,FALSE))</f>
        <v/>
      </c>
      <c r="G9" s="317" t="str">
        <f>IF(ISERROR(VLOOKUP(D9&amp;E9,'Emissions Factors Lookup'!J4:Q400,3,FALSE)),"",VLOOKUP(D9&amp;E9,'Emissions Factors Lookup'!J4:Q400,3,FALSE))</f>
        <v/>
      </c>
      <c r="H9" s="253"/>
      <c r="I9" s="253"/>
      <c r="J9" s="318" t="str">
        <f>IF(ISERROR(VLOOKUP(D9&amp;E9,'Emissions Factors Lookup'!J4:Q400,4,FALSE)),"",VLOOKUP(D9&amp;E9,'Emissions Factors Lookup'!J4:Q400,4,FALSE))</f>
        <v/>
      </c>
      <c r="K9" s="317" t="str">
        <f>IF(ISERROR(VLOOKUP(D9&amp;E9,'Emissions Factors Lookup'!J4:Q400,5,FALSE)),"",VLOOKUP(D9&amp;E9,'Emissions Factors Lookup'!J4:Q400,5,FALSE))</f>
        <v/>
      </c>
      <c r="L9" s="318" t="str">
        <f>IF(ISERROR(VLOOKUP(D9&amp;E9,'Emissions Factors Lookup'!J4:Q400,6,FALSE)),"",VLOOKUP(D9&amp;E9,'Emissions Factors Lookup'!J4:Q400,6,FALSE))</f>
        <v/>
      </c>
      <c r="M9" s="318" t="str">
        <f>IF(OR((N(L9)*N(H9)*N(J9)) = 0, ISERROR(L9*H9*J9)),"",L9*H9*J9)</f>
        <v/>
      </c>
      <c r="N9" s="317" t="str">
        <f>IF(ISERROR(VLOOKUP(D9&amp;E9,'Emissions Factors Lookup'!J4:Q400,6,FALSE)),"",VLOOKUP(D9&amp;E9,'Emissions Factors Lookup'!J4:Q400,7,FALSE)&amp;IF(VLOOKUP(D9&amp;E9,'Emissions Factors Lookup'!J4:Q400,8,FALSE)="",""," - "&amp;VLOOKUP(D9&amp;E9,'Emissions Factors Lookup'!J4:Q400,8,FALSE)))</f>
        <v/>
      </c>
      <c r="O9" s="65">
        <f>IF(P9&lt;0,1,0)</f>
        <v>0</v>
      </c>
      <c r="W9" s="252"/>
      <c r="X9" s="253"/>
      <c r="Y9" s="320" t="str">
        <f>IF(ISBLANK(W9),"",((VLOOKUP("Laden" &amp; W9,'Emissions Factors Lookup'!J4:Q400,4,FALSE)*VLOOKUP("Laden" &amp;W9,'Emissions Factors Lookup'!J4:Q400,6,FALSE)) + (VLOOKUP("Unladen" &amp; W9,'Emissions Factors Lookup'!J4:Q400,4,FALSE)*VLOOKUP("Unladen" &amp;W9,'Emissions Factors Lookup'!J4:Q400,6,FALSE)))/2)</f>
        <v/>
      </c>
      <c r="Z9" s="318" t="str">
        <f>IF(ISBLANK(X9),"",(X9*H9*L9*Y9)*2)</f>
        <v/>
      </c>
      <c r="AB9" s="253"/>
      <c r="AF9">
        <v>0</v>
      </c>
      <c r="AG9" s="21">
        <f>IF(AF9=1,COUNTA(D9:E9,H9:L9,N9,Q9:U9,W9:Y9,AB9),COUNTA(D9:E9,H9:I9,Q9:U9,W9:X9,AB9))</f>
        <v>0</v>
      </c>
      <c r="AH9" s="14" t="str">
        <f>IF(ISERROR(VLOOKUP(D9&amp;E9,'Emissions Factors Lookup'!J4:R400,9,FALSE)),"",VLOOKUP(D9&amp;E9,'Emissions Factors Lookup'!J4:R400,9,FALSE))</f>
        <v/>
      </c>
    </row>
    <row r="10" spans="1:50" ht="70.05" customHeight="1" x14ac:dyDescent="0.3">
      <c r="A10"/>
      <c r="B10"/>
      <c r="C10"/>
      <c r="O10"/>
      <c r="AF10"/>
      <c r="AG10" s="21">
        <f>IF(AF10=1,COUNTA(D10:E10,H10:L10,N10,Q10:U10,W10:Y10,AB10),COUNTA(D10:E10,H10:I10,Q10:U10,W10:X10,AB10))</f>
        <v>0</v>
      </c>
      <c r="AH10" s="14" t="str">
        <f>IF(ISERROR(VLOOKUP(D10&amp;E10,'Emissions Factors Lookup'!J4:R400,9,FALSE)),"",VLOOKUP(D10&amp;E10,'Emissions Factors Lookup'!J4:R400,9,FALSE))</f>
        <v/>
      </c>
    </row>
    <row r="11" spans="1:50" ht="70.349999999999994" customHeight="1" x14ac:dyDescent="0.3">
      <c r="A11" s="316"/>
      <c r="B11"/>
      <c r="C11"/>
      <c r="O11"/>
      <c r="AF11"/>
      <c r="AG11" s="21">
        <f>IF(AF11=1,COUNTA(D11:E11,H11:L11,N11,Q11:U11,W11:Y11,AB11),COUNTA(D11:E11,H11:I11,Q11:U11,W11:X11,AB11))</f>
        <v>0</v>
      </c>
      <c r="AH11" s="14" t="str">
        <f>IF(ISERROR(VLOOKUP(D11&amp;E11,'Emissions Factors Lookup'!J4:R400,9,FALSE)),"",VLOOKUP(D11&amp;E11,'Emissions Factors Lookup'!J4:R400,9,FALSE))</f>
        <v/>
      </c>
    </row>
    <row r="12" spans="1:50" ht="70.349999999999994" customHeight="1" x14ac:dyDescent="0.3">
      <c r="A12" s="316"/>
      <c r="B12"/>
      <c r="C12"/>
      <c r="O12"/>
      <c r="AF12"/>
      <c r="AG12" s="21">
        <f>IF(AF12=1,COUNTA(D12:E12,H12:L12,N12,Q12:U12,W12:Y12,AB12),COUNTA(D12:E12,H12:I12,Q12:U12,W12:X12,AB12))</f>
        <v>0</v>
      </c>
      <c r="AH12" s="14" t="str">
        <f>IF(ISERROR(VLOOKUP(D12&amp;E12,'Emissions Factors Lookup'!J4:R400,9,FALSE)),"",VLOOKUP(D12&amp;E12,'Emissions Factors Lookup'!J4:R400,9,FALSE))</f>
        <v/>
      </c>
    </row>
    <row r="13" spans="1:50" ht="70.349999999999994" customHeight="1" x14ac:dyDescent="0.3">
      <c r="A13" s="316"/>
      <c r="B13"/>
      <c r="C13"/>
      <c r="O13"/>
      <c r="AF13"/>
      <c r="AG13" s="21">
        <f>IF(AF13=1,COUNTA(D13:E13,H13:L13,N13,Q13:U13,W13:Y13,AB13),COUNTA(D13:E13,H13:I13,Q13:U13,W13:X13,AB13))</f>
        <v>0</v>
      </c>
      <c r="AH13" s="14" t="str">
        <f>IF(ISERROR(VLOOKUP(D13&amp;E13,'Emissions Factors Lookup'!J4:R400,9,FALSE)),"",VLOOKUP(D13&amp;E13,'Emissions Factors Lookup'!J4:R400,9,FALSE))</f>
        <v/>
      </c>
    </row>
    <row r="14" spans="1:50" ht="51.75" customHeight="1" x14ac:dyDescent="0.3">
      <c r="A14" s="74"/>
      <c r="B14"/>
      <c r="C14"/>
      <c r="AF14"/>
      <c r="AG14" s="21">
        <f t="shared" ref="AG14:AG43" si="0">IF(AF14=1,COUNTA(D14:E14,H14:L14,N14,Q14:U14,W14:Y14,AB14),COUNTA(D14:E14,H14:I14,Q14:U14,W14:Y14,AB14))</f>
        <v>0</v>
      </c>
    </row>
    <row r="15" spans="1:50" ht="59.25" customHeight="1" x14ac:dyDescent="0.3">
      <c r="A15" s="74"/>
      <c r="B15"/>
      <c r="C15"/>
      <c r="AF15"/>
      <c r="AG15" s="21">
        <f t="shared" si="0"/>
        <v>0</v>
      </c>
    </row>
    <row r="16" spans="1:50" ht="51.75" customHeight="1" x14ac:dyDescent="0.3">
      <c r="A16" s="74"/>
      <c r="B16"/>
      <c r="C16"/>
      <c r="AF16"/>
      <c r="AG16" s="21">
        <f t="shared" si="0"/>
        <v>0</v>
      </c>
    </row>
    <row r="17" spans="1:33" ht="59.25" customHeight="1" x14ac:dyDescent="0.3">
      <c r="A17" s="74"/>
      <c r="B17"/>
      <c r="C17"/>
      <c r="AF17"/>
      <c r="AG17" s="21">
        <f t="shared" si="0"/>
        <v>0</v>
      </c>
    </row>
    <row r="18" spans="1:33" ht="51.75" customHeight="1" x14ac:dyDescent="0.3">
      <c r="A18" s="74"/>
      <c r="B18"/>
      <c r="C18"/>
      <c r="AF18"/>
      <c r="AG18" s="21">
        <f t="shared" si="0"/>
        <v>0</v>
      </c>
    </row>
    <row r="19" spans="1:33" ht="59.25" customHeight="1" x14ac:dyDescent="0.3">
      <c r="A19" s="74"/>
      <c r="B19"/>
      <c r="C19"/>
      <c r="AF19"/>
      <c r="AG19" s="21">
        <f t="shared" si="0"/>
        <v>0</v>
      </c>
    </row>
    <row r="20" spans="1:33" ht="59.25" customHeight="1" x14ac:dyDescent="0.3">
      <c r="A20" s="74"/>
      <c r="B20"/>
      <c r="C20"/>
      <c r="AF20"/>
      <c r="AG20" s="21">
        <f t="shared" si="0"/>
        <v>0</v>
      </c>
    </row>
    <row r="21" spans="1:33" ht="59.25" customHeight="1" x14ac:dyDescent="0.3">
      <c r="A21" s="74"/>
      <c r="B21"/>
      <c r="C21"/>
      <c r="AF21"/>
      <c r="AG21" s="21">
        <f t="shared" si="0"/>
        <v>0</v>
      </c>
    </row>
    <row r="22" spans="1:33" ht="59.25" customHeight="1" x14ac:dyDescent="0.3">
      <c r="A22" s="74"/>
      <c r="B22"/>
      <c r="C22"/>
      <c r="AF22"/>
      <c r="AG22" s="21">
        <f t="shared" si="0"/>
        <v>0</v>
      </c>
    </row>
    <row r="23" spans="1:33" ht="59.25" customHeight="1" x14ac:dyDescent="0.3">
      <c r="A23" s="74"/>
      <c r="B23"/>
      <c r="C23"/>
      <c r="AF23"/>
      <c r="AG23" s="21">
        <f t="shared" si="0"/>
        <v>0</v>
      </c>
    </row>
    <row r="24" spans="1:33" ht="59.25" customHeight="1" x14ac:dyDescent="0.3">
      <c r="A24" s="74"/>
      <c r="B24"/>
      <c r="C24"/>
      <c r="AF24"/>
      <c r="AG24" s="21">
        <f t="shared" si="0"/>
        <v>0</v>
      </c>
    </row>
    <row r="25" spans="1:33" ht="59.25" customHeight="1" x14ac:dyDescent="0.3">
      <c r="A25" s="74"/>
      <c r="B25"/>
      <c r="C25"/>
      <c r="AF25"/>
      <c r="AG25" s="21">
        <f t="shared" si="0"/>
        <v>0</v>
      </c>
    </row>
    <row r="26" spans="1:33" ht="59.25" customHeight="1" x14ac:dyDescent="0.3">
      <c r="A26" s="74"/>
      <c r="B26"/>
      <c r="C26"/>
      <c r="AF26"/>
      <c r="AG26" s="21">
        <f t="shared" si="0"/>
        <v>0</v>
      </c>
    </row>
    <row r="27" spans="1:33" ht="59.25" customHeight="1" x14ac:dyDescent="0.3">
      <c r="A27" s="74"/>
      <c r="B27"/>
      <c r="C27"/>
      <c r="AF27"/>
      <c r="AG27" s="21">
        <f t="shared" si="0"/>
        <v>0</v>
      </c>
    </row>
    <row r="28" spans="1:33" ht="59.25" customHeight="1" x14ac:dyDescent="0.3">
      <c r="A28" s="74"/>
      <c r="B28"/>
      <c r="C28"/>
      <c r="AF28"/>
      <c r="AG28" s="21">
        <f t="shared" si="0"/>
        <v>0</v>
      </c>
    </row>
    <row r="29" spans="1:33" ht="51.75" customHeight="1" x14ac:dyDescent="0.3">
      <c r="A29" s="74"/>
      <c r="B29"/>
      <c r="C29"/>
      <c r="AF29"/>
      <c r="AG29" s="21">
        <f t="shared" si="0"/>
        <v>0</v>
      </c>
    </row>
    <row r="30" spans="1:33" ht="59.25" customHeight="1" x14ac:dyDescent="0.3">
      <c r="A30" s="74"/>
      <c r="B30"/>
      <c r="C30"/>
      <c r="AF30"/>
      <c r="AG30" s="21">
        <f t="shared" si="0"/>
        <v>0</v>
      </c>
    </row>
    <row r="31" spans="1:33" ht="51.75" customHeight="1" x14ac:dyDescent="0.3">
      <c r="A31" s="74"/>
      <c r="B31"/>
      <c r="C31"/>
      <c r="AF31"/>
      <c r="AG31" s="21">
        <f t="shared" si="0"/>
        <v>0</v>
      </c>
    </row>
    <row r="32" spans="1:33" ht="59.25" customHeight="1" x14ac:dyDescent="0.3">
      <c r="A32" s="74"/>
      <c r="B32"/>
      <c r="C32"/>
      <c r="AF32"/>
      <c r="AG32" s="21">
        <f t="shared" si="0"/>
        <v>0</v>
      </c>
    </row>
    <row r="33" spans="1:33" ht="59.25" customHeight="1" x14ac:dyDescent="0.3">
      <c r="A33" s="74"/>
      <c r="B33"/>
      <c r="C33"/>
      <c r="AF33"/>
      <c r="AG33" s="21">
        <f t="shared" si="0"/>
        <v>0</v>
      </c>
    </row>
    <row r="34" spans="1:33" ht="59.25" customHeight="1" x14ac:dyDescent="0.3">
      <c r="A34" s="74"/>
      <c r="B34"/>
      <c r="C34"/>
      <c r="AF34"/>
      <c r="AG34" s="21">
        <f t="shared" si="0"/>
        <v>0</v>
      </c>
    </row>
    <row r="35" spans="1:33" ht="59.25" customHeight="1" x14ac:dyDescent="0.3">
      <c r="A35" s="74"/>
      <c r="B35"/>
      <c r="C35"/>
      <c r="AF35"/>
      <c r="AG35" s="21">
        <f t="shared" si="0"/>
        <v>0</v>
      </c>
    </row>
    <row r="36" spans="1:33" ht="51.75" customHeight="1" x14ac:dyDescent="0.3">
      <c r="A36" s="74"/>
      <c r="B36"/>
      <c r="C36"/>
      <c r="AF36"/>
      <c r="AG36" s="21">
        <f t="shared" si="0"/>
        <v>0</v>
      </c>
    </row>
    <row r="37" spans="1:33" ht="59.25" customHeight="1" x14ac:dyDescent="0.3">
      <c r="A37" s="74"/>
      <c r="B37"/>
      <c r="C37"/>
      <c r="AF37"/>
      <c r="AG37" s="21">
        <f t="shared" si="0"/>
        <v>0</v>
      </c>
    </row>
    <row r="38" spans="1:33" ht="59.25" customHeight="1" x14ac:dyDescent="0.3">
      <c r="A38" s="74"/>
      <c r="B38"/>
      <c r="C38"/>
      <c r="AF38"/>
      <c r="AG38" s="21">
        <f t="shared" si="0"/>
        <v>0</v>
      </c>
    </row>
    <row r="39" spans="1:33" ht="59.25" customHeight="1" x14ac:dyDescent="0.3">
      <c r="A39" s="74"/>
      <c r="B39"/>
      <c r="C39"/>
      <c r="AF39"/>
      <c r="AG39" s="21">
        <f t="shared" si="0"/>
        <v>0</v>
      </c>
    </row>
    <row r="40" spans="1:33" ht="59.25" customHeight="1" x14ac:dyDescent="0.3">
      <c r="A40" s="74"/>
      <c r="B40"/>
      <c r="C40"/>
      <c r="AF40"/>
      <c r="AG40" s="21">
        <f t="shared" si="0"/>
        <v>0</v>
      </c>
    </row>
    <row r="41" spans="1:33" ht="51.75" customHeight="1" x14ac:dyDescent="0.3">
      <c r="A41" s="74"/>
      <c r="B41"/>
      <c r="C41"/>
      <c r="AF41"/>
      <c r="AG41" s="21">
        <f t="shared" si="0"/>
        <v>0</v>
      </c>
    </row>
    <row r="42" spans="1:33" ht="51.75" customHeight="1" x14ac:dyDescent="0.3">
      <c r="A42" s="74"/>
      <c r="B42"/>
      <c r="C42"/>
      <c r="AF42"/>
      <c r="AG42" s="21">
        <f t="shared" si="0"/>
        <v>0</v>
      </c>
    </row>
    <row r="43" spans="1:33" ht="59.25" customHeight="1" x14ac:dyDescent="0.3">
      <c r="A43" s="74"/>
      <c r="B43"/>
      <c r="C43"/>
      <c r="AF43"/>
      <c r="AG43" s="21">
        <f t="shared" si="0"/>
        <v>0</v>
      </c>
    </row>
    <row r="44" spans="1:33" ht="51.75" customHeight="1" x14ac:dyDescent="0.3">
      <c r="A44" s="74"/>
      <c r="B44"/>
      <c r="C44"/>
      <c r="AF44"/>
      <c r="AG44" s="21">
        <f t="shared" ref="AG44:AG75" si="1">IF(AF44=1,COUNTA(D44:E44,H44:L44,N44,Q44:U44,W44:Y44,AB44),COUNTA(D44:E44,H44:I44,Q44:U44,W44:Y44,AB44))</f>
        <v>0</v>
      </c>
    </row>
    <row r="45" spans="1:33" ht="51.75" customHeight="1" x14ac:dyDescent="0.3">
      <c r="A45" s="74"/>
      <c r="B45"/>
      <c r="C45"/>
      <c r="AF45"/>
      <c r="AG45" s="21">
        <f t="shared" si="1"/>
        <v>0</v>
      </c>
    </row>
    <row r="46" spans="1:33" ht="59.25" customHeight="1" x14ac:dyDescent="0.3">
      <c r="A46" s="74"/>
      <c r="B46"/>
      <c r="C46"/>
      <c r="AF46"/>
      <c r="AG46" s="21">
        <f t="shared" si="1"/>
        <v>0</v>
      </c>
    </row>
    <row r="47" spans="1:33" ht="51.75" customHeight="1" x14ac:dyDescent="0.3">
      <c r="A47" s="74"/>
      <c r="B47"/>
      <c r="C47"/>
      <c r="AF47"/>
      <c r="AG47" s="21">
        <f t="shared" si="1"/>
        <v>0</v>
      </c>
    </row>
    <row r="48" spans="1:33" ht="51.75" customHeight="1" x14ac:dyDescent="0.3">
      <c r="A48" s="74"/>
      <c r="B48"/>
      <c r="C48"/>
      <c r="AF48"/>
      <c r="AG48" s="21">
        <f t="shared" si="1"/>
        <v>0</v>
      </c>
    </row>
    <row r="49" spans="1:33" ht="59.25" customHeight="1" x14ac:dyDescent="0.3">
      <c r="A49" s="74"/>
      <c r="B49"/>
      <c r="C49"/>
      <c r="AF49"/>
      <c r="AG49" s="21">
        <f t="shared" si="1"/>
        <v>0</v>
      </c>
    </row>
    <row r="50" spans="1:33" ht="59.25" customHeight="1" x14ac:dyDescent="0.3">
      <c r="A50" s="74"/>
      <c r="B50"/>
      <c r="C50"/>
      <c r="AF50"/>
      <c r="AG50" s="21">
        <f t="shared" si="1"/>
        <v>0</v>
      </c>
    </row>
    <row r="51" spans="1:33" ht="59.25" customHeight="1" x14ac:dyDescent="0.3">
      <c r="A51" s="74"/>
      <c r="B51"/>
      <c r="C51"/>
      <c r="AF51"/>
      <c r="AG51" s="21">
        <f t="shared" si="1"/>
        <v>0</v>
      </c>
    </row>
    <row r="52" spans="1:33" ht="59.25" customHeight="1" x14ac:dyDescent="0.3">
      <c r="A52" s="74"/>
      <c r="B52"/>
      <c r="C52"/>
      <c r="AF52"/>
      <c r="AG52" s="21">
        <f t="shared" si="1"/>
        <v>0</v>
      </c>
    </row>
    <row r="53" spans="1:33" ht="59.25" customHeight="1" x14ac:dyDescent="0.3">
      <c r="A53" s="74"/>
      <c r="B53"/>
      <c r="C53"/>
      <c r="AF53"/>
      <c r="AG53" s="21">
        <f t="shared" si="1"/>
        <v>0</v>
      </c>
    </row>
    <row r="54" spans="1:33" ht="59.25" customHeight="1" x14ac:dyDescent="0.3">
      <c r="A54" s="74"/>
      <c r="B54"/>
      <c r="C54"/>
      <c r="AF54"/>
      <c r="AG54" s="21">
        <f t="shared" si="1"/>
        <v>0</v>
      </c>
    </row>
    <row r="55" spans="1:33" ht="59.25" customHeight="1" x14ac:dyDescent="0.3">
      <c r="A55" s="74"/>
      <c r="B55"/>
      <c r="C55"/>
      <c r="AF55"/>
      <c r="AG55" s="21">
        <f t="shared" si="1"/>
        <v>0</v>
      </c>
    </row>
    <row r="56" spans="1:33" ht="59.25" customHeight="1" x14ac:dyDescent="0.3">
      <c r="A56" s="74"/>
      <c r="B56"/>
      <c r="C56"/>
      <c r="AF56"/>
      <c r="AG56" s="21">
        <f t="shared" si="1"/>
        <v>0</v>
      </c>
    </row>
    <row r="57" spans="1:33" ht="59.25" customHeight="1" x14ac:dyDescent="0.3">
      <c r="A57" s="74"/>
      <c r="B57"/>
      <c r="C57"/>
      <c r="AF57"/>
      <c r="AG57" s="21">
        <f t="shared" si="1"/>
        <v>0</v>
      </c>
    </row>
    <row r="58" spans="1:33" ht="59.25" customHeight="1" x14ac:dyDescent="0.3">
      <c r="A58" s="74"/>
      <c r="B58"/>
      <c r="C58"/>
      <c r="AF58"/>
      <c r="AG58" s="21">
        <f t="shared" si="1"/>
        <v>0</v>
      </c>
    </row>
    <row r="59" spans="1:33" ht="59.25" customHeight="1" x14ac:dyDescent="0.3">
      <c r="A59" s="74"/>
      <c r="B59"/>
      <c r="C59"/>
      <c r="AF59"/>
      <c r="AG59" s="21">
        <f t="shared" si="1"/>
        <v>0</v>
      </c>
    </row>
    <row r="60" spans="1:33" ht="59.25" customHeight="1" x14ac:dyDescent="0.3">
      <c r="A60" s="74"/>
      <c r="B60"/>
      <c r="C60"/>
      <c r="AF60"/>
      <c r="AG60" s="21">
        <f t="shared" si="1"/>
        <v>0</v>
      </c>
    </row>
    <row r="61" spans="1:33" ht="59.25" customHeight="1" x14ac:dyDescent="0.3">
      <c r="A61" s="74"/>
      <c r="B61"/>
      <c r="C61"/>
      <c r="AF61"/>
      <c r="AG61" s="21">
        <f t="shared" si="1"/>
        <v>0</v>
      </c>
    </row>
    <row r="62" spans="1:33" ht="59.25" customHeight="1" x14ac:dyDescent="0.3">
      <c r="A62" s="74"/>
      <c r="B62"/>
      <c r="C62"/>
      <c r="AF62"/>
      <c r="AG62" s="21">
        <f t="shared" si="1"/>
        <v>0</v>
      </c>
    </row>
    <row r="63" spans="1:33" ht="59.25" customHeight="1" x14ac:dyDescent="0.3">
      <c r="A63" s="74"/>
      <c r="B63"/>
      <c r="C63"/>
      <c r="AF63"/>
      <c r="AG63" s="21">
        <f t="shared" si="1"/>
        <v>0</v>
      </c>
    </row>
    <row r="64" spans="1:33" ht="59.25" customHeight="1" x14ac:dyDescent="0.3">
      <c r="A64" s="74"/>
      <c r="B64"/>
      <c r="C64"/>
      <c r="AF64"/>
      <c r="AG64" s="21">
        <f t="shared" si="1"/>
        <v>0</v>
      </c>
    </row>
    <row r="65" spans="1:33" ht="59.25" customHeight="1" x14ac:dyDescent="0.3">
      <c r="A65" s="74"/>
      <c r="B65"/>
      <c r="C65"/>
      <c r="AF65"/>
      <c r="AG65" s="21">
        <f t="shared" si="1"/>
        <v>0</v>
      </c>
    </row>
    <row r="66" spans="1:33" ht="59.25" customHeight="1" x14ac:dyDescent="0.3">
      <c r="A66" s="74"/>
      <c r="B66"/>
      <c r="C66"/>
      <c r="AF66"/>
      <c r="AG66" s="21">
        <f t="shared" si="1"/>
        <v>0</v>
      </c>
    </row>
    <row r="67" spans="1:33" ht="59.25" customHeight="1" x14ac:dyDescent="0.3">
      <c r="A67" s="74"/>
      <c r="B67"/>
      <c r="C67"/>
      <c r="AF67"/>
      <c r="AG67" s="14">
        <f t="shared" si="1"/>
        <v>0</v>
      </c>
    </row>
    <row r="68" spans="1:33" ht="59.25" customHeight="1" x14ac:dyDescent="0.3">
      <c r="A68" s="74"/>
      <c r="B68"/>
      <c r="C68"/>
      <c r="AF68"/>
      <c r="AG68" s="14">
        <f t="shared" si="1"/>
        <v>0</v>
      </c>
    </row>
    <row r="69" spans="1:33" ht="59.25" customHeight="1" x14ac:dyDescent="0.3">
      <c r="A69" s="74"/>
      <c r="B69"/>
      <c r="C69"/>
      <c r="AF69"/>
      <c r="AG69" s="14">
        <f t="shared" si="1"/>
        <v>0</v>
      </c>
    </row>
    <row r="70" spans="1:33" ht="59.25" customHeight="1" x14ac:dyDescent="0.3">
      <c r="A70" s="74"/>
      <c r="B70"/>
      <c r="C70"/>
      <c r="AF70"/>
      <c r="AG70" s="14">
        <f t="shared" si="1"/>
        <v>0</v>
      </c>
    </row>
    <row r="71" spans="1:33" ht="59.25" customHeight="1" x14ac:dyDescent="0.3">
      <c r="A71" s="74"/>
      <c r="B71"/>
      <c r="C71"/>
      <c r="AF71"/>
      <c r="AG71" s="14">
        <f t="shared" si="1"/>
        <v>0</v>
      </c>
    </row>
    <row r="72" spans="1:33" ht="59.25" customHeight="1" x14ac:dyDescent="0.3">
      <c r="A72" s="74"/>
      <c r="B72"/>
      <c r="C72"/>
      <c r="AF72"/>
      <c r="AG72" s="14">
        <f t="shared" si="1"/>
        <v>0</v>
      </c>
    </row>
    <row r="73" spans="1:33" ht="15" customHeight="1" x14ac:dyDescent="0.3">
      <c r="AG73" s="14">
        <f t="shared" si="1"/>
        <v>0</v>
      </c>
    </row>
    <row r="74" spans="1:33" ht="15" customHeight="1" x14ac:dyDescent="0.3">
      <c r="AG74" s="14">
        <f t="shared" si="1"/>
        <v>0</v>
      </c>
    </row>
    <row r="75" spans="1:33" ht="15" customHeight="1" x14ac:dyDescent="0.3">
      <c r="AG75" s="14">
        <f t="shared" si="1"/>
        <v>0</v>
      </c>
    </row>
    <row r="76" spans="1:33" ht="15" customHeight="1" x14ac:dyDescent="0.3">
      <c r="AG76" s="14">
        <f t="shared" ref="AG76:AG107" si="2">IF(AF76=1,COUNTA(D76:E76,H76:L76,N76,Q76:U76,W76:Y76,AB76),COUNTA(D76:E76,H76:I76,Q76:U76,W76:Y76,AB76))</f>
        <v>0</v>
      </c>
    </row>
    <row r="77" spans="1:33" ht="15" customHeight="1" x14ac:dyDescent="0.3">
      <c r="AG77" s="14">
        <f t="shared" si="2"/>
        <v>0</v>
      </c>
    </row>
    <row r="78" spans="1:33" ht="15" customHeight="1" x14ac:dyDescent="0.3">
      <c r="AG78" s="14">
        <f t="shared" si="2"/>
        <v>0</v>
      </c>
    </row>
    <row r="79" spans="1:33" ht="15" customHeight="1" x14ac:dyDescent="0.3">
      <c r="AG79" s="14">
        <f t="shared" si="2"/>
        <v>0</v>
      </c>
    </row>
    <row r="80" spans="1:33" ht="15" customHeight="1" x14ac:dyDescent="0.3">
      <c r="AG80" s="14">
        <f t="shared" si="2"/>
        <v>0</v>
      </c>
    </row>
    <row r="81" spans="33:33" ht="15" customHeight="1" x14ac:dyDescent="0.3">
      <c r="AG81" s="14">
        <f t="shared" si="2"/>
        <v>0</v>
      </c>
    </row>
    <row r="82" spans="33:33" ht="15" customHeight="1" x14ac:dyDescent="0.3">
      <c r="AG82" s="14">
        <f t="shared" si="2"/>
        <v>0</v>
      </c>
    </row>
    <row r="83" spans="33:33" ht="15" customHeight="1" x14ac:dyDescent="0.3">
      <c r="AG83" s="14">
        <f t="shared" si="2"/>
        <v>0</v>
      </c>
    </row>
    <row r="84" spans="33:33" ht="15" customHeight="1" x14ac:dyDescent="0.3">
      <c r="AG84" s="14">
        <f t="shared" si="2"/>
        <v>0</v>
      </c>
    </row>
    <row r="85" spans="33:33" ht="15" customHeight="1" x14ac:dyDescent="0.3">
      <c r="AG85" s="14">
        <f t="shared" si="2"/>
        <v>0</v>
      </c>
    </row>
    <row r="86" spans="33:33" ht="15" customHeight="1" x14ac:dyDescent="0.3">
      <c r="AG86" s="14">
        <f t="shared" si="2"/>
        <v>0</v>
      </c>
    </row>
    <row r="87" spans="33:33" ht="15" customHeight="1" x14ac:dyDescent="0.3">
      <c r="AG87" s="14">
        <f t="shared" si="2"/>
        <v>0</v>
      </c>
    </row>
    <row r="88" spans="33:33" ht="15" customHeight="1" x14ac:dyDescent="0.3">
      <c r="AG88" s="14">
        <f t="shared" si="2"/>
        <v>0</v>
      </c>
    </row>
    <row r="89" spans="33:33" ht="15" customHeight="1" x14ac:dyDescent="0.3">
      <c r="AG89" s="14">
        <f t="shared" si="2"/>
        <v>0</v>
      </c>
    </row>
    <row r="90" spans="33:33" ht="15" customHeight="1" x14ac:dyDescent="0.3">
      <c r="AG90" s="14">
        <f t="shared" si="2"/>
        <v>0</v>
      </c>
    </row>
    <row r="91" spans="33:33" ht="15" customHeight="1" x14ac:dyDescent="0.3">
      <c r="AG91" s="14">
        <f t="shared" si="2"/>
        <v>0</v>
      </c>
    </row>
    <row r="92" spans="33:33" ht="15" customHeight="1" x14ac:dyDescent="0.3">
      <c r="AG92" s="14">
        <f t="shared" si="2"/>
        <v>0</v>
      </c>
    </row>
    <row r="93" spans="33:33" ht="15" customHeight="1" x14ac:dyDescent="0.3">
      <c r="AG93" s="14">
        <f t="shared" si="2"/>
        <v>0</v>
      </c>
    </row>
    <row r="94" spans="33:33" ht="15" customHeight="1" x14ac:dyDescent="0.3">
      <c r="AG94" s="14">
        <f t="shared" si="2"/>
        <v>0</v>
      </c>
    </row>
    <row r="95" spans="33:33" ht="15" customHeight="1" x14ac:dyDescent="0.3">
      <c r="AG95" s="14">
        <f t="shared" si="2"/>
        <v>0</v>
      </c>
    </row>
    <row r="96" spans="33:33" ht="15" customHeight="1" x14ac:dyDescent="0.3">
      <c r="AG96" s="14">
        <f t="shared" si="2"/>
        <v>0</v>
      </c>
    </row>
    <row r="97" spans="33:33" ht="15" customHeight="1" x14ac:dyDescent="0.3">
      <c r="AG97" s="14">
        <f t="shared" si="2"/>
        <v>0</v>
      </c>
    </row>
    <row r="98" spans="33:33" ht="15" customHeight="1" x14ac:dyDescent="0.3">
      <c r="AG98" s="14">
        <f t="shared" si="2"/>
        <v>0</v>
      </c>
    </row>
    <row r="99" spans="33:33" ht="15" customHeight="1" x14ac:dyDescent="0.3">
      <c r="AG99" s="14">
        <f t="shared" si="2"/>
        <v>0</v>
      </c>
    </row>
    <row r="100" spans="33:33" ht="15" customHeight="1" x14ac:dyDescent="0.3">
      <c r="AG100" s="14">
        <f t="shared" si="2"/>
        <v>0</v>
      </c>
    </row>
    <row r="101" spans="33:33" ht="15" customHeight="1" x14ac:dyDescent="0.3">
      <c r="AG101" s="14">
        <f t="shared" si="2"/>
        <v>0</v>
      </c>
    </row>
    <row r="102" spans="33:33" ht="15" customHeight="1" x14ac:dyDescent="0.3">
      <c r="AG102" s="14">
        <f t="shared" si="2"/>
        <v>0</v>
      </c>
    </row>
    <row r="103" spans="33:33" ht="15" customHeight="1" x14ac:dyDescent="0.3">
      <c r="AG103" s="14">
        <f t="shared" si="2"/>
        <v>0</v>
      </c>
    </row>
    <row r="104" spans="33:33" ht="15" customHeight="1" x14ac:dyDescent="0.3">
      <c r="AG104" s="14">
        <f t="shared" si="2"/>
        <v>0</v>
      </c>
    </row>
    <row r="105" spans="33:33" ht="15" customHeight="1" x14ac:dyDescent="0.3">
      <c r="AG105" s="14">
        <f t="shared" si="2"/>
        <v>0</v>
      </c>
    </row>
    <row r="106" spans="33:33" ht="15" customHeight="1" x14ac:dyDescent="0.3">
      <c r="AG106" s="14">
        <f t="shared" si="2"/>
        <v>0</v>
      </c>
    </row>
    <row r="107" spans="33:33" ht="15" customHeight="1" x14ac:dyDescent="0.3">
      <c r="AG107" s="14">
        <f t="shared" si="2"/>
        <v>0</v>
      </c>
    </row>
    <row r="108" spans="33:33" ht="15" customHeight="1" x14ac:dyDescent="0.3">
      <c r="AG108" s="14">
        <f t="shared" ref="AG108:AG139" si="3">IF(AF108=1,COUNTA(D108:E108,H108:L108,N108,Q108:U108,W108:Y108,AB108),COUNTA(D108:E108,H108:I108,Q108:U108,W108:Y108,AB108))</f>
        <v>0</v>
      </c>
    </row>
    <row r="109" spans="33:33" ht="15" customHeight="1" x14ac:dyDescent="0.3">
      <c r="AG109" s="14">
        <f t="shared" si="3"/>
        <v>0</v>
      </c>
    </row>
    <row r="110" spans="33:33" ht="15" customHeight="1" x14ac:dyDescent="0.3">
      <c r="AG110" s="14">
        <f t="shared" si="3"/>
        <v>0</v>
      </c>
    </row>
    <row r="111" spans="33:33" ht="15" customHeight="1" x14ac:dyDescent="0.3">
      <c r="AG111" s="14">
        <f t="shared" si="3"/>
        <v>0</v>
      </c>
    </row>
    <row r="112" spans="33:33" ht="15" customHeight="1" x14ac:dyDescent="0.3">
      <c r="AG112" s="14">
        <f t="shared" si="3"/>
        <v>0</v>
      </c>
    </row>
    <row r="113" spans="33:33" ht="15" customHeight="1" x14ac:dyDescent="0.3">
      <c r="AG113" s="14">
        <f t="shared" si="3"/>
        <v>0</v>
      </c>
    </row>
    <row r="114" spans="33:33" ht="15" customHeight="1" x14ac:dyDescent="0.3">
      <c r="AG114" s="14">
        <f t="shared" si="3"/>
        <v>0</v>
      </c>
    </row>
    <row r="115" spans="33:33" ht="15" customHeight="1" x14ac:dyDescent="0.3">
      <c r="AG115" s="14">
        <f t="shared" si="3"/>
        <v>0</v>
      </c>
    </row>
    <row r="116" spans="33:33" ht="15" customHeight="1" x14ac:dyDescent="0.3">
      <c r="AG116" s="14">
        <f t="shared" si="3"/>
        <v>0</v>
      </c>
    </row>
    <row r="117" spans="33:33" ht="15" customHeight="1" x14ac:dyDescent="0.3">
      <c r="AG117" s="14">
        <f t="shared" si="3"/>
        <v>0</v>
      </c>
    </row>
    <row r="118" spans="33:33" ht="15" customHeight="1" x14ac:dyDescent="0.3">
      <c r="AG118" s="14">
        <f t="shared" si="3"/>
        <v>0</v>
      </c>
    </row>
    <row r="119" spans="33:33" ht="15" customHeight="1" x14ac:dyDescent="0.3">
      <c r="AG119" s="14">
        <f t="shared" si="3"/>
        <v>0</v>
      </c>
    </row>
    <row r="120" spans="33:33" ht="15" customHeight="1" x14ac:dyDescent="0.3">
      <c r="AG120" s="14">
        <f t="shared" si="3"/>
        <v>0</v>
      </c>
    </row>
    <row r="121" spans="33:33" ht="15" customHeight="1" x14ac:dyDescent="0.3">
      <c r="AG121" s="14">
        <f t="shared" si="3"/>
        <v>0</v>
      </c>
    </row>
    <row r="122" spans="33:33" ht="15" customHeight="1" x14ac:dyDescent="0.3">
      <c r="AG122" s="14">
        <f t="shared" si="3"/>
        <v>0</v>
      </c>
    </row>
    <row r="123" spans="33:33" ht="15" customHeight="1" x14ac:dyDescent="0.3">
      <c r="AG123" s="14">
        <f t="shared" si="3"/>
        <v>0</v>
      </c>
    </row>
    <row r="124" spans="33:33" ht="15" customHeight="1" x14ac:dyDescent="0.3">
      <c r="AG124" s="14">
        <f t="shared" si="3"/>
        <v>0</v>
      </c>
    </row>
    <row r="125" spans="33:33" ht="15" customHeight="1" x14ac:dyDescent="0.3">
      <c r="AG125" s="14">
        <f t="shared" si="3"/>
        <v>0</v>
      </c>
    </row>
    <row r="126" spans="33:33" ht="15" customHeight="1" x14ac:dyDescent="0.3">
      <c r="AG126" s="14">
        <f t="shared" si="3"/>
        <v>0</v>
      </c>
    </row>
    <row r="127" spans="33:33" ht="15" customHeight="1" x14ac:dyDescent="0.3">
      <c r="AG127" s="14">
        <f t="shared" si="3"/>
        <v>0</v>
      </c>
    </row>
    <row r="128" spans="33:33" ht="15" customHeight="1" x14ac:dyDescent="0.3">
      <c r="AG128" s="14">
        <f t="shared" si="3"/>
        <v>0</v>
      </c>
    </row>
    <row r="129" spans="33:33" ht="15" customHeight="1" x14ac:dyDescent="0.3">
      <c r="AG129" s="14">
        <f t="shared" si="3"/>
        <v>0</v>
      </c>
    </row>
    <row r="130" spans="33:33" ht="15" customHeight="1" x14ac:dyDescent="0.3">
      <c r="AG130" s="14">
        <f t="shared" si="3"/>
        <v>0</v>
      </c>
    </row>
    <row r="131" spans="33:33" ht="15" customHeight="1" x14ac:dyDescent="0.3">
      <c r="AG131" s="14">
        <f t="shared" si="3"/>
        <v>0</v>
      </c>
    </row>
    <row r="132" spans="33:33" ht="15" customHeight="1" x14ac:dyDescent="0.3">
      <c r="AG132" s="14">
        <f t="shared" si="3"/>
        <v>0</v>
      </c>
    </row>
    <row r="133" spans="33:33" ht="15" customHeight="1" x14ac:dyDescent="0.3">
      <c r="AG133" s="14">
        <f t="shared" si="3"/>
        <v>0</v>
      </c>
    </row>
    <row r="134" spans="33:33" ht="15" customHeight="1" x14ac:dyDescent="0.3">
      <c r="AG134" s="14">
        <f t="shared" si="3"/>
        <v>0</v>
      </c>
    </row>
    <row r="135" spans="33:33" ht="15" customHeight="1" x14ac:dyDescent="0.3">
      <c r="AG135" s="14">
        <f t="shared" si="3"/>
        <v>0</v>
      </c>
    </row>
    <row r="136" spans="33:33" ht="15" customHeight="1" x14ac:dyDescent="0.3">
      <c r="AG136" s="14">
        <f t="shared" si="3"/>
        <v>0</v>
      </c>
    </row>
    <row r="137" spans="33:33" ht="15" customHeight="1" x14ac:dyDescent="0.3">
      <c r="AG137" s="14">
        <f t="shared" si="3"/>
        <v>0</v>
      </c>
    </row>
    <row r="138" spans="33:33" ht="15" customHeight="1" x14ac:dyDescent="0.3">
      <c r="AG138" s="14">
        <f t="shared" si="3"/>
        <v>0</v>
      </c>
    </row>
    <row r="139" spans="33:33" ht="15" customHeight="1" x14ac:dyDescent="0.3">
      <c r="AG139" s="14">
        <f t="shared" si="3"/>
        <v>0</v>
      </c>
    </row>
    <row r="140" spans="33:33" ht="15" customHeight="1" x14ac:dyDescent="0.3">
      <c r="AG140" s="14">
        <f t="shared" ref="AG140:AG152" si="4">IF(AF140=1,COUNTA(D140:E140,H140:L140,N140,Q140:U140,W140:Y140,AB140),COUNTA(D140:E140,H140:I140,Q140:U140,W140:Y140,AB140))</f>
        <v>0</v>
      </c>
    </row>
    <row r="141" spans="33:33" ht="15" customHeight="1" x14ac:dyDescent="0.3">
      <c r="AG141" s="14">
        <f t="shared" si="4"/>
        <v>0</v>
      </c>
    </row>
    <row r="142" spans="33:33" ht="15" customHeight="1" x14ac:dyDescent="0.3">
      <c r="AG142" s="14">
        <f t="shared" si="4"/>
        <v>0</v>
      </c>
    </row>
    <row r="143" spans="33:33" ht="15" customHeight="1" x14ac:dyDescent="0.3">
      <c r="AG143" s="14">
        <f t="shared" si="4"/>
        <v>0</v>
      </c>
    </row>
    <row r="144" spans="33:33" ht="15" customHeight="1" x14ac:dyDescent="0.3">
      <c r="AG144" s="14">
        <f t="shared" si="4"/>
        <v>0</v>
      </c>
    </row>
    <row r="145" spans="33:33" ht="15" customHeight="1" x14ac:dyDescent="0.3">
      <c r="AG145" s="14">
        <f t="shared" si="4"/>
        <v>0</v>
      </c>
    </row>
    <row r="146" spans="33:33" ht="15" customHeight="1" x14ac:dyDescent="0.3">
      <c r="AG146" s="14">
        <f t="shared" si="4"/>
        <v>0</v>
      </c>
    </row>
    <row r="147" spans="33:33" ht="15" customHeight="1" x14ac:dyDescent="0.3">
      <c r="AG147" s="14">
        <f t="shared" si="4"/>
        <v>0</v>
      </c>
    </row>
    <row r="148" spans="33:33" ht="15" customHeight="1" x14ac:dyDescent="0.3">
      <c r="AG148" s="14">
        <f t="shared" si="4"/>
        <v>0</v>
      </c>
    </row>
    <row r="149" spans="33:33" ht="15" customHeight="1" x14ac:dyDescent="0.3">
      <c r="AG149" s="14">
        <f t="shared" si="4"/>
        <v>0</v>
      </c>
    </row>
    <row r="150" spans="33:33" ht="15" customHeight="1" x14ac:dyDescent="0.3">
      <c r="AG150" s="14">
        <f t="shared" si="4"/>
        <v>0</v>
      </c>
    </row>
    <row r="151" spans="33:33" ht="15" customHeight="1" x14ac:dyDescent="0.3">
      <c r="AG151" s="14">
        <f t="shared" si="4"/>
        <v>0</v>
      </c>
    </row>
    <row r="152" spans="33:33" ht="15" customHeight="1" x14ac:dyDescent="0.3">
      <c r="AG152" s="14">
        <f t="shared" si="4"/>
        <v>0</v>
      </c>
    </row>
  </sheetData>
  <sheetProtection algorithmName="SHA-512" hashValue="LnvI/VGqEDVkqa6XjD8+3U1DnMvdYl5/ZNtAVsbn+rUahxu/btJ3dYqUMDSAH6A9ZMaq+eIlNiO2CImWKPukTQ==" saltValue="mLiJgE8rzZpyOQi5Jvh4Fw==" spinCount="100000" sheet="1" objects="1" scenarios="1"/>
  <mergeCells count="10">
    <mergeCell ref="D7:N7"/>
    <mergeCell ref="P7:U7"/>
    <mergeCell ref="W7:Z7"/>
    <mergeCell ref="AD1:AE1"/>
    <mergeCell ref="AN1:AP1"/>
    <mergeCell ref="D3:M3"/>
    <mergeCell ref="W3:Z3"/>
    <mergeCell ref="K5:L5"/>
    <mergeCell ref="X4:Y4"/>
    <mergeCell ref="X5:Y5"/>
  </mergeCells>
  <conditionalFormatting sqref="P7:U7">
    <cfRule type="expression" dxfId="35" priority="233">
      <formula>$S$2="err"</formula>
    </cfRule>
  </conditionalFormatting>
  <conditionalFormatting sqref="H9:N9">
    <cfRule type="expression" dxfId="2" priority="234" stopIfTrue="1">
      <formula>LOWER(MID($N9,1,19))="please include this"</formula>
    </cfRule>
  </conditionalFormatting>
  <conditionalFormatting sqref="W9:Z9">
    <cfRule type="expression" dxfId="1" priority="235" stopIfTrue="1">
      <formula>LOWER(MID($N9,1,19))="please include this"</formula>
    </cfRule>
    <cfRule type="expression" dxfId="0" priority="236" stopIfTrue="1">
      <formula>$AH9=0</formula>
    </cfRule>
  </conditionalFormatting>
  <dataValidations count="5">
    <dataValidation type="list" allowBlank="1" showInputMessage="1" showErrorMessage="1" sqref="D9:E9" xr:uid="{00000000-0002-0000-1700-000000000000}">
      <formula1>sublist_waste</formula1>
    </dataValidation>
    <dataValidation type="decimal" allowBlank="1" showInputMessage="1" showErrorMessage="1" errorTitle="Numeric value required" error="Please enter a numeric value." sqref="H9" xr:uid="{1959558B-B48F-42AE-88CB-676E2D303C12}">
      <formula1>0</formula1>
      <formula2>99999999</formula2>
    </dataValidation>
    <dataValidation type="decimal" allowBlank="1" showInputMessage="1" showErrorMessage="1" errorTitle="Numeric value required" error="Please enter a numeric value." sqref="I9" xr:uid="{0C50AD76-B895-43DB-A8EC-6AA3742A74F6}">
      <formula1>0</formula1>
      <formula2>99999999</formula2>
    </dataValidation>
    <dataValidation type="decimal" operator="lessThanOrEqual" allowBlank="1" showInputMessage="1" showErrorMessage="1" errorTitle="Numeric value required" error="Please enter a numeric value less than or equal to 500." sqref="X9" xr:uid="{511E84FC-A54A-4C52-B560-B7C0FFC460EE}">
      <formula1>500</formula1>
    </dataValidation>
    <dataValidation type="decimal" allowBlank="1" showInputMessage="1" showErrorMessage="1" errorTitle="Numeric value required" error="Please enter a numeric value." sqref="AB9" xr:uid="{2E382169-332D-4A76-82AB-4D73839E981C}">
      <formula1>0</formula1>
      <formula2>99999999</formula2>
    </dataValidation>
  </dataValidations>
  <pageMargins left="0.7" right="0.7" top="0.75" bottom="0.75" header="0.3" footer="0.3"/>
  <pageSetup paperSize="9" orientation="portrait" r:id="rId1"/>
  <headerFooter>
    <oddFooter>&amp;C_x000D_&amp;1#&amp;"Verdana"&amp;7&amp;K000000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add_new_row">
                <anchor moveWithCells="1">
                  <from>
                    <xdr:col>3</xdr:col>
                    <xdr:colOff>2171700</xdr:colOff>
                    <xdr:row>4</xdr:row>
                    <xdr:rowOff>259080</xdr:rowOff>
                  </from>
                  <to>
                    <xdr:col>4</xdr:col>
                    <xdr:colOff>1097280</xdr:colOff>
                    <xdr:row>5</xdr:row>
                    <xdr:rowOff>38100</xdr:rowOff>
                  </to>
                </anchor>
              </controlPr>
            </control>
          </mc:Choice>
        </mc:AlternateContent>
        <mc:AlternateContent xmlns:mc="http://schemas.openxmlformats.org/markup-compatibility/2006">
          <mc:Choice Requires="x14">
            <control shapeId="320514" r:id="rId5" name="Button 2">
              <controlPr defaultSize="0" print="0" autoFill="0" autoPict="0" macro="[0]!add_non_standard_row">
                <anchor moveWithCells="1">
                  <from>
                    <xdr:col>4</xdr:col>
                    <xdr:colOff>1181100</xdr:colOff>
                    <xdr:row>4</xdr:row>
                    <xdr:rowOff>259080</xdr:rowOff>
                  </from>
                  <to>
                    <xdr:col>7</xdr:col>
                    <xdr:colOff>228600</xdr:colOff>
                    <xdr:row>5</xdr:row>
                    <xdr:rowOff>38100</xdr:rowOff>
                  </to>
                </anchor>
              </controlPr>
            </control>
          </mc:Choice>
        </mc:AlternateContent>
        <mc:AlternateContent xmlns:mc="http://schemas.openxmlformats.org/markup-compatibility/2006">
          <mc:Choice Requires="x14">
            <control shapeId="320515" r:id="rId6" name="Mark_page_as_complete">
              <controlPr defaultSize="0" autoFill="0" autoLine="0" autoPict="0" macro="[0]!mark_page_as_complete_Click">
                <anchor moveWithCells="1">
                  <from>
                    <xdr:col>3</xdr:col>
                    <xdr:colOff>106680</xdr:colOff>
                    <xdr:row>3</xdr:row>
                    <xdr:rowOff>144780</xdr:rowOff>
                  </from>
                  <to>
                    <xdr:col>3</xdr:col>
                    <xdr:colOff>1097280</xdr:colOff>
                    <xdr:row>5</xdr:row>
                    <xdr:rowOff>106680</xdr:rowOff>
                  </to>
                </anchor>
              </controlPr>
            </control>
          </mc:Choice>
        </mc:AlternateContent>
        <mc:AlternateContent xmlns:mc="http://schemas.openxmlformats.org/markup-compatibility/2006">
          <mc:Choice Requires="x14">
            <control shapeId="320516" r:id="rId7" name="Button 4">
              <controlPr defaultSize="0" print="0" autoFill="0" autoPict="0" macro="[0]!delete_row">
                <anchor moveWithCells="1">
                  <from>
                    <xdr:col>3</xdr:col>
                    <xdr:colOff>1440180</xdr:colOff>
                    <xdr:row>3</xdr:row>
                    <xdr:rowOff>144780</xdr:rowOff>
                  </from>
                  <to>
                    <xdr:col>4</xdr:col>
                    <xdr:colOff>373380</xdr:colOff>
                    <xdr:row>4</xdr:row>
                    <xdr:rowOff>220980</xdr:rowOff>
                  </to>
                </anchor>
              </controlPr>
            </control>
          </mc:Choice>
        </mc:AlternateContent>
        <mc:AlternateContent xmlns:mc="http://schemas.openxmlformats.org/markup-compatibility/2006">
          <mc:Choice Requires="x14">
            <control shapeId="320517" r:id="rId8" name="Button 5">
              <controlPr defaultSize="0" print="0" autoFill="0" autoPict="0" macro="[0]!show_hide_methodology_col">
                <anchor moveWithCells="1">
                  <from>
                    <xdr:col>4</xdr:col>
                    <xdr:colOff>449580</xdr:colOff>
                    <xdr:row>3</xdr:row>
                    <xdr:rowOff>144780</xdr:rowOff>
                  </from>
                  <to>
                    <xdr:col>7</xdr:col>
                    <xdr:colOff>228600</xdr:colOff>
                    <xdr:row>4</xdr:row>
                    <xdr:rowOff>220980</xdr:rowOff>
                  </to>
                </anchor>
              </controlPr>
            </control>
          </mc:Choice>
        </mc:AlternateContent>
        <mc:AlternateContent xmlns:mc="http://schemas.openxmlformats.org/markup-compatibility/2006">
          <mc:Choice Requires="x14">
            <control shapeId="320586" r:id="rId9" name="activate_bulk_materials">
              <controlPr defaultSize="0" print="0" autoFill="0" autoPict="0" macro="[0]!thisworkbook.activate_bulk_materials">
                <anchor>
                  <from>
                    <xdr:col>3</xdr:col>
                    <xdr:colOff>1211580</xdr:colOff>
                    <xdr:row>0</xdr:row>
                    <xdr:rowOff>411480</xdr:rowOff>
                  </from>
                  <to>
                    <xdr:col>3</xdr:col>
                    <xdr:colOff>2164080</xdr:colOff>
                    <xdr:row>1</xdr:row>
                    <xdr:rowOff>457200</xdr:rowOff>
                  </to>
                </anchor>
              </controlPr>
            </control>
          </mc:Choice>
        </mc:AlternateContent>
        <mc:AlternateContent xmlns:mc="http://schemas.openxmlformats.org/markup-compatibility/2006">
          <mc:Choice Requires="x14">
            <control shapeId="320587" r:id="rId10" name="activate_earthworks">
              <controlPr defaultSize="0" print="0" autoFill="0" autoPict="0" macro="[0]!thisworkbook.activate_earthworks">
                <anchor>
                  <from>
                    <xdr:col>3</xdr:col>
                    <xdr:colOff>2202180</xdr:colOff>
                    <xdr:row>0</xdr:row>
                    <xdr:rowOff>411480</xdr:rowOff>
                  </from>
                  <to>
                    <xdr:col>4</xdr:col>
                    <xdr:colOff>754380</xdr:colOff>
                    <xdr:row>1</xdr:row>
                    <xdr:rowOff>457200</xdr:rowOff>
                  </to>
                </anchor>
              </controlPr>
            </control>
          </mc:Choice>
        </mc:AlternateContent>
        <mc:AlternateContent xmlns:mc="http://schemas.openxmlformats.org/markup-compatibility/2006">
          <mc:Choice Requires="x14">
            <control shapeId="320588" r:id="rId11" name="activate_fencing">
              <controlPr defaultSize="0" print="0" autoFill="0" autoPict="0" macro="[0]!thisworkbook.activate_fencing">
                <anchor>
                  <from>
                    <xdr:col>4</xdr:col>
                    <xdr:colOff>792480</xdr:colOff>
                    <xdr:row>0</xdr:row>
                    <xdr:rowOff>411480</xdr:rowOff>
                  </from>
                  <to>
                    <xdr:col>4</xdr:col>
                    <xdr:colOff>1744980</xdr:colOff>
                    <xdr:row>1</xdr:row>
                    <xdr:rowOff>457200</xdr:rowOff>
                  </to>
                </anchor>
              </controlPr>
            </control>
          </mc:Choice>
        </mc:AlternateContent>
        <mc:AlternateContent xmlns:mc="http://schemas.openxmlformats.org/markup-compatibility/2006">
          <mc:Choice Requires="x14">
            <control shapeId="320589" r:id="rId12" name="activate_drainage">
              <controlPr defaultSize="0" print="0" autoFill="0" autoPict="0" macro="[0]!thisworkbook.activate_drainage">
                <anchor>
                  <from>
                    <xdr:col>4</xdr:col>
                    <xdr:colOff>1752600</xdr:colOff>
                    <xdr:row>0</xdr:row>
                    <xdr:rowOff>411480</xdr:rowOff>
                  </from>
                  <to>
                    <xdr:col>7</xdr:col>
                    <xdr:colOff>449580</xdr:colOff>
                    <xdr:row>1</xdr:row>
                    <xdr:rowOff>457200</xdr:rowOff>
                  </to>
                </anchor>
              </controlPr>
            </control>
          </mc:Choice>
        </mc:AlternateContent>
        <mc:AlternateContent xmlns:mc="http://schemas.openxmlformats.org/markup-compatibility/2006">
          <mc:Choice Requires="x14">
            <control shapeId="320590" r:id="rId13" name="activate_road_pavements">
              <controlPr defaultSize="0" print="0" autoFill="0" autoPict="0" macro="[0]!thisworkbook.activate_road_pavements">
                <anchor>
                  <from>
                    <xdr:col>7</xdr:col>
                    <xdr:colOff>487680</xdr:colOff>
                    <xdr:row>0</xdr:row>
                    <xdr:rowOff>411480</xdr:rowOff>
                  </from>
                  <to>
                    <xdr:col>10</xdr:col>
                    <xdr:colOff>335280</xdr:colOff>
                    <xdr:row>1</xdr:row>
                    <xdr:rowOff>457200</xdr:rowOff>
                  </to>
                </anchor>
              </controlPr>
            </control>
          </mc:Choice>
        </mc:AlternateContent>
        <mc:AlternateContent xmlns:mc="http://schemas.openxmlformats.org/markup-compatibility/2006">
          <mc:Choice Requires="x14">
            <control shapeId="320591" r:id="rId14" name="activate_street_furniture">
              <controlPr defaultSize="0" print="0" autoFill="0" autoPict="0" macro="[0]!thisworkbook.activate_street_furniture">
                <anchor>
                  <from>
                    <xdr:col>10</xdr:col>
                    <xdr:colOff>342900</xdr:colOff>
                    <xdr:row>0</xdr:row>
                    <xdr:rowOff>411480</xdr:rowOff>
                  </from>
                  <to>
                    <xdr:col>11</xdr:col>
                    <xdr:colOff>419100</xdr:colOff>
                    <xdr:row>1</xdr:row>
                    <xdr:rowOff>457200</xdr:rowOff>
                  </to>
                </anchor>
              </controlPr>
            </control>
          </mc:Choice>
        </mc:AlternateContent>
        <mc:AlternateContent xmlns:mc="http://schemas.openxmlformats.org/markup-compatibility/2006">
          <mc:Choice Requires="x14">
            <control shapeId="320592" r:id="rId15" name="activate_civils_structures">
              <controlPr defaultSize="0" print="0" autoFill="0" autoPict="0" macro="[0]!thisworkbook.activate_civils_structures">
                <anchor>
                  <from>
                    <xdr:col>11</xdr:col>
                    <xdr:colOff>449580</xdr:colOff>
                    <xdr:row>0</xdr:row>
                    <xdr:rowOff>411480</xdr:rowOff>
                  </from>
                  <to>
                    <xdr:col>22</xdr:col>
                    <xdr:colOff>106680</xdr:colOff>
                    <xdr:row>1</xdr:row>
                    <xdr:rowOff>457200</xdr:rowOff>
                  </to>
                </anchor>
              </controlPr>
            </control>
          </mc:Choice>
        </mc:AlternateContent>
        <mc:AlternateContent xmlns:mc="http://schemas.openxmlformats.org/markup-compatibility/2006">
          <mc:Choice Requires="x14">
            <control shapeId="320593" r:id="rId16" name="activate_fuel_and_energy">
              <controlPr defaultSize="0" print="0" autoFill="0" autoPict="0" macro="[0]!thisworkbook.activate_fuel_and_energy">
                <anchor>
                  <from>
                    <xdr:col>22</xdr:col>
                    <xdr:colOff>144780</xdr:colOff>
                    <xdr:row>0</xdr:row>
                    <xdr:rowOff>411480</xdr:rowOff>
                  </from>
                  <to>
                    <xdr:col>23</xdr:col>
                    <xdr:colOff>525780</xdr:colOff>
                    <xdr:row>1</xdr:row>
                    <xdr:rowOff>457200</xdr:rowOff>
                  </to>
                </anchor>
              </controlPr>
            </control>
          </mc:Choice>
        </mc:AlternateContent>
        <mc:AlternateContent xmlns:mc="http://schemas.openxmlformats.org/markup-compatibility/2006">
          <mc:Choice Requires="x14">
            <control shapeId="320594" r:id="rId17" name="activate_business_transport">
              <controlPr defaultSize="0" print="0" autoFill="0" autoPict="0" macro="[0]!thisworkbook.activate_business_transport">
                <anchor>
                  <from>
                    <xdr:col>24</xdr:col>
                    <xdr:colOff>0</xdr:colOff>
                    <xdr:row>0</xdr:row>
                    <xdr:rowOff>411480</xdr:rowOff>
                  </from>
                  <to>
                    <xdr:col>25</xdr:col>
                    <xdr:colOff>144780</xdr:colOff>
                    <xdr:row>1</xdr:row>
                    <xdr:rowOff>457200</xdr:rowOff>
                  </to>
                </anchor>
              </controlPr>
            </control>
          </mc:Choice>
        </mc:AlternateContent>
        <mc:AlternateContent xmlns:mc="http://schemas.openxmlformats.org/markup-compatibility/2006">
          <mc:Choice Requires="x14">
            <control shapeId="320595" r:id="rId18" name="activate_waste">
              <controlPr defaultSize="0" print="0" autoFill="0" autoPict="0" macro="[0]!thisworkbook.activate_waste">
                <anchor>
                  <from>
                    <xdr:col>25</xdr:col>
                    <xdr:colOff>182880</xdr:colOff>
                    <xdr:row>0</xdr:row>
                    <xdr:rowOff>411480</xdr:rowOff>
                  </from>
                  <to>
                    <xdr:col>26</xdr:col>
                    <xdr:colOff>571500</xdr:colOff>
                    <xdr:row>1</xdr:row>
                    <xdr:rowOff>457200</xdr:rowOff>
                  </to>
                </anchor>
              </controlPr>
            </control>
          </mc:Choice>
        </mc:AlternateContent>
        <mc:AlternateContent xmlns:mc="http://schemas.openxmlformats.org/markup-compatibility/2006">
          <mc:Choice Requires="x14">
            <control shapeId="320596" r:id="rId19" name="activate_home_page">
              <controlPr defaultSize="0" print="0" autoFill="0" autoPict="0" macro="[0]!thisworkbook.activate_home_page">
                <anchor>
                  <from>
                    <xdr:col>3</xdr:col>
                    <xdr:colOff>1211580</xdr:colOff>
                    <xdr:row>0</xdr:row>
                    <xdr:rowOff>144780</xdr:rowOff>
                  </from>
                  <to>
                    <xdr:col>4</xdr:col>
                    <xdr:colOff>190500</xdr:colOff>
                    <xdr:row>0</xdr:row>
                    <xdr:rowOff>373380</xdr:rowOff>
                  </to>
                </anchor>
              </controlPr>
            </control>
          </mc:Choice>
        </mc:AlternateContent>
        <mc:AlternateContent xmlns:mc="http://schemas.openxmlformats.org/markup-compatibility/2006">
          <mc:Choice Requires="x14">
            <control shapeId="320597" r:id="rId20" name="activate_guidance">
              <controlPr defaultSize="0" print="0" autoFill="0" autoPict="0" macro="[0]!thisworkbook.activate_guidance">
                <anchor>
                  <from>
                    <xdr:col>4</xdr:col>
                    <xdr:colOff>220980</xdr:colOff>
                    <xdr:row>0</xdr:row>
                    <xdr:rowOff>144780</xdr:rowOff>
                  </from>
                  <to>
                    <xdr:col>4</xdr:col>
                    <xdr:colOff>1592580</xdr:colOff>
                    <xdr:row>0</xdr:row>
                    <xdr:rowOff>373380</xdr:rowOff>
                  </to>
                </anchor>
              </controlPr>
            </control>
          </mc:Choice>
        </mc:AlternateContent>
        <mc:AlternateContent xmlns:mc="http://schemas.openxmlformats.org/markup-compatibility/2006">
          <mc:Choice Requires="x14">
            <control shapeId="320598" r:id="rId21" name="activate_summary_report">
              <controlPr defaultSize="0" print="0" autoFill="0" autoPict="0" macro="[0]!thisworkbook.activate_summary_report">
                <anchor>
                  <from>
                    <xdr:col>4</xdr:col>
                    <xdr:colOff>1630680</xdr:colOff>
                    <xdr:row>0</xdr:row>
                    <xdr:rowOff>144780</xdr:rowOff>
                  </from>
                  <to>
                    <xdr:col>9</xdr:col>
                    <xdr:colOff>182880</xdr:colOff>
                    <xdr:row>0</xdr:row>
                    <xdr:rowOff>373380</xdr:rowOff>
                  </to>
                </anchor>
              </controlPr>
            </control>
          </mc:Choice>
        </mc:AlternateContent>
        <mc:AlternateContent xmlns:mc="http://schemas.openxmlformats.org/markup-compatibility/2006">
          <mc:Choice Requires="x14">
            <control shapeId="320599" r:id="rId22" name="activate_outputs">
              <controlPr defaultSize="0" print="0" autoFill="0" autoPict="0" macro="[0]!thisworkbook.activate_outputs">
                <anchor>
                  <from>
                    <xdr:col>9</xdr:col>
                    <xdr:colOff>220980</xdr:colOff>
                    <xdr:row>0</xdr:row>
                    <xdr:rowOff>144780</xdr:rowOff>
                  </from>
                  <to>
                    <xdr:col>11</xdr:col>
                    <xdr:colOff>144780</xdr:colOff>
                    <xdr:row>0</xdr:row>
                    <xdr:rowOff>373380</xdr:rowOff>
                  </to>
                </anchor>
              </controlPr>
            </control>
          </mc:Choice>
        </mc:AlternateContent>
        <mc:AlternateContent xmlns:mc="http://schemas.openxmlformats.org/markup-compatibility/2006">
          <mc:Choice Requires="x14">
            <control shapeId="320600" r:id="rId23" name="activate_emissions_factors">
              <controlPr defaultSize="0" print="0" autoFill="0" autoPict="0" macro="[0]!thisworkbook.activate_emissions_factors">
                <anchor>
                  <from>
                    <xdr:col>11</xdr:col>
                    <xdr:colOff>182880</xdr:colOff>
                    <xdr:row>0</xdr:row>
                    <xdr:rowOff>144780</xdr:rowOff>
                  </from>
                  <to>
                    <xdr:col>22</xdr:col>
                    <xdr:colOff>259080</xdr:colOff>
                    <xdr:row>0</xdr:row>
                    <xdr:rowOff>373380</xdr:rowOff>
                  </to>
                </anchor>
              </controlPr>
            </control>
          </mc:Choice>
        </mc:AlternateContent>
        <mc:AlternateContent xmlns:mc="http://schemas.openxmlformats.org/markup-compatibility/2006">
          <mc:Choice Requires="x14">
            <control shapeId="320601" r:id="rId24" name="activate_material_density">
              <controlPr defaultSize="0" print="0" autoFill="0" autoPict="0" macro="[0]!thisworkbook.activate_material_density">
                <anchor>
                  <from>
                    <xdr:col>22</xdr:col>
                    <xdr:colOff>259080</xdr:colOff>
                    <xdr:row>0</xdr:row>
                    <xdr:rowOff>144780</xdr:rowOff>
                  </from>
                  <to>
                    <xdr:col>24</xdr:col>
                    <xdr:colOff>525780</xdr:colOff>
                    <xdr:row>0</xdr:row>
                    <xdr:rowOff>373380</xdr:rowOff>
                  </to>
                </anchor>
              </controlPr>
            </control>
          </mc:Choice>
        </mc:AlternateContent>
        <mc:AlternateContent xmlns:mc="http://schemas.openxmlformats.org/markup-compatibility/2006">
          <mc:Choice Requires="x14">
            <control shapeId="320602" r:id="rId25" name="activate_notes">
              <controlPr defaultSize="0" print="0" autoFill="0" autoPict="0" macro="[0]!thisworkbook.activate_notes">
                <anchor>
                  <from>
                    <xdr:col>24</xdr:col>
                    <xdr:colOff>563880</xdr:colOff>
                    <xdr:row>0</xdr:row>
                    <xdr:rowOff>144780</xdr:rowOff>
                  </from>
                  <to>
                    <xdr:col>26</xdr:col>
                    <xdr:colOff>571500</xdr:colOff>
                    <xdr:row>0</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2000000}">
          <x14:formula1>
            <xm:f>'Emissions Factors Lookup'!$D$4:$D$7</xm:f>
          </x14:formula1>
          <xm:sqref>W9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roject Particulars" ma:contentTypeID="0x010100633CA75AEAE248C9BFEC68858F6810D5001DDDC1DFBF7543B4BFFFD02EF6E7A06200F6F7DEF0D0BF6A4BB4EB7171F3F44827" ma:contentTypeVersion="3" ma:contentTypeDescription="" ma:contentTypeScope="" ma:versionID="8a8deeccf8f6b94d8ff8ae5effe5cd26">
  <xsd:schema xmlns:xsd="http://www.w3.org/2001/XMLSchema" xmlns:xs="http://www.w3.org/2001/XMLSchema" xmlns:p="http://schemas.microsoft.com/office/2006/metadata/properties" xmlns:ns2="afe49f0c-136e-4989-b18c-db23e3714edb" xmlns:ns3="244dc7ea-2f7a-44b4-9731-4e11a4595566" targetNamespace="http://schemas.microsoft.com/office/2006/metadata/properties" ma:root="true" ma:fieldsID="e7978fe781f577e38413766f1013535f" ns2:_="" ns3:_="">
    <xsd:import namespace="afe49f0c-136e-4989-b18c-db23e3714edb"/>
    <xsd:import namespace="244dc7ea-2f7a-44b4-9731-4e11a4595566"/>
    <xsd:element name="properties">
      <xsd:complexType>
        <xsd:sequence>
          <xsd:element name="documentManagement">
            <xsd:complexType>
              <xsd:all>
                <xsd:element ref="ns2:JobNumber" minOccurs="0"/>
                <xsd:element ref="ns2:ProjectSpecificKeywords" minOccurs="0"/>
                <xsd:element ref="ns2:k17e076fa50646a791cb7ad1044950be" minOccurs="0"/>
                <xsd:element ref="ns2:TaxCatchAll" minOccurs="0"/>
                <xsd:element ref="ns2:TaxCatchAllLabel" minOccurs="0"/>
                <xsd:element ref="ns2:f841e272c17741ac958ef5511bc4857b" minOccurs="0"/>
                <xsd:element ref="ns2:InternalOrExternal" minOccurs="0"/>
                <xsd:element ref="ns2:ProjectStage" minOccurs="0"/>
                <xsd:element ref="ns3:Issued_x0020_Dat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e49f0c-136e-4989-b18c-db23e3714edb" elementFormDefault="qualified">
    <xsd:import namespace="http://schemas.microsoft.com/office/2006/documentManagement/types"/>
    <xsd:import namespace="http://schemas.microsoft.com/office/infopath/2007/PartnerControls"/>
    <xsd:element name="JobNumber" ma:index="8" nillable="true" ma:displayName="Job Number" ma:default="61034361" ma:internalName="JobNumber" ma:readOnly="false" ma:web="{afe49f0c-136e-4989-b18c-db23e3714edb}">
      <xsd:simpleType>
        <xsd:restriction base="dms:Text"/>
      </xsd:simpleType>
    </xsd:element>
    <xsd:element name="ProjectSpecificKeywords" ma:index="9" nillable="true" ma:displayName="Project Specific Keywords" ma:internalName="ProjectSpecificKeywords" ma:readOnly="false" ma:web="{afe49f0c-136e-4989-b18c-db23e3714edb}">
      <xsd:simpleType>
        <xsd:restriction base="dms:Choice">
          <xsd:enumeration value="No Keywords Available"/>
        </xsd:restriction>
      </xsd:simpleType>
    </xsd:element>
    <xsd:element name="k17e076fa50646a791cb7ad1044950be" ma:index="10" nillable="true" ma:taxonomy="true" ma:internalName="k17e076fa50646a791cb7ad1044950be" ma:taxonomyFieldName="ProjectKeywords" ma:displayName="Project Keywords" ma:readOnly="false" ma:fieldId="{417e076f-a506-46a7-91cb-7ad1044950be}" ma:taxonomyMulti="true" ma:sspId="8cbe1942-68e4-4384-a004-c14ec3a353a7" ma:termSetId="c068a525-288f-480c-b960-cf0176a45018" ma:anchorId="00000000-0000-0000-0000-000000000000" ma:open="true" ma:isKeyword="false">
      <xsd:complexType>
        <xsd:sequence>
          <xsd:element ref="pc:Terms" minOccurs="0" maxOccurs="1"/>
        </xsd:sequence>
      </xsd:complexType>
    </xsd:element>
    <xsd:element name="TaxCatchAll" ma:index="11" nillable="true" ma:displayName="Taxonomy Catch All Column" ma:hidden="true" ma:list="{815102fc-8896-4b92-9e9d-3dc45f901196}" ma:internalName="TaxCatchAll" ma:showField="CatchAllData" ma:web="afe49f0c-136e-4989-b18c-db23e3714edb">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815102fc-8896-4b92-9e9d-3dc45f901196}" ma:internalName="TaxCatchAllLabel" ma:readOnly="true" ma:showField="CatchAllDataLabel" ma:web="afe49f0c-136e-4989-b18c-db23e3714edb">
      <xsd:complexType>
        <xsd:complexContent>
          <xsd:extension base="dms:MultiChoiceLookup">
            <xsd:sequence>
              <xsd:element name="Value" type="dms:Lookup" maxOccurs="unbounded" minOccurs="0" nillable="true"/>
            </xsd:sequence>
          </xsd:extension>
        </xsd:complexContent>
      </xsd:complexType>
    </xsd:element>
    <xsd:element name="f841e272c17741ac958ef5511bc4857b" ma:index="14" nillable="true" ma:taxonomy="true" ma:internalName="f841e272c17741ac958ef5511bc4857b" ma:taxonomyFieldName="Discipline" ma:displayName="Discipline" ma:readOnly="false" ma:fieldId="{f841e272-c177-41ac-958e-f5511bc4857b}" ma:taxonomyMulti="true" ma:sspId="8cbe1942-68e4-4384-a004-c14ec3a353a7" ma:termSetId="4e6fe61d-c87f-4e78-82f7-5f67fa2521b3" ma:anchorId="00000000-0000-0000-0000-000000000000" ma:open="false" ma:isKeyword="false">
      <xsd:complexType>
        <xsd:sequence>
          <xsd:element ref="pc:Terms" minOccurs="0" maxOccurs="1"/>
        </xsd:sequence>
      </xsd:complexType>
    </xsd:element>
    <xsd:element name="InternalOrExternal" ma:index="16" nillable="true" ma:displayName="Internal or External" ma:default="Internal" ma:internalName="InternalOrExternal" ma:readOnly="false" ma:web="{afe49f0c-136e-4989-b18c-db23e3714edb}">
      <xsd:simpleType>
        <xsd:restriction base="dms:Choice">
          <xsd:enumeration value="Internal"/>
          <xsd:enumeration value=" External"/>
        </xsd:restriction>
      </xsd:simpleType>
    </xsd:element>
    <xsd:element name="ProjectStage" ma:index="17" nillable="true" ma:displayName="Project Stage" ma:internalName="Project_x0020_Stage" ma:readOnly="false" ma:web="{afe49f0c-136e-4989-b18c-db23e3714edb}">
      <xsd:simpleType>
        <xsd:restriction base="dms:Choice">
          <xsd:enumeration value="Creation + Initiation"/>
          <xsd:enumeration value="Planning"/>
          <xsd:enumeration value="Execution"/>
          <xsd:enumeration value="Project Closing"/>
        </xsd:restriction>
      </xsd:simpleType>
    </xsd:element>
  </xsd:schema>
  <xsd:schema xmlns:xsd="http://www.w3.org/2001/XMLSchema" xmlns:xs="http://www.w3.org/2001/XMLSchema" xmlns:dms="http://schemas.microsoft.com/office/2006/documentManagement/types" xmlns:pc="http://schemas.microsoft.com/office/infopath/2007/PartnerControls" targetNamespace="244dc7ea-2f7a-44b4-9731-4e11a4595566" elementFormDefault="qualified">
    <xsd:import namespace="http://schemas.microsoft.com/office/2006/documentManagement/types"/>
    <xsd:import namespace="http://schemas.microsoft.com/office/infopath/2007/PartnerControls"/>
    <xsd:element name="Issued_x0020_Date" ma:index="18" ma:displayName="Issued Date" ma:default="[today]" ma:internalName="Issued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ssued_x0020_Date xmlns="244dc7ea-2f7a-44b4-9731-4e11a4595566">2015-05-01T12:34:00+00:00</Issued_x0020_Date>
    <ProjectSpecificKeywords xmlns="afe49f0c-136e-4989-b18c-db23e3714edb" xsi:nil="true"/>
    <JobNumber xmlns="afe49f0c-136e-4989-b18c-db23e3714edb">61034361</JobNumber>
    <ProjectStage xmlns="afe49f0c-136e-4989-b18c-db23e3714edb">Execution</ProjectStage>
    <InternalOrExternal xmlns="afe49f0c-136e-4989-b18c-db23e3714edb" xsi:nil="true"/>
    <k17e076fa50646a791cb7ad1044950be xmlns="afe49f0c-136e-4989-b18c-db23e3714edb">
      <Terms xmlns="http://schemas.microsoft.com/office/infopath/2007/PartnerControls"/>
    </k17e076fa50646a791cb7ad1044950be>
    <f841e272c17741ac958ef5511bc4857b xmlns="afe49f0c-136e-4989-b18c-db23e3714edb">
      <Terms xmlns="http://schemas.microsoft.com/office/infopath/2007/PartnerControls"/>
    </f841e272c17741ac958ef5511bc4857b>
    <TaxCatchAll xmlns="afe49f0c-136e-4989-b18c-db23e3714edb"/>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B86A67-1443-46D2-AFB6-FDD4A88C47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e49f0c-136e-4989-b18c-db23e3714edb"/>
    <ds:schemaRef ds:uri="244dc7ea-2f7a-44b4-9731-4e11a45955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5B5E58-7768-44E1-990A-2E8E2C88553B}">
  <ds:schemaRefs>
    <ds:schemaRef ds:uri="http://purl.org/dc/elements/1.1/"/>
    <ds:schemaRef ds:uri="http://schemas.microsoft.com/office/2006/metadata/properties"/>
    <ds:schemaRef ds:uri="244dc7ea-2f7a-44b4-9731-4e11a4595566"/>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afe49f0c-136e-4989-b18c-db23e3714edb"/>
    <ds:schemaRef ds:uri="http://www.w3.org/XML/1998/namespace"/>
    <ds:schemaRef ds:uri="http://purl.org/dc/dcmitype/"/>
  </ds:schemaRefs>
</ds:datastoreItem>
</file>

<file path=customXml/itemProps3.xml><?xml version="1.0" encoding="utf-8"?>
<ds:datastoreItem xmlns:ds="http://schemas.openxmlformats.org/officeDocument/2006/customXml" ds:itemID="{474B51AC-3BE8-4623-AF4B-7624B4D50F5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vt:i4>
      </vt:variant>
    </vt:vector>
  </HeadingPairs>
  <TitlesOfParts>
    <vt:vector size="28" baseType="lpstr">
      <vt:lpstr>Home Page</vt:lpstr>
      <vt:lpstr>Guidance</vt:lpstr>
      <vt:lpstr>Summary Report</vt:lpstr>
      <vt:lpstr>Chart data</vt:lpstr>
      <vt:lpstr>Outputs</vt:lpstr>
      <vt:lpstr>Entity datastore</vt:lpstr>
      <vt:lpstr>Emissions Factors</vt:lpstr>
      <vt:lpstr>Emissions Factors Lookup</vt:lpstr>
      <vt:lpstr>Dynamic dropdown</vt:lpstr>
      <vt:lpstr>Material Density</vt:lpstr>
      <vt:lpstr>Commentary</vt:lpstr>
      <vt:lpstr>Note records</vt:lpstr>
      <vt:lpstr>VB Metadata</vt:lpstr>
      <vt:lpstr>Sandpit</vt:lpstr>
      <vt:lpstr>Bulk Materials</vt:lpstr>
      <vt:lpstr>Earthworks</vt:lpstr>
      <vt:lpstr>Fencing</vt:lpstr>
      <vt:lpstr>Drainage</vt:lpstr>
      <vt:lpstr>Road Pavements</vt:lpstr>
      <vt:lpstr>Street Furniture</vt:lpstr>
      <vt:lpstr>Civils Structures</vt:lpstr>
      <vt:lpstr>Fuel and Energy</vt:lpstr>
      <vt:lpstr>Business Transport</vt:lpstr>
      <vt:lpstr>Waste</vt:lpstr>
      <vt:lpstr>blue_rectangle</vt:lpstr>
      <vt:lpstr>carbon_factor_units</vt:lpstr>
      <vt:lpstr>'Summary Report'!Print_Area</vt:lpstr>
      <vt:lpstr>Radio_Choice</vt:lpstr>
    </vt:vector>
  </TitlesOfParts>
  <Company>Ramboll UK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Michael Pantling</dc:creator>
  <cp:lastModifiedBy>Neil Leake</cp:lastModifiedBy>
  <cp:lastPrinted>2019-03-14T15:01:04Z</cp:lastPrinted>
  <dcterms:created xsi:type="dcterms:W3CDTF">2015-01-15T16:26:04Z</dcterms:created>
  <dcterms:modified xsi:type="dcterms:W3CDTF">2026-01-16T11:27:05Z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0x010100633CA75AEAE248C9BFEC68858F6810D5001DDDC1DFBF7543B4BFFFD02EF6E7A06200F6F7DEF0D0BF6A4BB4EB7171F3F44827</vt:lpwstr>
  </property>
  <property fmtid="{D5CDD505-2E9C-101B-9397-08002B2CF9AE}" pid="3" name="Discipline">
    <vt:lpwstr/>
  </property>
  <property fmtid="{D5CDD505-2E9C-101B-9397-08002B2CF9AE}" pid="4" name="ProjectKeywords">
    <vt:lpwstr/>
  </property>
  <property fmtid="{D5CDD505-2E9C-101B-9397-08002B2CF9AE}" pid="5" name="Folder_Number">
    <vt:lpwstr/>
  </property>
  <property fmtid="{D5CDD505-2E9C-101B-9397-08002B2CF9AE}" pid="6" name="Folder_Code">
    <vt:lpwstr/>
  </property>
  <property fmtid="{D5CDD505-2E9C-101B-9397-08002B2CF9AE}" pid="7" name="Folder_Name">
    <vt:lpwstr/>
  </property>
  <property fmtid="{D5CDD505-2E9C-101B-9397-08002B2CF9AE}" pid="8" name="Folder_Description">
    <vt:lpwstr/>
  </property>
  <property fmtid="{D5CDD505-2E9C-101B-9397-08002B2CF9AE}" pid="9" name="/Folder_Name/">
    <vt:lpwstr/>
  </property>
  <property fmtid="{D5CDD505-2E9C-101B-9397-08002B2CF9AE}" pid="10" name="/Folder_Description/">
    <vt:lpwstr/>
  </property>
  <property fmtid="{D5CDD505-2E9C-101B-9397-08002B2CF9AE}" pid="11" name="Folder_Version">
    <vt:lpwstr/>
  </property>
  <property fmtid="{D5CDD505-2E9C-101B-9397-08002B2CF9AE}" pid="12" name="Folder_VersionSeq">
    <vt:lpwstr/>
  </property>
  <property fmtid="{D5CDD505-2E9C-101B-9397-08002B2CF9AE}" pid="13" name="Folder_Manager">
    <vt:lpwstr/>
  </property>
  <property fmtid="{D5CDD505-2E9C-101B-9397-08002B2CF9AE}" pid="14" name="Folder_ManagerDesc">
    <vt:lpwstr/>
  </property>
  <property fmtid="{D5CDD505-2E9C-101B-9397-08002B2CF9AE}" pid="15" name="Folder_Storage">
    <vt:lpwstr/>
  </property>
  <property fmtid="{D5CDD505-2E9C-101B-9397-08002B2CF9AE}" pid="16" name="Folder_StorageDesc">
    <vt:lpwstr/>
  </property>
  <property fmtid="{D5CDD505-2E9C-101B-9397-08002B2CF9AE}" pid="17" name="Folder_Creator">
    <vt:lpwstr/>
  </property>
  <property fmtid="{D5CDD505-2E9C-101B-9397-08002B2CF9AE}" pid="18" name="Folder_CreatorDesc">
    <vt:lpwstr/>
  </property>
  <property fmtid="{D5CDD505-2E9C-101B-9397-08002B2CF9AE}" pid="19" name="Folder_CreateDate">
    <vt:lpwstr/>
  </property>
  <property fmtid="{D5CDD505-2E9C-101B-9397-08002B2CF9AE}" pid="20" name="Folder_Updater">
    <vt:lpwstr/>
  </property>
  <property fmtid="{D5CDD505-2E9C-101B-9397-08002B2CF9AE}" pid="21" name="Folder_UpdaterDesc">
    <vt:lpwstr/>
  </property>
  <property fmtid="{D5CDD505-2E9C-101B-9397-08002B2CF9AE}" pid="22" name="Folder_UpdateDate">
    <vt:lpwstr/>
  </property>
  <property fmtid="{D5CDD505-2E9C-101B-9397-08002B2CF9AE}" pid="23" name="Document_Number">
    <vt:lpwstr/>
  </property>
  <property fmtid="{D5CDD505-2E9C-101B-9397-08002B2CF9AE}" pid="24" name="Document_Name">
    <vt:lpwstr/>
  </property>
  <property fmtid="{D5CDD505-2E9C-101B-9397-08002B2CF9AE}" pid="25" name="Document_FileName">
    <vt:lpwstr/>
  </property>
  <property fmtid="{D5CDD505-2E9C-101B-9397-08002B2CF9AE}" pid="26" name="Document_Version">
    <vt:lpwstr/>
  </property>
  <property fmtid="{D5CDD505-2E9C-101B-9397-08002B2CF9AE}" pid="27" name="Document_VersionSeq">
    <vt:lpwstr/>
  </property>
  <property fmtid="{D5CDD505-2E9C-101B-9397-08002B2CF9AE}" pid="28" name="Document_Creator">
    <vt:lpwstr/>
  </property>
  <property fmtid="{D5CDD505-2E9C-101B-9397-08002B2CF9AE}" pid="29" name="Document_CreatorDesc">
    <vt:lpwstr/>
  </property>
  <property fmtid="{D5CDD505-2E9C-101B-9397-08002B2CF9AE}" pid="30" name="Document_CreateDate">
    <vt:lpwstr/>
  </property>
  <property fmtid="{D5CDD505-2E9C-101B-9397-08002B2CF9AE}" pid="31" name="Document_Updater">
    <vt:lpwstr/>
  </property>
  <property fmtid="{D5CDD505-2E9C-101B-9397-08002B2CF9AE}" pid="32" name="Document_UpdaterDesc">
    <vt:lpwstr/>
  </property>
  <property fmtid="{D5CDD505-2E9C-101B-9397-08002B2CF9AE}" pid="33" name="Document_UpdateDate">
    <vt:lpwstr/>
  </property>
  <property fmtid="{D5CDD505-2E9C-101B-9397-08002B2CF9AE}" pid="34" name="Document_Size">
    <vt:lpwstr/>
  </property>
  <property fmtid="{D5CDD505-2E9C-101B-9397-08002B2CF9AE}" pid="35" name="Document_Storage">
    <vt:lpwstr/>
  </property>
  <property fmtid="{D5CDD505-2E9C-101B-9397-08002B2CF9AE}" pid="36" name="Document_StorageDesc">
    <vt:lpwstr/>
  </property>
  <property fmtid="{D5CDD505-2E9C-101B-9397-08002B2CF9AE}" pid="37" name="Document_Department">
    <vt:lpwstr/>
  </property>
  <property fmtid="{D5CDD505-2E9C-101B-9397-08002B2CF9AE}" pid="38" name="Document_DepartmentDesc">
    <vt:lpwstr/>
  </property>
  <property fmtid="{D5CDD505-2E9C-101B-9397-08002B2CF9AE}" pid="39" name="MSIP_Label_20ea7001-5c24-4702-a3ac-e436ccb02747_Enabled">
    <vt:lpwstr>true</vt:lpwstr>
  </property>
  <property fmtid="{D5CDD505-2E9C-101B-9397-08002B2CF9AE}" pid="40" name="MSIP_Label_20ea7001-5c24-4702-a3ac-e436ccb02747_SetDate">
    <vt:lpwstr>2023-07-31T14:41:49Z</vt:lpwstr>
  </property>
  <property fmtid="{D5CDD505-2E9C-101B-9397-08002B2CF9AE}" pid="41" name="MSIP_Label_20ea7001-5c24-4702-a3ac-e436ccb02747_Method">
    <vt:lpwstr>Standard</vt:lpwstr>
  </property>
  <property fmtid="{D5CDD505-2E9C-101B-9397-08002B2CF9AE}" pid="42" name="MSIP_Label_20ea7001-5c24-4702-a3ac-e436ccb02747_Name">
    <vt:lpwstr>Confidential</vt:lpwstr>
  </property>
  <property fmtid="{D5CDD505-2E9C-101B-9397-08002B2CF9AE}" pid="43" name="MSIP_Label_20ea7001-5c24-4702-a3ac-e436ccb02747_SiteId">
    <vt:lpwstr>c8823c91-be81-4f89-b024-6c3dd789c106</vt:lpwstr>
  </property>
  <property fmtid="{D5CDD505-2E9C-101B-9397-08002B2CF9AE}" pid="44" name="MSIP_Label_20ea7001-5c24-4702-a3ac-e436ccb02747_ActionId">
    <vt:lpwstr>ee5e83f8-54ba-4507-98b2-377ada9425de</vt:lpwstr>
  </property>
  <property fmtid="{D5CDD505-2E9C-101B-9397-08002B2CF9AE}" pid="45" name="MSIP_Label_20ea7001-5c24-4702-a3ac-e436ccb02747_ContentBits">
    <vt:lpwstr>2</vt:lpwstr>
  </property>
</Properties>
</file>