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tlowe/Documents/"/>
    </mc:Choice>
  </mc:AlternateContent>
  <xr:revisionPtr revIDLastSave="0" documentId="8_{3603A7E2-514B-2C45-AEE9-F915B279A417}" xr6:coauthVersionLast="40" xr6:coauthVersionMax="40" xr10:uidLastSave="{00000000-0000-0000-0000-000000000000}"/>
  <bookViews>
    <workbookView xWindow="0" yWindow="0" windowWidth="28800" windowHeight="18000" xr2:uid="{0911E9F4-C232-4846-B2F7-E1EC22433013}"/>
  </bookViews>
  <sheets>
    <sheet name="Statements" sheetId="1" r:id="rId1"/>
    <sheet name="Transaction Summary" sheetId="2" r:id="rId2"/>
  </sheets>
  <definedNames>
    <definedName name="Case">Statements!$K$3</definedName>
    <definedName name="Growth">Statements!$M$3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1" l="1"/>
  <c r="F108" i="1"/>
  <c r="G108" i="1"/>
  <c r="H108" i="1"/>
  <c r="D108" i="1"/>
  <c r="E78" i="1"/>
  <c r="F78" i="1"/>
  <c r="G78" i="1" s="1"/>
  <c r="H78" i="1" s="1"/>
  <c r="D78" i="1"/>
  <c r="F160" i="1"/>
  <c r="G160" i="1" s="1"/>
  <c r="H160" i="1" s="1"/>
  <c r="E160" i="1"/>
  <c r="E150" i="1"/>
  <c r="F150" i="1"/>
  <c r="G150" i="1"/>
  <c r="H150" i="1"/>
  <c r="D150" i="1"/>
  <c r="B94" i="1"/>
  <c r="B92" i="1"/>
  <c r="B88" i="1"/>
  <c r="B82" i="1"/>
  <c r="B83" i="1" s="1"/>
  <c r="C76" i="1"/>
  <c r="B76" i="1"/>
  <c r="B59" i="1"/>
  <c r="B56" i="1"/>
  <c r="B38" i="1"/>
  <c r="B40" i="1" s="1"/>
  <c r="C138" i="1"/>
  <c r="H136" i="1"/>
  <c r="F134" i="1"/>
  <c r="E133" i="1"/>
  <c r="F135" i="1"/>
  <c r="G133" i="1"/>
  <c r="H133" i="1"/>
  <c r="D133" i="1"/>
  <c r="D138" i="1" s="1"/>
  <c r="D60" i="1" s="1"/>
  <c r="J21" i="2"/>
  <c r="E15" i="2"/>
  <c r="E14" i="2"/>
  <c r="B29" i="1"/>
  <c r="C14" i="1"/>
  <c r="C17" i="1" s="1"/>
  <c r="B21" i="1"/>
  <c r="B27" i="1" s="1"/>
  <c r="B12" i="1"/>
  <c r="B8" i="1"/>
  <c r="B18" i="1" s="1"/>
  <c r="F133" i="1" l="1"/>
  <c r="F138" i="1" s="1"/>
  <c r="F60" i="1" s="1"/>
  <c r="B35" i="1"/>
  <c r="B37" i="1" s="1"/>
  <c r="B48" i="1"/>
  <c r="B31" i="1"/>
  <c r="B33" i="1" s="1"/>
  <c r="G134" i="1"/>
  <c r="H137" i="1"/>
  <c r="G136" i="1"/>
  <c r="E134" i="1"/>
  <c r="E138" i="1" s="1"/>
  <c r="E60" i="1" s="1"/>
  <c r="H134" i="1"/>
  <c r="H135" i="1"/>
  <c r="B25" i="1"/>
  <c r="G135" i="1"/>
  <c r="B23" i="1"/>
  <c r="H138" i="1" l="1"/>
  <c r="H60" i="1" s="1"/>
  <c r="G138" i="1"/>
  <c r="G60" i="1" s="1"/>
  <c r="B54" i="1"/>
  <c r="B55" i="1" s="1"/>
  <c r="B50" i="1"/>
  <c r="B57" i="1" s="1"/>
  <c r="B95" i="1"/>
  <c r="B41" i="1" l="1"/>
  <c r="L3" i="1" l="1"/>
  <c r="M3" i="1"/>
  <c r="C6" i="1" s="1"/>
  <c r="C10" i="1" l="1"/>
  <c r="C21" i="1" s="1"/>
  <c r="C8" i="1"/>
  <c r="D6" i="1"/>
  <c r="D14" i="1" l="1"/>
  <c r="D17" i="1" s="1"/>
  <c r="D10" i="1"/>
  <c r="E14" i="1" s="1"/>
  <c r="E17" i="1" s="1"/>
  <c r="C12" i="1"/>
  <c r="C18" i="1" s="1"/>
  <c r="C27" i="1"/>
  <c r="C25" i="1"/>
  <c r="C23" i="1"/>
  <c r="C29" i="1"/>
  <c r="D8" i="1"/>
  <c r="E6" i="1"/>
  <c r="D102" i="1" l="1"/>
  <c r="E102" i="1"/>
  <c r="F102" i="1"/>
  <c r="G102" i="1"/>
  <c r="H102" i="1"/>
  <c r="C98" i="1"/>
  <c r="C102" i="1"/>
  <c r="C101" i="1"/>
  <c r="D101" i="1"/>
  <c r="E101" i="1"/>
  <c r="G101" i="1"/>
  <c r="H101" i="1"/>
  <c r="F101" i="1"/>
  <c r="D98" i="1"/>
  <c r="E98" i="1"/>
  <c r="F98" i="1"/>
  <c r="G98" i="1"/>
  <c r="H98" i="1"/>
  <c r="C48" i="1"/>
  <c r="C54" i="1" s="1"/>
  <c r="C55" i="1" s="1"/>
  <c r="C19" i="1"/>
  <c r="C31" i="1"/>
  <c r="C33" i="1" s="1"/>
  <c r="C35" i="1"/>
  <c r="C37" i="1" s="1"/>
  <c r="E10" i="1"/>
  <c r="F14" i="1" s="1"/>
  <c r="F17" i="1" s="1"/>
  <c r="D12" i="1"/>
  <c r="D21" i="1"/>
  <c r="D29" i="1" s="1"/>
  <c r="E8" i="1"/>
  <c r="F6" i="1"/>
  <c r="C38" i="1" l="1"/>
  <c r="C40" i="1" s="1"/>
  <c r="D18" i="1"/>
  <c r="C50" i="1"/>
  <c r="D25" i="1"/>
  <c r="D23" i="1"/>
  <c r="D27" i="1"/>
  <c r="F10" i="1"/>
  <c r="F21" i="1" s="1"/>
  <c r="E12" i="1"/>
  <c r="E18" i="1" s="1"/>
  <c r="E87" i="1" s="1"/>
  <c r="E21" i="1"/>
  <c r="E27" i="1" s="1"/>
  <c r="F8" i="1"/>
  <c r="G6" i="1"/>
  <c r="D75" i="1" l="1"/>
  <c r="D115" i="1" s="1"/>
  <c r="D87" i="1"/>
  <c r="D117" i="1" s="1"/>
  <c r="D31" i="1"/>
  <c r="D33" i="1" s="1"/>
  <c r="D35" i="1"/>
  <c r="D37" i="1" s="1"/>
  <c r="D48" i="1"/>
  <c r="D54" i="1" s="1"/>
  <c r="D55" i="1" s="1"/>
  <c r="E73" i="1"/>
  <c r="E113" i="1" s="1"/>
  <c r="E75" i="1"/>
  <c r="E115" i="1" s="1"/>
  <c r="D19" i="1"/>
  <c r="D73" i="1"/>
  <c r="D113" i="1" s="1"/>
  <c r="D99" i="1"/>
  <c r="G100" i="1"/>
  <c r="E99" i="1"/>
  <c r="H100" i="1"/>
  <c r="F99" i="1"/>
  <c r="E100" i="1"/>
  <c r="G99" i="1"/>
  <c r="F100" i="1"/>
  <c r="H99" i="1"/>
  <c r="D100" i="1"/>
  <c r="C100" i="1"/>
  <c r="C99" i="1"/>
  <c r="C56" i="1"/>
  <c r="C57" i="1" s="1"/>
  <c r="C41" i="1"/>
  <c r="E48" i="1"/>
  <c r="E50" i="1" s="1"/>
  <c r="G14" i="1"/>
  <c r="G17" i="1" s="1"/>
  <c r="E29" i="1"/>
  <c r="E19" i="1"/>
  <c r="E35" i="1"/>
  <c r="E37" i="1" s="1"/>
  <c r="E31" i="1"/>
  <c r="E33" i="1" s="1"/>
  <c r="F12" i="1"/>
  <c r="F18" i="1" s="1"/>
  <c r="F87" i="1" s="1"/>
  <c r="F117" i="1" s="1"/>
  <c r="G10" i="1"/>
  <c r="E25" i="1"/>
  <c r="E23" i="1"/>
  <c r="F23" i="1"/>
  <c r="F29" i="1"/>
  <c r="F27" i="1"/>
  <c r="F25" i="1"/>
  <c r="G8" i="1"/>
  <c r="H6" i="1"/>
  <c r="E117" i="1" l="1"/>
  <c r="D38" i="1"/>
  <c r="D85" i="1" s="1"/>
  <c r="D116" i="1" s="1"/>
  <c r="D50" i="1"/>
  <c r="D56" i="1" s="1"/>
  <c r="D57" i="1" s="1"/>
  <c r="F73" i="1"/>
  <c r="F113" i="1" s="1"/>
  <c r="F75" i="1"/>
  <c r="F115" i="1" s="1"/>
  <c r="D40" i="1"/>
  <c r="D41" i="1" s="1"/>
  <c r="D74" i="1"/>
  <c r="D114" i="1" s="1"/>
  <c r="C59" i="1"/>
  <c r="B4" i="2" s="1"/>
  <c r="E6" i="2" s="1"/>
  <c r="E38" i="1"/>
  <c r="E85" i="1" s="1"/>
  <c r="E54" i="1"/>
  <c r="E55" i="1" s="1"/>
  <c r="F48" i="1"/>
  <c r="F50" i="1" s="1"/>
  <c r="F31" i="1"/>
  <c r="F33" i="1" s="1"/>
  <c r="F19" i="1"/>
  <c r="F35" i="1"/>
  <c r="F37" i="1" s="1"/>
  <c r="G12" i="1"/>
  <c r="H10" i="1"/>
  <c r="H12" i="1" s="1"/>
  <c r="G21" i="1"/>
  <c r="G27" i="1" s="1"/>
  <c r="H14" i="1"/>
  <c r="H17" i="1" s="1"/>
  <c r="H8" i="1"/>
  <c r="E116" i="1" l="1"/>
  <c r="C86" i="1"/>
  <c r="C88" i="1" s="1"/>
  <c r="C145" i="1"/>
  <c r="E40" i="1"/>
  <c r="E41" i="1" s="1"/>
  <c r="E74" i="1"/>
  <c r="E114" i="1" s="1"/>
  <c r="D59" i="1"/>
  <c r="E56" i="1"/>
  <c r="E57" i="1" s="1"/>
  <c r="F38" i="1"/>
  <c r="F85" i="1" s="1"/>
  <c r="F116" i="1" s="1"/>
  <c r="E7" i="2"/>
  <c r="B13" i="2"/>
  <c r="B6" i="2"/>
  <c r="B9" i="2" s="1"/>
  <c r="J20" i="2" s="1"/>
  <c r="J22" i="2" s="1"/>
  <c r="F54" i="1"/>
  <c r="F55" i="1" s="1"/>
  <c r="F56" i="1" s="1"/>
  <c r="J6" i="2"/>
  <c r="H18" i="1"/>
  <c r="H87" i="1" s="1"/>
  <c r="G18" i="1"/>
  <c r="G87" i="1" s="1"/>
  <c r="G117" i="1" s="1"/>
  <c r="G25" i="1"/>
  <c r="G23" i="1"/>
  <c r="G29" i="1"/>
  <c r="H21" i="1"/>
  <c r="H27" i="1" s="1"/>
  <c r="D61" i="1" l="1"/>
  <c r="D172" i="1"/>
  <c r="H117" i="1"/>
  <c r="C90" i="1"/>
  <c r="C92" i="1" s="1"/>
  <c r="C152" i="1"/>
  <c r="D149" i="1" s="1"/>
  <c r="D163" i="1" s="1"/>
  <c r="K157" i="1"/>
  <c r="D142" i="1"/>
  <c r="C79" i="1"/>
  <c r="D79" i="1"/>
  <c r="E79" i="1"/>
  <c r="F79" i="1"/>
  <c r="G79" i="1"/>
  <c r="H79" i="1"/>
  <c r="G73" i="1"/>
  <c r="G113" i="1" s="1"/>
  <c r="G75" i="1"/>
  <c r="G115" i="1" s="1"/>
  <c r="H73" i="1"/>
  <c r="H113" i="1" s="1"/>
  <c r="H75" i="1"/>
  <c r="F40" i="1"/>
  <c r="F59" i="1" s="1"/>
  <c r="F172" i="1" s="1"/>
  <c r="F74" i="1"/>
  <c r="F114" i="1" s="1"/>
  <c r="E59" i="1"/>
  <c r="F57" i="1"/>
  <c r="E8" i="2"/>
  <c r="G8" i="2" s="1"/>
  <c r="J7" i="2"/>
  <c r="J8" i="2" s="1"/>
  <c r="E13" i="2"/>
  <c r="E12" i="2" s="1"/>
  <c r="H48" i="1"/>
  <c r="H50" i="1" s="1"/>
  <c r="G19" i="1"/>
  <c r="G48" i="1"/>
  <c r="G31" i="1"/>
  <c r="G33" i="1" s="1"/>
  <c r="H31" i="1"/>
  <c r="H33" i="1" s="1"/>
  <c r="G35" i="1"/>
  <c r="G37" i="1" s="1"/>
  <c r="H29" i="1"/>
  <c r="H35" i="1"/>
  <c r="H37" i="1" s="1"/>
  <c r="H23" i="1"/>
  <c r="H25" i="1"/>
  <c r="H19" i="1"/>
  <c r="F174" i="1" l="1"/>
  <c r="F176" i="1"/>
  <c r="F175" i="1"/>
  <c r="F177" i="1"/>
  <c r="D174" i="1"/>
  <c r="D175" i="1"/>
  <c r="D176" i="1"/>
  <c r="D177" i="1"/>
  <c r="E61" i="1"/>
  <c r="E172" i="1"/>
  <c r="H115" i="1"/>
  <c r="D164" i="1"/>
  <c r="D109" i="1" s="1"/>
  <c r="D65" i="1"/>
  <c r="D110" i="1" s="1"/>
  <c r="E65" i="1"/>
  <c r="E110" i="1" s="1"/>
  <c r="F65" i="1"/>
  <c r="F110" i="1" s="1"/>
  <c r="G65" i="1"/>
  <c r="G110" i="1" s="1"/>
  <c r="H65" i="1"/>
  <c r="H110" i="1" s="1"/>
  <c r="C146" i="1"/>
  <c r="F41" i="1"/>
  <c r="E16" i="2"/>
  <c r="E17" i="2" s="1"/>
  <c r="F16" i="2" s="1"/>
  <c r="C80" i="1"/>
  <c r="H38" i="1"/>
  <c r="H85" i="1" s="1"/>
  <c r="G38" i="1"/>
  <c r="G85" i="1" s="1"/>
  <c r="G116" i="1" s="1"/>
  <c r="F61" i="1"/>
  <c r="E10" i="2"/>
  <c r="F8" i="2" s="1"/>
  <c r="H54" i="1"/>
  <c r="H55" i="1" s="1"/>
  <c r="G50" i="1"/>
  <c r="G54" i="1"/>
  <c r="G55" i="1" s="1"/>
  <c r="E174" i="1" l="1"/>
  <c r="E176" i="1"/>
  <c r="E175" i="1"/>
  <c r="E177" i="1"/>
  <c r="D80" i="1"/>
  <c r="D63" i="1"/>
  <c r="E80" i="1"/>
  <c r="F80" i="1" s="1"/>
  <c r="G80" i="1" s="1"/>
  <c r="H80" i="1" s="1"/>
  <c r="H116" i="1"/>
  <c r="C82" i="1"/>
  <c r="C83" i="1" s="1"/>
  <c r="G40" i="1"/>
  <c r="G41" i="1" s="1"/>
  <c r="G74" i="1"/>
  <c r="G114" i="1" s="1"/>
  <c r="H40" i="1"/>
  <c r="H41" i="1" s="1"/>
  <c r="H74" i="1"/>
  <c r="G56" i="1"/>
  <c r="H56" i="1"/>
  <c r="H57" i="1" s="1"/>
  <c r="F6" i="2"/>
  <c r="F7" i="2"/>
  <c r="E9" i="2"/>
  <c r="F12" i="2"/>
  <c r="F14" i="2"/>
  <c r="F15" i="2"/>
  <c r="F13" i="2"/>
  <c r="C93" i="1" l="1"/>
  <c r="C94" i="1" s="1"/>
  <c r="C95" i="1" s="1"/>
  <c r="H114" i="1"/>
  <c r="D82" i="1"/>
  <c r="G59" i="1"/>
  <c r="G57" i="1"/>
  <c r="G9" i="2"/>
  <c r="G10" i="2" s="1"/>
  <c r="H59" i="1"/>
  <c r="F9" i="2"/>
  <c r="B188" i="1" s="1"/>
  <c r="F17" i="2"/>
  <c r="F10" i="2" l="1"/>
  <c r="H61" i="1"/>
  <c r="H172" i="1"/>
  <c r="G61" i="1"/>
  <c r="G172" i="1"/>
  <c r="E82" i="1"/>
  <c r="G174" i="1" l="1"/>
  <c r="G176" i="1"/>
  <c r="G177" i="1"/>
  <c r="G175" i="1"/>
  <c r="H176" i="1"/>
  <c r="H174" i="1"/>
  <c r="H177" i="1"/>
  <c r="H175" i="1"/>
  <c r="F82" i="1"/>
  <c r="H82" i="1" l="1"/>
  <c r="G82" i="1"/>
  <c r="D62" i="1"/>
  <c r="E62" i="1"/>
  <c r="F62" i="1"/>
  <c r="G62" i="1"/>
  <c r="H62" i="1"/>
  <c r="E63" i="1"/>
  <c r="F63" i="1"/>
  <c r="G63" i="1"/>
  <c r="H63" i="1"/>
  <c r="D64" i="1"/>
  <c r="E64" i="1"/>
  <c r="F64" i="1"/>
  <c r="G64" i="1"/>
  <c r="H64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72" i="1"/>
  <c r="E72" i="1"/>
  <c r="F72" i="1"/>
  <c r="G72" i="1"/>
  <c r="H72" i="1"/>
  <c r="D76" i="1"/>
  <c r="E76" i="1"/>
  <c r="F76" i="1"/>
  <c r="G76" i="1"/>
  <c r="H76" i="1"/>
  <c r="D83" i="1"/>
  <c r="E83" i="1"/>
  <c r="F83" i="1"/>
  <c r="G83" i="1"/>
  <c r="H83" i="1"/>
  <c r="D86" i="1"/>
  <c r="E86" i="1"/>
  <c r="F86" i="1"/>
  <c r="G86" i="1"/>
  <c r="H86" i="1"/>
  <c r="D88" i="1"/>
  <c r="E88" i="1"/>
  <c r="F88" i="1"/>
  <c r="G88" i="1"/>
  <c r="H88" i="1"/>
  <c r="D90" i="1"/>
  <c r="E90" i="1"/>
  <c r="F90" i="1"/>
  <c r="G90" i="1"/>
  <c r="H90" i="1"/>
  <c r="D92" i="1"/>
  <c r="E92" i="1"/>
  <c r="F92" i="1"/>
  <c r="G92" i="1"/>
  <c r="H92" i="1"/>
  <c r="D93" i="1"/>
  <c r="E93" i="1"/>
  <c r="F93" i="1"/>
  <c r="G93" i="1"/>
  <c r="H93" i="1"/>
  <c r="D94" i="1"/>
  <c r="E94" i="1"/>
  <c r="F94" i="1"/>
  <c r="G94" i="1"/>
  <c r="H94" i="1"/>
  <c r="D95" i="1"/>
  <c r="E95" i="1"/>
  <c r="F95" i="1"/>
  <c r="G95" i="1"/>
  <c r="H95" i="1"/>
  <c r="D106" i="1"/>
  <c r="E106" i="1"/>
  <c r="F106" i="1"/>
  <c r="G106" i="1"/>
  <c r="H106" i="1"/>
  <c r="E109" i="1"/>
  <c r="F109" i="1"/>
  <c r="G109" i="1"/>
  <c r="H109" i="1"/>
  <c r="D118" i="1"/>
  <c r="E118" i="1"/>
  <c r="F118" i="1"/>
  <c r="G118" i="1"/>
  <c r="H118" i="1"/>
  <c r="E119" i="1"/>
  <c r="F119" i="1"/>
  <c r="G119" i="1"/>
  <c r="H119" i="1"/>
  <c r="D121" i="1"/>
  <c r="E121" i="1"/>
  <c r="F121" i="1"/>
  <c r="G121" i="1"/>
  <c r="H121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E142" i="1"/>
  <c r="F142" i="1"/>
  <c r="G142" i="1"/>
  <c r="H142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E149" i="1"/>
  <c r="F149" i="1"/>
  <c r="G149" i="1"/>
  <c r="H149" i="1"/>
  <c r="D151" i="1"/>
  <c r="E151" i="1"/>
  <c r="F151" i="1"/>
  <c r="G151" i="1"/>
  <c r="H151" i="1"/>
  <c r="D152" i="1"/>
  <c r="E152" i="1"/>
  <c r="F152" i="1"/>
  <c r="G152" i="1"/>
  <c r="H152" i="1"/>
  <c r="D155" i="1"/>
  <c r="E155" i="1"/>
  <c r="F155" i="1"/>
  <c r="G155" i="1"/>
  <c r="H155" i="1"/>
  <c r="D156" i="1"/>
  <c r="E156" i="1"/>
  <c r="F156" i="1"/>
  <c r="G156" i="1"/>
  <c r="H156" i="1"/>
  <c r="D157" i="1"/>
  <c r="E157" i="1"/>
  <c r="F157" i="1"/>
  <c r="G157" i="1"/>
  <c r="H157" i="1"/>
  <c r="D158" i="1"/>
  <c r="E158" i="1"/>
  <c r="F158" i="1"/>
  <c r="G158" i="1"/>
  <c r="H158" i="1"/>
  <c r="E163" i="1"/>
  <c r="F163" i="1"/>
  <c r="G163" i="1"/>
  <c r="H163" i="1"/>
  <c r="E164" i="1"/>
  <c r="F164" i="1"/>
  <c r="G164" i="1"/>
  <c r="H164" i="1"/>
  <c r="D165" i="1"/>
  <c r="E165" i="1"/>
  <c r="F165" i="1"/>
  <c r="G165" i="1"/>
  <c r="H165" i="1"/>
  <c r="D167" i="1"/>
  <c r="E167" i="1"/>
  <c r="F167" i="1"/>
  <c r="G167" i="1"/>
  <c r="H167" i="1"/>
  <c r="D179" i="1"/>
  <c r="E179" i="1"/>
  <c r="F179" i="1"/>
  <c r="G179" i="1"/>
  <c r="H179" i="1"/>
  <c r="D182" i="1"/>
  <c r="E182" i="1"/>
  <c r="F182" i="1"/>
  <c r="G182" i="1"/>
  <c r="H182" i="1"/>
  <c r="D183" i="1"/>
  <c r="E183" i="1"/>
  <c r="F183" i="1"/>
  <c r="G183" i="1"/>
  <c r="H183" i="1"/>
  <c r="D184" i="1"/>
  <c r="E184" i="1"/>
  <c r="F184" i="1"/>
  <c r="G184" i="1"/>
  <c r="H184" i="1"/>
  <c r="D185" i="1"/>
  <c r="E185" i="1"/>
  <c r="F185" i="1"/>
  <c r="G185" i="1"/>
  <c r="H185" i="1"/>
  <c r="D188" i="1"/>
  <c r="E188" i="1"/>
  <c r="F188" i="1"/>
  <c r="G188" i="1"/>
  <c r="H188" i="1"/>
  <c r="D189" i="1"/>
  <c r="E189" i="1"/>
  <c r="F189" i="1"/>
  <c r="G189" i="1"/>
  <c r="H189" i="1"/>
  <c r="D190" i="1"/>
  <c r="E190" i="1"/>
  <c r="F190" i="1"/>
  <c r="G190" i="1"/>
  <c r="H190" i="1"/>
  <c r="D191" i="1"/>
  <c r="E191" i="1"/>
  <c r="F191" i="1"/>
  <c r="G191" i="1"/>
  <c r="H191" i="1"/>
  <c r="D194" i="1"/>
  <c r="E194" i="1"/>
  <c r="F194" i="1"/>
  <c r="G194" i="1"/>
  <c r="H194" i="1"/>
  <c r="D195" i="1"/>
  <c r="E195" i="1"/>
  <c r="F195" i="1"/>
  <c r="G195" i="1"/>
  <c r="H195" i="1"/>
  <c r="D196" i="1"/>
  <c r="E196" i="1"/>
  <c r="F196" i="1"/>
  <c r="G196" i="1"/>
  <c r="H196" i="1"/>
  <c r="D197" i="1"/>
  <c r="E197" i="1"/>
  <c r="F197" i="1"/>
  <c r="G197" i="1"/>
  <c r="H197" i="1"/>
  <c r="D200" i="1"/>
  <c r="E200" i="1"/>
  <c r="F200" i="1"/>
  <c r="G200" i="1"/>
  <c r="H200" i="1"/>
  <c r="D201" i="1"/>
  <c r="E201" i="1"/>
  <c r="F201" i="1"/>
  <c r="G201" i="1"/>
  <c r="H201" i="1"/>
  <c r="D202" i="1"/>
  <c r="E202" i="1"/>
  <c r="F202" i="1"/>
  <c r="G202" i="1"/>
  <c r="H202" i="1"/>
  <c r="D203" i="1"/>
  <c r="E203" i="1"/>
  <c r="F203" i="1"/>
  <c r="G203" i="1"/>
  <c r="H203" i="1"/>
  <c r="D206" i="1"/>
  <c r="E206" i="1"/>
  <c r="F206" i="1"/>
  <c r="G206" i="1"/>
  <c r="H206" i="1"/>
  <c r="D207" i="1"/>
  <c r="E207" i="1"/>
  <c r="F207" i="1"/>
  <c r="G207" i="1"/>
  <c r="H207" i="1"/>
  <c r="D208" i="1"/>
  <c r="E208" i="1"/>
  <c r="F208" i="1"/>
  <c r="G208" i="1"/>
  <c r="H208" i="1"/>
  <c r="D209" i="1"/>
  <c r="E209" i="1"/>
  <c r="F209" i="1"/>
  <c r="G209" i="1"/>
  <c r="H209" i="1"/>
</calcChain>
</file>

<file path=xl/sharedStrings.xml><?xml version="1.0" encoding="utf-8"?>
<sst xmlns="http://schemas.openxmlformats.org/spreadsheetml/2006/main" count="243" uniqueCount="196">
  <si>
    <t>Integrated Financial Statements</t>
  </si>
  <si>
    <t>Acutal</t>
  </si>
  <si>
    <t>Expected</t>
  </si>
  <si>
    <t>Income Statement</t>
  </si>
  <si>
    <t>Revenue</t>
  </si>
  <si>
    <t>Cloud Revenue</t>
  </si>
  <si>
    <t>Case</t>
  </si>
  <si>
    <t>Growth</t>
  </si>
  <si>
    <t>Upside</t>
  </si>
  <si>
    <t>Base Case</t>
  </si>
  <si>
    <t>Downside</t>
  </si>
  <si>
    <t>Cloud</t>
  </si>
  <si>
    <t>Quantity</t>
  </si>
  <si>
    <t>Price Per Unit</t>
  </si>
  <si>
    <t>Time</t>
  </si>
  <si>
    <t>Time Revenue</t>
  </si>
  <si>
    <t>TOTAL REVENUE</t>
  </si>
  <si>
    <t>Cost of Goods Sold</t>
  </si>
  <si>
    <t>Total Quantity</t>
  </si>
  <si>
    <t>Packaging Cost per Unit</t>
  </si>
  <si>
    <t>Royalties Cost per Unit</t>
  </si>
  <si>
    <t>Marketing Cost per Unit</t>
  </si>
  <si>
    <t>Fullfillment Cost per Unit</t>
  </si>
  <si>
    <t>Fees to Smartphone Companies</t>
  </si>
  <si>
    <t>Licensing Revenue</t>
  </si>
  <si>
    <t>Renewals</t>
  </si>
  <si>
    <t>Renewal Rate</t>
  </si>
  <si>
    <t>NA</t>
  </si>
  <si>
    <t>Fee Per Unit</t>
  </si>
  <si>
    <t>%</t>
  </si>
  <si>
    <t>Total Packaging Cost</t>
  </si>
  <si>
    <t>Total Royalties Cost</t>
  </si>
  <si>
    <t>Total Marketing Cost</t>
  </si>
  <si>
    <t>Revenue (Excluding Renewals)</t>
  </si>
  <si>
    <t>Fees</t>
  </si>
  <si>
    <t>% Fees</t>
  </si>
  <si>
    <t>Total Smatphone Company Fees</t>
  </si>
  <si>
    <t>Cost of Bad Debt</t>
  </si>
  <si>
    <t>Revenue (Including Renewals)</t>
  </si>
  <si>
    <t>% Bad Debt</t>
  </si>
  <si>
    <t>Total Bad Debt Cost</t>
  </si>
  <si>
    <t>TOTAL COST OF GOODS SOLD</t>
  </si>
  <si>
    <t>% Growth</t>
  </si>
  <si>
    <t>GROSS PROFIT</t>
  </si>
  <si>
    <t>% Margin</t>
  </si>
  <si>
    <t>G&amp;A Expenses</t>
  </si>
  <si>
    <t>Rent and Warehousing</t>
  </si>
  <si>
    <t>Telecoms License Fee</t>
  </si>
  <si>
    <t>Salaries and Benefits</t>
  </si>
  <si>
    <t>Office and Admin</t>
  </si>
  <si>
    <t>Sales Commission</t>
  </si>
  <si>
    <t>% Commision</t>
  </si>
  <si>
    <t>Total Commission</t>
  </si>
  <si>
    <t>CEO Compensation</t>
  </si>
  <si>
    <t>Salary</t>
  </si>
  <si>
    <t>% Bonus</t>
  </si>
  <si>
    <t>Bonus (3% of all Sales Revenue)</t>
  </si>
  <si>
    <t>Total CEO Compensation</t>
  </si>
  <si>
    <t>TOTAL G&amp;A EXPENSES</t>
  </si>
  <si>
    <t>EBIT</t>
  </si>
  <si>
    <t>EBITDA</t>
  </si>
  <si>
    <t>Transaction Summary</t>
  </si>
  <si>
    <t>Valuation</t>
  </si>
  <si>
    <t>2011 EBITDA</t>
  </si>
  <si>
    <t>EBITDA Multiple</t>
  </si>
  <si>
    <t>Transaction Value</t>
  </si>
  <si>
    <t>Less: Debt</t>
  </si>
  <si>
    <t>Less: Cash</t>
  </si>
  <si>
    <t>Offer Value</t>
  </si>
  <si>
    <t>Other Assumptions</t>
  </si>
  <si>
    <t>Revolver EBITDA Multiple</t>
  </si>
  <si>
    <t>Revolver Availability</t>
  </si>
  <si>
    <t>Minimum Cash</t>
  </si>
  <si>
    <t>M&amp;A Fee</t>
  </si>
  <si>
    <t>Existing Management Ownership</t>
  </si>
  <si>
    <t>Management Rollover (Pre-Tax)</t>
  </si>
  <si>
    <t>Sources &amp; Uses</t>
  </si>
  <si>
    <t>Sources</t>
  </si>
  <si>
    <t>BS Cash</t>
  </si>
  <si>
    <t>Credit Facility</t>
  </si>
  <si>
    <t>Subordinated Debt</t>
  </si>
  <si>
    <t>Management Rollover</t>
  </si>
  <si>
    <t>Cash Equity</t>
  </si>
  <si>
    <t>Total Sources</t>
  </si>
  <si>
    <t>Uses</t>
  </si>
  <si>
    <t>Purchase of Equity</t>
  </si>
  <si>
    <t>Transaction Expenses</t>
  </si>
  <si>
    <t>Financing Expenses</t>
  </si>
  <si>
    <t>Total Uses</t>
  </si>
  <si>
    <t>£</t>
  </si>
  <si>
    <t>x</t>
  </si>
  <si>
    <t>Term</t>
  </si>
  <si>
    <t>% Synd. Fee</t>
  </si>
  <si>
    <t>Purchase Accounting (Goodwill)</t>
  </si>
  <si>
    <t>Less: Book Value of Equity</t>
  </si>
  <si>
    <t>New Goodwill</t>
  </si>
  <si>
    <t>Balance Sheet</t>
  </si>
  <si>
    <t>Current Assets</t>
  </si>
  <si>
    <t>2011PF</t>
  </si>
  <si>
    <t>Cash</t>
  </si>
  <si>
    <t>AR</t>
  </si>
  <si>
    <t>Inventory</t>
  </si>
  <si>
    <t>Other Current</t>
  </si>
  <si>
    <t>Total Current Assets</t>
  </si>
  <si>
    <t>Fixed Assets</t>
  </si>
  <si>
    <t>PP&amp;E</t>
  </si>
  <si>
    <t>Goodwill</t>
  </si>
  <si>
    <t>Def. Financing Fees</t>
  </si>
  <si>
    <t>Other Non-Current</t>
  </si>
  <si>
    <t>Total Non-Current Assets</t>
  </si>
  <si>
    <t>TOTAL ASSETS</t>
  </si>
  <si>
    <t>AP</t>
  </si>
  <si>
    <t>Total Current Liabilities</t>
  </si>
  <si>
    <t>Current Liabilities</t>
  </si>
  <si>
    <t>Long Term Liabilities</t>
  </si>
  <si>
    <t>Total Non-Current Liabilities</t>
  </si>
  <si>
    <t>Equity</t>
  </si>
  <si>
    <t>TOTAL LIABILITIES &amp; EQUITY</t>
  </si>
  <si>
    <t>Check</t>
  </si>
  <si>
    <t>Less: Cash Interest</t>
  </si>
  <si>
    <t>Less: Non-Cash Interest</t>
  </si>
  <si>
    <t>Plus: Interest Income</t>
  </si>
  <si>
    <t>Less: Def. Financing Fees</t>
  </si>
  <si>
    <t>Less: Deprciation and Amortisation</t>
  </si>
  <si>
    <t>EBT</t>
  </si>
  <si>
    <t>Less: Taxes</t>
  </si>
  <si>
    <t>Net Income</t>
  </si>
  <si>
    <t>Balance Sheet Assumptions</t>
  </si>
  <si>
    <t>AR Days</t>
  </si>
  <si>
    <t>Inventory Days</t>
  </si>
  <si>
    <t>AP Days</t>
  </si>
  <si>
    <t>% Other Current Assets</t>
  </si>
  <si>
    <t>Cash Flow Statement</t>
  </si>
  <si>
    <t>Cash Flow from Operating Activities</t>
  </si>
  <si>
    <t>Add Non-Cash Items</t>
  </si>
  <si>
    <t>Plus: D&amp;A</t>
  </si>
  <si>
    <t>Changes in Working Capital</t>
  </si>
  <si>
    <t>Plus: Non-Cash Interest</t>
  </si>
  <si>
    <t>Plus: Deferred Financing Fees</t>
  </si>
  <si>
    <t>Less: CapEx</t>
  </si>
  <si>
    <t>Levered Free Cash Flow</t>
  </si>
  <si>
    <t>Beginning Cash Balance</t>
  </si>
  <si>
    <t>Less: Minimum Cash</t>
  </si>
  <si>
    <t>Less: Mandatory Paydown</t>
  </si>
  <si>
    <t>Less: Discresionary Paydown</t>
  </si>
  <si>
    <t>Change in Cash</t>
  </si>
  <si>
    <t>Ending Cash Balance</t>
  </si>
  <si>
    <t>Depreciation Schedule</t>
  </si>
  <si>
    <t>Life</t>
  </si>
  <si>
    <t>Existing PP&amp;E Depreciation</t>
  </si>
  <si>
    <t>New Depreciation</t>
  </si>
  <si>
    <t>Capex</t>
  </si>
  <si>
    <t>Total Depreciation</t>
  </si>
  <si>
    <t>Debt Schedule</t>
  </si>
  <si>
    <t>Revolving Credit Facility</t>
  </si>
  <si>
    <t>Beginning Balance</t>
  </si>
  <si>
    <t>Mandatory Paydown</t>
  </si>
  <si>
    <t>Discresionary Paydown</t>
  </si>
  <si>
    <t>Ending Balance</t>
  </si>
  <si>
    <t>Availability</t>
  </si>
  <si>
    <t>LFCF Before Discesionary Paydown</t>
  </si>
  <si>
    <t>Plus: Levered Free Cash Flow</t>
  </si>
  <si>
    <t>Interest Schedule</t>
  </si>
  <si>
    <t>Subordinatd Debt Cash Interest</t>
  </si>
  <si>
    <t>Revolver Commitment Fee</t>
  </si>
  <si>
    <t>Type</t>
  </si>
  <si>
    <t>Rate</t>
  </si>
  <si>
    <t>Floating</t>
  </si>
  <si>
    <t xml:space="preserve">Fixed </t>
  </si>
  <si>
    <t>Capacity</t>
  </si>
  <si>
    <t>LIBOR</t>
  </si>
  <si>
    <t>Subordinated Debt PIK Interest</t>
  </si>
  <si>
    <t>Fixed</t>
  </si>
  <si>
    <t>Total Non-Cash Interest</t>
  </si>
  <si>
    <t>TOTAL INTEREST EXPENSE</t>
  </si>
  <si>
    <t>Income on Cash</t>
  </si>
  <si>
    <t>% Other Current Liabilites</t>
  </si>
  <si>
    <t>Plus: AR</t>
  </si>
  <si>
    <t>Plus: Inventory</t>
  </si>
  <si>
    <t>Plus: Other Current Assets</t>
  </si>
  <si>
    <t>Less: AP</t>
  </si>
  <si>
    <t>Less: Other Current Liabilites</t>
  </si>
  <si>
    <t>Total Cash Interest Expense</t>
  </si>
  <si>
    <t>Increase</t>
  </si>
  <si>
    <t>Returns Calculations</t>
  </si>
  <si>
    <t>Period</t>
  </si>
  <si>
    <t>Enterprise Value</t>
  </si>
  <si>
    <t>Exit Mult.</t>
  </si>
  <si>
    <t>Less: Net Debt</t>
  </si>
  <si>
    <t>Management Equity</t>
  </si>
  <si>
    <t>4.0x</t>
  </si>
  <si>
    <t>5.0x</t>
  </si>
  <si>
    <t>6.0x</t>
  </si>
  <si>
    <t>7.0x</t>
  </si>
  <si>
    <t>Sponsor Equity</t>
  </si>
  <si>
    <t xml:space="preserve">Multiple of 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</si>
</sst>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£&quot;* #,##0.00_);_(&quot;£&quot;* \(#,##0.00\);_(&quot;£&quot;* &quot;-&quot;??_);_(@_)"/>
    <numFmt numFmtId="165" formatCode="0.0"/>
    <numFmt numFmtId="167" formatCode="0.0\x"/>
    <numFmt numFmtId="168" formatCode="0.00\x"/>
    <numFmt numFmtId="169" formatCode="0.0%"/>
    <numFmt numFmtId="185" formatCode="0.0_);[Red]\(0.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 (Body)_x0000_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name val="Calibri (Body)_x0000_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0" fontId="3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9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44" fontId="0" fillId="0" borderId="4" xfId="1" applyFont="1" applyBorder="1"/>
    <xf numFmtId="0" fontId="9" fillId="0" borderId="4" xfId="0" applyFont="1" applyBorder="1"/>
    <xf numFmtId="44" fontId="0" fillId="0" borderId="0" xfId="0" applyNumberFormat="1"/>
    <xf numFmtId="0" fontId="9" fillId="0" borderId="0" xfId="0" applyFont="1"/>
    <xf numFmtId="44" fontId="9" fillId="0" borderId="0" xfId="1" applyFont="1"/>
    <xf numFmtId="44" fontId="0" fillId="0" borderId="0" xfId="1" applyFont="1"/>
    <xf numFmtId="0" fontId="3" fillId="0" borderId="0" xfId="0" applyFont="1" applyBorder="1"/>
    <xf numFmtId="44" fontId="3" fillId="0" borderId="0" xfId="0" applyNumberFormat="1" applyFont="1" applyBorder="1"/>
    <xf numFmtId="0" fontId="0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44" fontId="9" fillId="0" borderId="0" xfId="0" applyNumberFormat="1" applyFont="1" applyBorder="1"/>
    <xf numFmtId="44" fontId="0" fillId="0" borderId="0" xfId="0" applyNumberFormat="1" applyFont="1" applyBorder="1"/>
    <xf numFmtId="9" fontId="11" fillId="4" borderId="0" xfId="0" applyNumberFormat="1" applyFont="1" applyFill="1" applyBorder="1"/>
    <xf numFmtId="44" fontId="9" fillId="0" borderId="4" xfId="0" applyNumberFormat="1" applyFont="1" applyBorder="1"/>
    <xf numFmtId="0" fontId="3" fillId="0" borderId="5" xfId="0" applyFont="1" applyBorder="1"/>
    <xf numFmtId="44" fontId="3" fillId="0" borderId="5" xfId="0" applyNumberFormat="1" applyFont="1" applyBorder="1"/>
    <xf numFmtId="1" fontId="0" fillId="0" borderId="0" xfId="0" applyNumberFormat="1" applyFont="1" applyBorder="1"/>
    <xf numFmtId="0" fontId="9" fillId="0" borderId="0" xfId="0" applyFont="1" applyFill="1" applyBorder="1"/>
    <xf numFmtId="0" fontId="0" fillId="0" borderId="0" xfId="0" applyFont="1" applyFill="1" applyBorder="1"/>
    <xf numFmtId="44" fontId="0" fillId="0" borderId="0" xfId="0" applyNumberFormat="1" applyFont="1" applyFill="1" applyBorder="1"/>
    <xf numFmtId="0" fontId="3" fillId="0" borderId="7" xfId="0" applyFont="1" applyBorder="1"/>
    <xf numFmtId="44" fontId="3" fillId="0" borderId="7" xfId="0" applyNumberFormat="1" applyFont="1" applyBorder="1"/>
    <xf numFmtId="0" fontId="3" fillId="0" borderId="4" xfId="0" applyFont="1" applyBorder="1"/>
    <xf numFmtId="44" fontId="3" fillId="0" borderId="4" xfId="0" applyNumberFormat="1" applyFont="1" applyBorder="1"/>
    <xf numFmtId="44" fontId="9" fillId="0" borderId="0" xfId="1" applyFont="1" applyBorder="1"/>
    <xf numFmtId="44" fontId="12" fillId="0" borderId="0" xfId="1" applyFont="1" applyFill="1" applyBorder="1"/>
    <xf numFmtId="44" fontId="3" fillId="0" borderId="7" xfId="1" applyFont="1" applyBorder="1"/>
    <xf numFmtId="9" fontId="9" fillId="0" borderId="0" xfId="0" applyNumberFormat="1" applyFont="1"/>
    <xf numFmtId="0" fontId="0" fillId="0" borderId="7" xfId="0" applyBorder="1"/>
    <xf numFmtId="0" fontId="0" fillId="0" borderId="5" xfId="0" applyBorder="1"/>
    <xf numFmtId="9" fontId="9" fillId="0" borderId="4" xfId="0" applyNumberFormat="1" applyFont="1" applyBorder="1"/>
    <xf numFmtId="0" fontId="3" fillId="0" borderId="8" xfId="0" applyFont="1" applyBorder="1"/>
    <xf numFmtId="44" fontId="3" fillId="0" borderId="8" xfId="0" applyNumberFormat="1" applyFont="1" applyBorder="1"/>
    <xf numFmtId="0" fontId="0" fillId="0" borderId="0" xfId="0" applyBorder="1"/>
    <xf numFmtId="44" fontId="0" fillId="0" borderId="7" xfId="0" applyNumberFormat="1" applyBorder="1"/>
    <xf numFmtId="0" fontId="9" fillId="0" borderId="6" xfId="0" applyFont="1" applyBorder="1"/>
    <xf numFmtId="9" fontId="9" fillId="0" borderId="6" xfId="0" applyNumberFormat="1" applyFont="1" applyBorder="1"/>
    <xf numFmtId="0" fontId="0" fillId="0" borderId="9" xfId="0" applyBorder="1"/>
    <xf numFmtId="0" fontId="2" fillId="2" borderId="0" xfId="0" applyFont="1" applyFill="1" applyAlignment="1">
      <alignment horizontal="center"/>
    </xf>
    <xf numFmtId="167" fontId="0" fillId="0" borderId="0" xfId="0" applyNumberFormat="1"/>
    <xf numFmtId="0" fontId="0" fillId="0" borderId="0" xfId="0" applyFill="1" applyBorder="1"/>
    <xf numFmtId="0" fontId="0" fillId="0" borderId="7" xfId="0" applyFill="1" applyBorder="1"/>
    <xf numFmtId="0" fontId="13" fillId="0" borderId="0" xfId="0" applyFont="1"/>
    <xf numFmtId="44" fontId="0" fillId="0" borderId="7" xfId="1" applyFont="1" applyBorder="1"/>
    <xf numFmtId="168" fontId="0" fillId="0" borderId="0" xfId="0" applyNumberFormat="1"/>
    <xf numFmtId="168" fontId="0" fillId="0" borderId="7" xfId="0" applyNumberFormat="1" applyBorder="1"/>
    <xf numFmtId="169" fontId="0" fillId="0" borderId="0" xfId="0" applyNumberFormat="1"/>
    <xf numFmtId="169" fontId="0" fillId="0" borderId="7" xfId="0" applyNumberFormat="1" applyBorder="1"/>
    <xf numFmtId="0" fontId="8" fillId="0" borderId="0" xfId="0" applyFont="1" applyBorder="1"/>
    <xf numFmtId="44" fontId="0" fillId="0" borderId="0" xfId="1" applyFont="1" applyBorder="1"/>
    <xf numFmtId="44" fontId="0" fillId="0" borderId="0" xfId="1" applyFont="1" applyFill="1" applyBorder="1"/>
    <xf numFmtId="44" fontId="0" fillId="0" borderId="4" xfId="0" applyNumberFormat="1" applyBorder="1"/>
    <xf numFmtId="10" fontId="0" fillId="0" borderId="0" xfId="0" applyNumberFormat="1"/>
    <xf numFmtId="0" fontId="0" fillId="2" borderId="0" xfId="0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14" fillId="0" borderId="0" xfId="0" applyFont="1" applyFill="1"/>
    <xf numFmtId="44" fontId="0" fillId="0" borderId="0" xfId="0" applyNumberFormat="1" applyFill="1"/>
    <xf numFmtId="44" fontId="3" fillId="0" borderId="0" xfId="1" applyFont="1"/>
    <xf numFmtId="0" fontId="9" fillId="0" borderId="9" xfId="0" applyFont="1" applyBorder="1"/>
    <xf numFmtId="44" fontId="9" fillId="0" borderId="9" xfId="1" applyFont="1" applyBorder="1"/>
    <xf numFmtId="44" fontId="15" fillId="0" borderId="0" xfId="1" applyFont="1" applyFill="1"/>
    <xf numFmtId="44" fontId="0" fillId="0" borderId="9" xfId="1" applyFont="1" applyBorder="1"/>
    <xf numFmtId="44" fontId="9" fillId="0" borderId="0" xfId="0" applyNumberFormat="1" applyFont="1"/>
    <xf numFmtId="0" fontId="8" fillId="0" borderId="4" xfId="0" applyFont="1" applyBorder="1"/>
    <xf numFmtId="0" fontId="0" fillId="0" borderId="11" xfId="0" applyBorder="1"/>
    <xf numFmtId="0" fontId="0" fillId="0" borderId="10" xfId="0" applyBorder="1"/>
    <xf numFmtId="10" fontId="0" fillId="0" borderId="10" xfId="0" applyNumberFormat="1" applyBorder="1"/>
    <xf numFmtId="0" fontId="9" fillId="0" borderId="13" xfId="0" applyFont="1" applyBorder="1"/>
    <xf numFmtId="10" fontId="9" fillId="0" borderId="6" xfId="0" applyNumberFormat="1" applyFont="1" applyBorder="1"/>
    <xf numFmtId="10" fontId="0" fillId="0" borderId="0" xfId="2" applyNumberFormat="1" applyFont="1"/>
    <xf numFmtId="185" fontId="9" fillId="0" borderId="0" xfId="0" applyNumberFormat="1" applyFont="1"/>
    <xf numFmtId="0" fontId="0" fillId="0" borderId="4" xfId="0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167" fontId="16" fillId="0" borderId="17" xfId="0" applyNumberFormat="1" applyFont="1" applyBorder="1" applyAlignment="1">
      <alignment horizontal="center"/>
    </xf>
    <xf numFmtId="44" fontId="16" fillId="0" borderId="0" xfId="0" applyNumberFormat="1" applyFont="1"/>
    <xf numFmtId="167" fontId="16" fillId="0" borderId="18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167" fontId="16" fillId="0" borderId="20" xfId="0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67" fontId="16" fillId="0" borderId="22" xfId="0" applyNumberFormat="1" applyFont="1" applyBorder="1" applyAlignment="1">
      <alignment horizontal="center"/>
    </xf>
    <xf numFmtId="167" fontId="16" fillId="0" borderId="0" xfId="0" applyNumberFormat="1" applyFont="1" applyBorder="1" applyAlignment="1">
      <alignment horizontal="center"/>
    </xf>
    <xf numFmtId="167" fontId="16" fillId="0" borderId="23" xfId="0" applyNumberFormat="1" applyFont="1" applyBorder="1" applyAlignment="1">
      <alignment horizontal="center"/>
    </xf>
    <xf numFmtId="10" fontId="16" fillId="0" borderId="0" xfId="0" applyNumberFormat="1" applyFont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0" fillId="4" borderId="25" xfId="0" applyFill="1" applyBorder="1"/>
    <xf numFmtId="44" fontId="0" fillId="4" borderId="25" xfId="1" applyFont="1" applyFill="1" applyBorder="1"/>
    <xf numFmtId="44" fontId="3" fillId="4" borderId="26" xfId="1" applyFont="1" applyFill="1" applyBorder="1"/>
    <xf numFmtId="44" fontId="3" fillId="4" borderId="27" xfId="0" applyNumberFormat="1" applyFont="1" applyFill="1" applyBorder="1"/>
    <xf numFmtId="44" fontId="3" fillId="4" borderId="26" xfId="0" applyNumberFormat="1" applyFont="1" applyFill="1" applyBorder="1"/>
    <xf numFmtId="0" fontId="0" fillId="4" borderId="1" xfId="0" applyFill="1" applyBorder="1" applyAlignment="1">
      <alignment horizontal="center"/>
    </xf>
    <xf numFmtId="44" fontId="0" fillId="4" borderId="1" xfId="0" applyNumberFormat="1" applyFill="1" applyBorder="1"/>
    <xf numFmtId="10" fontId="0" fillId="4" borderId="1" xfId="0" applyNumberFormat="1" applyFill="1" applyBorder="1"/>
    <xf numFmtId="0" fontId="13" fillId="5" borderId="28" xfId="0" applyFont="1" applyFill="1" applyBorder="1"/>
    <xf numFmtId="0" fontId="0" fillId="5" borderId="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0" xfId="0" applyFill="1" applyBorder="1"/>
    <xf numFmtId="165" fontId="0" fillId="5" borderId="0" xfId="0" applyNumberFormat="1" applyFill="1" applyBorder="1"/>
    <xf numFmtId="165" fontId="0" fillId="5" borderId="31" xfId="0" applyNumberFormat="1" applyFill="1" applyBorder="1"/>
    <xf numFmtId="10" fontId="0" fillId="5" borderId="0" xfId="0" applyNumberFormat="1" applyFill="1" applyBorder="1"/>
    <xf numFmtId="10" fontId="0" fillId="5" borderId="31" xfId="0" applyNumberFormat="1" applyFill="1" applyBorder="1"/>
    <xf numFmtId="0" fontId="0" fillId="5" borderId="32" xfId="0" applyFill="1" applyBorder="1"/>
    <xf numFmtId="0" fontId="0" fillId="5" borderId="4" xfId="0" applyFill="1" applyBorder="1"/>
    <xf numFmtId="10" fontId="0" fillId="5" borderId="4" xfId="0" applyNumberFormat="1" applyFill="1" applyBorder="1"/>
    <xf numFmtId="10" fontId="0" fillId="5" borderId="33" xfId="0" applyNumberFormat="1" applyFill="1" applyBorder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6591-F942-A949-A66C-D77978E1F065}">
  <dimension ref="A1:M209"/>
  <sheetViews>
    <sheetView tabSelected="1" zoomScale="101" zoomScaleNormal="100" workbookViewId="0">
      <selection activeCell="E13" sqref="E13"/>
    </sheetView>
  </sheetViews>
  <sheetFormatPr baseColWidth="10" defaultRowHeight="16"/>
  <cols>
    <col min="1" max="1" width="38.33203125" bestFit="1" customWidth="1"/>
    <col min="2" max="3" width="16.5" bestFit="1" customWidth="1"/>
    <col min="4" max="4" width="17.6640625" bestFit="1" customWidth="1"/>
    <col min="5" max="5" width="16.5" bestFit="1" customWidth="1"/>
    <col min="6" max="7" width="16.83203125" bestFit="1" customWidth="1"/>
    <col min="8" max="8" width="16.5" bestFit="1" customWidth="1"/>
    <col min="11" max="11" width="15" bestFit="1" customWidth="1"/>
  </cols>
  <sheetData>
    <row r="1" spans="1:13" ht="21">
      <c r="A1" s="1" t="s">
        <v>0</v>
      </c>
    </row>
    <row r="2" spans="1:13" ht="17" thickBot="1">
      <c r="B2" s="2" t="s">
        <v>1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K2" s="9" t="s">
        <v>6</v>
      </c>
      <c r="L2" s="5"/>
      <c r="M2" s="5" t="s">
        <v>7</v>
      </c>
    </row>
    <row r="3" spans="1:13" ht="17" thickBot="1">
      <c r="A3" s="3" t="s">
        <v>3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K3" s="12">
        <v>1</v>
      </c>
      <c r="L3" s="15" t="str">
        <f ca="1">OFFSET(L3,Case,0)</f>
        <v>Upside</v>
      </c>
      <c r="M3" s="14">
        <f ca="1">OFFSET(M3,Case,0)</f>
        <v>0.05</v>
      </c>
    </row>
    <row r="4" spans="1:13">
      <c r="A4" s="6" t="s">
        <v>4</v>
      </c>
      <c r="K4" s="133">
        <v>1</v>
      </c>
      <c r="L4" s="133" t="s">
        <v>8</v>
      </c>
      <c r="M4" s="134">
        <v>0.05</v>
      </c>
    </row>
    <row r="5" spans="1:13">
      <c r="A5" s="7" t="s">
        <v>11</v>
      </c>
      <c r="K5" s="133">
        <v>2</v>
      </c>
      <c r="L5" s="133" t="s">
        <v>9</v>
      </c>
      <c r="M5" s="134">
        <v>0</v>
      </c>
    </row>
    <row r="6" spans="1:13">
      <c r="A6" t="s">
        <v>12</v>
      </c>
      <c r="B6" s="17">
        <v>1500000</v>
      </c>
      <c r="C6" s="17">
        <f ca="1">B6*(1+Growth)</f>
        <v>1575000</v>
      </c>
      <c r="D6" s="17">
        <f ca="1">C6*(1+Growth)</f>
        <v>1653750</v>
      </c>
      <c r="E6" s="17">
        <f ca="1">D6*(1+Growth)</f>
        <v>1736437.5</v>
      </c>
      <c r="F6" s="17">
        <f ca="1">E6*(1+Growth)</f>
        <v>1823259.375</v>
      </c>
      <c r="G6" s="17">
        <f ca="1">F6*(1+Growth)</f>
        <v>1914422.34375</v>
      </c>
      <c r="H6" s="17">
        <f ca="1">G6*(1+Growth)</f>
        <v>2010143.4609375</v>
      </c>
      <c r="K6" s="133">
        <v>3</v>
      </c>
      <c r="L6" s="133" t="s">
        <v>10</v>
      </c>
      <c r="M6" s="134">
        <v>-0.05</v>
      </c>
    </row>
    <row r="7" spans="1:13">
      <c r="A7" s="27" t="s">
        <v>13</v>
      </c>
      <c r="B7" s="43">
        <v>16</v>
      </c>
      <c r="C7" s="43">
        <v>16</v>
      </c>
      <c r="D7" s="43">
        <v>16</v>
      </c>
      <c r="E7" s="43">
        <v>16</v>
      </c>
      <c r="F7" s="43">
        <v>16</v>
      </c>
      <c r="G7" s="43">
        <v>16</v>
      </c>
      <c r="H7" s="43">
        <v>16</v>
      </c>
    </row>
    <row r="8" spans="1:13" ht="17" thickBot="1">
      <c r="A8" s="39" t="s">
        <v>5</v>
      </c>
      <c r="B8" s="40">
        <f>B6*B7</f>
        <v>24000000</v>
      </c>
      <c r="C8" s="40">
        <f t="shared" ref="C8:H8" ca="1" si="0">C6*C7</f>
        <v>25200000</v>
      </c>
      <c r="D8" s="40">
        <f t="shared" ca="1" si="0"/>
        <v>26460000</v>
      </c>
      <c r="E8" s="40">
        <f t="shared" ca="1" si="0"/>
        <v>27783000</v>
      </c>
      <c r="F8" s="40">
        <f t="shared" ca="1" si="0"/>
        <v>29172150</v>
      </c>
      <c r="G8" s="40">
        <f t="shared" ca="1" si="0"/>
        <v>30630757.5</v>
      </c>
      <c r="H8" s="40">
        <f t="shared" ca="1" si="0"/>
        <v>32162295.375</v>
      </c>
    </row>
    <row r="9" spans="1:13">
      <c r="A9" s="7" t="s">
        <v>14</v>
      </c>
    </row>
    <row r="10" spans="1:13">
      <c r="A10" t="s">
        <v>12</v>
      </c>
      <c r="B10" s="17">
        <v>3000000</v>
      </c>
      <c r="C10" s="17">
        <f ca="1">B10*(1+Growth)</f>
        <v>3150000</v>
      </c>
      <c r="D10" s="17">
        <f ca="1">C10*(1+Growth)</f>
        <v>3307500</v>
      </c>
      <c r="E10" s="17">
        <f ca="1">D10*(1+Growth)</f>
        <v>3472875</v>
      </c>
      <c r="F10" s="17">
        <f ca="1">E10*(1+Growth)</f>
        <v>3646518.75</v>
      </c>
      <c r="G10" s="17">
        <f ca="1">F10*(1+Growth)</f>
        <v>3828844.6875</v>
      </c>
      <c r="H10" s="17">
        <f ca="1">G10*(1+Growth)</f>
        <v>4020286.921875</v>
      </c>
    </row>
    <row r="11" spans="1:13">
      <c r="A11" s="27" t="s">
        <v>13</v>
      </c>
      <c r="B11" s="43">
        <v>36</v>
      </c>
      <c r="C11" s="43">
        <v>36</v>
      </c>
      <c r="D11" s="43">
        <v>36</v>
      </c>
      <c r="E11" s="43">
        <v>36</v>
      </c>
      <c r="F11" s="43">
        <v>36</v>
      </c>
      <c r="G11" s="43">
        <v>36</v>
      </c>
      <c r="H11" s="43">
        <v>36</v>
      </c>
    </row>
    <row r="12" spans="1:13" ht="17" thickBot="1">
      <c r="A12" s="39" t="s">
        <v>15</v>
      </c>
      <c r="B12" s="40">
        <f>B10*B11</f>
        <v>108000000</v>
      </c>
      <c r="C12" s="40">
        <f t="shared" ref="C12:H12" ca="1" si="1">C10*C11</f>
        <v>113400000</v>
      </c>
      <c r="D12" s="40">
        <f t="shared" ca="1" si="1"/>
        <v>119070000</v>
      </c>
      <c r="E12" s="40">
        <f t="shared" ca="1" si="1"/>
        <v>125023500</v>
      </c>
      <c r="F12" s="40">
        <f t="shared" ca="1" si="1"/>
        <v>131274675</v>
      </c>
      <c r="G12" s="40">
        <f t="shared" ca="1" si="1"/>
        <v>137838408.75</v>
      </c>
      <c r="H12" s="40">
        <f t="shared" ca="1" si="1"/>
        <v>144730329.1875</v>
      </c>
    </row>
    <row r="13" spans="1:13">
      <c r="A13" s="28" t="s">
        <v>24</v>
      </c>
      <c r="B13" s="25"/>
      <c r="C13" s="25"/>
      <c r="D13" s="25"/>
      <c r="E13" s="25"/>
      <c r="F13" s="25"/>
      <c r="G13" s="25"/>
      <c r="H13" s="25"/>
    </row>
    <row r="14" spans="1:13">
      <c r="A14" s="26" t="s">
        <v>25</v>
      </c>
      <c r="B14" s="29" t="s">
        <v>27</v>
      </c>
      <c r="C14" s="35">
        <f>C15*(B10+B6)</f>
        <v>1125000</v>
      </c>
      <c r="D14" s="35">
        <f t="shared" ref="D14:H14" ca="1" si="2">D15*(C10+C6)</f>
        <v>1181250</v>
      </c>
      <c r="E14" s="35">
        <f t="shared" ca="1" si="2"/>
        <v>1240312.5</v>
      </c>
      <c r="F14" s="35">
        <f t="shared" ca="1" si="2"/>
        <v>1302328.125</v>
      </c>
      <c r="G14" s="35">
        <f t="shared" ca="1" si="2"/>
        <v>1367444.53125</v>
      </c>
      <c r="H14" s="35">
        <f t="shared" ca="1" si="2"/>
        <v>1435816.7578125</v>
      </c>
    </row>
    <row r="15" spans="1:13">
      <c r="A15" s="27" t="s">
        <v>26</v>
      </c>
      <c r="B15" s="29"/>
      <c r="C15" s="31">
        <v>0.25</v>
      </c>
      <c r="D15" s="31">
        <v>0.25</v>
      </c>
      <c r="E15" s="31">
        <v>0.25</v>
      </c>
      <c r="F15" s="31">
        <v>0.25</v>
      </c>
      <c r="G15" s="31">
        <v>0.25</v>
      </c>
      <c r="H15" s="31">
        <v>0.25</v>
      </c>
    </row>
    <row r="16" spans="1:13">
      <c r="A16" s="36" t="s">
        <v>28</v>
      </c>
      <c r="B16" s="44"/>
      <c r="C16" s="44">
        <v>5</v>
      </c>
      <c r="D16" s="44">
        <v>5</v>
      </c>
      <c r="E16" s="44">
        <v>5</v>
      </c>
      <c r="F16" s="44">
        <v>5</v>
      </c>
      <c r="G16" s="44">
        <v>5</v>
      </c>
      <c r="H16" s="44">
        <v>5</v>
      </c>
    </row>
    <row r="17" spans="1:8" ht="17" thickBot="1">
      <c r="A17" s="39" t="s">
        <v>24</v>
      </c>
      <c r="B17" s="40"/>
      <c r="C17" s="40">
        <f>C14*C16</f>
        <v>5625000</v>
      </c>
      <c r="D17" s="40">
        <f t="shared" ref="D17:H17" ca="1" si="3">D14*D16</f>
        <v>5906250</v>
      </c>
      <c r="E17" s="40">
        <f t="shared" ca="1" si="3"/>
        <v>6201562.5</v>
      </c>
      <c r="F17" s="40">
        <f t="shared" ca="1" si="3"/>
        <v>6511640.625</v>
      </c>
      <c r="G17" s="40">
        <f t="shared" ca="1" si="3"/>
        <v>6837222.65625</v>
      </c>
      <c r="H17" s="40">
        <f t="shared" ca="1" si="3"/>
        <v>7179083.7890625</v>
      </c>
    </row>
    <row r="18" spans="1:8">
      <c r="A18" s="24" t="s">
        <v>16</v>
      </c>
      <c r="B18" s="25">
        <f>B8+B12+B17</f>
        <v>132000000</v>
      </c>
      <c r="C18" s="25">
        <f t="shared" ref="C18:H18" ca="1" si="4">C8+C12+C17</f>
        <v>144225000</v>
      </c>
      <c r="D18" s="25">
        <f t="shared" ca="1" si="4"/>
        <v>151436250</v>
      </c>
      <c r="E18" s="25">
        <f t="shared" ca="1" si="4"/>
        <v>159008062.5</v>
      </c>
      <c r="F18" s="25">
        <f t="shared" ca="1" si="4"/>
        <v>166958465.625</v>
      </c>
      <c r="G18" s="25">
        <f t="shared" ca="1" si="4"/>
        <v>175306388.90625</v>
      </c>
      <c r="H18" s="25">
        <f t="shared" ca="1" si="4"/>
        <v>184071708.3515625</v>
      </c>
    </row>
    <row r="19" spans="1:8" ht="17" thickBot="1">
      <c r="A19" s="19" t="s">
        <v>42</v>
      </c>
      <c r="B19" s="32"/>
      <c r="C19" s="49">
        <f ca="1">(C18/B18)-1</f>
        <v>9.2613636363636287E-2</v>
      </c>
      <c r="D19" s="49">
        <f t="shared" ref="D19:H19" ca="1" si="5">(D18/C18)-1</f>
        <v>5.0000000000000044E-2</v>
      </c>
      <c r="E19" s="49">
        <f t="shared" ca="1" si="5"/>
        <v>5.0000000000000044E-2</v>
      </c>
      <c r="F19" s="49">
        <f t="shared" ca="1" si="5"/>
        <v>5.0000000000000044E-2</v>
      </c>
      <c r="G19" s="49">
        <f t="shared" ca="1" si="5"/>
        <v>5.0000000000000044E-2</v>
      </c>
      <c r="H19" s="49">
        <f t="shared" ca="1" si="5"/>
        <v>5.0000000000000044E-2</v>
      </c>
    </row>
    <row r="20" spans="1:8">
      <c r="A20" s="6" t="s">
        <v>17</v>
      </c>
    </row>
    <row r="21" spans="1:8">
      <c r="A21" s="8" t="s">
        <v>18</v>
      </c>
      <c r="B21" s="17">
        <f>B6+B10</f>
        <v>4500000</v>
      </c>
      <c r="C21" s="17">
        <f t="shared" ref="C21:H21" ca="1" si="6">C6+C10</f>
        <v>4725000</v>
      </c>
      <c r="D21" s="17">
        <f t="shared" ca="1" si="6"/>
        <v>4961250</v>
      </c>
      <c r="E21" s="17">
        <f t="shared" ca="1" si="6"/>
        <v>5209312.5</v>
      </c>
      <c r="F21" s="17">
        <f t="shared" ca="1" si="6"/>
        <v>5469778.125</v>
      </c>
      <c r="G21" s="17">
        <f t="shared" ca="1" si="6"/>
        <v>5743267.03125</v>
      </c>
      <c r="H21" s="17">
        <f t="shared" ca="1" si="6"/>
        <v>6030430.3828125</v>
      </c>
    </row>
    <row r="22" spans="1:8">
      <c r="A22" s="21" t="s">
        <v>19</v>
      </c>
      <c r="B22" s="22">
        <v>1.5</v>
      </c>
      <c r="C22" s="22">
        <v>1.5</v>
      </c>
      <c r="D22" s="22">
        <v>1.5</v>
      </c>
      <c r="E22" s="22">
        <v>1.5</v>
      </c>
      <c r="F22" s="22">
        <v>1.5</v>
      </c>
      <c r="G22" s="22">
        <v>1.5</v>
      </c>
      <c r="H22" s="22">
        <v>1.5</v>
      </c>
    </row>
    <row r="23" spans="1:8" ht="17" thickBot="1">
      <c r="A23" s="39" t="s">
        <v>30</v>
      </c>
      <c r="B23" s="45">
        <f>B$21*B22</f>
        <v>6750000</v>
      </c>
      <c r="C23" s="45">
        <f t="shared" ref="C23:H23" ca="1" si="7">C$21*C22</f>
        <v>7087500</v>
      </c>
      <c r="D23" s="45">
        <f t="shared" ca="1" si="7"/>
        <v>7441875</v>
      </c>
      <c r="E23" s="45">
        <f t="shared" ca="1" si="7"/>
        <v>7813968.75</v>
      </c>
      <c r="F23" s="45">
        <f t="shared" ca="1" si="7"/>
        <v>8204667.1875</v>
      </c>
      <c r="G23" s="45">
        <f t="shared" ca="1" si="7"/>
        <v>8614900.546875</v>
      </c>
      <c r="H23" s="45">
        <f t="shared" ca="1" si="7"/>
        <v>9045645.57421875</v>
      </c>
    </row>
    <row r="24" spans="1:8" s="21" customFormat="1">
      <c r="A24" s="21" t="s">
        <v>20</v>
      </c>
      <c r="B24" s="22">
        <v>3</v>
      </c>
      <c r="C24" s="22">
        <v>3</v>
      </c>
      <c r="D24" s="22">
        <v>3</v>
      </c>
      <c r="E24" s="22">
        <v>3</v>
      </c>
      <c r="F24" s="22">
        <v>3</v>
      </c>
      <c r="G24" s="22">
        <v>3</v>
      </c>
      <c r="H24" s="22">
        <v>3</v>
      </c>
    </row>
    <row r="25" spans="1:8" s="21" customFormat="1" ht="17" thickBot="1">
      <c r="A25" s="39" t="s">
        <v>31</v>
      </c>
      <c r="B25" s="45">
        <f>B$21*B24</f>
        <v>13500000</v>
      </c>
      <c r="C25" s="45">
        <f t="shared" ref="C25" ca="1" si="8">C$21*C24</f>
        <v>14175000</v>
      </c>
      <c r="D25" s="45">
        <f t="shared" ref="D25" ca="1" si="9">D$21*D24</f>
        <v>14883750</v>
      </c>
      <c r="E25" s="45">
        <f t="shared" ref="E25" ca="1" si="10">E$21*E24</f>
        <v>15627937.5</v>
      </c>
      <c r="F25" s="45">
        <f t="shared" ref="F25" ca="1" si="11">F$21*F24</f>
        <v>16409334.375</v>
      </c>
      <c r="G25" s="45">
        <f t="shared" ref="G25" ca="1" si="12">G$21*G24</f>
        <v>17229801.09375</v>
      </c>
      <c r="H25" s="45">
        <f t="shared" ref="H25" ca="1" si="13">H$21*H24</f>
        <v>18091291.1484375</v>
      </c>
    </row>
    <row r="26" spans="1:8">
      <c r="A26" s="21" t="s">
        <v>21</v>
      </c>
      <c r="B26" s="22">
        <v>3</v>
      </c>
      <c r="C26" s="22">
        <v>3</v>
      </c>
      <c r="D26" s="22">
        <v>3</v>
      </c>
      <c r="E26" s="22">
        <v>3</v>
      </c>
      <c r="F26" s="22">
        <v>3</v>
      </c>
      <c r="G26" s="22">
        <v>3</v>
      </c>
      <c r="H26" s="22">
        <v>3</v>
      </c>
    </row>
    <row r="27" spans="1:8" ht="17" thickBot="1">
      <c r="A27" s="39" t="s">
        <v>32</v>
      </c>
      <c r="B27" s="45">
        <f>B$21*B26</f>
        <v>13500000</v>
      </c>
      <c r="C27" s="45">
        <f t="shared" ref="C27" ca="1" si="14">C$21*C26</f>
        <v>14175000</v>
      </c>
      <c r="D27" s="45">
        <f t="shared" ref="D27" ca="1" si="15">D$21*D26</f>
        <v>14883750</v>
      </c>
      <c r="E27" s="45">
        <f t="shared" ref="E27" ca="1" si="16">E$21*E26</f>
        <v>15627937.5</v>
      </c>
      <c r="F27" s="45">
        <f t="shared" ref="F27" ca="1" si="17">F$21*F26</f>
        <v>16409334.375</v>
      </c>
      <c r="G27" s="45">
        <f t="shared" ref="G27" ca="1" si="18">G$21*G26</f>
        <v>17229801.09375</v>
      </c>
      <c r="H27" s="45">
        <f t="shared" ref="H27" ca="1" si="19">H$21*H26</f>
        <v>18091291.1484375</v>
      </c>
    </row>
    <row r="28" spans="1:8">
      <c r="A28" s="21" t="s">
        <v>22</v>
      </c>
      <c r="B28" s="22">
        <v>4</v>
      </c>
      <c r="C28" s="22">
        <v>4</v>
      </c>
      <c r="D28" s="22">
        <v>4</v>
      </c>
      <c r="E28" s="22">
        <v>4</v>
      </c>
      <c r="F28" s="22">
        <v>4</v>
      </c>
      <c r="G28" s="22">
        <v>4</v>
      </c>
      <c r="H28" s="22">
        <v>4</v>
      </c>
    </row>
    <row r="29" spans="1:8" ht="17" thickBot="1">
      <c r="A29" s="39" t="s">
        <v>30</v>
      </c>
      <c r="B29" s="45">
        <f>B$21*B28</f>
        <v>18000000</v>
      </c>
      <c r="C29" s="45">
        <f t="shared" ref="C29" ca="1" si="20">C$21*C28</f>
        <v>18900000</v>
      </c>
      <c r="D29" s="45">
        <f t="shared" ref="D29" ca="1" si="21">D$21*D28</f>
        <v>19845000</v>
      </c>
      <c r="E29" s="45">
        <f t="shared" ref="E29" ca="1" si="22">E$21*E28</f>
        <v>20837250</v>
      </c>
      <c r="F29" s="45">
        <f t="shared" ref="F29" ca="1" si="23">F$21*F28</f>
        <v>21879112.5</v>
      </c>
      <c r="G29" s="45">
        <f t="shared" ref="G29" ca="1" si="24">G$21*G28</f>
        <v>22973068.125</v>
      </c>
      <c r="H29" s="45">
        <f t="shared" ref="H29" ca="1" si="25">H$21*H28</f>
        <v>24121721.53125</v>
      </c>
    </row>
    <row r="30" spans="1:8">
      <c r="A30" s="7" t="s">
        <v>23</v>
      </c>
    </row>
    <row r="31" spans="1:8">
      <c r="A31" t="s">
        <v>33</v>
      </c>
      <c r="B31" s="23">
        <f>B18-B17</f>
        <v>132000000</v>
      </c>
      <c r="C31" s="23">
        <f t="shared" ref="C31:H31" ca="1" si="26">C18-C17</f>
        <v>138600000</v>
      </c>
      <c r="D31" s="23">
        <f t="shared" ca="1" si="26"/>
        <v>145530000</v>
      </c>
      <c r="E31" s="23">
        <f t="shared" ca="1" si="26"/>
        <v>152806500</v>
      </c>
      <c r="F31" s="23">
        <f t="shared" ca="1" si="26"/>
        <v>160446825</v>
      </c>
      <c r="G31" s="23">
        <f t="shared" ca="1" si="26"/>
        <v>168469166.25</v>
      </c>
      <c r="H31" s="23">
        <f t="shared" ca="1" si="26"/>
        <v>176892624.5625</v>
      </c>
    </row>
    <row r="32" spans="1:8">
      <c r="A32" s="21" t="s">
        <v>35</v>
      </c>
      <c r="B32" s="46">
        <v>0.15</v>
      </c>
      <c r="C32" s="46">
        <v>0.15</v>
      </c>
      <c r="D32" s="46">
        <v>0.15</v>
      </c>
      <c r="E32" s="46">
        <v>0.15</v>
      </c>
      <c r="F32" s="46">
        <v>0.15</v>
      </c>
      <c r="G32" s="46">
        <v>0.15</v>
      </c>
      <c r="H32" s="46">
        <v>0.15</v>
      </c>
    </row>
    <row r="33" spans="1:8" ht="17" thickBot="1">
      <c r="A33" s="39" t="s">
        <v>36</v>
      </c>
      <c r="B33" s="40">
        <f>B31*B32</f>
        <v>19800000</v>
      </c>
      <c r="C33" s="40">
        <f t="shared" ref="C33:H33" ca="1" si="27">C31*C32</f>
        <v>20790000</v>
      </c>
      <c r="D33" s="40">
        <f t="shared" ca="1" si="27"/>
        <v>21829500</v>
      </c>
      <c r="E33" s="40">
        <f t="shared" ca="1" si="27"/>
        <v>22920975</v>
      </c>
      <c r="F33" s="40">
        <f t="shared" ca="1" si="27"/>
        <v>24067023.75</v>
      </c>
      <c r="G33" s="40">
        <f t="shared" ca="1" si="27"/>
        <v>25270374.9375</v>
      </c>
      <c r="H33" s="40">
        <f t="shared" ca="1" si="27"/>
        <v>26533893.684374999</v>
      </c>
    </row>
    <row r="34" spans="1:8">
      <c r="A34" s="7" t="s">
        <v>37</v>
      </c>
    </row>
    <row r="35" spans="1:8">
      <c r="A35" t="s">
        <v>38</v>
      </c>
      <c r="B35" s="20">
        <f>B18</f>
        <v>132000000</v>
      </c>
      <c r="C35" s="20">
        <f t="shared" ref="C35:H35" ca="1" si="28">C18</f>
        <v>144225000</v>
      </c>
      <c r="D35" s="20">
        <f t="shared" ca="1" si="28"/>
        <v>151436250</v>
      </c>
      <c r="E35" s="20">
        <f t="shared" ca="1" si="28"/>
        <v>159008062.5</v>
      </c>
      <c r="F35" s="20">
        <f t="shared" ca="1" si="28"/>
        <v>166958465.625</v>
      </c>
      <c r="G35" s="20">
        <f t="shared" ca="1" si="28"/>
        <v>175306388.90625</v>
      </c>
      <c r="H35" s="20">
        <f t="shared" ca="1" si="28"/>
        <v>184071708.3515625</v>
      </c>
    </row>
    <row r="36" spans="1:8">
      <c r="A36" s="21" t="s">
        <v>39</v>
      </c>
      <c r="B36" s="46">
        <v>0.15</v>
      </c>
      <c r="C36" s="46">
        <v>0.15</v>
      </c>
      <c r="D36" s="46">
        <v>0.15</v>
      </c>
      <c r="E36" s="46">
        <v>0.15</v>
      </c>
      <c r="F36" s="46">
        <v>0.15</v>
      </c>
      <c r="G36" s="46">
        <v>0.15</v>
      </c>
      <c r="H36" s="46">
        <v>0.15</v>
      </c>
    </row>
    <row r="37" spans="1:8" ht="17" thickBot="1">
      <c r="A37" s="39" t="s">
        <v>40</v>
      </c>
      <c r="B37" s="40">
        <f>B35*B36</f>
        <v>19800000</v>
      </c>
      <c r="C37" s="40">
        <f t="shared" ref="C37:H37" ca="1" si="29">C35*C36</f>
        <v>21633750</v>
      </c>
      <c r="D37" s="40">
        <f t="shared" ca="1" si="29"/>
        <v>22715437.5</v>
      </c>
      <c r="E37" s="40">
        <f t="shared" ca="1" si="29"/>
        <v>23851209.375</v>
      </c>
      <c r="F37" s="40">
        <f t="shared" ca="1" si="29"/>
        <v>25043769.84375</v>
      </c>
      <c r="G37" s="40">
        <f t="shared" ca="1" si="29"/>
        <v>26295958.3359375</v>
      </c>
      <c r="H37" s="40">
        <f t="shared" ca="1" si="29"/>
        <v>27610756.252734374</v>
      </c>
    </row>
    <row r="38" spans="1:8" ht="17" thickBot="1">
      <c r="A38" s="33" t="s">
        <v>41</v>
      </c>
      <c r="B38" s="34">
        <f>-B23-B25-B27-B29-B33-B37</f>
        <v>-91350000</v>
      </c>
      <c r="C38" s="34">
        <f t="shared" ref="C38:H38" ca="1" si="30">-C23-C25-C27-C29-C33-C37</f>
        <v>-96761250</v>
      </c>
      <c r="D38" s="34">
        <f t="shared" ca="1" si="30"/>
        <v>-101599312.5</v>
      </c>
      <c r="E38" s="34">
        <f t="shared" ca="1" si="30"/>
        <v>-106679278.125</v>
      </c>
      <c r="F38" s="34">
        <f t="shared" ca="1" si="30"/>
        <v>-112013242.03125</v>
      </c>
      <c r="G38" s="34">
        <f t="shared" ca="1" si="30"/>
        <v>-117613904.1328125</v>
      </c>
      <c r="H38" s="34">
        <f t="shared" ca="1" si="30"/>
        <v>-123494599.33945313</v>
      </c>
    </row>
    <row r="39" spans="1:8" ht="17" thickBot="1">
      <c r="A39" s="41"/>
      <c r="B39" s="42"/>
      <c r="C39" s="42"/>
      <c r="D39" s="42"/>
      <c r="E39" s="42"/>
      <c r="F39" s="42"/>
      <c r="G39" s="42"/>
      <c r="H39" s="42"/>
    </row>
    <row r="40" spans="1:8">
      <c r="A40" s="24" t="s">
        <v>43</v>
      </c>
      <c r="B40" s="25">
        <f>B18+B38</f>
        <v>40650000</v>
      </c>
      <c r="C40" s="25">
        <f t="shared" ref="C40:H40" ca="1" si="31">C18+C38</f>
        <v>47463750</v>
      </c>
      <c r="D40" s="25">
        <f t="shared" ca="1" si="31"/>
        <v>49836937.5</v>
      </c>
      <c r="E40" s="25">
        <f t="shared" ca="1" si="31"/>
        <v>52328784.375</v>
      </c>
      <c r="F40" s="25">
        <f t="shared" ca="1" si="31"/>
        <v>54945223.59375</v>
      </c>
      <c r="G40" s="25">
        <f t="shared" ca="1" si="31"/>
        <v>57692484.7734375</v>
      </c>
      <c r="H40" s="25">
        <f t="shared" ca="1" si="31"/>
        <v>60577109.012109369</v>
      </c>
    </row>
    <row r="41" spans="1:8" ht="17" thickBot="1">
      <c r="A41" s="19" t="s">
        <v>44</v>
      </c>
      <c r="B41" s="49">
        <f>B40/B18</f>
        <v>0.30795454545454548</v>
      </c>
      <c r="C41" s="49">
        <f t="shared" ref="C41:H41" ca="1" si="32">C40/C18</f>
        <v>0.32909516380655224</v>
      </c>
      <c r="D41" s="49">
        <f t="shared" ca="1" si="32"/>
        <v>0.32909516380655224</v>
      </c>
      <c r="E41" s="49">
        <f t="shared" ca="1" si="32"/>
        <v>0.32909516380655224</v>
      </c>
      <c r="F41" s="49">
        <f t="shared" ca="1" si="32"/>
        <v>0.32909516380655224</v>
      </c>
      <c r="G41" s="49">
        <f t="shared" ca="1" si="32"/>
        <v>0.32909516380655224</v>
      </c>
      <c r="H41" s="49">
        <f t="shared" ca="1" si="32"/>
        <v>0.32909516380655224</v>
      </c>
    </row>
    <row r="42" spans="1:8">
      <c r="A42" s="6" t="s">
        <v>45</v>
      </c>
    </row>
    <row r="43" spans="1:8">
      <c r="A43" s="37" t="s">
        <v>46</v>
      </c>
      <c r="B43" s="23">
        <v>350000</v>
      </c>
      <c r="C43" s="23">
        <v>350000</v>
      </c>
      <c r="D43" s="23">
        <v>350000</v>
      </c>
      <c r="E43" s="23">
        <v>350000</v>
      </c>
      <c r="F43" s="23">
        <v>350000</v>
      </c>
      <c r="G43" s="23">
        <v>350000</v>
      </c>
      <c r="H43" s="23">
        <v>350000</v>
      </c>
    </row>
    <row r="44" spans="1:8">
      <c r="A44" t="s">
        <v>47</v>
      </c>
      <c r="B44" s="23">
        <v>1500000</v>
      </c>
      <c r="C44" s="23">
        <v>1500000</v>
      </c>
      <c r="D44" s="23">
        <v>1500000</v>
      </c>
      <c r="E44" s="23">
        <v>1500000</v>
      </c>
      <c r="F44" s="23">
        <v>1500000</v>
      </c>
      <c r="G44" s="23">
        <v>1500000</v>
      </c>
      <c r="H44" s="23">
        <v>1500000</v>
      </c>
    </row>
    <row r="45" spans="1:8">
      <c r="A45" t="s">
        <v>48</v>
      </c>
      <c r="B45" s="23">
        <v>1750000</v>
      </c>
      <c r="C45" s="23">
        <v>1750000</v>
      </c>
      <c r="D45" s="23">
        <v>1750000</v>
      </c>
      <c r="E45" s="23">
        <v>1750000</v>
      </c>
      <c r="F45" s="23">
        <v>1750000</v>
      </c>
      <c r="G45" s="23">
        <v>1750000</v>
      </c>
      <c r="H45" s="23">
        <v>1750000</v>
      </c>
    </row>
    <row r="46" spans="1:8" ht="17" thickBot="1">
      <c r="A46" s="16" t="s">
        <v>49</v>
      </c>
      <c r="B46" s="18">
        <v>750000</v>
      </c>
      <c r="C46" s="18">
        <v>750000</v>
      </c>
      <c r="D46" s="18">
        <v>750000</v>
      </c>
      <c r="E46" s="18">
        <v>750000</v>
      </c>
      <c r="F46" s="18">
        <v>750000</v>
      </c>
      <c r="G46" s="18">
        <v>750000</v>
      </c>
      <c r="H46" s="18">
        <v>750000</v>
      </c>
    </row>
    <row r="47" spans="1:8">
      <c r="A47" s="7" t="s">
        <v>50</v>
      </c>
    </row>
    <row r="48" spans="1:8">
      <c r="A48" t="s">
        <v>38</v>
      </c>
      <c r="B48" s="20">
        <f>B18</f>
        <v>132000000</v>
      </c>
      <c r="C48" s="20">
        <f t="shared" ref="C48:H48" ca="1" si="33">C18</f>
        <v>144225000</v>
      </c>
      <c r="D48" s="20">
        <f t="shared" ca="1" si="33"/>
        <v>151436250</v>
      </c>
      <c r="E48" s="20">
        <f t="shared" ca="1" si="33"/>
        <v>159008062.5</v>
      </c>
      <c r="F48" s="20">
        <f t="shared" ca="1" si="33"/>
        <v>166958465.625</v>
      </c>
      <c r="G48" s="20">
        <f t="shared" ca="1" si="33"/>
        <v>175306388.90625</v>
      </c>
      <c r="H48" s="20">
        <f t="shared" ca="1" si="33"/>
        <v>184071708.3515625</v>
      </c>
    </row>
    <row r="49" spans="1:8">
      <c r="A49" s="21" t="s">
        <v>51</v>
      </c>
      <c r="B49" s="46">
        <v>0.05</v>
      </c>
      <c r="C49" s="46">
        <v>0.05</v>
      </c>
      <c r="D49" s="46">
        <v>0.05</v>
      </c>
      <c r="E49" s="46">
        <v>0.05</v>
      </c>
      <c r="F49" s="46">
        <v>0.05</v>
      </c>
      <c r="G49" s="46">
        <v>0.05</v>
      </c>
      <c r="H49" s="46">
        <v>0.05</v>
      </c>
    </row>
    <row r="50" spans="1:8" ht="17" thickBot="1">
      <c r="A50" s="39" t="s">
        <v>52</v>
      </c>
      <c r="B50" s="53">
        <f>B48*B49</f>
        <v>6600000</v>
      </c>
      <c r="C50" s="53">
        <f t="shared" ref="C50:H50" ca="1" si="34">C48*C49</f>
        <v>7211250</v>
      </c>
      <c r="D50" s="53">
        <f t="shared" ca="1" si="34"/>
        <v>7571812.5</v>
      </c>
      <c r="E50" s="53">
        <f t="shared" ca="1" si="34"/>
        <v>7950403.125</v>
      </c>
      <c r="F50" s="53">
        <f t="shared" ca="1" si="34"/>
        <v>8347923.28125</v>
      </c>
      <c r="G50" s="53">
        <f t="shared" ca="1" si="34"/>
        <v>8765319.4453125</v>
      </c>
      <c r="H50" s="53">
        <f t="shared" ca="1" si="34"/>
        <v>9203585.4175781254</v>
      </c>
    </row>
    <row r="51" spans="1:8">
      <c r="A51" s="7" t="s">
        <v>53</v>
      </c>
    </row>
    <row r="52" spans="1:8">
      <c r="A52" t="s">
        <v>54</v>
      </c>
      <c r="B52" s="23">
        <v>1250000</v>
      </c>
      <c r="C52" s="23">
        <v>1250000</v>
      </c>
      <c r="D52" s="23">
        <v>1250000</v>
      </c>
      <c r="E52" s="23">
        <v>1250000</v>
      </c>
      <c r="F52" s="23">
        <v>1250000</v>
      </c>
      <c r="G52" s="23">
        <v>1250000</v>
      </c>
      <c r="H52" s="23">
        <v>1250000</v>
      </c>
    </row>
    <row r="53" spans="1:8">
      <c r="A53" s="54" t="s">
        <v>55</v>
      </c>
      <c r="B53" s="55">
        <v>0.03</v>
      </c>
      <c r="C53" s="55">
        <v>0.03</v>
      </c>
      <c r="D53" s="55">
        <v>0.03</v>
      </c>
      <c r="E53" s="55">
        <v>0.03</v>
      </c>
      <c r="F53" s="55">
        <v>0.03</v>
      </c>
      <c r="G53" s="55">
        <v>0.03</v>
      </c>
      <c r="H53" s="55">
        <v>0.03</v>
      </c>
    </row>
    <row r="54" spans="1:8">
      <c r="A54" t="s">
        <v>56</v>
      </c>
      <c r="B54" s="20">
        <f>B48*B53</f>
        <v>3960000</v>
      </c>
      <c r="C54" s="20">
        <f t="shared" ref="C54:H54" ca="1" si="35">C48*C53</f>
        <v>4326750</v>
      </c>
      <c r="D54" s="20">
        <f t="shared" ca="1" si="35"/>
        <v>4543087.5</v>
      </c>
      <c r="E54" s="20">
        <f t="shared" ca="1" si="35"/>
        <v>4770241.875</v>
      </c>
      <c r="F54" s="20">
        <f t="shared" ca="1" si="35"/>
        <v>5008753.96875</v>
      </c>
      <c r="G54" s="20">
        <f t="shared" ca="1" si="35"/>
        <v>5259191.6671874998</v>
      </c>
      <c r="H54" s="20">
        <f t="shared" ca="1" si="35"/>
        <v>5522151.2505468745</v>
      </c>
    </row>
    <row r="55" spans="1:8" ht="17" thickBot="1">
      <c r="A55" s="39" t="s">
        <v>57</v>
      </c>
      <c r="B55" s="40">
        <f>B54+B52</f>
        <v>5210000</v>
      </c>
      <c r="C55" s="40">
        <f t="shared" ref="C55:H55" ca="1" si="36">C54+C52</f>
        <v>5576750</v>
      </c>
      <c r="D55" s="40">
        <f t="shared" ca="1" si="36"/>
        <v>5793087.5</v>
      </c>
      <c r="E55" s="40">
        <f t="shared" ca="1" si="36"/>
        <v>6020241.875</v>
      </c>
      <c r="F55" s="40">
        <f t="shared" ca="1" si="36"/>
        <v>6258753.96875</v>
      </c>
      <c r="G55" s="40">
        <f t="shared" ca="1" si="36"/>
        <v>6509191.6671874998</v>
      </c>
      <c r="H55" s="40">
        <f t="shared" ca="1" si="36"/>
        <v>6772151.2505468745</v>
      </c>
    </row>
    <row r="56" spans="1:8">
      <c r="A56" s="50" t="s">
        <v>58</v>
      </c>
      <c r="B56" s="51">
        <f>-SUM(B43:B46)-B50-B55</f>
        <v>-16160000</v>
      </c>
      <c r="C56" s="51">
        <f t="shared" ref="C56:H56" ca="1" si="37">-SUM(C43:C46)-C50-C55</f>
        <v>-17138000</v>
      </c>
      <c r="D56" s="51">
        <f t="shared" ca="1" si="37"/>
        <v>-17714900</v>
      </c>
      <c r="E56" s="51">
        <f t="shared" ca="1" si="37"/>
        <v>-18320645</v>
      </c>
      <c r="F56" s="51">
        <f t="shared" ca="1" si="37"/>
        <v>-18956677.25</v>
      </c>
      <c r="G56" s="51">
        <f t="shared" ca="1" si="37"/>
        <v>-19624511.112500001</v>
      </c>
      <c r="H56" s="51">
        <f t="shared" ca="1" si="37"/>
        <v>-20325736.668125</v>
      </c>
    </row>
    <row r="57" spans="1:8" ht="17" thickBot="1">
      <c r="A57" s="19" t="s">
        <v>44</v>
      </c>
      <c r="B57" s="49">
        <f>B56/B18</f>
        <v>-0.12242424242424242</v>
      </c>
      <c r="C57" s="49">
        <f t="shared" ref="C57:H57" ca="1" si="38">C56/C18</f>
        <v>-0.11882821979545849</v>
      </c>
      <c r="D57" s="49">
        <f t="shared" ca="1" si="38"/>
        <v>-0.11697925694805569</v>
      </c>
      <c r="E57" s="49">
        <f t="shared" ca="1" si="38"/>
        <v>-0.11521833995052924</v>
      </c>
      <c r="F57" s="49">
        <f t="shared" ca="1" si="38"/>
        <v>-0.11354127614336118</v>
      </c>
      <c r="G57" s="49">
        <f t="shared" ca="1" si="38"/>
        <v>-0.11194407251748684</v>
      </c>
      <c r="H57" s="49">
        <f t="shared" ca="1" si="38"/>
        <v>-0.11042292620713032</v>
      </c>
    </row>
    <row r="58" spans="1:8" ht="17" thickBot="1">
      <c r="A58" s="48"/>
      <c r="B58" s="48"/>
      <c r="C58" s="48"/>
      <c r="D58" s="48"/>
      <c r="E58" s="48"/>
      <c r="F58" s="48"/>
      <c r="G58" s="48"/>
      <c r="H58" s="48"/>
    </row>
    <row r="59" spans="1:8" ht="17" thickBot="1">
      <c r="A59" s="33" t="s">
        <v>60</v>
      </c>
      <c r="B59" s="34">
        <f>B40+B56</f>
        <v>24490000</v>
      </c>
      <c r="C59" s="34">
        <f t="shared" ref="C59:H59" ca="1" si="39">C40+C56</f>
        <v>30325750</v>
      </c>
      <c r="D59" s="34">
        <f t="shared" ca="1" si="39"/>
        <v>32122037.5</v>
      </c>
      <c r="E59" s="34">
        <f t="shared" ca="1" si="39"/>
        <v>34008139.375</v>
      </c>
      <c r="F59" s="34">
        <f t="shared" ca="1" si="39"/>
        <v>35988546.34375</v>
      </c>
      <c r="G59" s="34">
        <f t="shared" ca="1" si="39"/>
        <v>38067973.660937503</v>
      </c>
      <c r="H59" s="34">
        <f t="shared" ca="1" si="39"/>
        <v>40251372.343984365</v>
      </c>
    </row>
    <row r="60" spans="1:8">
      <c r="A60" s="37" t="s">
        <v>123</v>
      </c>
      <c r="B60" s="25"/>
      <c r="C60" s="25"/>
      <c r="D60" s="38">
        <f>D138</f>
        <v>-1300000</v>
      </c>
      <c r="E60" s="38">
        <f t="shared" ref="E60:H60" si="40">E138</f>
        <v>-1600000</v>
      </c>
      <c r="F60" s="38">
        <f t="shared" si="40"/>
        <v>-1900000</v>
      </c>
      <c r="G60" s="38">
        <f t="shared" si="40"/>
        <v>-2200000</v>
      </c>
      <c r="H60" s="38">
        <f t="shared" si="40"/>
        <v>-2500000</v>
      </c>
    </row>
    <row r="61" spans="1:8" ht="17" thickBot="1">
      <c r="A61" s="39" t="s">
        <v>59</v>
      </c>
      <c r="B61" s="40"/>
      <c r="C61" s="40"/>
      <c r="D61" s="40">
        <f ca="1">SUM(D59:D60)</f>
        <v>30822037.5</v>
      </c>
      <c r="E61" s="40">
        <f t="shared" ref="E61:H61" ca="1" si="41">SUM(E59:E60)</f>
        <v>32408139.375</v>
      </c>
      <c r="F61" s="40">
        <f t="shared" ca="1" si="41"/>
        <v>34088546.34375</v>
      </c>
      <c r="G61" s="40">
        <f t="shared" ca="1" si="41"/>
        <v>35867973.660937503</v>
      </c>
      <c r="H61" s="40">
        <f t="shared" ca="1" si="41"/>
        <v>37751372.343984365</v>
      </c>
    </row>
    <row r="62" spans="1:8">
      <c r="A62" s="37" t="s">
        <v>119</v>
      </c>
      <c r="B62" s="30"/>
      <c r="C62" s="30"/>
      <c r="D62" s="38">
        <f ca="1">D158</f>
        <v>-7646705.344722081</v>
      </c>
      <c r="E62" s="38">
        <f t="shared" ref="E62:H62" ca="1" si="42">E158</f>
        <v>-6915098.7322709821</v>
      </c>
      <c r="F62" s="38">
        <f t="shared" ca="1" si="42"/>
        <v>-5993723.1507016961</v>
      </c>
      <c r="G62" s="38">
        <f t="shared" ca="1" si="42"/>
        <v>-4848484.4193809861</v>
      </c>
      <c r="H62" s="38">
        <f t="shared" ca="1" si="42"/>
        <v>-3407738.8382381774</v>
      </c>
    </row>
    <row r="63" spans="1:8">
      <c r="A63" s="26" t="s">
        <v>120</v>
      </c>
      <c r="B63" s="30"/>
      <c r="C63" s="30"/>
      <c r="D63" s="38">
        <f ca="1">D164</f>
        <v>-1819545</v>
      </c>
      <c r="E63" s="38">
        <f t="shared" ref="E63:H63" ca="1" si="43">E164</f>
        <v>-1852326.8</v>
      </c>
      <c r="F63" s="38">
        <f t="shared" ca="1" si="43"/>
        <v>-1886419.872</v>
      </c>
      <c r="G63" s="38">
        <f t="shared" ca="1" si="43"/>
        <v>-1921876.6668799999</v>
      </c>
      <c r="H63" s="38">
        <f t="shared" ca="1" si="43"/>
        <v>-1874953.8135504378</v>
      </c>
    </row>
    <row r="64" spans="1:8">
      <c r="A64" s="26" t="s">
        <v>121</v>
      </c>
      <c r="B64" s="30"/>
      <c r="C64" s="30"/>
      <c r="D64" s="38">
        <f ca="1">D167</f>
        <v>50000</v>
      </c>
      <c r="E64" s="38">
        <f t="shared" ref="E64:H64" ca="1" si="44">E167</f>
        <v>50000</v>
      </c>
      <c r="F64" s="38">
        <f t="shared" ca="1" si="44"/>
        <v>50000</v>
      </c>
      <c r="G64" s="38">
        <f t="shared" ca="1" si="44"/>
        <v>50000</v>
      </c>
      <c r="H64" s="38">
        <f t="shared" ca="1" si="44"/>
        <v>50000</v>
      </c>
    </row>
    <row r="65" spans="1:8">
      <c r="A65" s="26" t="s">
        <v>122</v>
      </c>
      <c r="B65" s="30"/>
      <c r="C65" s="30"/>
      <c r="D65" s="38">
        <f ca="1">-'Transaction Summary'!$J$8/5</f>
        <v>-212280.25</v>
      </c>
      <c r="E65" s="38">
        <f ca="1">-'Transaction Summary'!$J$8/5</f>
        <v>-212280.25</v>
      </c>
      <c r="F65" s="38">
        <f ca="1">-'Transaction Summary'!$J$8/5</f>
        <v>-212280.25</v>
      </c>
      <c r="G65" s="38">
        <f ca="1">-'Transaction Summary'!$J$8/5</f>
        <v>-212280.25</v>
      </c>
      <c r="H65" s="38">
        <f ca="1">-'Transaction Summary'!$J$8/5</f>
        <v>-212280.25</v>
      </c>
    </row>
    <row r="66" spans="1:8" ht="17" thickBot="1">
      <c r="A66" s="39" t="s">
        <v>124</v>
      </c>
      <c r="B66" s="40"/>
      <c r="C66" s="40"/>
      <c r="D66" s="40">
        <f ca="1">SUM(D61:D65)</f>
        <v>21193506.905277919</v>
      </c>
      <c r="E66" s="40">
        <f t="shared" ref="E66:H66" ca="1" si="45">SUM(E61:E65)</f>
        <v>23478433.592729017</v>
      </c>
      <c r="F66" s="40">
        <f t="shared" ca="1" si="45"/>
        <v>26046123.071048304</v>
      </c>
      <c r="G66" s="40">
        <f t="shared" ca="1" si="45"/>
        <v>28935332.324676517</v>
      </c>
      <c r="H66" s="40">
        <f t="shared" ca="1" si="45"/>
        <v>32306399.442195747</v>
      </c>
    </row>
    <row r="67" spans="1:8">
      <c r="A67" s="26" t="s">
        <v>125</v>
      </c>
      <c r="B67" s="25"/>
      <c r="C67" s="25"/>
      <c r="D67" s="30">
        <f ca="1">0.4*D66</f>
        <v>8477402.7621111684</v>
      </c>
      <c r="E67" s="30">
        <f t="shared" ref="E67:H67" ca="1" si="46">0.4*E66</f>
        <v>9391373.4370916076</v>
      </c>
      <c r="F67" s="30">
        <f t="shared" ca="1" si="46"/>
        <v>10418449.228419323</v>
      </c>
      <c r="G67" s="30">
        <f t="shared" ca="1" si="46"/>
        <v>11574132.929870607</v>
      </c>
      <c r="H67" s="30">
        <f t="shared" ca="1" si="46"/>
        <v>12922559.776878299</v>
      </c>
    </row>
    <row r="68" spans="1:8" ht="17" thickBot="1">
      <c r="A68" s="39" t="s">
        <v>126</v>
      </c>
      <c r="B68" s="40"/>
      <c r="C68" s="40"/>
      <c r="D68" s="40">
        <f ca="1">D66-D67</f>
        <v>12716104.143166751</v>
      </c>
      <c r="E68" s="40">
        <f t="shared" ref="E68:H68" ca="1" si="47">E66-E67</f>
        <v>14087060.15563741</v>
      </c>
      <c r="F68" s="40">
        <f t="shared" ca="1" si="47"/>
        <v>15627673.842628982</v>
      </c>
      <c r="G68" s="40">
        <f t="shared" ca="1" si="47"/>
        <v>17361199.394805908</v>
      </c>
      <c r="H68" s="40">
        <f t="shared" ca="1" si="47"/>
        <v>19383839.665317446</v>
      </c>
    </row>
    <row r="69" spans="1:8" ht="17" thickBot="1">
      <c r="A69" s="26"/>
      <c r="B69" s="52"/>
      <c r="C69" s="52"/>
      <c r="D69" s="52"/>
      <c r="E69" s="52"/>
      <c r="F69" s="52"/>
      <c r="G69" s="52"/>
      <c r="H69" s="52"/>
    </row>
    <row r="70" spans="1:8">
      <c r="A70" s="3" t="s">
        <v>96</v>
      </c>
      <c r="B70" s="111">
        <v>2011</v>
      </c>
      <c r="C70" s="13" t="s">
        <v>98</v>
      </c>
      <c r="D70" s="13">
        <v>2012</v>
      </c>
      <c r="E70" s="13">
        <v>2013</v>
      </c>
      <c r="F70" s="13">
        <v>2014</v>
      </c>
      <c r="G70" s="13">
        <v>2015</v>
      </c>
      <c r="H70" s="13">
        <v>2016</v>
      </c>
    </row>
    <row r="71" spans="1:8">
      <c r="A71" s="67" t="s">
        <v>97</v>
      </c>
      <c r="B71" s="112"/>
      <c r="C71" s="52"/>
      <c r="D71" s="52"/>
      <c r="E71" s="52"/>
      <c r="F71" s="52"/>
      <c r="G71" s="52"/>
      <c r="H71" s="52"/>
    </row>
    <row r="72" spans="1:8">
      <c r="A72" s="37" t="s">
        <v>99</v>
      </c>
      <c r="B72" s="113">
        <v>0</v>
      </c>
      <c r="C72" s="68">
        <v>5000000</v>
      </c>
      <c r="D72" s="68">
        <f ca="1">D126</f>
        <v>5000000</v>
      </c>
      <c r="E72" s="68">
        <f t="shared" ref="E72:H72" ca="1" si="48">E126</f>
        <v>5000000</v>
      </c>
      <c r="F72" s="68">
        <f t="shared" ca="1" si="48"/>
        <v>5000000</v>
      </c>
      <c r="G72" s="68">
        <f t="shared" ca="1" si="48"/>
        <v>5000000</v>
      </c>
      <c r="H72" s="68">
        <f t="shared" ca="1" si="48"/>
        <v>5000000</v>
      </c>
    </row>
    <row r="73" spans="1:8">
      <c r="A73" s="37" t="s">
        <v>100</v>
      </c>
      <c r="B73" s="113">
        <v>9816000</v>
      </c>
      <c r="C73" s="68">
        <v>9816000</v>
      </c>
      <c r="D73" s="68">
        <f ca="1">D18/365*D98</f>
        <v>10306800</v>
      </c>
      <c r="E73" s="68">
        <f t="shared" ref="E73:H73" ca="1" si="49">E18/365*E98</f>
        <v>10822140.000000002</v>
      </c>
      <c r="F73" s="68">
        <f t="shared" ca="1" si="49"/>
        <v>11363247</v>
      </c>
      <c r="G73" s="68">
        <f t="shared" ca="1" si="49"/>
        <v>11931409.350000001</v>
      </c>
      <c r="H73" s="68">
        <f t="shared" ca="1" si="49"/>
        <v>12527979.817500001</v>
      </c>
    </row>
    <row r="74" spans="1:8">
      <c r="A74" s="37" t="s">
        <v>101</v>
      </c>
      <c r="B74" s="113">
        <v>10268000</v>
      </c>
      <c r="C74" s="69">
        <v>10268000</v>
      </c>
      <c r="D74" s="68">
        <f ca="1">-D38/365*D99</f>
        <v>10781399.999999998</v>
      </c>
      <c r="E74" s="68">
        <f t="shared" ref="E74:H74" ca="1" si="50">-E38/365*E99</f>
        <v>11320469.999999998</v>
      </c>
      <c r="F74" s="68">
        <f t="shared" ca="1" si="50"/>
        <v>11886493.499999998</v>
      </c>
      <c r="G74" s="68">
        <f t="shared" ca="1" si="50"/>
        <v>12480818.174999999</v>
      </c>
      <c r="H74" s="68">
        <f t="shared" ca="1" si="50"/>
        <v>13104859.083749998</v>
      </c>
    </row>
    <row r="75" spans="1:8">
      <c r="A75" s="37" t="s">
        <v>102</v>
      </c>
      <c r="B75" s="113">
        <v>2279000</v>
      </c>
      <c r="C75" s="69">
        <v>2279000</v>
      </c>
      <c r="D75" s="68">
        <f ca="1">D18*D101</f>
        <v>2392950</v>
      </c>
      <c r="E75" s="68">
        <f t="shared" ref="E75:H75" ca="1" si="51">E18*E101</f>
        <v>2512597.5</v>
      </c>
      <c r="F75" s="68">
        <f t="shared" ca="1" si="51"/>
        <v>2638227.375</v>
      </c>
      <c r="G75" s="68">
        <f t="shared" ca="1" si="51"/>
        <v>2770138.7437499999</v>
      </c>
      <c r="H75" s="68">
        <f t="shared" ca="1" si="51"/>
        <v>2908645.6809375002</v>
      </c>
    </row>
    <row r="76" spans="1:8" ht="17" thickBot="1">
      <c r="A76" s="39" t="s">
        <v>103</v>
      </c>
      <c r="B76" s="114">
        <f>SUM(B72:B75)</f>
        <v>22363000</v>
      </c>
      <c r="C76" s="45">
        <f t="shared" ref="C76:H76" si="52">SUM(C72:C75)</f>
        <v>27363000</v>
      </c>
      <c r="D76" s="45">
        <f t="shared" ca="1" si="52"/>
        <v>28481150</v>
      </c>
      <c r="E76" s="45">
        <f t="shared" ca="1" si="52"/>
        <v>29655207.5</v>
      </c>
      <c r="F76" s="45">
        <f t="shared" ca="1" si="52"/>
        <v>30887967.875</v>
      </c>
      <c r="G76" s="45">
        <f t="shared" ca="1" si="52"/>
        <v>32182366.268749997</v>
      </c>
      <c r="H76" s="45">
        <f t="shared" ca="1" si="52"/>
        <v>33541484.5821875</v>
      </c>
    </row>
    <row r="77" spans="1:8">
      <c r="A77" s="67" t="s">
        <v>104</v>
      </c>
      <c r="B77" s="113"/>
      <c r="C77" s="68"/>
      <c r="D77" s="68"/>
      <c r="E77" s="68"/>
      <c r="F77" s="68"/>
      <c r="G77" s="68"/>
      <c r="H77" s="68"/>
    </row>
    <row r="78" spans="1:8">
      <c r="A78" s="37" t="s">
        <v>105</v>
      </c>
      <c r="B78" s="113">
        <v>6500000</v>
      </c>
      <c r="C78" s="23">
        <v>6500000</v>
      </c>
      <c r="D78" s="82">
        <f>C78-D132+D138</f>
        <v>6700000</v>
      </c>
      <c r="E78" s="82">
        <f t="shared" ref="E78:H78" si="53">D78-E132+E138</f>
        <v>6600000</v>
      </c>
      <c r="F78" s="82">
        <f t="shared" si="53"/>
        <v>6200000</v>
      </c>
      <c r="G78" s="82">
        <f t="shared" si="53"/>
        <v>5500000</v>
      </c>
      <c r="H78" s="82">
        <f t="shared" si="53"/>
        <v>4500000</v>
      </c>
    </row>
    <row r="79" spans="1:8">
      <c r="A79" s="37" t="s">
        <v>106</v>
      </c>
      <c r="B79" s="113">
        <v>0</v>
      </c>
      <c r="C79" s="23">
        <f ca="1">'Transaction Summary'!$J$22</f>
        <v>132790750</v>
      </c>
      <c r="D79" s="23">
        <f ca="1">'Transaction Summary'!$J$22</f>
        <v>132790750</v>
      </c>
      <c r="E79" s="23">
        <f ca="1">'Transaction Summary'!$J$22</f>
        <v>132790750</v>
      </c>
      <c r="F79" s="23">
        <f ca="1">'Transaction Summary'!$J$22</f>
        <v>132790750</v>
      </c>
      <c r="G79" s="23">
        <f ca="1">'Transaction Summary'!$J$22</f>
        <v>132790750</v>
      </c>
      <c r="H79" s="23">
        <f ca="1">'Transaction Summary'!$J$22</f>
        <v>132790750</v>
      </c>
    </row>
    <row r="80" spans="1:8">
      <c r="A80" s="37" t="s">
        <v>107</v>
      </c>
      <c r="B80" s="113">
        <v>0</v>
      </c>
      <c r="C80" s="23">
        <f ca="1">'Transaction Summary'!J8</f>
        <v>1061401.25</v>
      </c>
      <c r="D80" s="23">
        <f ca="1">C80+D65</f>
        <v>849121</v>
      </c>
      <c r="E80" s="23">
        <f t="shared" ref="E80:H80" ca="1" si="54">D80+E65</f>
        <v>636840.75</v>
      </c>
      <c r="F80" s="23">
        <f t="shared" ca="1" si="54"/>
        <v>424560.5</v>
      </c>
      <c r="G80" s="23">
        <f t="shared" ca="1" si="54"/>
        <v>212280.25</v>
      </c>
      <c r="H80" s="23">
        <f t="shared" ca="1" si="54"/>
        <v>0</v>
      </c>
    </row>
    <row r="81" spans="1:8">
      <c r="A81" s="37" t="s">
        <v>108</v>
      </c>
      <c r="B81" s="113">
        <v>2587000</v>
      </c>
      <c r="C81" s="23">
        <v>2587000</v>
      </c>
      <c r="D81" s="23">
        <v>2587000</v>
      </c>
      <c r="E81" s="23">
        <v>2587000</v>
      </c>
      <c r="F81" s="23">
        <v>2587000</v>
      </c>
      <c r="G81" s="23">
        <v>2587000</v>
      </c>
      <c r="H81" s="23">
        <v>2587000</v>
      </c>
    </row>
    <row r="82" spans="1:8" ht="17" thickBot="1">
      <c r="A82" s="39" t="s">
        <v>109</v>
      </c>
      <c r="B82" s="114">
        <f>SUM(B78:B81)</f>
        <v>9087000</v>
      </c>
      <c r="C82" s="45">
        <f t="shared" ref="C82:H82" ca="1" si="55">SUM(C78:C81)</f>
        <v>142939151.25</v>
      </c>
      <c r="D82" s="45">
        <f t="shared" ca="1" si="55"/>
        <v>142926871</v>
      </c>
      <c r="E82" s="45">
        <f t="shared" ca="1" si="55"/>
        <v>142614590.75</v>
      </c>
      <c r="F82" s="45">
        <f t="shared" ca="1" si="55"/>
        <v>142002310.5</v>
      </c>
      <c r="G82" s="45">
        <f t="shared" ca="1" si="55"/>
        <v>141090030.25</v>
      </c>
      <c r="H82" s="45">
        <f t="shared" ca="1" si="55"/>
        <v>139877750</v>
      </c>
    </row>
    <row r="83" spans="1:8" ht="17" thickBot="1">
      <c r="A83" s="41" t="s">
        <v>110</v>
      </c>
      <c r="B83" s="115">
        <f>B82+B76</f>
        <v>31450000</v>
      </c>
      <c r="C83" s="42">
        <f t="shared" ref="C83:H83" ca="1" si="56">C82+C76</f>
        <v>170302151.25</v>
      </c>
      <c r="D83" s="42">
        <f t="shared" ca="1" si="56"/>
        <v>171408021</v>
      </c>
      <c r="E83" s="42">
        <f t="shared" ca="1" si="56"/>
        <v>172269798.25</v>
      </c>
      <c r="F83" s="42">
        <f t="shared" ca="1" si="56"/>
        <v>172890278.375</v>
      </c>
      <c r="G83" s="42">
        <f t="shared" ca="1" si="56"/>
        <v>173272396.51875001</v>
      </c>
      <c r="H83" s="42">
        <f t="shared" ca="1" si="56"/>
        <v>173419234.5821875</v>
      </c>
    </row>
    <row r="84" spans="1:8">
      <c r="A84" s="6" t="s">
        <v>113</v>
      </c>
      <c r="B84" s="112"/>
    </row>
    <row r="85" spans="1:8">
      <c r="A85" t="s">
        <v>111</v>
      </c>
      <c r="B85" s="113">
        <v>7550000</v>
      </c>
      <c r="C85" s="23">
        <v>7550000</v>
      </c>
      <c r="D85" s="68">
        <f ca="1">-D38/365*D100</f>
        <v>7927500</v>
      </c>
      <c r="E85" s="68">
        <f t="shared" ref="E85:H85" ca="1" si="57">-E38/365*E100</f>
        <v>8323874.9999999991</v>
      </c>
      <c r="F85" s="68">
        <f t="shared" ca="1" si="57"/>
        <v>8740068.75</v>
      </c>
      <c r="G85" s="68">
        <f t="shared" ca="1" si="57"/>
        <v>9177072.1875</v>
      </c>
      <c r="H85" s="68">
        <f t="shared" ca="1" si="57"/>
        <v>9635925.796875</v>
      </c>
    </row>
    <row r="86" spans="1:8">
      <c r="A86" t="s">
        <v>79</v>
      </c>
      <c r="B86" s="113">
        <v>0</v>
      </c>
      <c r="C86" s="23">
        <f ca="1">'Transaction Summary'!E6</f>
        <v>60651500</v>
      </c>
      <c r="D86" s="23">
        <f ca="1">D145</f>
        <v>47654570.606833249</v>
      </c>
      <c r="E86" s="23">
        <f t="shared" ref="E86:H86" ca="1" si="58">E145</f>
        <v>32981453.401195843</v>
      </c>
      <c r="F86" s="23">
        <f t="shared" ca="1" si="58"/>
        <v>16462556.936566856</v>
      </c>
      <c r="G86" s="23">
        <f t="shared" ca="1" si="58"/>
        <v>0</v>
      </c>
      <c r="H86" s="23">
        <f t="shared" ca="1" si="58"/>
        <v>0</v>
      </c>
    </row>
    <row r="87" spans="1:8">
      <c r="A87" t="s">
        <v>102</v>
      </c>
      <c r="B87" s="113">
        <v>3793000</v>
      </c>
      <c r="C87" s="23">
        <v>3793000</v>
      </c>
      <c r="D87" s="23">
        <f ca="1">D18*D102</f>
        <v>3982650</v>
      </c>
      <c r="E87" s="23">
        <f t="shared" ref="E87:H87" ca="1" si="59">E18*E102</f>
        <v>4181782.5</v>
      </c>
      <c r="F87" s="23">
        <f t="shared" ca="1" si="59"/>
        <v>4390871.625</v>
      </c>
      <c r="G87" s="23">
        <f t="shared" ca="1" si="59"/>
        <v>4610415.2062499998</v>
      </c>
      <c r="H87" s="23">
        <f t="shared" ca="1" si="59"/>
        <v>4840935.9665625002</v>
      </c>
    </row>
    <row r="88" spans="1:8" ht="17" thickBot="1">
      <c r="A88" s="39" t="s">
        <v>112</v>
      </c>
      <c r="B88" s="114">
        <f>SUM(B85:B87)</f>
        <v>11343000</v>
      </c>
      <c r="C88" s="45">
        <f t="shared" ref="C88:H88" ca="1" si="60">SUM(C85:C87)</f>
        <v>71994500</v>
      </c>
      <c r="D88" s="45">
        <f t="shared" ca="1" si="60"/>
        <v>59564720.606833249</v>
      </c>
      <c r="E88" s="45">
        <f t="shared" ca="1" si="60"/>
        <v>45487110.901195839</v>
      </c>
      <c r="F88" s="45">
        <f t="shared" ca="1" si="60"/>
        <v>29593497.311566856</v>
      </c>
      <c r="G88" s="45">
        <f t="shared" ca="1" si="60"/>
        <v>13787487.393750001</v>
      </c>
      <c r="H88" s="45">
        <f t="shared" ca="1" si="60"/>
        <v>14476861.7634375</v>
      </c>
    </row>
    <row r="89" spans="1:8">
      <c r="A89" s="61" t="s">
        <v>114</v>
      </c>
      <c r="B89" s="112"/>
    </row>
    <row r="90" spans="1:8">
      <c r="A90" t="s">
        <v>80</v>
      </c>
      <c r="B90" s="113">
        <v>0</v>
      </c>
      <c r="C90" s="20">
        <f ca="1">'Transaction Summary'!E7</f>
        <v>45488625</v>
      </c>
      <c r="D90" s="20">
        <f ca="1">D152</f>
        <v>46308170</v>
      </c>
      <c r="E90" s="20">
        <f t="shared" ref="E90:H90" ca="1" si="61">E152</f>
        <v>47160496.799999997</v>
      </c>
      <c r="F90" s="20">
        <f t="shared" ca="1" si="61"/>
        <v>48046916.671999998</v>
      </c>
      <c r="G90" s="20">
        <f t="shared" ca="1" si="61"/>
        <v>46873845.338760942</v>
      </c>
      <c r="H90" s="20">
        <f t="shared" ca="1" si="61"/>
        <v>26947469.367193494</v>
      </c>
    </row>
    <row r="91" spans="1:8">
      <c r="A91" t="s">
        <v>108</v>
      </c>
      <c r="B91" s="113">
        <v>1269000</v>
      </c>
      <c r="C91" s="23">
        <v>1269000</v>
      </c>
      <c r="D91" s="23">
        <v>1269000</v>
      </c>
      <c r="E91" s="23">
        <v>1269000</v>
      </c>
      <c r="F91" s="23">
        <v>1269000</v>
      </c>
      <c r="G91" s="23">
        <v>1269000</v>
      </c>
      <c r="H91" s="23">
        <v>1269000</v>
      </c>
    </row>
    <row r="92" spans="1:8" ht="17" thickBot="1">
      <c r="A92" s="39" t="s">
        <v>115</v>
      </c>
      <c r="B92" s="116">
        <f>SUM(B90:B91)</f>
        <v>1269000</v>
      </c>
      <c r="C92" s="40">
        <f t="shared" ref="C92:H92" ca="1" si="62">SUM(C90:C91)</f>
        <v>46757625</v>
      </c>
      <c r="D92" s="40">
        <f t="shared" ca="1" si="62"/>
        <v>47577170</v>
      </c>
      <c r="E92" s="40">
        <f t="shared" ca="1" si="62"/>
        <v>48429496.799999997</v>
      </c>
      <c r="F92" s="40">
        <f t="shared" ca="1" si="62"/>
        <v>49315916.671999998</v>
      </c>
      <c r="G92" s="40">
        <f t="shared" ca="1" si="62"/>
        <v>48142845.338760942</v>
      </c>
      <c r="H92" s="40">
        <f t="shared" ca="1" si="62"/>
        <v>28216469.367193494</v>
      </c>
    </row>
    <row r="93" spans="1:8">
      <c r="A93" t="s">
        <v>116</v>
      </c>
      <c r="B93" s="113">
        <v>18838000</v>
      </c>
      <c r="C93" s="23">
        <f ca="1">'Transaction Summary'!E9+'Transaction Summary'!E8-'Transaction Summary'!B15</f>
        <v>51550026.25</v>
      </c>
      <c r="D93" s="23">
        <f ca="1">C93+D68</f>
        <v>64266130.393166751</v>
      </c>
      <c r="E93" s="23">
        <f t="shared" ref="E93:H93" ca="1" si="63">D93+E68</f>
        <v>78353190.548804164</v>
      </c>
      <c r="F93" s="23">
        <f t="shared" ca="1" si="63"/>
        <v>93980864.39143315</v>
      </c>
      <c r="G93" s="23">
        <f t="shared" ca="1" si="63"/>
        <v>111342063.78623906</v>
      </c>
      <c r="H93" s="23">
        <f t="shared" ca="1" si="63"/>
        <v>130725903.4515565</v>
      </c>
    </row>
    <row r="94" spans="1:8" ht="17" thickBot="1">
      <c r="A94" s="39" t="s">
        <v>117</v>
      </c>
      <c r="B94" s="114">
        <f>B93+B92+B88</f>
        <v>31450000</v>
      </c>
      <c r="C94" s="45">
        <f t="shared" ref="C94:H94" ca="1" si="64">C93+C92+C88</f>
        <v>170302151.25</v>
      </c>
      <c r="D94" s="45">
        <f t="shared" ca="1" si="64"/>
        <v>171408021</v>
      </c>
      <c r="E94" s="45">
        <f t="shared" ca="1" si="64"/>
        <v>172269798.25</v>
      </c>
      <c r="F94" s="45">
        <f t="shared" ca="1" si="64"/>
        <v>172890278.375</v>
      </c>
      <c r="G94" s="45">
        <f t="shared" ca="1" si="64"/>
        <v>173272396.51875001</v>
      </c>
      <c r="H94" s="45">
        <f t="shared" ca="1" si="64"/>
        <v>173419234.5821875</v>
      </c>
    </row>
    <row r="95" spans="1:8">
      <c r="A95" s="21" t="s">
        <v>118</v>
      </c>
      <c r="B95" s="92">
        <f>B94-B83</f>
        <v>0</v>
      </c>
      <c r="C95" s="92">
        <f ca="1">C94-C83</f>
        <v>0</v>
      </c>
      <c r="D95" s="92">
        <f t="shared" ref="D95:H95" ca="1" si="65">D94-D83</f>
        <v>0</v>
      </c>
      <c r="E95" s="92">
        <f t="shared" ca="1" si="65"/>
        <v>0</v>
      </c>
      <c r="F95" s="92">
        <f t="shared" ca="1" si="65"/>
        <v>0</v>
      </c>
      <c r="G95" s="92">
        <f t="shared" ca="1" si="65"/>
        <v>0</v>
      </c>
      <c r="H95" s="92">
        <f t="shared" ca="1" si="65"/>
        <v>0</v>
      </c>
    </row>
    <row r="96" spans="1:8" ht="17" thickBot="1"/>
    <row r="97" spans="1:8">
      <c r="A97" s="120" t="s">
        <v>127</v>
      </c>
      <c r="B97" s="121"/>
      <c r="C97" s="121"/>
      <c r="D97" s="121"/>
      <c r="E97" s="121"/>
      <c r="F97" s="121"/>
      <c r="G97" s="121"/>
      <c r="H97" s="122"/>
    </row>
    <row r="98" spans="1:8">
      <c r="A98" s="123" t="s">
        <v>128</v>
      </c>
      <c r="B98" s="124"/>
      <c r="C98" s="125">
        <f ca="1">$C$73/$C$18*365</f>
        <v>24.842017680707229</v>
      </c>
      <c r="D98" s="125">
        <f t="shared" ref="D98:H98" ca="1" si="66">$C$73/$C$18*365</f>
        <v>24.842017680707229</v>
      </c>
      <c r="E98" s="125">
        <f t="shared" ca="1" si="66"/>
        <v>24.842017680707229</v>
      </c>
      <c r="F98" s="125">
        <f t="shared" ca="1" si="66"/>
        <v>24.842017680707229</v>
      </c>
      <c r="G98" s="125">
        <f t="shared" ca="1" si="66"/>
        <v>24.842017680707229</v>
      </c>
      <c r="H98" s="126">
        <f t="shared" ca="1" si="66"/>
        <v>24.842017680707229</v>
      </c>
    </row>
    <row r="99" spans="1:8">
      <c r="A99" s="123" t="s">
        <v>129</v>
      </c>
      <c r="B99" s="124"/>
      <c r="C99" s="125">
        <f ca="1">-$C$74/$C$38*365</f>
        <v>38.732653825782528</v>
      </c>
      <c r="D99" s="125">
        <f t="shared" ref="D99:H99" ca="1" si="67">-$C$74/$C$38*365</f>
        <v>38.732653825782528</v>
      </c>
      <c r="E99" s="125">
        <f t="shared" ca="1" si="67"/>
        <v>38.732653825782528</v>
      </c>
      <c r="F99" s="125">
        <f t="shared" ca="1" si="67"/>
        <v>38.732653825782528</v>
      </c>
      <c r="G99" s="125">
        <f t="shared" ca="1" si="67"/>
        <v>38.732653825782528</v>
      </c>
      <c r="H99" s="126">
        <f t="shared" ca="1" si="67"/>
        <v>38.732653825782528</v>
      </c>
    </row>
    <row r="100" spans="1:8">
      <c r="A100" s="123" t="s">
        <v>130</v>
      </c>
      <c r="B100" s="124"/>
      <c r="C100" s="125">
        <f ca="1">-$C$85/$C$38*365</f>
        <v>28.479892518957744</v>
      </c>
      <c r="D100" s="125">
        <f t="shared" ref="D100:H100" ca="1" si="68">-$C$85/$C$38*365</f>
        <v>28.479892518957744</v>
      </c>
      <c r="E100" s="125">
        <f t="shared" ca="1" si="68"/>
        <v>28.479892518957744</v>
      </c>
      <c r="F100" s="125">
        <f t="shared" ca="1" si="68"/>
        <v>28.479892518957744</v>
      </c>
      <c r="G100" s="125">
        <f t="shared" ca="1" si="68"/>
        <v>28.479892518957744</v>
      </c>
      <c r="H100" s="126">
        <f t="shared" ca="1" si="68"/>
        <v>28.479892518957744</v>
      </c>
    </row>
    <row r="101" spans="1:8">
      <c r="A101" s="123" t="s">
        <v>131</v>
      </c>
      <c r="B101" s="124"/>
      <c r="C101" s="127">
        <f ca="1">$C$75/$C$18</f>
        <v>1.5801698734616051E-2</v>
      </c>
      <c r="D101" s="127">
        <f t="shared" ref="D101:H101" ca="1" si="69">$C$75/$C$18</f>
        <v>1.5801698734616051E-2</v>
      </c>
      <c r="E101" s="127">
        <f t="shared" ca="1" si="69"/>
        <v>1.5801698734616051E-2</v>
      </c>
      <c r="F101" s="127">
        <f t="shared" ca="1" si="69"/>
        <v>1.5801698734616051E-2</v>
      </c>
      <c r="G101" s="127">
        <f t="shared" ca="1" si="69"/>
        <v>1.5801698734616051E-2</v>
      </c>
      <c r="H101" s="128">
        <f t="shared" ca="1" si="69"/>
        <v>1.5801698734616051E-2</v>
      </c>
    </row>
    <row r="102" spans="1:8" ht="17" thickBot="1">
      <c r="A102" s="129" t="s">
        <v>176</v>
      </c>
      <c r="B102" s="130"/>
      <c r="C102" s="131">
        <f ca="1">$C$87/$C$18</f>
        <v>2.6299185300745362E-2</v>
      </c>
      <c r="D102" s="131">
        <f t="shared" ref="D102:H102" ca="1" si="70">$C$87/$C$18</f>
        <v>2.6299185300745362E-2</v>
      </c>
      <c r="E102" s="131">
        <f t="shared" ca="1" si="70"/>
        <v>2.6299185300745362E-2</v>
      </c>
      <c r="F102" s="131">
        <f t="shared" ca="1" si="70"/>
        <v>2.6299185300745362E-2</v>
      </c>
      <c r="G102" s="131">
        <f t="shared" ca="1" si="70"/>
        <v>2.6299185300745362E-2</v>
      </c>
      <c r="H102" s="132">
        <f t="shared" ca="1" si="70"/>
        <v>2.6299185300745362E-2</v>
      </c>
    </row>
    <row r="104" spans="1:8">
      <c r="A104" s="73" t="s">
        <v>132</v>
      </c>
      <c r="B104" s="4"/>
      <c r="C104" s="13">
        <v>2011</v>
      </c>
      <c r="D104" s="13">
        <v>2012</v>
      </c>
      <c r="E104" s="13">
        <v>2013</v>
      </c>
      <c r="F104" s="13">
        <v>2014</v>
      </c>
      <c r="G104" s="13">
        <v>2015</v>
      </c>
      <c r="H104" s="13">
        <v>2016</v>
      </c>
    </row>
    <row r="105" spans="1:8" s="76" customFormat="1">
      <c r="A105" s="77" t="s">
        <v>133</v>
      </c>
      <c r="B105" s="74"/>
      <c r="C105" s="75"/>
      <c r="D105" s="75"/>
      <c r="E105" s="75"/>
      <c r="F105" s="75"/>
      <c r="G105" s="75"/>
      <c r="H105" s="75"/>
    </row>
    <row r="106" spans="1:8">
      <c r="A106" t="s">
        <v>126</v>
      </c>
      <c r="C106" s="20"/>
      <c r="D106" s="20">
        <f ca="1">D68</f>
        <v>12716104.143166751</v>
      </c>
      <c r="E106" s="20">
        <f t="shared" ref="E106:H106" ca="1" si="71">E68</f>
        <v>14087060.15563741</v>
      </c>
      <c r="F106" s="20">
        <f t="shared" ca="1" si="71"/>
        <v>15627673.842628982</v>
      </c>
      <c r="G106" s="20">
        <f t="shared" ca="1" si="71"/>
        <v>17361199.394805908</v>
      </c>
      <c r="H106" s="20">
        <f t="shared" ca="1" si="71"/>
        <v>19383839.665317446</v>
      </c>
    </row>
    <row r="107" spans="1:8">
      <c r="A107" s="7" t="s">
        <v>134</v>
      </c>
    </row>
    <row r="108" spans="1:8">
      <c r="A108" t="s">
        <v>135</v>
      </c>
      <c r="D108" s="78">
        <f>-D138</f>
        <v>1300000</v>
      </c>
      <c r="E108" s="78">
        <f t="shared" ref="E108:H108" si="72">-E138</f>
        <v>1600000</v>
      </c>
      <c r="F108" s="78">
        <f t="shared" si="72"/>
        <v>1900000</v>
      </c>
      <c r="G108" s="78">
        <f t="shared" si="72"/>
        <v>2200000</v>
      </c>
      <c r="H108" s="78">
        <f t="shared" si="72"/>
        <v>2500000</v>
      </c>
    </row>
    <row r="109" spans="1:8">
      <c r="A109" t="s">
        <v>137</v>
      </c>
      <c r="D109" s="78">
        <f ca="1">-D164</f>
        <v>1819545</v>
      </c>
      <c r="E109" s="78">
        <f t="shared" ref="E109:H109" ca="1" si="73">-E164</f>
        <v>1852326.8</v>
      </c>
      <c r="F109" s="78">
        <f t="shared" ca="1" si="73"/>
        <v>1886419.872</v>
      </c>
      <c r="G109" s="78">
        <f t="shared" ca="1" si="73"/>
        <v>1921876.6668799999</v>
      </c>
      <c r="H109" s="78">
        <f t="shared" ca="1" si="73"/>
        <v>1874953.8135504378</v>
      </c>
    </row>
    <row r="110" spans="1:8">
      <c r="A110" t="s">
        <v>138</v>
      </c>
      <c r="D110" s="78">
        <f ca="1">-D65</f>
        <v>212280.25</v>
      </c>
      <c r="E110" s="78">
        <f t="shared" ref="E110:H110" ca="1" si="74">-E65</f>
        <v>212280.25</v>
      </c>
      <c r="F110" s="78">
        <f t="shared" ca="1" si="74"/>
        <v>212280.25</v>
      </c>
      <c r="G110" s="78">
        <f t="shared" ca="1" si="74"/>
        <v>212280.25</v>
      </c>
      <c r="H110" s="78">
        <f t="shared" ca="1" si="74"/>
        <v>212280.25</v>
      </c>
    </row>
    <row r="111" spans="1:8">
      <c r="A111" t="s">
        <v>139</v>
      </c>
      <c r="D111" s="78">
        <v>-1500000</v>
      </c>
      <c r="E111" s="78">
        <v>-1500000</v>
      </c>
      <c r="F111" s="78">
        <v>-1500000</v>
      </c>
      <c r="G111" s="78">
        <v>-1500000</v>
      </c>
      <c r="H111" s="78">
        <v>-1500000</v>
      </c>
    </row>
    <row r="112" spans="1:8">
      <c r="A112" s="7" t="s">
        <v>136</v>
      </c>
    </row>
    <row r="113" spans="1:11">
      <c r="A113" t="s">
        <v>177</v>
      </c>
      <c r="D113" s="20">
        <f ca="1">D73-C73</f>
        <v>490800</v>
      </c>
      <c r="E113" s="20">
        <f t="shared" ref="E113:H113" ca="1" si="75">E73-D73</f>
        <v>515340.00000000186</v>
      </c>
      <c r="F113" s="20">
        <f t="shared" ca="1" si="75"/>
        <v>541106.99999999814</v>
      </c>
      <c r="G113" s="20">
        <f t="shared" ca="1" si="75"/>
        <v>568162.35000000149</v>
      </c>
      <c r="H113" s="20">
        <f t="shared" ca="1" si="75"/>
        <v>596570.46749999933</v>
      </c>
    </row>
    <row r="114" spans="1:11">
      <c r="A114" s="8" t="s">
        <v>178</v>
      </c>
      <c r="D114" s="20">
        <f ca="1">D74-C74</f>
        <v>513399.99999999814</v>
      </c>
      <c r="E114" s="20">
        <f t="shared" ref="E114:H114" ca="1" si="76">E74-D74</f>
        <v>539070</v>
      </c>
      <c r="F114" s="20">
        <f t="shared" ca="1" si="76"/>
        <v>566023.5</v>
      </c>
      <c r="G114" s="20">
        <f t="shared" ca="1" si="76"/>
        <v>594324.67500000075</v>
      </c>
      <c r="H114" s="20">
        <f t="shared" ca="1" si="76"/>
        <v>624040.90874999948</v>
      </c>
      <c r="K114" s="20"/>
    </row>
    <row r="115" spans="1:11">
      <c r="A115" s="8" t="s">
        <v>179</v>
      </c>
      <c r="D115" s="20">
        <f ca="1">D75-C75</f>
        <v>113950</v>
      </c>
      <c r="E115" s="20">
        <f t="shared" ref="E115:H115" ca="1" si="77">E75-D75</f>
        <v>119647.5</v>
      </c>
      <c r="F115" s="20">
        <f t="shared" ca="1" si="77"/>
        <v>125629.875</v>
      </c>
      <c r="G115" s="20">
        <f t="shared" ca="1" si="77"/>
        <v>131911.36874999991</v>
      </c>
      <c r="H115" s="20">
        <f t="shared" ca="1" si="77"/>
        <v>138506.9371875003</v>
      </c>
    </row>
    <row r="116" spans="1:11">
      <c r="A116" s="8" t="s">
        <v>180</v>
      </c>
      <c r="D116" s="20">
        <f ca="1">-D85+C85</f>
        <v>-377500</v>
      </c>
      <c r="E116" s="20">
        <f t="shared" ref="E116:H116" ca="1" si="78">-E85+D85</f>
        <v>-396374.99999999907</v>
      </c>
      <c r="F116" s="20">
        <f t="shared" ca="1" si="78"/>
        <v>-416193.75000000093</v>
      </c>
      <c r="G116" s="20">
        <f t="shared" ca="1" si="78"/>
        <v>-437003.4375</v>
      </c>
      <c r="H116" s="20">
        <f t="shared" ca="1" si="78"/>
        <v>-458853.609375</v>
      </c>
    </row>
    <row r="117" spans="1:11">
      <c r="A117" t="s">
        <v>181</v>
      </c>
      <c r="D117" s="20">
        <f ca="1">-D87+C87</f>
        <v>-189650</v>
      </c>
      <c r="E117" s="20">
        <f t="shared" ref="E117:H117" ca="1" si="79">-E87+D87</f>
        <v>-199132.5</v>
      </c>
      <c r="F117" s="20">
        <f t="shared" ca="1" si="79"/>
        <v>-209089.125</v>
      </c>
      <c r="G117" s="20">
        <f t="shared" ca="1" si="79"/>
        <v>-219543.58124999981</v>
      </c>
      <c r="H117" s="20">
        <f t="shared" ca="1" si="79"/>
        <v>-230520.76031250041</v>
      </c>
    </row>
    <row r="118" spans="1:11" ht="17" thickBot="1">
      <c r="A118" s="39" t="s">
        <v>140</v>
      </c>
      <c r="B118" s="39"/>
      <c r="C118" s="39"/>
      <c r="D118" s="40">
        <f ca="1">SUM(D106:D111)-SUM(D113:D117)</f>
        <v>13996929.393166753</v>
      </c>
      <c r="E118" s="40">
        <f t="shared" ref="E118:H118" ca="1" si="80">SUM(E106:E111)-SUM(E113:E117)</f>
        <v>15673117.205637407</v>
      </c>
      <c r="F118" s="40">
        <f t="shared" ca="1" si="80"/>
        <v>17518896.464628987</v>
      </c>
      <c r="G118" s="40">
        <f t="shared" ca="1" si="80"/>
        <v>19557504.936685905</v>
      </c>
      <c r="H118" s="40">
        <f t="shared" ca="1" si="80"/>
        <v>21801329.785117887</v>
      </c>
    </row>
    <row r="119" spans="1:11">
      <c r="A119" s="5" t="s">
        <v>141</v>
      </c>
      <c r="B119" s="5"/>
      <c r="C119" s="5"/>
      <c r="D119" s="79">
        <v>5000000</v>
      </c>
      <c r="E119" s="79">
        <f ca="1">D126</f>
        <v>5000000</v>
      </c>
      <c r="F119" s="79">
        <f t="shared" ref="F119:H119" ca="1" si="81">E126</f>
        <v>5000000</v>
      </c>
      <c r="G119" s="79">
        <f t="shared" ca="1" si="81"/>
        <v>5000000</v>
      </c>
      <c r="H119" s="79">
        <f t="shared" ca="1" si="81"/>
        <v>5000000</v>
      </c>
    </row>
    <row r="120" spans="1:11">
      <c r="A120" t="s">
        <v>142</v>
      </c>
      <c r="D120" s="20">
        <v>-5000000</v>
      </c>
      <c r="E120" s="20">
        <v>-5000000</v>
      </c>
      <c r="F120" s="20">
        <v>-5000000</v>
      </c>
      <c r="G120" s="20">
        <v>-5000000</v>
      </c>
      <c r="H120" s="20">
        <v>-5000000</v>
      </c>
    </row>
    <row r="121" spans="1:11">
      <c r="A121" t="s">
        <v>161</v>
      </c>
      <c r="D121" s="20">
        <f ca="1">D118</f>
        <v>13996929.393166753</v>
      </c>
      <c r="E121" s="20">
        <f t="shared" ref="E121:H121" ca="1" si="82">E118</f>
        <v>15673117.205637407</v>
      </c>
      <c r="F121" s="20">
        <f t="shared" ca="1" si="82"/>
        <v>17518896.464628987</v>
      </c>
      <c r="G121" s="20">
        <f t="shared" ca="1" si="82"/>
        <v>19557504.936685905</v>
      </c>
      <c r="H121" s="20">
        <f t="shared" ca="1" si="82"/>
        <v>21801329.785117887</v>
      </c>
    </row>
    <row r="122" spans="1:11">
      <c r="A122" t="s">
        <v>143</v>
      </c>
      <c r="D122" s="23">
        <v>-1000000</v>
      </c>
      <c r="E122" s="23">
        <v>-1000000</v>
      </c>
      <c r="F122" s="23">
        <v>-1000000</v>
      </c>
      <c r="G122" s="23">
        <v>-1000000</v>
      </c>
      <c r="H122" s="23">
        <v>-1000000</v>
      </c>
    </row>
    <row r="123" spans="1:11" ht="17" thickBot="1">
      <c r="A123" s="39" t="s">
        <v>160</v>
      </c>
      <c r="B123" s="39"/>
      <c r="C123" s="39"/>
      <c r="D123" s="45">
        <f ca="1">SUM(D119:D122)</f>
        <v>12996929.393166753</v>
      </c>
      <c r="E123" s="45">
        <f t="shared" ref="E123:H123" ca="1" si="83">SUM(E119:E122)</f>
        <v>14673117.205637407</v>
      </c>
      <c r="F123" s="45">
        <f t="shared" ca="1" si="83"/>
        <v>16518896.464628987</v>
      </c>
      <c r="G123" s="45">
        <f t="shared" ca="1" si="83"/>
        <v>18557504.936685905</v>
      </c>
      <c r="H123" s="45">
        <f t="shared" ca="1" si="83"/>
        <v>20801329.785117887</v>
      </c>
    </row>
    <row r="124" spans="1:11">
      <c r="A124" t="s">
        <v>144</v>
      </c>
      <c r="D124" s="20">
        <f ca="1">-D123</f>
        <v>-12996929.393166753</v>
      </c>
      <c r="E124" s="20">
        <f t="shared" ref="E124:H124" ca="1" si="84">-E123</f>
        <v>-14673117.205637407</v>
      </c>
      <c r="F124" s="20">
        <f t="shared" ca="1" si="84"/>
        <v>-16518896.464628987</v>
      </c>
      <c r="G124" s="20">
        <f t="shared" ca="1" si="84"/>
        <v>-18557504.936685905</v>
      </c>
      <c r="H124" s="20">
        <f t="shared" ca="1" si="84"/>
        <v>-20801329.785117887</v>
      </c>
    </row>
    <row r="125" spans="1:11">
      <c r="A125" s="21" t="s">
        <v>145</v>
      </c>
      <c r="B125" s="21"/>
      <c r="C125" s="21"/>
      <c r="D125" s="84">
        <f ca="1">SUM(D124,D119:D122)</f>
        <v>0</v>
      </c>
      <c r="E125" s="84">
        <f t="shared" ref="E125:H125" ca="1" si="85">SUM(E124,E119:E122)</f>
        <v>0</v>
      </c>
      <c r="F125" s="84">
        <f t="shared" ca="1" si="85"/>
        <v>0</v>
      </c>
      <c r="G125" s="84">
        <f t="shared" ca="1" si="85"/>
        <v>0</v>
      </c>
      <c r="H125" s="84">
        <f t="shared" ca="1" si="85"/>
        <v>0</v>
      </c>
    </row>
    <row r="126" spans="1:11" ht="17" thickBot="1">
      <c r="A126" s="39" t="s">
        <v>146</v>
      </c>
      <c r="B126" s="39"/>
      <c r="C126" s="39"/>
      <c r="D126" s="40">
        <f ca="1">D119+D125</f>
        <v>5000000</v>
      </c>
      <c r="E126" s="40">
        <f t="shared" ref="E126:H126" ca="1" si="86">E119+E125</f>
        <v>5000000</v>
      </c>
      <c r="F126" s="40">
        <f t="shared" ca="1" si="86"/>
        <v>5000000</v>
      </c>
      <c r="G126" s="40">
        <f t="shared" ca="1" si="86"/>
        <v>5000000</v>
      </c>
      <c r="H126" s="40">
        <f t="shared" ca="1" si="86"/>
        <v>5000000</v>
      </c>
    </row>
    <row r="128" spans="1:11" ht="17" thickBot="1">
      <c r="A128" s="73" t="s">
        <v>147</v>
      </c>
      <c r="B128" s="72"/>
      <c r="C128" s="13">
        <v>2011</v>
      </c>
      <c r="D128" s="13">
        <v>2012</v>
      </c>
      <c r="E128" s="13">
        <v>2013</v>
      </c>
      <c r="F128" s="13">
        <v>2014</v>
      </c>
      <c r="G128" s="13">
        <v>2015</v>
      </c>
      <c r="H128" s="13">
        <v>2016</v>
      </c>
    </row>
    <row r="129" spans="1:8" ht="17" thickBot="1">
      <c r="A129" t="s">
        <v>148</v>
      </c>
      <c r="B129" s="117">
        <v>5</v>
      </c>
    </row>
    <row r="131" spans="1:8">
      <c r="A131" t="s">
        <v>149</v>
      </c>
      <c r="C131" s="23">
        <v>-1000000</v>
      </c>
      <c r="D131" s="23">
        <v>-1000000</v>
      </c>
      <c r="E131" s="23">
        <v>-1000000</v>
      </c>
      <c r="F131" s="23">
        <v>-1000000</v>
      </c>
      <c r="G131" s="23">
        <v>-1000000</v>
      </c>
      <c r="H131" s="23">
        <v>-1000000</v>
      </c>
    </row>
    <row r="132" spans="1:8">
      <c r="A132" s="80" t="s">
        <v>151</v>
      </c>
      <c r="B132" s="80"/>
      <c r="C132" s="81">
        <v>-1500000</v>
      </c>
      <c r="D132" s="81">
        <v>-1500000</v>
      </c>
      <c r="E132" s="81">
        <v>-1500000</v>
      </c>
      <c r="F132" s="81">
        <v>-1500000</v>
      </c>
      <c r="G132" s="81">
        <v>-1500000</v>
      </c>
      <c r="H132" s="81">
        <v>-1500000</v>
      </c>
    </row>
    <row r="133" spans="1:8">
      <c r="A133" t="s">
        <v>150</v>
      </c>
      <c r="C133" s="23"/>
      <c r="D133" s="23">
        <f>C$132/$B$129</f>
        <v>-300000</v>
      </c>
      <c r="E133" s="23">
        <f>D$132/$B$129</f>
        <v>-300000</v>
      </c>
      <c r="F133" s="23">
        <f t="shared" ref="F133:H137" si="87">E$132/$B$129</f>
        <v>-300000</v>
      </c>
      <c r="G133" s="23">
        <f t="shared" si="87"/>
        <v>-300000</v>
      </c>
      <c r="H133" s="23">
        <f t="shared" si="87"/>
        <v>-300000</v>
      </c>
    </row>
    <row r="134" spans="1:8">
      <c r="C134" s="23"/>
      <c r="D134" s="23"/>
      <c r="E134" s="23">
        <f>D$132/$B$129</f>
        <v>-300000</v>
      </c>
      <c r="F134" s="23">
        <f t="shared" si="87"/>
        <v>-300000</v>
      </c>
      <c r="G134" s="23">
        <f t="shared" si="87"/>
        <v>-300000</v>
      </c>
      <c r="H134" s="23">
        <f t="shared" si="87"/>
        <v>-300000</v>
      </c>
    </row>
    <row r="135" spans="1:8">
      <c r="C135" s="23"/>
      <c r="D135" s="23"/>
      <c r="E135" s="23"/>
      <c r="F135" s="23">
        <f t="shared" si="87"/>
        <v>-300000</v>
      </c>
      <c r="G135" s="23">
        <f t="shared" si="87"/>
        <v>-300000</v>
      </c>
      <c r="H135" s="23">
        <f t="shared" si="87"/>
        <v>-300000</v>
      </c>
    </row>
    <row r="136" spans="1:8">
      <c r="C136" s="23"/>
      <c r="D136" s="23"/>
      <c r="E136" s="23"/>
      <c r="F136" s="23"/>
      <c r="G136" s="23">
        <f t="shared" si="87"/>
        <v>-300000</v>
      </c>
      <c r="H136" s="23">
        <f t="shared" si="87"/>
        <v>-300000</v>
      </c>
    </row>
    <row r="137" spans="1:8">
      <c r="H137" s="23">
        <f t="shared" si="87"/>
        <v>-300000</v>
      </c>
    </row>
    <row r="138" spans="1:8" ht="17" thickBot="1">
      <c r="A138" s="39" t="s">
        <v>152</v>
      </c>
      <c r="B138" s="47"/>
      <c r="C138" s="40">
        <f>SUM(C131,C133:C137)</f>
        <v>-1000000</v>
      </c>
      <c r="D138" s="40">
        <f t="shared" ref="D138:H138" si="88">SUM(D131,D133:D137)</f>
        <v>-1300000</v>
      </c>
      <c r="E138" s="40">
        <f t="shared" si="88"/>
        <v>-1600000</v>
      </c>
      <c r="F138" s="40">
        <f t="shared" si="88"/>
        <v>-1900000</v>
      </c>
      <c r="G138" s="40">
        <f t="shared" si="88"/>
        <v>-2200000</v>
      </c>
      <c r="H138" s="40">
        <f t="shared" si="88"/>
        <v>-2500000</v>
      </c>
    </row>
    <row r="140" spans="1:8">
      <c r="A140" s="73" t="s">
        <v>153</v>
      </c>
      <c r="B140" s="72"/>
      <c r="C140" s="13">
        <v>2011</v>
      </c>
      <c r="D140" s="13">
        <v>2012</v>
      </c>
      <c r="E140" s="13">
        <v>2013</v>
      </c>
      <c r="F140" s="13">
        <v>2014</v>
      </c>
      <c r="G140" s="13">
        <v>2015</v>
      </c>
      <c r="H140" s="13">
        <v>2016</v>
      </c>
    </row>
    <row r="141" spans="1:8">
      <c r="A141" s="6" t="s">
        <v>154</v>
      </c>
      <c r="C141" s="23"/>
      <c r="D141" s="23"/>
      <c r="E141" s="23"/>
      <c r="F141" s="23"/>
      <c r="G141" s="23"/>
      <c r="H141" s="23"/>
    </row>
    <row r="142" spans="1:8">
      <c r="A142" s="56" t="s">
        <v>155</v>
      </c>
      <c r="B142" s="56"/>
      <c r="C142" s="83"/>
      <c r="D142" s="83">
        <f ca="1">C145</f>
        <v>60651500</v>
      </c>
      <c r="E142" s="83">
        <f t="shared" ref="E142:H142" ca="1" si="89">D145</f>
        <v>47654570.606833249</v>
      </c>
      <c r="F142" s="83">
        <f t="shared" ca="1" si="89"/>
        <v>32981453.401195843</v>
      </c>
      <c r="G142" s="83">
        <f t="shared" ca="1" si="89"/>
        <v>16462556.936566856</v>
      </c>
      <c r="H142" s="83">
        <f t="shared" ca="1" si="89"/>
        <v>0</v>
      </c>
    </row>
    <row r="143" spans="1:8">
      <c r="A143" t="s">
        <v>156</v>
      </c>
      <c r="C143" s="23"/>
      <c r="D143" s="23">
        <v>0</v>
      </c>
      <c r="E143" s="23">
        <v>0</v>
      </c>
      <c r="F143" s="23">
        <v>0</v>
      </c>
      <c r="G143" s="23">
        <v>0</v>
      </c>
      <c r="H143" s="23">
        <v>0</v>
      </c>
    </row>
    <row r="144" spans="1:8">
      <c r="A144" t="s">
        <v>157</v>
      </c>
      <c r="C144" s="23"/>
      <c r="D144" s="23">
        <f ca="1">D145-D142</f>
        <v>-12996929.393166751</v>
      </c>
      <c r="E144" s="23">
        <f t="shared" ref="E144:H144" ca="1" si="90">E145-E142</f>
        <v>-14673117.205637407</v>
      </c>
      <c r="F144" s="23">
        <f t="shared" ca="1" si="90"/>
        <v>-16518896.464628987</v>
      </c>
      <c r="G144" s="23">
        <f t="shared" ca="1" si="90"/>
        <v>-16462556.936566856</v>
      </c>
      <c r="H144" s="23">
        <f t="shared" ca="1" si="90"/>
        <v>0</v>
      </c>
    </row>
    <row r="145" spans="1:11" ht="17" thickBot="1">
      <c r="A145" s="47" t="s">
        <v>158</v>
      </c>
      <c r="B145" s="47"/>
      <c r="C145" s="62">
        <f ca="1">'Transaction Summary'!E6</f>
        <v>60651500</v>
      </c>
      <c r="D145" s="62">
        <f ca="1">MAX(0,C145+D124)</f>
        <v>47654570.606833249</v>
      </c>
      <c r="E145" s="62">
        <f t="shared" ref="E145:H145" ca="1" si="91">MAX(0,D145+E124)</f>
        <v>32981453.401195843</v>
      </c>
      <c r="F145" s="62">
        <f t="shared" ca="1" si="91"/>
        <v>16462556.936566856</v>
      </c>
      <c r="G145" s="62">
        <f t="shared" ca="1" si="91"/>
        <v>0</v>
      </c>
      <c r="H145" s="62">
        <f t="shared" ca="1" si="91"/>
        <v>0</v>
      </c>
    </row>
    <row r="146" spans="1:11">
      <c r="A146" s="21" t="s">
        <v>159</v>
      </c>
      <c r="B146" s="21"/>
      <c r="C146" s="84">
        <f ca="1">$K$157-C145</f>
        <v>30325750</v>
      </c>
      <c r="D146" s="84">
        <f t="shared" ref="D146:H146" ca="1" si="92">$K$157-D145</f>
        <v>43322679.393166751</v>
      </c>
      <c r="E146" s="84">
        <f t="shared" ca="1" si="92"/>
        <v>57995796.598804161</v>
      </c>
      <c r="F146" s="84">
        <f t="shared" ca="1" si="92"/>
        <v>74514693.063433141</v>
      </c>
      <c r="G146" s="84">
        <f t="shared" ca="1" si="92"/>
        <v>90977250</v>
      </c>
      <c r="H146" s="84">
        <f t="shared" ca="1" si="92"/>
        <v>90977250</v>
      </c>
    </row>
    <row r="147" spans="1:11">
      <c r="A147" s="6"/>
    </row>
    <row r="148" spans="1:11">
      <c r="A148" s="6" t="s">
        <v>80</v>
      </c>
    </row>
    <row r="149" spans="1:11">
      <c r="A149" s="56" t="s">
        <v>155</v>
      </c>
      <c r="B149" s="56"/>
      <c r="C149" s="83"/>
      <c r="D149" s="83">
        <f ca="1">C152</f>
        <v>45488625</v>
      </c>
      <c r="E149" s="83">
        <f t="shared" ref="E149:H149" ca="1" si="93">D152</f>
        <v>46308170</v>
      </c>
      <c r="F149" s="83">
        <f t="shared" ca="1" si="93"/>
        <v>47160496.799999997</v>
      </c>
      <c r="G149" s="83">
        <f t="shared" ca="1" si="93"/>
        <v>48046916.671999998</v>
      </c>
      <c r="H149" s="83">
        <f t="shared" ca="1" si="93"/>
        <v>46873845.338760942</v>
      </c>
    </row>
    <row r="150" spans="1:11">
      <c r="A150" t="s">
        <v>156</v>
      </c>
      <c r="C150" s="23"/>
      <c r="D150" s="23">
        <f>D122</f>
        <v>-1000000</v>
      </c>
      <c r="E150" s="23">
        <f t="shared" ref="E150:H150" si="94">E122</f>
        <v>-1000000</v>
      </c>
      <c r="F150" s="23">
        <f t="shared" si="94"/>
        <v>-1000000</v>
      </c>
      <c r="G150" s="23">
        <f t="shared" si="94"/>
        <v>-1000000</v>
      </c>
      <c r="H150" s="23">
        <f t="shared" si="94"/>
        <v>-1000000</v>
      </c>
    </row>
    <row r="151" spans="1:11">
      <c r="A151" t="s">
        <v>157</v>
      </c>
      <c r="C151" s="23"/>
      <c r="D151" s="23">
        <f ca="1">D124-D144</f>
        <v>0</v>
      </c>
      <c r="E151" s="23">
        <f t="shared" ref="E151:H151" ca="1" si="95">E124-E144</f>
        <v>0</v>
      </c>
      <c r="F151" s="23">
        <f t="shared" ca="1" si="95"/>
        <v>0</v>
      </c>
      <c r="G151" s="23">
        <f t="shared" ca="1" si="95"/>
        <v>-2094948.0001190491</v>
      </c>
      <c r="H151" s="23">
        <f t="shared" ca="1" si="95"/>
        <v>-20801329.785117887</v>
      </c>
    </row>
    <row r="152" spans="1:11" ht="17" thickBot="1">
      <c r="A152" s="47" t="s">
        <v>158</v>
      </c>
      <c r="B152" s="47"/>
      <c r="C152" s="62">
        <f ca="1">'Transaction Summary'!E7</f>
        <v>45488625</v>
      </c>
      <c r="D152" s="62">
        <f ca="1">SUM(D149:D151)-D163</f>
        <v>46308170</v>
      </c>
      <c r="E152" s="62">
        <f t="shared" ref="E152:H152" ca="1" si="96">SUM(E149:E151)-E163</f>
        <v>47160496.799999997</v>
      </c>
      <c r="F152" s="62">
        <f t="shared" ca="1" si="96"/>
        <v>48046916.671999998</v>
      </c>
      <c r="G152" s="62">
        <f t="shared" ca="1" si="96"/>
        <v>46873845.338760942</v>
      </c>
      <c r="H152" s="62">
        <f t="shared" ca="1" si="96"/>
        <v>26947469.367193494</v>
      </c>
    </row>
    <row r="153" spans="1:11">
      <c r="A153" s="21"/>
      <c r="B153" s="21"/>
      <c r="C153" s="84"/>
      <c r="D153" s="84"/>
      <c r="E153" s="84"/>
      <c r="F153" s="84"/>
      <c r="G153" s="84"/>
      <c r="H153" s="84"/>
    </row>
    <row r="154" spans="1:11" ht="17" thickBot="1">
      <c r="A154" s="61" t="s">
        <v>162</v>
      </c>
      <c r="I154" s="85" t="s">
        <v>165</v>
      </c>
      <c r="J154" s="85" t="s">
        <v>166</v>
      </c>
    </row>
    <row r="155" spans="1:11">
      <c r="A155" s="59" t="s">
        <v>154</v>
      </c>
      <c r="C155" s="23"/>
      <c r="D155" s="23">
        <f ca="1">-AVERAGE(D142,D145)*($J$155+D160)</f>
        <v>-3790712.471239164</v>
      </c>
      <c r="E155" s="23">
        <f t="shared" ref="E155:H155" ca="1" si="97">-AVERAGE(E142,E145)*($J$155+E160)</f>
        <v>-2923055.8702910547</v>
      </c>
      <c r="F155" s="23">
        <f t="shared" ca="1" si="97"/>
        <v>-1854150.3876661016</v>
      </c>
      <c r="G155" s="23">
        <f t="shared" ca="1" si="97"/>
        <v>-637924.08129196579</v>
      </c>
      <c r="H155" s="23">
        <f t="shared" ca="1" si="97"/>
        <v>0</v>
      </c>
      <c r="I155" t="s">
        <v>167</v>
      </c>
      <c r="J155" s="71">
        <v>0.04</v>
      </c>
    </row>
    <row r="156" spans="1:11" ht="17" thickBot="1">
      <c r="A156" s="59" t="s">
        <v>163</v>
      </c>
      <c r="C156" s="23"/>
      <c r="D156" s="23">
        <f ca="1">-AVERAGE(D149,D152)*($J$156)</f>
        <v>-3671871.8000000003</v>
      </c>
      <c r="E156" s="23">
        <f t="shared" ref="E156:H156" ca="1" si="98">-AVERAGE(E149,E152)*($J$156)</f>
        <v>-3738746.6719999998</v>
      </c>
      <c r="F156" s="23">
        <f t="shared" ca="1" si="98"/>
        <v>-3808296.5388800004</v>
      </c>
      <c r="G156" s="23">
        <f t="shared" ca="1" si="98"/>
        <v>-3796830.4804304373</v>
      </c>
      <c r="H156" s="23">
        <f t="shared" ca="1" si="98"/>
        <v>-2952852.5882381774</v>
      </c>
      <c r="I156" t="s">
        <v>168</v>
      </c>
      <c r="J156" s="71">
        <v>0.08</v>
      </c>
      <c r="K156" s="85" t="s">
        <v>169</v>
      </c>
    </row>
    <row r="157" spans="1:11" ht="17" thickBot="1">
      <c r="A157" s="59" t="s">
        <v>164</v>
      </c>
      <c r="C157" s="23"/>
      <c r="D157" s="23">
        <f ca="1">-$J$157*AVERAGE(D146,C146)</f>
        <v>-184121.07348291689</v>
      </c>
      <c r="E157" s="23">
        <f t="shared" ref="E157:H157" ca="1" si="99">-$J$157*AVERAGE(E146,D146)</f>
        <v>-253296.18997992729</v>
      </c>
      <c r="F157" s="23">
        <f t="shared" ca="1" si="99"/>
        <v>-331276.22415559326</v>
      </c>
      <c r="G157" s="23">
        <f t="shared" ca="1" si="99"/>
        <v>-413729.85765858286</v>
      </c>
      <c r="H157" s="23">
        <f t="shared" ca="1" si="99"/>
        <v>-454886.25</v>
      </c>
      <c r="I157" t="s">
        <v>168</v>
      </c>
      <c r="J157" s="71">
        <v>5.0000000000000001E-3</v>
      </c>
      <c r="K157" s="118">
        <f ca="1">'Transaction Summary'!B13</f>
        <v>90977250</v>
      </c>
    </row>
    <row r="158" spans="1:11" ht="17" thickBot="1">
      <c r="A158" s="39" t="s">
        <v>182</v>
      </c>
      <c r="B158" s="47"/>
      <c r="C158" s="62"/>
      <c r="D158" s="45">
        <f ca="1">SUM(D155:D157)</f>
        <v>-7646705.344722081</v>
      </c>
      <c r="E158" s="45">
        <f t="shared" ref="E158:H158" ca="1" si="100">SUM(E155:E157)</f>
        <v>-6915098.7322709821</v>
      </c>
      <c r="F158" s="45">
        <f t="shared" ca="1" si="100"/>
        <v>-5993723.1507016961</v>
      </c>
      <c r="G158" s="45">
        <f t="shared" ca="1" si="100"/>
        <v>-4848484.4193809861</v>
      </c>
      <c r="H158" s="45">
        <f t="shared" ca="1" si="100"/>
        <v>-3407738.8382381774</v>
      </c>
    </row>
    <row r="160" spans="1:11">
      <c r="A160" s="86" t="s">
        <v>170</v>
      </c>
      <c r="B160" s="87"/>
      <c r="C160" s="87"/>
      <c r="D160" s="88">
        <v>0.03</v>
      </c>
      <c r="E160" s="88">
        <f>D160+E161</f>
        <v>3.2500000000000001E-2</v>
      </c>
      <c r="F160" s="88">
        <f t="shared" ref="F160:H160" si="101">E160+F161</f>
        <v>3.5000000000000003E-2</v>
      </c>
      <c r="G160" s="88">
        <f t="shared" si="101"/>
        <v>3.7500000000000006E-2</v>
      </c>
      <c r="H160" s="88">
        <f t="shared" si="101"/>
        <v>4.0000000000000008E-2</v>
      </c>
    </row>
    <row r="161" spans="1:10">
      <c r="A161" s="89" t="s">
        <v>183</v>
      </c>
      <c r="B161" s="54"/>
      <c r="C161" s="54"/>
      <c r="D161" s="55"/>
      <c r="E161" s="90">
        <v>2.5000000000000001E-3</v>
      </c>
      <c r="F161" s="90">
        <v>2.5000000000000001E-3</v>
      </c>
      <c r="G161" s="90">
        <v>2.5000000000000001E-3</v>
      </c>
      <c r="H161" s="90">
        <v>2.5000000000000001E-3</v>
      </c>
    </row>
    <row r="162" spans="1:10" ht="17" thickBot="1">
      <c r="I162" s="85" t="s">
        <v>165</v>
      </c>
      <c r="J162" s="85" t="s">
        <v>166</v>
      </c>
    </row>
    <row r="163" spans="1:10">
      <c r="A163" t="s">
        <v>171</v>
      </c>
      <c r="D163" s="20">
        <f ca="1">-$J$163*D149</f>
        <v>-1819545</v>
      </c>
      <c r="E163" s="20">
        <f t="shared" ref="E163:H163" ca="1" si="102">-$J$163*E149</f>
        <v>-1852326.8</v>
      </c>
      <c r="F163" s="20">
        <f t="shared" ca="1" si="102"/>
        <v>-1886419.872</v>
      </c>
      <c r="G163" s="20">
        <f t="shared" ca="1" si="102"/>
        <v>-1921876.6668799999</v>
      </c>
      <c r="H163" s="20">
        <f t="shared" ca="1" si="102"/>
        <v>-1874953.8135504378</v>
      </c>
      <c r="I163" t="s">
        <v>172</v>
      </c>
      <c r="J163" s="71">
        <v>0.04</v>
      </c>
    </row>
    <row r="164" spans="1:10" ht="17" thickBot="1">
      <c r="A164" s="39" t="s">
        <v>173</v>
      </c>
      <c r="B164" s="39"/>
      <c r="C164" s="39"/>
      <c r="D164" s="40">
        <f ca="1">D163</f>
        <v>-1819545</v>
      </c>
      <c r="E164" s="40">
        <f t="shared" ref="E164:H164" ca="1" si="103">E163</f>
        <v>-1852326.8</v>
      </c>
      <c r="F164" s="40">
        <f t="shared" ca="1" si="103"/>
        <v>-1886419.872</v>
      </c>
      <c r="G164" s="40">
        <f t="shared" ca="1" si="103"/>
        <v>-1921876.6668799999</v>
      </c>
      <c r="H164" s="40">
        <f t="shared" ca="1" si="103"/>
        <v>-1874953.8135504378</v>
      </c>
    </row>
    <row r="165" spans="1:10" ht="17" thickBot="1">
      <c r="A165" s="41" t="s">
        <v>174</v>
      </c>
      <c r="B165" s="16"/>
      <c r="C165" s="16"/>
      <c r="D165" s="42">
        <f ca="1">D164+D158</f>
        <v>-9466250.344722081</v>
      </c>
      <c r="E165" s="42">
        <f t="shared" ref="E165:H165" ca="1" si="104">E164+E158</f>
        <v>-8767425.5322709829</v>
      </c>
      <c r="F165" s="42">
        <f t="shared" ca="1" si="104"/>
        <v>-7880143.0227016956</v>
      </c>
      <c r="G165" s="42">
        <f t="shared" ca="1" si="104"/>
        <v>-6770361.0862609856</v>
      </c>
      <c r="H165" s="42">
        <f t="shared" ca="1" si="104"/>
        <v>-5282692.6517886147</v>
      </c>
    </row>
    <row r="166" spans="1:10" ht="17" thickBot="1">
      <c r="I166" s="85" t="s">
        <v>165</v>
      </c>
      <c r="J166" s="85" t="s">
        <v>166</v>
      </c>
    </row>
    <row r="167" spans="1:10" ht="17" thickBot="1">
      <c r="A167" s="39" t="s">
        <v>175</v>
      </c>
      <c r="B167" s="47"/>
      <c r="C167" s="47"/>
      <c r="D167" s="53">
        <f ca="1">$J$167*AVERAGE(D119,D126)</f>
        <v>50000</v>
      </c>
      <c r="E167" s="53">
        <f t="shared" ref="E167:H167" ca="1" si="105">$J$167*AVERAGE(E119,E126)</f>
        <v>50000</v>
      </c>
      <c r="F167" s="53">
        <f t="shared" ca="1" si="105"/>
        <v>50000</v>
      </c>
      <c r="G167" s="53">
        <f t="shared" ca="1" si="105"/>
        <v>50000</v>
      </c>
      <c r="H167" s="53">
        <f t="shared" ca="1" si="105"/>
        <v>50000</v>
      </c>
      <c r="I167" t="s">
        <v>172</v>
      </c>
      <c r="J167" s="91">
        <v>0.01</v>
      </c>
    </row>
    <row r="170" spans="1:10">
      <c r="A170" s="73" t="s">
        <v>184</v>
      </c>
      <c r="B170" s="72"/>
      <c r="C170" s="72"/>
      <c r="D170" s="13">
        <v>2012</v>
      </c>
      <c r="E170" s="13">
        <v>2013</v>
      </c>
      <c r="F170" s="13">
        <v>2014</v>
      </c>
      <c r="G170" s="13">
        <v>2015</v>
      </c>
      <c r="H170" s="13">
        <v>2016</v>
      </c>
    </row>
    <row r="171" spans="1:10" ht="17" thickBot="1">
      <c r="A171" s="41" t="s">
        <v>185</v>
      </c>
      <c r="B171" s="16"/>
      <c r="C171" s="16"/>
      <c r="D171" s="93">
        <v>1</v>
      </c>
      <c r="E171" s="93">
        <v>2</v>
      </c>
      <c r="F171" s="93">
        <v>3</v>
      </c>
      <c r="G171" s="93">
        <v>4</v>
      </c>
      <c r="H171" s="93">
        <v>5</v>
      </c>
    </row>
    <row r="172" spans="1:10">
      <c r="A172" t="s">
        <v>60</v>
      </c>
      <c r="D172" s="20">
        <f ca="1">D59</f>
        <v>32122037.5</v>
      </c>
      <c r="E172" s="20">
        <f t="shared" ref="E172:H172" ca="1" si="106">E59</f>
        <v>34008139.375</v>
      </c>
      <c r="F172" s="20">
        <f t="shared" ca="1" si="106"/>
        <v>35988546.34375</v>
      </c>
      <c r="G172" s="20">
        <f t="shared" ca="1" si="106"/>
        <v>38067973.660937503</v>
      </c>
      <c r="H172" s="20">
        <f t="shared" ca="1" si="106"/>
        <v>40251372.343984365</v>
      </c>
    </row>
    <row r="173" spans="1:10">
      <c r="C173" s="11" t="s">
        <v>187</v>
      </c>
    </row>
    <row r="174" spans="1:10">
      <c r="A174" s="6" t="s">
        <v>186</v>
      </c>
      <c r="C174" s="94">
        <v>4</v>
      </c>
      <c r="D174" s="20">
        <f ca="1">$C174*D$172</f>
        <v>128488150</v>
      </c>
      <c r="E174" s="20">
        <f t="shared" ref="E174:H174" ca="1" si="107">$C174*E$172</f>
        <v>136032557.5</v>
      </c>
      <c r="F174" s="20">
        <f t="shared" ca="1" si="107"/>
        <v>143954185.375</v>
      </c>
      <c r="G174" s="20">
        <f t="shared" ca="1" si="107"/>
        <v>152271894.64375001</v>
      </c>
      <c r="H174" s="20">
        <f t="shared" ca="1" si="107"/>
        <v>161005489.37593746</v>
      </c>
    </row>
    <row r="175" spans="1:10">
      <c r="C175" s="95">
        <v>5</v>
      </c>
      <c r="D175" s="20">
        <f t="shared" ref="D175:H177" ca="1" si="108">$C175*D$172</f>
        <v>160610187.5</v>
      </c>
      <c r="E175" s="20">
        <f t="shared" ca="1" si="108"/>
        <v>170040696.875</v>
      </c>
      <c r="F175" s="20">
        <f t="shared" ca="1" si="108"/>
        <v>179942731.71875</v>
      </c>
      <c r="G175" s="20">
        <f t="shared" ca="1" si="108"/>
        <v>190339868.3046875</v>
      </c>
      <c r="H175" s="20">
        <f t="shared" ca="1" si="108"/>
        <v>201256861.71992183</v>
      </c>
    </row>
    <row r="176" spans="1:10">
      <c r="C176" s="95">
        <v>6</v>
      </c>
      <c r="D176" s="20">
        <f t="shared" ca="1" si="108"/>
        <v>192732225</v>
      </c>
      <c r="E176" s="20">
        <f t="shared" ca="1" si="108"/>
        <v>204048836.25</v>
      </c>
      <c r="F176" s="20">
        <f t="shared" ca="1" si="108"/>
        <v>215931278.0625</v>
      </c>
      <c r="G176" s="20">
        <f t="shared" ca="1" si="108"/>
        <v>228407841.96562502</v>
      </c>
      <c r="H176" s="20">
        <f t="shared" ca="1" si="108"/>
        <v>241508234.06390619</v>
      </c>
    </row>
    <row r="177" spans="1:8">
      <c r="C177" s="96">
        <v>7</v>
      </c>
      <c r="D177" s="20">
        <f t="shared" ca="1" si="108"/>
        <v>224854262.5</v>
      </c>
      <c r="E177" s="20">
        <f t="shared" ca="1" si="108"/>
        <v>238056975.625</v>
      </c>
      <c r="F177" s="20">
        <f t="shared" ca="1" si="108"/>
        <v>251919824.40625</v>
      </c>
      <c r="G177" s="20">
        <f t="shared" ca="1" si="108"/>
        <v>266475815.62656254</v>
      </c>
      <c r="H177" s="20">
        <f t="shared" ca="1" si="108"/>
        <v>281759606.40789056</v>
      </c>
    </row>
    <row r="179" spans="1:8" ht="17" thickBot="1">
      <c r="A179" s="16" t="s">
        <v>188</v>
      </c>
      <c r="B179" s="16"/>
      <c r="C179" s="16"/>
      <c r="D179" s="70">
        <f ca="1">D126-D145-D152</f>
        <v>-88962740.606833249</v>
      </c>
      <c r="E179" s="70">
        <f t="shared" ref="E179:H179" ca="1" si="109">E126-E145-E152</f>
        <v>-75141950.201195836</v>
      </c>
      <c r="F179" s="70">
        <f t="shared" ca="1" si="109"/>
        <v>-59509473.60856685</v>
      </c>
      <c r="G179" s="70">
        <f t="shared" ca="1" si="109"/>
        <v>-41873845.338760942</v>
      </c>
      <c r="H179" s="70">
        <f t="shared" ca="1" si="109"/>
        <v>-21947469.367193494</v>
      </c>
    </row>
    <row r="181" spans="1:8">
      <c r="C181" s="11" t="s">
        <v>187</v>
      </c>
    </row>
    <row r="182" spans="1:8">
      <c r="A182" s="6" t="s">
        <v>186</v>
      </c>
      <c r="C182" s="94">
        <v>4</v>
      </c>
      <c r="D182" s="20">
        <f ca="1">D174+D$179</f>
        <v>39525409.393166751</v>
      </c>
      <c r="E182" s="20">
        <f t="shared" ref="E182:H182" ca="1" si="110">E174+E$179</f>
        <v>60890607.298804164</v>
      </c>
      <c r="F182" s="20">
        <f t="shared" ca="1" si="110"/>
        <v>84444711.76643315</v>
      </c>
      <c r="G182" s="20">
        <f t="shared" ca="1" si="110"/>
        <v>110398049.30498907</v>
      </c>
      <c r="H182" s="20">
        <f t="shared" ca="1" si="110"/>
        <v>139058020.00874397</v>
      </c>
    </row>
    <row r="183" spans="1:8">
      <c r="C183" s="95">
        <v>5</v>
      </c>
      <c r="D183" s="20">
        <f t="shared" ref="D183:H183" ca="1" si="111">D175+D$179</f>
        <v>71647446.893166751</v>
      </c>
      <c r="E183" s="20">
        <f t="shared" ca="1" si="111"/>
        <v>94898746.673804164</v>
      </c>
      <c r="F183" s="20">
        <f t="shared" ca="1" si="111"/>
        <v>120433258.11018315</v>
      </c>
      <c r="G183" s="20">
        <f t="shared" ca="1" si="111"/>
        <v>148466022.96592656</v>
      </c>
      <c r="H183" s="20">
        <f t="shared" ca="1" si="111"/>
        <v>179309392.35272834</v>
      </c>
    </row>
    <row r="184" spans="1:8">
      <c r="C184" s="95">
        <v>6</v>
      </c>
      <c r="D184" s="20">
        <f t="shared" ref="D184:H184" ca="1" si="112">D176+D$179</f>
        <v>103769484.39316675</v>
      </c>
      <c r="E184" s="20">
        <f t="shared" ca="1" si="112"/>
        <v>128906886.04880416</v>
      </c>
      <c r="F184" s="20">
        <f t="shared" ca="1" si="112"/>
        <v>156421804.45393315</v>
      </c>
      <c r="G184" s="20">
        <f t="shared" ca="1" si="112"/>
        <v>186533996.62686408</v>
      </c>
      <c r="H184" s="20">
        <f t="shared" ca="1" si="112"/>
        <v>219560764.6967127</v>
      </c>
    </row>
    <row r="185" spans="1:8">
      <c r="C185" s="96">
        <v>7</v>
      </c>
      <c r="D185" s="20">
        <f t="shared" ref="D185:H185" ca="1" si="113">D177+D$179</f>
        <v>135891521.89316675</v>
      </c>
      <c r="E185" s="20">
        <f t="shared" ca="1" si="113"/>
        <v>162915025.42380416</v>
      </c>
      <c r="F185" s="20">
        <f t="shared" ca="1" si="113"/>
        <v>192410350.79768315</v>
      </c>
      <c r="G185" s="20">
        <f t="shared" ca="1" si="113"/>
        <v>224601970.28780159</v>
      </c>
      <c r="H185" s="20">
        <f t="shared" ca="1" si="113"/>
        <v>259812137.04069707</v>
      </c>
    </row>
    <row r="187" spans="1:8" ht="17" thickBot="1">
      <c r="C187" s="11" t="s">
        <v>187</v>
      </c>
    </row>
    <row r="188" spans="1:8" ht="17" thickBot="1">
      <c r="A188" s="6" t="s">
        <v>189</v>
      </c>
      <c r="B188" s="119">
        <f ca="1">'Transaction Summary'!F9/2</f>
        <v>0.14281219156137964</v>
      </c>
      <c r="C188" s="97">
        <v>4</v>
      </c>
      <c r="D188" s="20">
        <f ca="1">D182*$B$188</f>
        <v>5644710.3377988841</v>
      </c>
      <c r="E188" s="20">
        <f t="shared" ref="E188:H188" ca="1" si="114">E182*$B$188</f>
        <v>8695921.0738455616</v>
      </c>
      <c r="F188" s="20">
        <f t="shared" ca="1" si="114"/>
        <v>12059734.353133341</v>
      </c>
      <c r="G188" s="20">
        <f t="shared" ca="1" si="114"/>
        <v>15766187.365346733</v>
      </c>
      <c r="H188" s="20">
        <f t="shared" ca="1" si="114"/>
        <v>19859180.591634907</v>
      </c>
    </row>
    <row r="189" spans="1:8">
      <c r="C189" s="95">
        <v>5</v>
      </c>
      <c r="D189" s="20">
        <f t="shared" ref="D189:H189" ca="1" si="115">D183*$B$188</f>
        <v>10232128.910590705</v>
      </c>
      <c r="E189" s="20">
        <f t="shared" ca="1" si="115"/>
        <v>13552697.98891416</v>
      </c>
      <c r="F189" s="20">
        <f t="shared" ca="1" si="115"/>
        <v>17199337.527592555</v>
      </c>
      <c r="G189" s="20">
        <f t="shared" ca="1" si="115"/>
        <v>21202758.112166092</v>
      </c>
      <c r="H189" s="20">
        <f t="shared" ca="1" si="115"/>
        <v>25607567.289432421</v>
      </c>
    </row>
    <row r="190" spans="1:8">
      <c r="C190" s="95">
        <v>6</v>
      </c>
      <c r="D190" s="20">
        <f t="shared" ref="D190:H190" ca="1" si="116">D184*$B$188</f>
        <v>14819547.483382525</v>
      </c>
      <c r="E190" s="20">
        <f t="shared" ca="1" si="116"/>
        <v>18409474.903982759</v>
      </c>
      <c r="F190" s="20">
        <f t="shared" ca="1" si="116"/>
        <v>22338940.70205177</v>
      </c>
      <c r="G190" s="20">
        <f t="shared" ca="1" si="116"/>
        <v>26639328.858985458</v>
      </c>
      <c r="H190" s="20">
        <f t="shared" ca="1" si="116"/>
        <v>31355953.987229936</v>
      </c>
    </row>
    <row r="191" spans="1:8">
      <c r="C191" s="96">
        <v>7</v>
      </c>
      <c r="D191" s="20">
        <f t="shared" ref="D191:H191" ca="1" si="117">D185*$B$188</f>
        <v>19406966.056174345</v>
      </c>
      <c r="E191" s="20">
        <f t="shared" ca="1" si="117"/>
        <v>23266251.819051355</v>
      </c>
      <c r="F191" s="20">
        <f t="shared" ca="1" si="117"/>
        <v>27478543.876510981</v>
      </c>
      <c r="G191" s="20">
        <f t="shared" ca="1" si="117"/>
        <v>32075899.60580482</v>
      </c>
      <c r="H191" s="20">
        <f t="shared" ca="1" si="117"/>
        <v>37104340.68502745</v>
      </c>
    </row>
    <row r="193" spans="1:8">
      <c r="A193" s="98"/>
      <c r="B193" s="98"/>
      <c r="C193" s="99" t="s">
        <v>187</v>
      </c>
      <c r="D193" s="98"/>
      <c r="E193" s="98"/>
      <c r="F193" s="98"/>
      <c r="G193" s="98"/>
      <c r="H193" s="98"/>
    </row>
    <row r="194" spans="1:8">
      <c r="A194" s="100" t="s">
        <v>194</v>
      </c>
      <c r="B194" s="98"/>
      <c r="C194" s="101" t="s">
        <v>190</v>
      </c>
      <c r="D194" s="102">
        <f ca="1">D182-D188</f>
        <v>33880699.055367865</v>
      </c>
      <c r="E194" s="102">
        <f t="shared" ref="E194:H194" ca="1" si="118">E182-E188</f>
        <v>52194686.224958599</v>
      </c>
      <c r="F194" s="102">
        <f t="shared" ca="1" si="118"/>
        <v>72384977.413299814</v>
      </c>
      <c r="G194" s="102">
        <f t="shared" ca="1" si="118"/>
        <v>94631861.93964234</v>
      </c>
      <c r="H194" s="102">
        <f t="shared" ca="1" si="118"/>
        <v>119198839.41710907</v>
      </c>
    </row>
    <row r="195" spans="1:8">
      <c r="A195" s="98"/>
      <c r="B195" s="98"/>
      <c r="C195" s="103" t="s">
        <v>191</v>
      </c>
      <c r="D195" s="102">
        <f t="shared" ref="D195:H197" ca="1" si="119">D183-D189</f>
        <v>61415317.982576042</v>
      </c>
      <c r="E195" s="102">
        <f t="shared" ca="1" si="119"/>
        <v>81346048.684890002</v>
      </c>
      <c r="F195" s="102">
        <f t="shared" ca="1" si="119"/>
        <v>103233920.58259059</v>
      </c>
      <c r="G195" s="102">
        <f t="shared" ca="1" si="119"/>
        <v>127263264.85376047</v>
      </c>
      <c r="H195" s="102">
        <f t="shared" ca="1" si="119"/>
        <v>153701825.0632959</v>
      </c>
    </row>
    <row r="196" spans="1:8">
      <c r="A196" s="98"/>
      <c r="B196" s="98"/>
      <c r="C196" s="103" t="s">
        <v>192</v>
      </c>
      <c r="D196" s="102">
        <f t="shared" ca="1" si="119"/>
        <v>88949936.909784228</v>
      </c>
      <c r="E196" s="102">
        <f t="shared" ca="1" si="119"/>
        <v>110497411.14482141</v>
      </c>
      <c r="F196" s="102">
        <f t="shared" ca="1" si="119"/>
        <v>134082863.75188138</v>
      </c>
      <c r="G196" s="102">
        <f t="shared" ca="1" si="119"/>
        <v>159894667.76787862</v>
      </c>
      <c r="H196" s="102">
        <f t="shared" ca="1" si="119"/>
        <v>188204810.70948276</v>
      </c>
    </row>
    <row r="197" spans="1:8">
      <c r="A197" s="98"/>
      <c r="B197" s="98"/>
      <c r="C197" s="104" t="s">
        <v>193</v>
      </c>
      <c r="D197" s="102">
        <f t="shared" ca="1" si="119"/>
        <v>116484555.83699241</v>
      </c>
      <c r="E197" s="102">
        <f t="shared" ca="1" si="119"/>
        <v>139648773.60475281</v>
      </c>
      <c r="F197" s="102">
        <f t="shared" ca="1" si="119"/>
        <v>164931806.92117217</v>
      </c>
      <c r="G197" s="102">
        <f t="shared" ca="1" si="119"/>
        <v>192526070.68199676</v>
      </c>
      <c r="H197" s="102">
        <f t="shared" ca="1" si="119"/>
        <v>222707796.35566962</v>
      </c>
    </row>
    <row r="199" spans="1:8">
      <c r="A199" s="98"/>
      <c r="B199" s="98"/>
      <c r="C199" s="99" t="s">
        <v>187</v>
      </c>
      <c r="D199" s="98"/>
      <c r="E199" s="98"/>
      <c r="F199" s="98"/>
      <c r="G199" s="98"/>
      <c r="H199" s="98"/>
    </row>
    <row r="200" spans="1:8">
      <c r="A200" s="100" t="s">
        <v>184</v>
      </c>
      <c r="B200" s="98"/>
      <c r="C200" s="101" t="s">
        <v>190</v>
      </c>
      <c r="D200" s="110">
        <f ca="1">D206^(1/D$171)-1</f>
        <v>-0.25485483524342145</v>
      </c>
      <c r="E200" s="110">
        <f t="shared" ref="E200:H200" ca="1" si="120">E206^(1/E$171)-1</f>
        <v>7.1414225025615341E-2</v>
      </c>
      <c r="F200" s="110">
        <f t="shared" ca="1" si="120"/>
        <v>0.16764902978678142</v>
      </c>
      <c r="G200" s="110">
        <f t="shared" ca="1" si="120"/>
        <v>0.20110639035034183</v>
      </c>
      <c r="H200" s="110">
        <f t="shared" ca="1" si="120"/>
        <v>0.21258477334763137</v>
      </c>
    </row>
    <row r="201" spans="1:8">
      <c r="A201" s="98"/>
      <c r="B201" s="98"/>
      <c r="C201" s="103" t="s">
        <v>191</v>
      </c>
      <c r="D201" s="110">
        <f t="shared" ref="D201:H201" ca="1" si="121">D207^(1/D$171)-1</f>
        <v>0.35071968739245385</v>
      </c>
      <c r="E201" s="110">
        <f t="shared" ca="1" si="121"/>
        <v>0.33755760115368383</v>
      </c>
      <c r="F201" s="110">
        <f t="shared" ca="1" si="121"/>
        <v>0.31432766320961103</v>
      </c>
      <c r="G201" s="110">
        <f t="shared" ca="1" si="121"/>
        <v>0.29344479184300654</v>
      </c>
      <c r="H201" s="110">
        <f t="shared" ca="1" si="121"/>
        <v>0.27583205618657503</v>
      </c>
    </row>
    <row r="202" spans="1:8">
      <c r="A202" s="98"/>
      <c r="B202" s="98"/>
      <c r="C202" s="103" t="s">
        <v>192</v>
      </c>
      <c r="D202" s="110">
        <f t="shared" ref="D202:H202" ca="1" si="122">D208^(1/D$171)-1</f>
        <v>0.95629421002832915</v>
      </c>
      <c r="E202" s="110">
        <f t="shared" ca="1" si="122"/>
        <v>0.55890738378543681</v>
      </c>
      <c r="F202" s="110">
        <f t="shared" ca="1" si="122"/>
        <v>0.43401579229727894</v>
      </c>
      <c r="G202" s="110">
        <f t="shared" ca="1" si="122"/>
        <v>0.36940095541836526</v>
      </c>
      <c r="H202" s="110">
        <f t="shared" ca="1" si="122"/>
        <v>0.32856818754775974</v>
      </c>
    </row>
    <row r="203" spans="1:8">
      <c r="A203" s="98"/>
      <c r="B203" s="98"/>
      <c r="C203" s="104" t="s">
        <v>193</v>
      </c>
      <c r="D203" s="110">
        <f t="shared" ref="D203:H203" ca="1" si="123">D209^(1/D$171)-1</f>
        <v>1.5618687326642045</v>
      </c>
      <c r="E203" s="110">
        <f t="shared" ca="1" si="123"/>
        <v>0.75251936538159603</v>
      </c>
      <c r="F203" s="110">
        <f t="shared" ca="1" si="123"/>
        <v>0.53649439634979568</v>
      </c>
      <c r="G203" s="110">
        <f t="shared" ca="1" si="123"/>
        <v>0.43448006794281868</v>
      </c>
      <c r="H203" s="110">
        <f t="shared" ca="1" si="123"/>
        <v>0.37405712731905005</v>
      </c>
    </row>
    <row r="205" spans="1:8">
      <c r="A205" s="98"/>
      <c r="B205" s="98"/>
      <c r="C205" s="99" t="s">
        <v>187</v>
      </c>
      <c r="D205" s="98"/>
      <c r="E205" s="98"/>
      <c r="F205" s="98"/>
      <c r="G205" s="98"/>
      <c r="H205" s="98"/>
    </row>
    <row r="206" spans="1:8">
      <c r="A206" s="100" t="s">
        <v>195</v>
      </c>
      <c r="B206" s="98"/>
      <c r="C206" s="105" t="s">
        <v>190</v>
      </c>
      <c r="D206" s="109">
        <f ca="1">D194/'Transaction Summary'!$E$9</f>
        <v>0.74514516475657855</v>
      </c>
      <c r="E206" s="108">
        <f ca="1">E194/'Transaction Summary'!$E$9</f>
        <v>1.1479284415872397</v>
      </c>
      <c r="F206" s="108">
        <f ca="1">F194/'Transaction Summary'!$E$9</f>
        <v>1.5919776576153315</v>
      </c>
      <c r="G206" s="108">
        <f ca="1">G194/'Transaction Summary'!$E$9</f>
        <v>2.0812579528244615</v>
      </c>
      <c r="H206" s="108">
        <f ca="1">H194/'Transaction Summary'!$E$9</f>
        <v>2.6215645282614819</v>
      </c>
    </row>
    <row r="207" spans="1:8">
      <c r="A207" s="98"/>
      <c r="B207" s="98"/>
      <c r="C207" s="106" t="s">
        <v>191</v>
      </c>
      <c r="D207" s="109">
        <f ca="1">D195/'Transaction Summary'!$E$9</f>
        <v>1.3507196873924538</v>
      </c>
      <c r="E207" s="108">
        <f ca="1">E195/'Transaction Summary'!$E$9</f>
        <v>1.7890603364039972</v>
      </c>
      <c r="F207" s="108">
        <f ca="1">F195/'Transaction Summary'!$E$9</f>
        <v>2.2704447932220151</v>
      </c>
      <c r="G207" s="108">
        <f ca="1">G195/'Transaction Summary'!$E$9</f>
        <v>2.7989270912605675</v>
      </c>
      <c r="H207" s="108">
        <f ca="1">H195/'Transaction Summary'!$E$9</f>
        <v>3.3803957696684814</v>
      </c>
    </row>
    <row r="208" spans="1:8">
      <c r="A208" s="98"/>
      <c r="B208" s="98"/>
      <c r="C208" s="106" t="s">
        <v>192</v>
      </c>
      <c r="D208" s="109">
        <f ca="1">D196/'Transaction Summary'!$E$9</f>
        <v>1.9562942100283292</v>
      </c>
      <c r="E208" s="108">
        <f ca="1">E196/'Transaction Summary'!$E$9</f>
        <v>2.4301922312207549</v>
      </c>
      <c r="F208" s="108">
        <f ca="1">F196/'Transaction Summary'!$E$9</f>
        <v>2.9489119288286987</v>
      </c>
      <c r="G208" s="108">
        <f ca="1">G196/'Transaction Summary'!$E$9</f>
        <v>3.5165962296966744</v>
      </c>
      <c r="H208" s="108">
        <f ca="1">H196/'Transaction Summary'!$E$9</f>
        <v>4.139227011075481</v>
      </c>
    </row>
    <row r="209" spans="1:8">
      <c r="A209" s="98"/>
      <c r="B209" s="98"/>
      <c r="C209" s="107" t="s">
        <v>193</v>
      </c>
      <c r="D209" s="109">
        <f ca="1">D197/'Transaction Summary'!$E$9</f>
        <v>2.5618687326642045</v>
      </c>
      <c r="E209" s="108">
        <f ca="1">E197/'Transaction Summary'!$E$9</f>
        <v>3.0713241260375121</v>
      </c>
      <c r="F209" s="108">
        <f ca="1">F197/'Transaction Summary'!$E$9</f>
        <v>3.6273790644353827</v>
      </c>
      <c r="G209" s="108">
        <f ca="1">G197/'Transaction Summary'!$E$9</f>
        <v>4.2342653681327809</v>
      </c>
      <c r="H209" s="108">
        <f ca="1">H197/'Transaction Summary'!$E$9</f>
        <v>4.8980582524824818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ED3-E91A-2A40-9EC1-BFE16566DD38}">
  <dimension ref="A1:J22"/>
  <sheetViews>
    <sheetView workbookViewId="0">
      <selection activeCell="F8" sqref="F8"/>
    </sheetView>
  </sheetViews>
  <sheetFormatPr baseColWidth="10" defaultRowHeight="16"/>
  <cols>
    <col min="1" max="1" width="28.83203125" bestFit="1" customWidth="1"/>
    <col min="2" max="2" width="16" bestFit="1" customWidth="1"/>
    <col min="4" max="4" width="22.83203125" bestFit="1" customWidth="1"/>
    <col min="5" max="5" width="16" bestFit="1" customWidth="1"/>
    <col min="10" max="10" width="16" bestFit="1" customWidth="1"/>
  </cols>
  <sheetData>
    <row r="1" spans="1:10" ht="21">
      <c r="A1" s="1" t="s">
        <v>61</v>
      </c>
    </row>
    <row r="3" spans="1:10">
      <c r="A3" s="57" t="s">
        <v>62</v>
      </c>
      <c r="B3" s="57"/>
      <c r="D3" s="57" t="s">
        <v>76</v>
      </c>
      <c r="E3" s="57"/>
      <c r="F3" s="57"/>
      <c r="G3" s="57"/>
      <c r="H3" s="57"/>
      <c r="I3" s="57"/>
      <c r="J3" s="57"/>
    </row>
    <row r="4" spans="1:10">
      <c r="A4" t="s">
        <v>63</v>
      </c>
      <c r="B4" s="20">
        <f ca="1">Statements!C59</f>
        <v>30325750</v>
      </c>
      <c r="D4" s="61" t="s">
        <v>77</v>
      </c>
      <c r="E4" t="s">
        <v>89</v>
      </c>
      <c r="F4" t="s">
        <v>29</v>
      </c>
      <c r="G4" t="s">
        <v>90</v>
      </c>
      <c r="H4" t="s">
        <v>91</v>
      </c>
      <c r="I4" t="s">
        <v>92</v>
      </c>
      <c r="J4" t="s">
        <v>34</v>
      </c>
    </row>
    <row r="5" spans="1:10">
      <c r="A5" t="s">
        <v>64</v>
      </c>
      <c r="B5" s="58">
        <v>5</v>
      </c>
      <c r="D5" t="s">
        <v>78</v>
      </c>
      <c r="E5" s="23">
        <v>0</v>
      </c>
      <c r="F5" s="65">
        <v>0</v>
      </c>
      <c r="G5" s="63">
        <v>0</v>
      </c>
    </row>
    <row r="6" spans="1:10" ht="17" thickBot="1">
      <c r="A6" s="47" t="s">
        <v>65</v>
      </c>
      <c r="B6" s="53">
        <f ca="1">B4*B5</f>
        <v>151628750</v>
      </c>
      <c r="D6" t="s">
        <v>79</v>
      </c>
      <c r="E6" s="23">
        <f ca="1">G6*B4</f>
        <v>60651500</v>
      </c>
      <c r="F6" s="65">
        <f t="shared" ref="F6:F7" ca="1" si="0">E6/$E$10</f>
        <v>0.38100032900119501</v>
      </c>
      <c r="G6" s="63">
        <v>2</v>
      </c>
      <c r="H6">
        <v>5</v>
      </c>
      <c r="I6" s="10">
        <v>0.01</v>
      </c>
      <c r="J6" s="20">
        <f ca="1">I6*E6</f>
        <v>606515</v>
      </c>
    </row>
    <row r="7" spans="1:10">
      <c r="A7" s="59" t="s">
        <v>66</v>
      </c>
      <c r="B7" s="23">
        <v>0</v>
      </c>
      <c r="D7" t="s">
        <v>80</v>
      </c>
      <c r="E7" s="23">
        <f ca="1">G7*B4</f>
        <v>45488625</v>
      </c>
      <c r="F7" s="65">
        <f t="shared" ca="1" si="0"/>
        <v>0.28575024675089628</v>
      </c>
      <c r="G7" s="63">
        <v>1.5</v>
      </c>
      <c r="H7">
        <v>5</v>
      </c>
      <c r="I7" s="10">
        <v>0.01</v>
      </c>
      <c r="J7" s="20">
        <f ca="1">I7*E7</f>
        <v>454886.25</v>
      </c>
    </row>
    <row r="8" spans="1:10" ht="17" thickBot="1">
      <c r="A8" s="59" t="s">
        <v>67</v>
      </c>
      <c r="B8" s="23">
        <v>0</v>
      </c>
      <c r="D8" t="s">
        <v>81</v>
      </c>
      <c r="E8" s="23">
        <f ca="1">B9*B16*B17</f>
        <v>7581437.5</v>
      </c>
      <c r="F8" s="65">
        <f ca="1">E8/$E$10</f>
        <v>4.7625041125149377E-2</v>
      </c>
      <c r="G8" s="63">
        <f ca="1">E8/B4</f>
        <v>0.25</v>
      </c>
      <c r="J8" s="53">
        <f ca="1">SUM(J6:J7)</f>
        <v>1061401.25</v>
      </c>
    </row>
    <row r="9" spans="1:10" ht="17" thickBot="1">
      <c r="A9" s="60" t="s">
        <v>68</v>
      </c>
      <c r="B9" s="53">
        <f ca="1">B6-B7-B8</f>
        <v>151628750</v>
      </c>
      <c r="D9" t="s">
        <v>82</v>
      </c>
      <c r="E9" s="23">
        <f ca="1">E10-SUM(E6:E8)</f>
        <v>45468588.75</v>
      </c>
      <c r="F9" s="65">
        <f ca="1">E9/$E$10</f>
        <v>0.28562438312275928</v>
      </c>
      <c r="G9" s="63">
        <f ca="1">E9/B4</f>
        <v>1.4993392991104919</v>
      </c>
    </row>
    <row r="10" spans="1:10" ht="17" thickBot="1">
      <c r="D10" s="39" t="s">
        <v>83</v>
      </c>
      <c r="E10" s="62">
        <f ca="1">B9+J8+B15+B14</f>
        <v>159190151.25</v>
      </c>
      <c r="F10" s="66">
        <f ca="1">SUM(F5:F9)</f>
        <v>1</v>
      </c>
      <c r="G10" s="64">
        <f ca="1">SUM(G5:G9)</f>
        <v>5.2493392991104919</v>
      </c>
    </row>
    <row r="11" spans="1:10">
      <c r="A11" s="57" t="s">
        <v>69</v>
      </c>
      <c r="B11" s="57"/>
      <c r="D11" s="61" t="s">
        <v>84</v>
      </c>
      <c r="E11" s="23"/>
      <c r="F11" s="65"/>
    </row>
    <row r="12" spans="1:10">
      <c r="A12" t="s">
        <v>70</v>
      </c>
      <c r="B12" s="58">
        <v>3</v>
      </c>
      <c r="D12" t="s">
        <v>85</v>
      </c>
      <c r="E12" s="23">
        <f ca="1">B9-E13</f>
        <v>144047312.5</v>
      </c>
      <c r="F12" s="65">
        <f ca="1">E12/$E$17</f>
        <v>0.9048757813778382</v>
      </c>
    </row>
    <row r="13" spans="1:10">
      <c r="A13" t="s">
        <v>71</v>
      </c>
      <c r="B13" s="20">
        <f ca="1">B12*B4</f>
        <v>90977250</v>
      </c>
      <c r="D13" t="s">
        <v>81</v>
      </c>
      <c r="E13" s="23">
        <f ca="1">B9*B16*B17</f>
        <v>7581437.5</v>
      </c>
      <c r="F13" s="65">
        <f t="shared" ref="F13:F16" ca="1" si="1">E13/$E$17</f>
        <v>4.7625041125149377E-2</v>
      </c>
    </row>
    <row r="14" spans="1:10">
      <c r="A14" t="s">
        <v>72</v>
      </c>
      <c r="B14" s="23">
        <v>5000000</v>
      </c>
      <c r="D14" t="s">
        <v>72</v>
      </c>
      <c r="E14" s="23">
        <f>B14</f>
        <v>5000000</v>
      </c>
      <c r="F14" s="65">
        <f t="shared" ca="1" si="1"/>
        <v>3.1408978261147295E-2</v>
      </c>
    </row>
    <row r="15" spans="1:10">
      <c r="A15" t="s">
        <v>73</v>
      </c>
      <c r="B15" s="23">
        <v>1500000</v>
      </c>
      <c r="D15" t="s">
        <v>86</v>
      </c>
      <c r="E15" s="23">
        <f>B15</f>
        <v>1500000</v>
      </c>
      <c r="F15" s="65">
        <f t="shared" ca="1" si="1"/>
        <v>9.4226934783441883E-3</v>
      </c>
    </row>
    <row r="16" spans="1:10">
      <c r="A16" t="s">
        <v>74</v>
      </c>
      <c r="B16" s="10">
        <v>0.1</v>
      </c>
      <c r="D16" t="s">
        <v>87</v>
      </c>
      <c r="E16" s="23">
        <f ca="1">J8</f>
        <v>1061401.25</v>
      </c>
      <c r="F16" s="65">
        <f t="shared" ca="1" si="1"/>
        <v>6.667505757520913E-3</v>
      </c>
    </row>
    <row r="17" spans="1:10" ht="17" thickBot="1">
      <c r="A17" t="s">
        <v>75</v>
      </c>
      <c r="B17" s="10">
        <v>0.5</v>
      </c>
      <c r="D17" s="39" t="s">
        <v>88</v>
      </c>
      <c r="E17" s="62">
        <f ca="1">SUM(E12:E16)</f>
        <v>159190151.25</v>
      </c>
      <c r="F17" s="66">
        <f ca="1">SUM(F12:F16)</f>
        <v>1</v>
      </c>
      <c r="G17" s="47"/>
      <c r="H17" s="47"/>
      <c r="I17" s="47"/>
      <c r="J17" s="47"/>
    </row>
    <row r="19" spans="1:10">
      <c r="D19" s="57" t="s">
        <v>93</v>
      </c>
      <c r="E19" s="57"/>
      <c r="F19" s="57"/>
      <c r="G19" s="57"/>
      <c r="H19" s="57"/>
      <c r="I19" s="57"/>
      <c r="J19" s="57"/>
    </row>
    <row r="20" spans="1:10">
      <c r="D20" t="s">
        <v>85</v>
      </c>
      <c r="J20" s="20">
        <f ca="1">B9</f>
        <v>151628750</v>
      </c>
    </row>
    <row r="21" spans="1:10">
      <c r="D21" t="s">
        <v>94</v>
      </c>
      <c r="J21" s="20">
        <f>Statements!B93</f>
        <v>18838000</v>
      </c>
    </row>
    <row r="22" spans="1:10" ht="17" thickBot="1">
      <c r="D22" s="47" t="s">
        <v>95</v>
      </c>
      <c r="E22" s="47"/>
      <c r="F22" s="47"/>
      <c r="G22" s="47"/>
      <c r="H22" s="47"/>
      <c r="I22" s="47"/>
      <c r="J22" s="53">
        <f ca="1">J20-J21</f>
        <v>132790750</v>
      </c>
    </row>
  </sheetData>
  <mergeCells count="4">
    <mergeCell ref="A3:B3"/>
    <mergeCell ref="A11:B11"/>
    <mergeCell ref="D3:J3"/>
    <mergeCell ref="D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Statements</vt:lpstr>
      <vt:lpstr>Transaction Summary</vt:lpstr>
      <vt:lpstr>Case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2018-12-11T19:27:54Z</dcterms:created>
  <dcterms:modified xsi:type="dcterms:W3CDTF">2018-12-12T17:05:04Z</dcterms:modified>
</cp:coreProperties>
</file>