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tfc365-my.sharepoint.com/personal/sergi_siso_stfc_ac_uk/Documents/STFC Projects/IPCC PSyclone-LFRic/"/>
    </mc:Choice>
  </mc:AlternateContent>
  <bookViews>
    <workbookView xWindow="0" yWindow="0" windowWidth="19200" windowHeight="7190" activeTab="2"/>
  </bookViews>
  <sheets>
    <sheet name="SKL Strong Scalability" sheetId="1" r:id="rId1"/>
    <sheet name="SKL Weak Scalability" sheetId="4" r:id="rId2"/>
    <sheet name="Sheet1" sheetId="5" r:id="rId3"/>
    <sheet name="Affinities" sheetId="3" r:id="rId4"/>
    <sheet name="KNL Strong Scalability" sheetId="2" r:id="rId5"/>
  </sheets>
  <definedNames>
    <definedName name="ScafellPike" localSheetId="0">'SKL Strong Scalability'!$B$1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5" l="1"/>
  <c r="P5" i="5"/>
  <c r="Q5" i="5"/>
  <c r="O6" i="5"/>
  <c r="P6" i="5"/>
  <c r="Q6" i="5"/>
  <c r="O7" i="5"/>
  <c r="P7" i="5"/>
  <c r="Q7" i="5"/>
  <c r="O8" i="5"/>
  <c r="P8" i="5"/>
  <c r="Q8" i="5"/>
  <c r="Q4" i="5"/>
  <c r="P4" i="5"/>
  <c r="O4" i="5"/>
  <c r="C8" i="5" l="1"/>
  <c r="C7" i="5"/>
  <c r="C6" i="5"/>
  <c r="C5" i="5"/>
  <c r="C4" i="5"/>
  <c r="C20" i="5"/>
  <c r="C19" i="5"/>
  <c r="C18" i="5"/>
  <c r="C17" i="5"/>
  <c r="C16" i="5"/>
  <c r="Q12" i="5" l="1"/>
  <c r="Q13" i="5"/>
  <c r="Q14" i="5"/>
  <c r="Q15" i="5"/>
  <c r="P12" i="5"/>
  <c r="P13" i="5"/>
  <c r="P14" i="5"/>
  <c r="P15" i="5"/>
  <c r="O12" i="5"/>
  <c r="O13" i="5"/>
  <c r="O14" i="5"/>
  <c r="O15" i="5"/>
  <c r="Q11" i="5"/>
  <c r="P11" i="5"/>
  <c r="O11" i="5"/>
  <c r="T14" i="5"/>
  <c r="W14" i="5" s="1"/>
  <c r="T15" i="5"/>
  <c r="U15" i="5" s="1"/>
  <c r="T16" i="5"/>
  <c r="U16" i="5" s="1"/>
  <c r="T13" i="5"/>
  <c r="V13" i="5" s="1"/>
  <c r="T12" i="5"/>
  <c r="V12" i="5" s="1"/>
  <c r="C11" i="5"/>
  <c r="C12" i="5"/>
  <c r="C13" i="5"/>
  <c r="C14" i="5"/>
  <c r="C10" i="5"/>
  <c r="U13" i="5" l="1"/>
  <c r="W12" i="5"/>
  <c r="V14" i="5"/>
  <c r="W16" i="5"/>
  <c r="V15" i="5"/>
  <c r="U14" i="5"/>
  <c r="W15" i="5"/>
  <c r="U12" i="5"/>
  <c r="V16" i="5"/>
  <c r="W13" i="5"/>
  <c r="I15" i="4"/>
  <c r="I16" i="4"/>
  <c r="K15" i="4" l="1"/>
  <c r="M15" i="4" s="1"/>
  <c r="K16" i="4" l="1"/>
  <c r="M16" i="4" s="1"/>
  <c r="P15" i="4"/>
  <c r="P16" i="4"/>
  <c r="P17" i="4"/>
  <c r="P10" i="4"/>
  <c r="P11" i="4"/>
  <c r="P12" i="4"/>
  <c r="P5" i="4"/>
  <c r="P6" i="4"/>
  <c r="P7" i="4"/>
  <c r="P14" i="4"/>
  <c r="P9" i="4"/>
  <c r="P4" i="4"/>
  <c r="M7" i="4"/>
  <c r="Q12" i="4" s="1"/>
  <c r="I11" i="4"/>
  <c r="K11" i="4"/>
  <c r="M11" i="4" s="1"/>
  <c r="I7" i="4"/>
  <c r="K7" i="4"/>
  <c r="O5" i="4"/>
  <c r="O6" i="4"/>
  <c r="O7" i="4"/>
  <c r="O10" i="4"/>
  <c r="O11" i="4"/>
  <c r="O12" i="4"/>
  <c r="O15" i="4"/>
  <c r="O16" i="4"/>
  <c r="O17" i="4"/>
  <c r="O14" i="4"/>
  <c r="K17" i="4"/>
  <c r="M17" i="4" s="1"/>
  <c r="I17" i="4"/>
  <c r="I10" i="4"/>
  <c r="I12" i="4"/>
  <c r="K12" i="4"/>
  <c r="M12" i="4" s="1"/>
  <c r="O4" i="4"/>
  <c r="Q7" i="4" l="1"/>
  <c r="Q17" i="4"/>
  <c r="K6" i="4"/>
  <c r="K5" i="4"/>
  <c r="M5" i="4" s="1"/>
  <c r="I14" i="4"/>
  <c r="I5" i="4"/>
  <c r="I6" i="4"/>
  <c r="I4" i="4"/>
  <c r="I9" i="4"/>
  <c r="O9" i="4"/>
  <c r="K10" i="4"/>
  <c r="K9" i="4"/>
  <c r="M9" i="4" s="1"/>
  <c r="M6" i="4"/>
  <c r="M10" i="4"/>
  <c r="K4" i="4"/>
  <c r="M4" i="4" s="1"/>
  <c r="K14" i="4"/>
  <c r="M14" i="4" s="1"/>
  <c r="Q15" i="4" l="1"/>
  <c r="Q10" i="4"/>
  <c r="Q5" i="4"/>
  <c r="Q14" i="4"/>
  <c r="Q9" i="4"/>
  <c r="Q4" i="4"/>
  <c r="Q16" i="4"/>
  <c r="Q6" i="4"/>
  <c r="Q11" i="4"/>
  <c r="E14" i="4"/>
  <c r="E9" i="4"/>
  <c r="E4" i="4"/>
  <c r="O8" i="1"/>
  <c r="O9" i="1"/>
  <c r="O10" i="1"/>
  <c r="O4" i="1"/>
  <c r="J7" i="4" l="1"/>
  <c r="J6" i="4"/>
  <c r="J4" i="4"/>
  <c r="J5" i="4"/>
  <c r="J15" i="4"/>
  <c r="J16" i="4"/>
  <c r="J17" i="4"/>
  <c r="J14" i="4"/>
  <c r="J11" i="4"/>
  <c r="J12" i="4"/>
  <c r="J9" i="4"/>
  <c r="J10" i="4"/>
  <c r="F14" i="4"/>
  <c r="F9" i="4"/>
  <c r="F4" i="4"/>
  <c r="G10" i="2"/>
  <c r="D10" i="2"/>
  <c r="E10" i="2"/>
  <c r="C10" i="2"/>
  <c r="I12" i="1"/>
  <c r="G12" i="1"/>
  <c r="D12" i="1"/>
  <c r="E12" i="1"/>
  <c r="F12" i="1"/>
  <c r="C12" i="1"/>
  <c r="N5" i="1" l="1"/>
  <c r="N6" i="1"/>
  <c r="N8" i="1"/>
  <c r="N10" i="1"/>
  <c r="N4" i="1"/>
  <c r="M5" i="1"/>
  <c r="M6" i="1"/>
  <c r="M7" i="1"/>
  <c r="M8" i="1" l="1"/>
  <c r="M9" i="1"/>
  <c r="M10" i="1"/>
  <c r="M4" i="1"/>
  <c r="J5" i="2"/>
  <c r="J6" i="2"/>
  <c r="J7" i="2"/>
  <c r="J8" i="2"/>
  <c r="J4" i="2"/>
  <c r="G5" i="3"/>
  <c r="H5" i="3"/>
  <c r="I5" i="3"/>
  <c r="J5" i="3"/>
  <c r="G6" i="3"/>
  <c r="H6" i="3"/>
  <c r="I6" i="3"/>
  <c r="J6" i="3"/>
  <c r="G7" i="3"/>
  <c r="H7" i="3"/>
  <c r="I7" i="3"/>
  <c r="J7" i="3"/>
  <c r="J4" i="3"/>
  <c r="I4" i="3"/>
  <c r="H4" i="3"/>
  <c r="G4" i="3"/>
  <c r="H5" i="2"/>
  <c r="I5" i="2"/>
  <c r="H6" i="2"/>
  <c r="I6" i="2"/>
  <c r="H7" i="2"/>
  <c r="I7" i="2"/>
  <c r="H8" i="2"/>
  <c r="I8" i="2"/>
  <c r="I4" i="2"/>
  <c r="H4" i="2"/>
  <c r="L5" i="1"/>
  <c r="L6" i="1"/>
  <c r="L7" i="1"/>
  <c r="L8" i="1"/>
  <c r="L9" i="1"/>
  <c r="L10" i="1"/>
  <c r="L4" i="1"/>
  <c r="E2" i="2"/>
  <c r="E2" i="1"/>
  <c r="K5" i="1"/>
  <c r="K6" i="1"/>
  <c r="K7" i="1"/>
  <c r="K8" i="1"/>
  <c r="K9" i="1"/>
  <c r="K10" i="1"/>
  <c r="K4" i="1"/>
  <c r="J5" i="1"/>
  <c r="J6" i="1"/>
  <c r="J7" i="1"/>
  <c r="J8" i="1"/>
  <c r="J9" i="1"/>
  <c r="J10" i="1"/>
  <c r="J4" i="1"/>
</calcChain>
</file>

<file path=xl/sharedStrings.xml><?xml version="1.0" encoding="utf-8"?>
<sst xmlns="http://schemas.openxmlformats.org/spreadsheetml/2006/main" count="126" uniqueCount="71">
  <si>
    <t>Time C24</t>
  </si>
  <si>
    <t>Speedup C24</t>
  </si>
  <si>
    <t>Time C48</t>
  </si>
  <si>
    <t>Time C96</t>
  </si>
  <si>
    <t>Speedup C48</t>
  </si>
  <si>
    <t>Speedup C96</t>
  </si>
  <si>
    <t>Cores</t>
  </si>
  <si>
    <t>MPI Only</t>
  </si>
  <si>
    <t>OpenMP Only</t>
  </si>
  <si>
    <t>2x Intel Xeon Gold E5-6142 v5 (formerly Skylake) 16 core 2.6GHz (up to 3.7GHz), 384 GB RAM</t>
  </si>
  <si>
    <t>CPU</t>
  </si>
  <si>
    <t>icc</t>
  </si>
  <si>
    <t>Compiler</t>
  </si>
  <si>
    <t>Production</t>
  </si>
  <si>
    <t>Intel KNL 64 cores, 192 GB RAM</t>
  </si>
  <si>
    <t>Default</t>
  </si>
  <si>
    <t>core</t>
  </si>
  <si>
    <t>socket</t>
  </si>
  <si>
    <t>numa</t>
  </si>
  <si>
    <t>default</t>
  </si>
  <si>
    <t>C96 core</t>
  </si>
  <si>
    <t>C240 core</t>
  </si>
  <si>
    <t>C24 (default binding)</t>
  </si>
  <si>
    <t>C48 (default binding)</t>
  </si>
  <si>
    <t>C96 (default binding)</t>
  </si>
  <si>
    <t>Time C240</t>
  </si>
  <si>
    <t>C240</t>
  </si>
  <si>
    <t>C96 (bind to core)</t>
  </si>
  <si>
    <t>C96 core OMP2</t>
  </si>
  <si>
    <t>C96 (bind to core) 2OMP</t>
  </si>
  <si>
    <t>Number of cells</t>
  </si>
  <si>
    <t>Cells Updates per second</t>
  </si>
  <si>
    <t>C96 multinode</t>
  </si>
  <si>
    <t>mesh edge</t>
  </si>
  <si>
    <t>nodes</t>
  </si>
  <si>
    <t>MPI</t>
  </si>
  <si>
    <t>halo ex</t>
  </si>
  <si>
    <t>cells</t>
  </si>
  <si>
    <t>cells per second</t>
  </si>
  <si>
    <t>time per step</t>
  </si>
  <si>
    <t>cells per MPI</t>
  </si>
  <si>
    <t>PSyclone</t>
  </si>
  <si>
    <t>PSyclone1.6</t>
  </si>
  <si>
    <t>gh_inc</t>
  </si>
  <si>
    <t>annex_dofs</t>
  </si>
  <si>
    <t>gh_inc+annex_dofs</t>
  </si>
  <si>
    <t>helmholtz alg</t>
  </si>
  <si>
    <t>helmholtz num it</t>
  </si>
  <si>
    <t>time per helmholtz it</t>
  </si>
  <si>
    <t>Total P.eff</t>
  </si>
  <si>
    <t>Helmholtz.it P.eff</t>
  </si>
  <si>
    <t>halo diff against 1.6</t>
  </si>
  <si>
    <t>Nodes</t>
  </si>
  <si>
    <t>Version</t>
  </si>
  <si>
    <t>num_helmholtz_iterations</t>
  </si>
  <si>
    <t>time</t>
  </si>
  <si>
    <t>Outside MPI</t>
  </si>
  <si>
    <t>mesh</t>
  </si>
  <si>
    <t>__iter_timestep_alg_mod_MOD_iter_alg_step</t>
  </si>
  <si>
    <t>Normalized time</t>
  </si>
  <si>
    <t>Halo Ex</t>
  </si>
  <si>
    <t>Global sum</t>
  </si>
  <si>
    <t>%Outside MPI</t>
  </si>
  <si>
    <t>%In Halo Ex</t>
  </si>
  <si>
    <t>%In Global Sum</t>
  </si>
  <si>
    <t>original</t>
  </si>
  <si>
    <t>setval_c</t>
  </si>
  <si>
    <t>num Halo_Ex</t>
  </si>
  <si>
    <t>gh_inc+annexed_dofs</t>
  </si>
  <si>
    <t>gh_inc+annexed_dofs+setval_c</t>
  </si>
  <si>
    <t>Speedup vs Psyclone1.6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</si>
</sst>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LFRic Strong Scalability</a:t>
            </a:r>
            <a:r>
              <a:rPr lang="en-GB" baseline="0"/>
              <a:t> Skylake 6 nodes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Ideal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'SKL Strong Scalability'!$B$4:$B$10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xVal>
          <c:yVal>
            <c:numRef>
              <c:f>'SKL Strong Scalability'!$B$4:$B$10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5D-4CDD-93E3-E466473A7E18}"/>
            </c:ext>
          </c:extLst>
        </c:ser>
        <c:ser>
          <c:idx val="0"/>
          <c:order val="1"/>
          <c:tx>
            <c:strRef>
              <c:f>'SKL Strong Scalability'!$J$3</c:f>
              <c:strCache>
                <c:ptCount val="1"/>
                <c:pt idx="0">
                  <c:v>C24 (default binding)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'SKL Strong Scalability'!$B$4:$B$10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xVal>
          <c:yVal>
            <c:numRef>
              <c:f>'SKL Strong Scalability'!$J$4:$J$10</c:f>
              <c:numCache>
                <c:formatCode>General</c:formatCode>
                <c:ptCount val="7"/>
                <c:pt idx="0">
                  <c:v>1</c:v>
                </c:pt>
                <c:pt idx="1">
                  <c:v>1.8285714285714285</c:v>
                </c:pt>
                <c:pt idx="2">
                  <c:v>2.6666666666666665</c:v>
                </c:pt>
                <c:pt idx="3">
                  <c:v>3.3684210526315788</c:v>
                </c:pt>
                <c:pt idx="4">
                  <c:v>3.3684210526315788</c:v>
                </c:pt>
                <c:pt idx="5">
                  <c:v>3.0476190476190474</c:v>
                </c:pt>
                <c:pt idx="6">
                  <c:v>2.7826086956521738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5D-4CDD-93E3-E466473A7E18}"/>
            </c:ext>
          </c:extLst>
        </c:ser>
        <c:ser>
          <c:idx val="2"/>
          <c:order val="2"/>
          <c:tx>
            <c:strRef>
              <c:f>'SKL Strong Scalability'!$K$3</c:f>
              <c:strCache>
                <c:ptCount val="1"/>
                <c:pt idx="0">
                  <c:v>C48 (default binding)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'SKL Strong Scalability'!$B$4:$B$10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xVal>
          <c:yVal>
            <c:numRef>
              <c:f>'SKL Strong Scalability'!$K$4:$K$10</c:f>
              <c:numCache>
                <c:formatCode>General</c:formatCode>
                <c:ptCount val="7"/>
                <c:pt idx="0">
                  <c:v>1</c:v>
                </c:pt>
                <c:pt idx="1">
                  <c:v>1.9559748427672956</c:v>
                </c:pt>
                <c:pt idx="2">
                  <c:v>3.4555555555555557</c:v>
                </c:pt>
                <c:pt idx="3">
                  <c:v>5.2711864406779663</c:v>
                </c:pt>
                <c:pt idx="4">
                  <c:v>6.7608695652173916</c:v>
                </c:pt>
                <c:pt idx="5">
                  <c:v>6.479166666666667</c:v>
                </c:pt>
                <c:pt idx="6">
                  <c:v>6.3469387755102042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85D-4CDD-93E3-E466473A7E18}"/>
            </c:ext>
          </c:extLst>
        </c:ser>
        <c:ser>
          <c:idx val="3"/>
          <c:order val="3"/>
          <c:tx>
            <c:strRef>
              <c:f>'SKL Strong Scalability'!$L$3</c:f>
              <c:strCache>
                <c:ptCount val="1"/>
                <c:pt idx="0">
                  <c:v>C96 (default binding)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'SKL Strong Scalability'!$B$4:$B$10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xVal>
          <c:yVal>
            <c:numRef>
              <c:f>'SKL Strong Scalability'!$L$4:$L$10</c:f>
              <c:numCache>
                <c:formatCode>General</c:formatCode>
                <c:ptCount val="7"/>
                <c:pt idx="0">
                  <c:v>1</c:v>
                </c:pt>
                <c:pt idx="1">
                  <c:v>1.8764044943820224</c:v>
                </c:pt>
                <c:pt idx="2">
                  <c:v>3.2532467532467533</c:v>
                </c:pt>
                <c:pt idx="3">
                  <c:v>6</c:v>
                </c:pt>
                <c:pt idx="4">
                  <c:v>8.7894736842105257</c:v>
                </c:pt>
                <c:pt idx="5">
                  <c:v>9.2777777777777786</c:v>
                </c:pt>
                <c:pt idx="6">
                  <c:v>9.9701492537313428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85D-4CDD-93E3-E466473A7E18}"/>
            </c:ext>
          </c:extLst>
        </c:ser>
        <c:ser>
          <c:idx val="4"/>
          <c:order val="4"/>
          <c:tx>
            <c:strRef>
              <c:f>'SKL Strong Scalability'!$M$3</c:f>
              <c:strCache>
                <c:ptCount val="1"/>
                <c:pt idx="0">
                  <c:v>C96 (bind to core)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'SKL Strong Scalability'!$B$4:$B$10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xVal>
          <c:yVal>
            <c:numRef>
              <c:f>'SKL Strong Scalability'!$M$4:$M$10</c:f>
              <c:numCache>
                <c:formatCode>General</c:formatCode>
                <c:ptCount val="7"/>
                <c:pt idx="0">
                  <c:v>1</c:v>
                </c:pt>
                <c:pt idx="1">
                  <c:v>1.8764044943820224</c:v>
                </c:pt>
                <c:pt idx="2">
                  <c:v>3.2532467532467533</c:v>
                </c:pt>
                <c:pt idx="3">
                  <c:v>6</c:v>
                </c:pt>
                <c:pt idx="4">
                  <c:v>9.8235294117647065</c:v>
                </c:pt>
                <c:pt idx="5">
                  <c:v>13.012987012987013</c:v>
                </c:pt>
                <c:pt idx="6">
                  <c:v>15.181818181818182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85D-4CDD-93E3-E466473A7E18}"/>
            </c:ext>
          </c:extLst>
        </c:ser>
        <c:ser>
          <c:idx val="5"/>
          <c:order val="5"/>
          <c:tx>
            <c:strRef>
              <c:f>'SKL Strong Scalability'!$N$3</c:f>
              <c:strCache>
                <c:ptCount val="1"/>
                <c:pt idx="0">
                  <c:v>C96 (bind to core) 2OMP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'SKL Strong Scalability'!$B$4:$B$10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</c:numCache>
            </c:numRef>
          </c:xVal>
          <c:yVal>
            <c:numRef>
              <c:f>'SKL Strong Scalability'!$N$4:$N$10</c:f>
              <c:numCache>
                <c:formatCode>General</c:formatCode>
                <c:ptCount val="7"/>
                <c:pt idx="0">
                  <c:v>1</c:v>
                </c:pt>
                <c:pt idx="1">
                  <c:v>1.1627906976744187</c:v>
                </c:pt>
                <c:pt idx="2">
                  <c:v>2.2222222222222223</c:v>
                </c:pt>
                <c:pt idx="4">
                  <c:v>7.4074074074074074</c:v>
                </c:pt>
                <c:pt idx="6">
                  <c:v>13.333333333333334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78-447F-BB4A-3CD109FFC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759400"/>
        <c:axId val="224761368"/>
      </c:scatterChart>
      <c:valAx>
        <c:axId val="224759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Cores per node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761368"/>
        <c:crosses val="autoZero"/>
        <c:crossBetween val="midCat"/>
      </c:valAx>
      <c:valAx>
        <c:axId val="22476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759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45603674540683"/>
          <c:y val="4.6296296296296294E-2"/>
          <c:w val="0.79965507436570427"/>
          <c:h val="0.6375998833479148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'SKL Weak Scalability'!$G$4</c:f>
              <c:strCache>
                <c:ptCount val="1"/>
                <c:pt idx="0">
                  <c:v>PSyclone1.6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('SKL Weak Scalability'!$D$4,'SKL Weak Scalability'!$D$9,'SKL Weak Scalability'!$D$14)</c:f>
              <c:numCache>
                <c:formatCode>General</c:formatCode>
                <c:ptCount val="3"/>
                <c:pt idx="0">
                  <c:v>192</c:v>
                </c:pt>
                <c:pt idx="1">
                  <c:v>768</c:v>
                </c:pt>
                <c:pt idx="2">
                  <c:v>3072</c:v>
                </c:pt>
              </c:numCache>
            </c:numRef>
          </c:xVal>
          <c:yVal>
            <c:numRef>
              <c:f>('SKL Weak Scalability'!$Q$4,'SKL Weak Scalability'!$Q$9,'SKL Weak Scalability'!$Q$14)</c:f>
              <c:numCache>
                <c:formatCode>0.00</c:formatCode>
                <c:ptCount val="3"/>
                <c:pt idx="0">
                  <c:v>1</c:v>
                </c:pt>
                <c:pt idx="1">
                  <c:v>0.68134974417224736</c:v>
                </c:pt>
                <c:pt idx="2">
                  <c:v>0.15459016128513031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31-482E-98EC-C6E83ED8D948}"/>
            </c:ext>
          </c:extLst>
        </c:ser>
        <c:ser>
          <c:idx val="1"/>
          <c:order val="1"/>
          <c:tx>
            <c:strRef>
              <c:f>'SKL Weak Scalability'!$G$5</c:f>
              <c:strCache>
                <c:ptCount val="1"/>
                <c:pt idx="0">
                  <c:v>annex_dofs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('SKL Weak Scalability'!$D$5,'SKL Weak Scalability'!$D$10,'SKL Weak Scalability'!$D$15)</c:f>
              <c:numCache>
                <c:formatCode>General</c:formatCode>
                <c:ptCount val="3"/>
                <c:pt idx="0">
                  <c:v>192</c:v>
                </c:pt>
                <c:pt idx="1">
                  <c:v>768</c:v>
                </c:pt>
                <c:pt idx="2">
                  <c:v>3072</c:v>
                </c:pt>
              </c:numCache>
            </c:numRef>
          </c:xVal>
          <c:yVal>
            <c:numRef>
              <c:f>('SKL Weak Scalability'!$Q$5,'SKL Weak Scalability'!$Q$10,'SKL Weak Scalability'!$Q$15)</c:f>
              <c:numCache>
                <c:formatCode>0.00</c:formatCode>
                <c:ptCount val="3"/>
                <c:pt idx="0">
                  <c:v>1</c:v>
                </c:pt>
                <c:pt idx="1">
                  <c:v>0.67355081732361999</c:v>
                </c:pt>
                <c:pt idx="2">
                  <c:v>0.37940370728796263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D31-482E-98EC-C6E83ED8D948}"/>
            </c:ext>
          </c:extLst>
        </c:ser>
        <c:ser>
          <c:idx val="2"/>
          <c:order val="2"/>
          <c:tx>
            <c:strRef>
              <c:f>'SKL Weak Scalability'!$G$6</c:f>
              <c:strCache>
                <c:ptCount val="1"/>
                <c:pt idx="0">
                  <c:v>gh_inc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('SKL Weak Scalability'!$D$6,'SKL Weak Scalability'!$D$11,'SKL Weak Scalability'!$D$16)</c:f>
              <c:numCache>
                <c:formatCode>General</c:formatCode>
                <c:ptCount val="3"/>
                <c:pt idx="0">
                  <c:v>192</c:v>
                </c:pt>
                <c:pt idx="1">
                  <c:v>768</c:v>
                </c:pt>
                <c:pt idx="2">
                  <c:v>3072</c:v>
                </c:pt>
              </c:numCache>
            </c:numRef>
          </c:xVal>
          <c:yVal>
            <c:numRef>
              <c:f>('SKL Weak Scalability'!$Q$6,'SKL Weak Scalability'!$Q$11,'SKL Weak Scalability'!$Q$16)</c:f>
              <c:numCache>
                <c:formatCode>0.00</c:formatCode>
                <c:ptCount val="3"/>
                <c:pt idx="0">
                  <c:v>1</c:v>
                </c:pt>
                <c:pt idx="1">
                  <c:v>0.6852925519760712</c:v>
                </c:pt>
                <c:pt idx="2">
                  <c:v>0.21278476260431967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D31-482E-98EC-C6E83ED8D948}"/>
            </c:ext>
          </c:extLst>
        </c:ser>
        <c:ser>
          <c:idx val="3"/>
          <c:order val="3"/>
          <c:tx>
            <c:strRef>
              <c:f>'SKL Weak Scalability'!$G$7</c:f>
              <c:strCache>
                <c:ptCount val="1"/>
                <c:pt idx="0">
                  <c:v>gh_inc+annex_dofs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('SKL Weak Scalability'!$D$7,'SKL Weak Scalability'!$D$12,'SKL Weak Scalability'!$D$17)</c:f>
              <c:numCache>
                <c:formatCode>General</c:formatCode>
                <c:ptCount val="3"/>
                <c:pt idx="0">
                  <c:v>192</c:v>
                </c:pt>
                <c:pt idx="1">
                  <c:v>768</c:v>
                </c:pt>
                <c:pt idx="2">
                  <c:v>3072</c:v>
                </c:pt>
              </c:numCache>
            </c:numRef>
          </c:xVal>
          <c:yVal>
            <c:numRef>
              <c:f>('SKL Weak Scalability'!$Q$7,'SKL Weak Scalability'!$Q$12,'SKL Weak Scalability'!$Q$17)</c:f>
              <c:numCache>
                <c:formatCode>0.00</c:formatCode>
                <c:ptCount val="3"/>
                <c:pt idx="0">
                  <c:v>1</c:v>
                </c:pt>
                <c:pt idx="1">
                  <c:v>0.65989468750621461</c:v>
                </c:pt>
                <c:pt idx="2">
                  <c:v>0.36496461851816564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D31-482E-98EC-C6E83ED8D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264608"/>
        <c:axId val="498259688"/>
      </c:scatterChart>
      <c:valAx>
        <c:axId val="49826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MPI Ranks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259688"/>
        <c:crosses val="autoZero"/>
        <c:crossBetween val="midCat"/>
      </c:valAx>
      <c:valAx>
        <c:axId val="49825968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264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Optimized Weak scalability (</a:t>
            </a:r>
            <a:r>
              <a:rPr lang="en-GB" sz="1400" b="0" i="0" u="none" strike="noStrike" baseline="0">
                <a:effectLst/>
              </a:rPr>
              <a:t>iter_alg_step</a:t>
            </a:r>
            <a:r>
              <a:rPr lang="en-US"/>
              <a:t>)</a:t>
            </a:r>
          </a:p>
          <a:p>
            <a:pPr>
              <a:defRPr/>
            </a:pPr>
            <a:r>
              <a:rPr lang="en-US"/>
              <a:t>Normalized by Helmholtz iterations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Sheet1!$U$11</c:f>
              <c:strCache>
                <c:ptCount val="1"/>
                <c:pt idx="0">
                  <c:v>Outside MPI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Sheet1!$S$12:$S$16</c:f>
              <c:numCache>
                <c:formatCode>General</c:formatCode>
                <c:ptCount val="5"/>
                <c:pt idx="0">
                  <c:v>96</c:v>
                </c:pt>
                <c:pt idx="1">
                  <c:v>192</c:v>
                </c:pt>
                <c:pt idx="2">
                  <c:v>384</c:v>
                </c:pt>
                <c:pt idx="3">
                  <c:v>768</c:v>
                </c:pt>
                <c:pt idx="4">
                  <c:v>1536</c:v>
                </c:pt>
              </c:numCache>
            </c:numRef>
          </c:cat>
          <c:val>
            <c:numRef>
              <c:f>Sheet1!$U$12:$U$16</c:f>
              <c:numCache>
                <c:formatCode>General</c:formatCode>
                <c:ptCount val="5"/>
                <c:pt idx="0">
                  <c:v>5.2016999999999998</c:v>
                </c:pt>
                <c:pt idx="1">
                  <c:v>4.0664564330737853</c:v>
                </c:pt>
                <c:pt idx="2">
                  <c:v>3.6639414072717762</c:v>
                </c:pt>
                <c:pt idx="3">
                  <c:v>3.4318420801695217</c:v>
                </c:pt>
                <c:pt idx="4">
                  <c:v>3.3685030404196974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92-4CCF-96BD-734996784E23}"/>
            </c:ext>
          </c:extLst>
        </c:ser>
        <c:ser>
          <c:idx val="1"/>
          <c:order val="1"/>
          <c:tx>
            <c:strRef>
              <c:f>Sheet1!$V$11</c:f>
              <c:strCache>
                <c:ptCount val="1"/>
                <c:pt idx="0">
                  <c:v>Halo 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Sheet1!$S$12:$S$16</c:f>
              <c:numCache>
                <c:formatCode>General</c:formatCode>
                <c:ptCount val="5"/>
                <c:pt idx="0">
                  <c:v>96</c:v>
                </c:pt>
                <c:pt idx="1">
                  <c:v>192</c:v>
                </c:pt>
                <c:pt idx="2">
                  <c:v>384</c:v>
                </c:pt>
                <c:pt idx="3">
                  <c:v>768</c:v>
                </c:pt>
                <c:pt idx="4">
                  <c:v>1536</c:v>
                </c:pt>
              </c:numCache>
            </c:numRef>
          </c:cat>
          <c:val>
            <c:numRef>
              <c:f>Sheet1!$V$12:$V$16</c:f>
              <c:numCache>
                <c:formatCode>General</c:formatCode>
                <c:ptCount val="5"/>
                <c:pt idx="0">
                  <c:v>0.50330000000000008</c:v>
                </c:pt>
                <c:pt idx="1">
                  <c:v>0.50706748238783839</c:v>
                </c:pt>
                <c:pt idx="2">
                  <c:v>0.27707157729531784</c:v>
                </c:pt>
                <c:pt idx="3">
                  <c:v>0.22272544587674378</c:v>
                </c:pt>
                <c:pt idx="4">
                  <c:v>0.63883569810420893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92-4CCF-96BD-734996784E23}"/>
            </c:ext>
          </c:extLst>
        </c:ser>
        <c:ser>
          <c:idx val="2"/>
          <c:order val="2"/>
          <c:tx>
            <c:strRef>
              <c:f>Sheet1!$W$11</c:f>
              <c:strCache>
                <c:ptCount val="1"/>
                <c:pt idx="0">
                  <c:v>Global sum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Sheet1!$S$12:$S$16</c:f>
              <c:numCache>
                <c:formatCode>General</c:formatCode>
                <c:ptCount val="5"/>
                <c:pt idx="0">
                  <c:v>96</c:v>
                </c:pt>
                <c:pt idx="1">
                  <c:v>192</c:v>
                </c:pt>
                <c:pt idx="2">
                  <c:v>384</c:v>
                </c:pt>
                <c:pt idx="3">
                  <c:v>768</c:v>
                </c:pt>
                <c:pt idx="4">
                  <c:v>1536</c:v>
                </c:pt>
              </c:numCache>
            </c:numRef>
          </c:cat>
          <c:val>
            <c:numRef>
              <c:f>Sheet1!$W$12:$W$16</c:f>
              <c:numCache>
                <c:formatCode>General</c:formatCode>
                <c:ptCount val="5"/>
                <c:pt idx="0">
                  <c:v>1.2943</c:v>
                </c:pt>
                <c:pt idx="1">
                  <c:v>2.0362031887282166</c:v>
                </c:pt>
                <c:pt idx="2">
                  <c:v>3.5206671200627779</c:v>
                </c:pt>
                <c:pt idx="3">
                  <c:v>4.8455535935016769</c:v>
                </c:pt>
                <c:pt idx="4">
                  <c:v>6.6200810778585915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92-4CCF-96BD-734996784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033776"/>
        <c:axId val="444034432"/>
      </c:areaChart>
      <c:catAx>
        <c:axId val="44403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034432"/>
        <c:crosses val="autoZero"/>
        <c:auto val="1"/>
        <c:lblAlgn val="ctr"/>
        <c:lblOffset val="100"/>
        <c:noMultiLvlLbl val="0"/>
      </c:catAx>
      <c:valAx>
        <c:axId val="44403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(normalized)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033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Optimized Weak scalability (iter_alg_step)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Sheet1!$U$11</c:f>
              <c:strCache>
                <c:ptCount val="1"/>
                <c:pt idx="0">
                  <c:v>Outside MPI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Sheet1!$S$12:$S$16</c:f>
              <c:numCache>
                <c:formatCode>General</c:formatCode>
                <c:ptCount val="5"/>
                <c:pt idx="0">
                  <c:v>96</c:v>
                </c:pt>
                <c:pt idx="1">
                  <c:v>192</c:v>
                </c:pt>
                <c:pt idx="2">
                  <c:v>384</c:v>
                </c:pt>
                <c:pt idx="3">
                  <c:v>768</c:v>
                </c:pt>
                <c:pt idx="4">
                  <c:v>1536</c:v>
                </c:pt>
              </c:numCache>
            </c:numRef>
          </c:cat>
          <c:val>
            <c:numRef>
              <c:f>Sheet1!$O$11:$O$15</c:f>
              <c:numCache>
                <c:formatCode>General</c:formatCode>
                <c:ptCount val="5"/>
                <c:pt idx="0">
                  <c:v>5.2016999999999998</c:v>
                </c:pt>
                <c:pt idx="1">
                  <c:v>6.1509999999999998</c:v>
                </c:pt>
                <c:pt idx="2">
                  <c:v>7.8559999999999999</c:v>
                </c:pt>
                <c:pt idx="3">
                  <c:v>10.899900000000001</c:v>
                </c:pt>
                <c:pt idx="4">
                  <c:v>15.845000000000001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54-4E7E-81A6-10C38DD57E3E}"/>
            </c:ext>
          </c:extLst>
        </c:ser>
        <c:ser>
          <c:idx val="1"/>
          <c:order val="1"/>
          <c:tx>
            <c:strRef>
              <c:f>Sheet1!$V$11</c:f>
              <c:strCache>
                <c:ptCount val="1"/>
                <c:pt idx="0">
                  <c:v>Halo Ex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Sheet1!$S$12:$S$16</c:f>
              <c:numCache>
                <c:formatCode>General</c:formatCode>
                <c:ptCount val="5"/>
                <c:pt idx="0">
                  <c:v>96</c:v>
                </c:pt>
                <c:pt idx="1">
                  <c:v>192</c:v>
                </c:pt>
                <c:pt idx="2">
                  <c:v>384</c:v>
                </c:pt>
                <c:pt idx="3">
                  <c:v>768</c:v>
                </c:pt>
                <c:pt idx="4">
                  <c:v>1536</c:v>
                </c:pt>
              </c:numCache>
            </c:numRef>
          </c:cat>
          <c:val>
            <c:numRef>
              <c:f>Sheet1!$P$11:$P$15</c:f>
              <c:numCache>
                <c:formatCode>General</c:formatCode>
                <c:ptCount val="5"/>
                <c:pt idx="0">
                  <c:v>0.50330000000000008</c:v>
                </c:pt>
                <c:pt idx="1">
                  <c:v>0.76700000000000002</c:v>
                </c:pt>
                <c:pt idx="2">
                  <c:v>0.59408000000000005</c:v>
                </c:pt>
                <c:pt idx="3">
                  <c:v>0.70740000000000003</c:v>
                </c:pt>
                <c:pt idx="4">
                  <c:v>3.0049999999999999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54-4E7E-81A6-10C38DD57E3E}"/>
            </c:ext>
          </c:extLst>
        </c:ser>
        <c:ser>
          <c:idx val="2"/>
          <c:order val="2"/>
          <c:tx>
            <c:strRef>
              <c:f>Sheet1!$W$11</c:f>
              <c:strCache>
                <c:ptCount val="1"/>
                <c:pt idx="0">
                  <c:v>Global sum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Sheet1!$S$12:$S$16</c:f>
              <c:numCache>
                <c:formatCode>General</c:formatCode>
                <c:ptCount val="5"/>
                <c:pt idx="0">
                  <c:v>96</c:v>
                </c:pt>
                <c:pt idx="1">
                  <c:v>192</c:v>
                </c:pt>
                <c:pt idx="2">
                  <c:v>384</c:v>
                </c:pt>
                <c:pt idx="3">
                  <c:v>768</c:v>
                </c:pt>
                <c:pt idx="4">
                  <c:v>1536</c:v>
                </c:pt>
              </c:numCache>
            </c:numRef>
          </c:cat>
          <c:val>
            <c:numRef>
              <c:f>Sheet1!$Q$11:$Q$15</c:f>
              <c:numCache>
                <c:formatCode>General</c:formatCode>
                <c:ptCount val="5"/>
                <c:pt idx="0">
                  <c:v>1.2943</c:v>
                </c:pt>
                <c:pt idx="1">
                  <c:v>3.08</c:v>
                </c:pt>
                <c:pt idx="2">
                  <c:v>7.5488</c:v>
                </c:pt>
                <c:pt idx="3">
                  <c:v>15.389999999999999</c:v>
                </c:pt>
                <c:pt idx="4">
                  <c:v>31.14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54-4E7E-81A6-10C38DD57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033776"/>
        <c:axId val="444034432"/>
      </c:areaChart>
      <c:catAx>
        <c:axId val="44403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034432"/>
        <c:crosses val="autoZero"/>
        <c:auto val="1"/>
        <c:lblAlgn val="ctr"/>
        <c:lblOffset val="100"/>
        <c:noMultiLvlLbl val="0"/>
      </c:catAx>
      <c:valAx>
        <c:axId val="444034432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033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Original Weak scalability (iter_alg_step)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Sheet1!$U$11</c:f>
              <c:strCache>
                <c:ptCount val="1"/>
                <c:pt idx="0">
                  <c:v>Outside MPI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Sheet1!$S$12:$S$16</c:f>
              <c:numCache>
                <c:formatCode>General</c:formatCode>
                <c:ptCount val="5"/>
                <c:pt idx="0">
                  <c:v>96</c:v>
                </c:pt>
                <c:pt idx="1">
                  <c:v>192</c:v>
                </c:pt>
                <c:pt idx="2">
                  <c:v>384</c:v>
                </c:pt>
                <c:pt idx="3">
                  <c:v>768</c:v>
                </c:pt>
                <c:pt idx="4">
                  <c:v>1536</c:v>
                </c:pt>
              </c:numCache>
            </c:numRef>
          </c:cat>
          <c:val>
            <c:numRef>
              <c:f>Sheet1!$O$4:$O$8</c:f>
              <c:numCache>
                <c:formatCode>General</c:formatCode>
                <c:ptCount val="5"/>
                <c:pt idx="0">
                  <c:v>2.5954999999999999</c:v>
                </c:pt>
                <c:pt idx="1">
                  <c:v>6.1404000000000005</c:v>
                </c:pt>
                <c:pt idx="2">
                  <c:v>8.109</c:v>
                </c:pt>
                <c:pt idx="3">
                  <c:v>11.635199999999999</c:v>
                </c:pt>
                <c:pt idx="4">
                  <c:v>17.233900000000002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71-49D2-982C-A9479E674557}"/>
            </c:ext>
          </c:extLst>
        </c:ser>
        <c:ser>
          <c:idx val="1"/>
          <c:order val="1"/>
          <c:tx>
            <c:strRef>
              <c:f>Sheet1!$V$11</c:f>
              <c:strCache>
                <c:ptCount val="1"/>
                <c:pt idx="0">
                  <c:v>Halo Ex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Sheet1!$S$12:$S$16</c:f>
              <c:numCache>
                <c:formatCode>General</c:formatCode>
                <c:ptCount val="5"/>
                <c:pt idx="0">
                  <c:v>96</c:v>
                </c:pt>
                <c:pt idx="1">
                  <c:v>192</c:v>
                </c:pt>
                <c:pt idx="2">
                  <c:v>384</c:v>
                </c:pt>
                <c:pt idx="3">
                  <c:v>768</c:v>
                </c:pt>
                <c:pt idx="4">
                  <c:v>1536</c:v>
                </c:pt>
              </c:numCache>
            </c:numRef>
          </c:cat>
          <c:val>
            <c:numRef>
              <c:f>Sheet1!$P$4:$P$8</c:f>
              <c:numCache>
                <c:formatCode>General</c:formatCode>
                <c:ptCount val="5"/>
                <c:pt idx="0">
                  <c:v>1.5010000000000001</c:v>
                </c:pt>
                <c:pt idx="1">
                  <c:v>3.4043999999999999</c:v>
                </c:pt>
                <c:pt idx="2">
                  <c:v>3.0275999999999996</c:v>
                </c:pt>
                <c:pt idx="3">
                  <c:v>5.5519999999999996</c:v>
                </c:pt>
                <c:pt idx="4">
                  <c:v>11.446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71-49D2-982C-A9479E674557}"/>
            </c:ext>
          </c:extLst>
        </c:ser>
        <c:ser>
          <c:idx val="2"/>
          <c:order val="2"/>
          <c:tx>
            <c:strRef>
              <c:f>Sheet1!$W$11</c:f>
              <c:strCache>
                <c:ptCount val="1"/>
                <c:pt idx="0">
                  <c:v>Global sum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Sheet1!$S$12:$S$16</c:f>
              <c:numCache>
                <c:formatCode>General</c:formatCode>
                <c:ptCount val="5"/>
                <c:pt idx="0">
                  <c:v>96</c:v>
                </c:pt>
                <c:pt idx="1">
                  <c:v>192</c:v>
                </c:pt>
                <c:pt idx="2">
                  <c:v>384</c:v>
                </c:pt>
                <c:pt idx="3">
                  <c:v>768</c:v>
                </c:pt>
                <c:pt idx="4">
                  <c:v>1536</c:v>
                </c:pt>
              </c:numCache>
            </c:numRef>
          </c:cat>
          <c:val>
            <c:numRef>
              <c:f>Sheet1!$Q$4:$Q$8</c:f>
              <c:numCache>
                <c:formatCode>General</c:formatCode>
                <c:ptCount val="5"/>
                <c:pt idx="0">
                  <c:v>0.90249999999999997</c:v>
                </c:pt>
                <c:pt idx="1">
                  <c:v>2.4539999999999997</c:v>
                </c:pt>
                <c:pt idx="2">
                  <c:v>6.8615999999999993</c:v>
                </c:pt>
                <c:pt idx="3">
                  <c:v>14.8096</c:v>
                </c:pt>
                <c:pt idx="4">
                  <c:v>30.308300000000003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71-49D2-982C-A9479E674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033776"/>
        <c:axId val="444034432"/>
      </c:areaChart>
      <c:catAx>
        <c:axId val="44403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034432"/>
        <c:crosses val="autoZero"/>
        <c:auto val="1"/>
        <c:lblAlgn val="ctr"/>
        <c:lblOffset val="100"/>
        <c:noMultiLvlLbl val="0"/>
      </c:catAx>
      <c:valAx>
        <c:axId val="44403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033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Affinities!$G$3</c:f>
              <c:strCache>
                <c:ptCount val="1"/>
                <c:pt idx="0">
                  <c:v>default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Affinities!$B$4:$B$7</c:f>
              <c:numCache>
                <c:formatCode>General</c:formatCode>
                <c:ptCount val="4"/>
                <c:pt idx="0">
                  <c:v>1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</c:numCache>
            </c:numRef>
          </c:xVal>
          <c:yVal>
            <c:numRef>
              <c:f>Affinities!$G$4:$G$7</c:f>
              <c:numCache>
                <c:formatCode>General</c:formatCode>
                <c:ptCount val="4"/>
                <c:pt idx="0">
                  <c:v>1</c:v>
                </c:pt>
                <c:pt idx="1">
                  <c:v>8.7894736842105257</c:v>
                </c:pt>
                <c:pt idx="2">
                  <c:v>9.2777777777777786</c:v>
                </c:pt>
                <c:pt idx="3">
                  <c:v>9.9701492537313428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92-43D4-B489-809CD99CAD43}"/>
            </c:ext>
          </c:extLst>
        </c:ser>
        <c:ser>
          <c:idx val="1"/>
          <c:order val="1"/>
          <c:tx>
            <c:strRef>
              <c:f>Affinities!$H$3</c:f>
              <c:strCache>
                <c:ptCount val="1"/>
                <c:pt idx="0">
                  <c:v>core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Affinities!$B$4:$B$7</c:f>
              <c:numCache>
                <c:formatCode>General</c:formatCode>
                <c:ptCount val="4"/>
                <c:pt idx="0">
                  <c:v>1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</c:numCache>
            </c:numRef>
          </c:xVal>
          <c:yVal>
            <c:numRef>
              <c:f>Affinities!$H$4:$H$7</c:f>
              <c:numCache>
                <c:formatCode>General</c:formatCode>
                <c:ptCount val="4"/>
                <c:pt idx="0">
                  <c:v>1</c:v>
                </c:pt>
                <c:pt idx="1">
                  <c:v>9.8235294117647065</c:v>
                </c:pt>
                <c:pt idx="2">
                  <c:v>13.012987012987013</c:v>
                </c:pt>
                <c:pt idx="3">
                  <c:v>15.181818181818182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92-43D4-B489-809CD99CAD43}"/>
            </c:ext>
          </c:extLst>
        </c:ser>
        <c:ser>
          <c:idx val="2"/>
          <c:order val="2"/>
          <c:tx>
            <c:v>"Ideal"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Affinities!$B$4:$B$7</c:f>
              <c:numCache>
                <c:formatCode>General</c:formatCode>
                <c:ptCount val="4"/>
                <c:pt idx="0">
                  <c:v>1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</c:numCache>
            </c:numRef>
          </c:xVal>
          <c:yVal>
            <c:numRef>
              <c:f>Affinities!$B$4:$B$7</c:f>
              <c:numCache>
                <c:formatCode>General</c:formatCode>
                <c:ptCount val="4"/>
                <c:pt idx="0">
                  <c:v>1</c:v>
                </c:pt>
                <c:pt idx="1">
                  <c:v>16</c:v>
                </c:pt>
                <c:pt idx="2">
                  <c:v>24</c:v>
                </c:pt>
                <c:pt idx="3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92-43D4-B489-809CD99CAD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810792"/>
        <c:axId val="224813088"/>
      </c:scatterChart>
      <c:valAx>
        <c:axId val="224810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813088"/>
        <c:crosses val="autoZero"/>
        <c:crossBetween val="midCat"/>
      </c:valAx>
      <c:valAx>
        <c:axId val="22481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810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720725</xdr:colOff>
      <xdr:row>13</xdr:row>
      <xdr:rowOff>3174</xdr:rowOff>
    </xdr:from>
    <xdr:to>
      <xdr:col>9</xdr:col>
      <xdr:colOff>158751</xdr:colOff>
      <xdr:row>32</xdr:row>
      <xdr:rowOff>177799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365125</xdr:colOff>
      <xdr:row>20</xdr:row>
      <xdr:rowOff>180975</xdr:rowOff>
    </xdr:from>
    <xdr:to>
      <xdr:col>6</xdr:col>
      <xdr:colOff>1108075</xdr:colOff>
      <xdr:row>35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79375</xdr:colOff>
      <xdr:row>21</xdr:row>
      <xdr:rowOff>114300</xdr:rowOff>
    </xdr:from>
    <xdr:to>
      <xdr:col>21</xdr:col>
      <xdr:colOff>384175</xdr:colOff>
      <xdr:row>39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615950</xdr:colOff>
      <xdr:row>21</xdr:row>
      <xdr:rowOff>88900</xdr:rowOff>
    </xdr:from>
    <xdr:to>
      <xdr:col>13</xdr:col>
      <xdr:colOff>412750</xdr:colOff>
      <xdr:row>39</xdr:row>
      <xdr:rowOff>63500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12700</xdr:colOff>
      <xdr:row>21</xdr:row>
      <xdr:rowOff>95250</xdr:rowOff>
    </xdr:from>
    <xdr:to>
      <xdr:col>7</xdr:col>
      <xdr:colOff>330200</xdr:colOff>
      <xdr:row>39</xdr:row>
      <xdr:rowOff>69850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193675</xdr:colOff>
      <xdr:row>1</xdr:row>
      <xdr:rowOff>180975</xdr:rowOff>
    </xdr:from>
    <xdr:to>
      <xdr:col>17</xdr:col>
      <xdr:colOff>498475</xdr:colOff>
      <xdr:row>16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N23" sqref="N23"/>
    </sheetView>
  </sheetViews>
  <sheetFormatPr defaultRowHeight="14.5" x14ac:dyDescent="0.35"/>
  <cols>
    <col min="1" max="1" width="14.08984375" customWidth="1"/>
    <col min="2" max="2" width="13" customWidth="1"/>
  </cols>
  <sheetData>
    <row r="1" spans="1:15" x14ac:dyDescent="0.35">
      <c r="A1" t="s">
        <v>10</v>
      </c>
      <c r="B1" s="9" t="s">
        <v>9</v>
      </c>
      <c r="C1" s="9"/>
      <c r="D1" s="9"/>
      <c r="E1" s="9"/>
      <c r="F1" s="9"/>
      <c r="G1" s="9"/>
      <c r="H1" s="9"/>
      <c r="I1" s="9"/>
      <c r="J1" s="9"/>
    </row>
    <row r="2" spans="1:15" x14ac:dyDescent="0.35">
      <c r="A2" t="s">
        <v>12</v>
      </c>
      <c r="B2" t="s">
        <v>11</v>
      </c>
      <c r="C2" t="s">
        <v>13</v>
      </c>
      <c r="E2" s="9" t="str">
        <f>"-O3 -xHost"</f>
        <v>-O3 -xHost</v>
      </c>
      <c r="F2" s="9"/>
    </row>
    <row r="3" spans="1:15" x14ac:dyDescent="0.35">
      <c r="B3" t="s">
        <v>6</v>
      </c>
      <c r="C3" t="s">
        <v>0</v>
      </c>
      <c r="D3" t="s">
        <v>2</v>
      </c>
      <c r="E3" t="s">
        <v>3</v>
      </c>
      <c r="F3" t="s">
        <v>20</v>
      </c>
      <c r="G3" t="s">
        <v>28</v>
      </c>
      <c r="H3" t="s">
        <v>32</v>
      </c>
      <c r="I3" t="s">
        <v>21</v>
      </c>
      <c r="J3" t="s">
        <v>22</v>
      </c>
      <c r="K3" t="s">
        <v>23</v>
      </c>
      <c r="L3" t="s">
        <v>24</v>
      </c>
      <c r="M3" t="s">
        <v>27</v>
      </c>
      <c r="N3" t="s">
        <v>29</v>
      </c>
      <c r="O3" t="s">
        <v>32</v>
      </c>
    </row>
    <row r="4" spans="1:15" x14ac:dyDescent="0.35">
      <c r="A4" s="8" t="s">
        <v>7</v>
      </c>
      <c r="B4">
        <v>1</v>
      </c>
      <c r="C4">
        <v>64</v>
      </c>
      <c r="D4">
        <v>311</v>
      </c>
      <c r="E4">
        <v>2004</v>
      </c>
      <c r="F4">
        <v>2004</v>
      </c>
      <c r="G4">
        <v>200</v>
      </c>
      <c r="H4">
        <v>200</v>
      </c>
      <c r="I4">
        <v>2400</v>
      </c>
      <c r="J4">
        <f t="shared" ref="J4:J10" si="0">$C$4/C4</f>
        <v>1</v>
      </c>
      <c r="K4">
        <f t="shared" ref="K4:K10" si="1">$D$4/D4</f>
        <v>1</v>
      </c>
      <c r="L4">
        <f t="shared" ref="L4:L10" si="2">$E$4/E4</f>
        <v>1</v>
      </c>
      <c r="M4">
        <f t="shared" ref="M4:M10" si="3">$F$4/F4</f>
        <v>1</v>
      </c>
      <c r="N4">
        <f>$G$4/G4</f>
        <v>1</v>
      </c>
      <c r="O4">
        <f>$H$4/H4</f>
        <v>1</v>
      </c>
    </row>
    <row r="5" spans="1:15" x14ac:dyDescent="0.35">
      <c r="A5" s="8"/>
      <c r="B5">
        <v>2</v>
      </c>
      <c r="C5">
        <v>35</v>
      </c>
      <c r="D5">
        <v>159</v>
      </c>
      <c r="E5">
        <v>1068</v>
      </c>
      <c r="F5">
        <v>1068</v>
      </c>
      <c r="G5">
        <v>172</v>
      </c>
      <c r="J5">
        <f t="shared" si="0"/>
        <v>1.8285714285714285</v>
      </c>
      <c r="K5">
        <f t="shared" si="1"/>
        <v>1.9559748427672956</v>
      </c>
      <c r="L5">
        <f t="shared" si="2"/>
        <v>1.8764044943820224</v>
      </c>
      <c r="M5">
        <f t="shared" si="3"/>
        <v>1.8764044943820224</v>
      </c>
      <c r="N5">
        <f>$G$4/G5</f>
        <v>1.1627906976744187</v>
      </c>
    </row>
    <row r="6" spans="1:15" x14ac:dyDescent="0.35">
      <c r="A6" s="8"/>
      <c r="B6">
        <v>4</v>
      </c>
      <c r="C6">
        <v>24</v>
      </c>
      <c r="D6">
        <v>90</v>
      </c>
      <c r="E6">
        <v>616</v>
      </c>
      <c r="F6">
        <v>616</v>
      </c>
      <c r="G6">
        <v>90</v>
      </c>
      <c r="I6">
        <v>604</v>
      </c>
      <c r="J6">
        <f t="shared" si="0"/>
        <v>2.6666666666666665</v>
      </c>
      <c r="K6">
        <f t="shared" si="1"/>
        <v>3.4555555555555557</v>
      </c>
      <c r="L6">
        <f t="shared" si="2"/>
        <v>3.2532467532467533</v>
      </c>
      <c r="M6">
        <f t="shared" si="3"/>
        <v>3.2532467532467533</v>
      </c>
      <c r="N6">
        <f>$G$4/G6</f>
        <v>2.2222222222222223</v>
      </c>
    </row>
    <row r="7" spans="1:15" x14ac:dyDescent="0.35">
      <c r="A7" s="8"/>
      <c r="B7">
        <v>8</v>
      </c>
      <c r="C7">
        <v>19</v>
      </c>
      <c r="D7">
        <v>59</v>
      </c>
      <c r="E7">
        <v>334</v>
      </c>
      <c r="F7">
        <v>334</v>
      </c>
      <c r="I7">
        <v>342</v>
      </c>
      <c r="J7">
        <f t="shared" si="0"/>
        <v>3.3684210526315788</v>
      </c>
      <c r="K7">
        <f t="shared" si="1"/>
        <v>5.2711864406779663</v>
      </c>
      <c r="L7">
        <f t="shared" si="2"/>
        <v>6</v>
      </c>
      <c r="M7">
        <f t="shared" si="3"/>
        <v>6</v>
      </c>
    </row>
    <row r="8" spans="1:15" x14ac:dyDescent="0.35">
      <c r="A8" s="8"/>
      <c r="B8">
        <v>16</v>
      </c>
      <c r="C8">
        <v>19</v>
      </c>
      <c r="D8">
        <v>46</v>
      </c>
      <c r="E8">
        <v>228</v>
      </c>
      <c r="F8">
        <v>204</v>
      </c>
      <c r="G8">
        <v>27</v>
      </c>
      <c r="H8">
        <v>18</v>
      </c>
      <c r="I8">
        <v>236</v>
      </c>
      <c r="J8">
        <f t="shared" si="0"/>
        <v>3.3684210526315788</v>
      </c>
      <c r="K8">
        <f t="shared" si="1"/>
        <v>6.7608695652173916</v>
      </c>
      <c r="L8">
        <f t="shared" si="2"/>
        <v>8.7894736842105257</v>
      </c>
      <c r="M8">
        <f t="shared" si="3"/>
        <v>9.8235294117647065</v>
      </c>
      <c r="N8">
        <f>$G$4/G8</f>
        <v>7.4074074074074074</v>
      </c>
      <c r="O8">
        <f t="shared" ref="O8:O10" si="4">$H$4/H8</f>
        <v>11.111111111111111</v>
      </c>
    </row>
    <row r="9" spans="1:15" x14ac:dyDescent="0.35">
      <c r="A9" s="8"/>
      <c r="B9">
        <v>24</v>
      </c>
      <c r="C9">
        <v>21</v>
      </c>
      <c r="D9">
        <v>48</v>
      </c>
      <c r="E9">
        <v>216</v>
      </c>
      <c r="F9">
        <v>154</v>
      </c>
      <c r="H9">
        <v>13</v>
      </c>
      <c r="I9">
        <v>165</v>
      </c>
      <c r="J9">
        <f t="shared" si="0"/>
        <v>3.0476190476190474</v>
      </c>
      <c r="K9">
        <f t="shared" si="1"/>
        <v>6.479166666666667</v>
      </c>
      <c r="L9">
        <f t="shared" si="2"/>
        <v>9.2777777777777786</v>
      </c>
      <c r="M9">
        <f t="shared" si="3"/>
        <v>13.012987012987013</v>
      </c>
      <c r="O9">
        <f t="shared" si="4"/>
        <v>15.384615384615385</v>
      </c>
    </row>
    <row r="10" spans="1:15" x14ac:dyDescent="0.35">
      <c r="A10" s="8"/>
      <c r="B10">
        <v>32</v>
      </c>
      <c r="C10">
        <v>23</v>
      </c>
      <c r="D10">
        <v>49</v>
      </c>
      <c r="E10">
        <v>201</v>
      </c>
      <c r="F10">
        <v>132</v>
      </c>
      <c r="G10">
        <v>15</v>
      </c>
      <c r="H10">
        <v>11</v>
      </c>
      <c r="I10">
        <v>129</v>
      </c>
      <c r="J10">
        <f t="shared" si="0"/>
        <v>2.7826086956521738</v>
      </c>
      <c r="K10">
        <f t="shared" si="1"/>
        <v>6.3469387755102042</v>
      </c>
      <c r="L10">
        <f t="shared" si="2"/>
        <v>9.9701492537313428</v>
      </c>
      <c r="M10">
        <f t="shared" si="3"/>
        <v>15.181818181818182</v>
      </c>
      <c r="N10">
        <f>$G$4/G10</f>
        <v>13.333333333333334</v>
      </c>
      <c r="O10">
        <f t="shared" si="4"/>
        <v>18.181818181818183</v>
      </c>
    </row>
    <row r="11" spans="1:15" x14ac:dyDescent="0.35">
      <c r="A11" s="1" t="s">
        <v>30</v>
      </c>
      <c r="C11">
        <v>3456</v>
      </c>
      <c r="D11">
        <v>13824</v>
      </c>
      <c r="E11">
        <v>55296</v>
      </c>
      <c r="F11">
        <v>55296</v>
      </c>
      <c r="G11">
        <v>55296</v>
      </c>
      <c r="I11">
        <v>345600</v>
      </c>
    </row>
    <row r="12" spans="1:15" x14ac:dyDescent="0.35">
      <c r="A12" s="1" t="s">
        <v>31</v>
      </c>
      <c r="C12">
        <f>C11/(C10/10)</f>
        <v>1502.608695652174</v>
      </c>
      <c r="D12">
        <f t="shared" ref="D12:F12" si="5">D11/(D10/10)</f>
        <v>2821.2244897959181</v>
      </c>
      <c r="E12">
        <f t="shared" si="5"/>
        <v>2751.0447761194027</v>
      </c>
      <c r="F12">
        <f t="shared" si="5"/>
        <v>4189.090909090909</v>
      </c>
      <c r="G12">
        <f>G11/(G10)</f>
        <v>3686.4</v>
      </c>
      <c r="I12">
        <f>I11/(I10)</f>
        <v>2679.0697674418607</v>
      </c>
    </row>
    <row r="13" spans="1:15" x14ac:dyDescent="0.35">
      <c r="A13" s="3"/>
    </row>
    <row r="14" spans="1:15" x14ac:dyDescent="0.35">
      <c r="A14" s="3"/>
    </row>
    <row r="15" spans="1:15" x14ac:dyDescent="0.35">
      <c r="A15" s="3"/>
    </row>
    <row r="16" spans="1:15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</sheetData>
  <mergeCells count="3">
    <mergeCell ref="A4:A10"/>
    <mergeCell ref="B1:J1"/>
    <mergeCell ref="E2:F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7"/>
  <sheetViews>
    <sheetView workbookViewId="0">
      <selection activeCell="I23" sqref="I23"/>
    </sheetView>
  </sheetViews>
  <sheetFormatPr defaultRowHeight="14.5" x14ac:dyDescent="0.35"/>
  <cols>
    <col min="2" max="2" width="15.1796875" customWidth="1"/>
    <col min="6" max="6" width="13.453125" customWidth="1"/>
    <col min="7" max="7" width="17" customWidth="1"/>
    <col min="8" max="8" width="17.1796875" customWidth="1"/>
    <col min="9" max="9" width="20.6328125" customWidth="1"/>
    <col min="10" max="10" width="15.6328125" customWidth="1"/>
    <col min="11" max="11" width="11.6328125" customWidth="1"/>
    <col min="12" max="12" width="11.26953125" customWidth="1"/>
    <col min="13" max="13" width="13.453125" customWidth="1"/>
    <col min="16" max="16" width="10.26953125" customWidth="1"/>
  </cols>
  <sheetData>
    <row r="3" spans="2:18" x14ac:dyDescent="0.35">
      <c r="B3" t="s">
        <v>33</v>
      </c>
      <c r="C3" t="s">
        <v>34</v>
      </c>
      <c r="D3" t="s">
        <v>35</v>
      </c>
      <c r="E3" t="s">
        <v>37</v>
      </c>
      <c r="F3" t="s">
        <v>40</v>
      </c>
      <c r="G3" t="s">
        <v>41</v>
      </c>
      <c r="H3" t="s">
        <v>39</v>
      </c>
      <c r="I3" t="s">
        <v>70</v>
      </c>
      <c r="J3" t="s">
        <v>38</v>
      </c>
      <c r="K3" t="s">
        <v>46</v>
      </c>
      <c r="L3" t="s">
        <v>47</v>
      </c>
      <c r="M3" t="s">
        <v>48</v>
      </c>
      <c r="N3" t="s">
        <v>36</v>
      </c>
      <c r="O3" t="s">
        <v>51</v>
      </c>
      <c r="P3" t="s">
        <v>49</v>
      </c>
      <c r="Q3" t="s">
        <v>50</v>
      </c>
    </row>
    <row r="4" spans="2:18" x14ac:dyDescent="0.35">
      <c r="B4">
        <v>96</v>
      </c>
      <c r="C4">
        <v>6</v>
      </c>
      <c r="D4">
        <v>192</v>
      </c>
      <c r="E4">
        <f>B4*B4*6</f>
        <v>55296</v>
      </c>
      <c r="F4">
        <f>E4/D4</f>
        <v>288</v>
      </c>
      <c r="G4" t="s">
        <v>42</v>
      </c>
      <c r="H4">
        <v>12</v>
      </c>
      <c r="I4" s="2">
        <f>$H$4/H4</f>
        <v>1</v>
      </c>
      <c r="J4" s="2">
        <f>$E$4/H4</f>
        <v>4608</v>
      </c>
      <c r="K4" s="2">
        <f>1698.4/D4</f>
        <v>8.8458333333333332</v>
      </c>
      <c r="L4">
        <v>2673</v>
      </c>
      <c r="M4">
        <f t="shared" ref="M4:M12" si="0">K4/L4</f>
        <v>3.3093278463648835E-3</v>
      </c>
      <c r="N4">
        <v>18396</v>
      </c>
      <c r="O4" s="2">
        <f>N4/$N$4</f>
        <v>1</v>
      </c>
      <c r="P4" s="2">
        <f>H4/H4</f>
        <v>1</v>
      </c>
      <c r="Q4" s="2">
        <f>M4/M4</f>
        <v>1</v>
      </c>
      <c r="R4" s="2"/>
    </row>
    <row r="5" spans="2:18" x14ac:dyDescent="0.35">
      <c r="D5">
        <v>192</v>
      </c>
      <c r="G5" t="s">
        <v>44</v>
      </c>
      <c r="H5">
        <v>11</v>
      </c>
      <c r="I5" s="2">
        <f t="shared" ref="I5:I7" si="1">$H$4/H5</f>
        <v>1.0909090909090908</v>
      </c>
      <c r="J5" s="2">
        <f t="shared" ref="J5:J7" si="2">$E$4/H5</f>
        <v>5026.909090909091</v>
      </c>
      <c r="K5" s="2">
        <f>1507.78/D5</f>
        <v>7.8530208333333329</v>
      </c>
      <c r="L5">
        <v>2702</v>
      </c>
      <c r="M5">
        <f t="shared" si="0"/>
        <v>2.9063733654083393E-3</v>
      </c>
      <c r="N5">
        <v>12811</v>
      </c>
      <c r="O5" s="2">
        <f t="shared" ref="O5:O7" si="3">N5/$N$4</f>
        <v>0.69640139160687109</v>
      </c>
      <c r="P5" s="2">
        <f t="shared" ref="P5:P7" si="4">H5/H5</f>
        <v>1</v>
      </c>
      <c r="Q5" s="2">
        <f t="shared" ref="Q5:Q7" si="5">M5/M5</f>
        <v>1</v>
      </c>
      <c r="R5" s="2"/>
    </row>
    <row r="6" spans="2:18" x14ac:dyDescent="0.35">
      <c r="D6">
        <v>192</v>
      </c>
      <c r="G6" t="s">
        <v>43</v>
      </c>
      <c r="H6">
        <v>11</v>
      </c>
      <c r="I6" s="2">
        <f t="shared" si="1"/>
        <v>1.0909090909090908</v>
      </c>
      <c r="J6" s="2">
        <f t="shared" si="2"/>
        <v>5026.909090909091</v>
      </c>
      <c r="K6" s="2">
        <f>1647.76/192</f>
        <v>8.5820833333333333</v>
      </c>
      <c r="L6">
        <v>2702</v>
      </c>
      <c r="M6">
        <f t="shared" si="0"/>
        <v>3.1761966444608931E-3</v>
      </c>
      <c r="N6">
        <v>18508</v>
      </c>
      <c r="O6" s="2">
        <f t="shared" si="3"/>
        <v>1.0060882800608828</v>
      </c>
      <c r="P6" s="2">
        <f t="shared" si="4"/>
        <v>1</v>
      </c>
      <c r="Q6" s="2">
        <f t="shared" si="5"/>
        <v>1</v>
      </c>
      <c r="R6" s="2"/>
    </row>
    <row r="7" spans="2:18" x14ac:dyDescent="0.35">
      <c r="D7">
        <v>192</v>
      </c>
      <c r="G7" t="s">
        <v>45</v>
      </c>
      <c r="H7">
        <v>10</v>
      </c>
      <c r="I7" s="2">
        <f t="shared" si="1"/>
        <v>1.2</v>
      </c>
      <c r="J7" s="2">
        <f t="shared" si="2"/>
        <v>5529.6</v>
      </c>
      <c r="K7" s="2">
        <f>1350.5/D7</f>
        <v>7.033854166666667</v>
      </c>
      <c r="L7">
        <v>2728</v>
      </c>
      <c r="M7">
        <f t="shared" si="0"/>
        <v>2.5783922898338224E-3</v>
      </c>
      <c r="N7">
        <v>6133</v>
      </c>
      <c r="O7" s="2">
        <f t="shared" si="3"/>
        <v>0.3333876929767341</v>
      </c>
      <c r="P7" s="2">
        <f t="shared" si="4"/>
        <v>1</v>
      </c>
      <c r="Q7" s="2">
        <f t="shared" si="5"/>
        <v>1</v>
      </c>
      <c r="R7" s="2"/>
    </row>
    <row r="8" spans="2:18" x14ac:dyDescent="0.35">
      <c r="I8" s="2"/>
      <c r="J8" s="2"/>
      <c r="K8" s="2"/>
      <c r="O8" s="2"/>
      <c r="P8" s="2"/>
      <c r="Q8" s="2"/>
      <c r="R8" s="2"/>
    </row>
    <row r="9" spans="2:18" x14ac:dyDescent="0.35">
      <c r="B9">
        <v>192</v>
      </c>
      <c r="C9">
        <v>24</v>
      </c>
      <c r="D9">
        <v>768</v>
      </c>
      <c r="E9">
        <f>B9*B9*6</f>
        <v>221184</v>
      </c>
      <c r="F9">
        <f t="shared" ref="F9:F14" si="6">E9/D9</f>
        <v>288</v>
      </c>
      <c r="G9" t="s">
        <v>42</v>
      </c>
      <c r="H9">
        <v>32</v>
      </c>
      <c r="I9" s="2">
        <f>$H$9/H9</f>
        <v>1</v>
      </c>
      <c r="J9" s="2">
        <f>$E$9/H9</f>
        <v>6912</v>
      </c>
      <c r="K9" s="2">
        <f>21042/D9</f>
        <v>27.3984375</v>
      </c>
      <c r="L9">
        <v>5641</v>
      </c>
      <c r="M9">
        <f t="shared" si="0"/>
        <v>4.8570178159900723E-3</v>
      </c>
      <c r="N9">
        <v>36204</v>
      </c>
      <c r="O9" s="2">
        <f>N9/$N$9</f>
        <v>1</v>
      </c>
      <c r="P9" s="2">
        <f>H4/H9</f>
        <v>0.375</v>
      </c>
      <c r="Q9" s="2">
        <f>M4/M9</f>
        <v>0.68134974417224736</v>
      </c>
      <c r="R9" s="2"/>
    </row>
    <row r="10" spans="2:18" x14ac:dyDescent="0.35">
      <c r="D10">
        <v>768</v>
      </c>
      <c r="G10" t="s">
        <v>44</v>
      </c>
      <c r="H10">
        <v>28</v>
      </c>
      <c r="I10" s="2">
        <f t="shared" ref="I10:I12" si="7">$H$9/H10</f>
        <v>1.1428571428571428</v>
      </c>
      <c r="J10" s="2">
        <f t="shared" ref="J10:J12" si="8">$E$9/H10</f>
        <v>7899.4285714285716</v>
      </c>
      <c r="K10" s="2">
        <f>18733.6/D9</f>
        <v>24.392708333333331</v>
      </c>
      <c r="L10">
        <v>5653</v>
      </c>
      <c r="M10">
        <f t="shared" si="0"/>
        <v>4.3150023586296356E-3</v>
      </c>
      <c r="N10">
        <v>24615</v>
      </c>
      <c r="O10" s="2">
        <f t="shared" ref="O10:O12" si="9">N10/$N$9</f>
        <v>0.67989724892277092</v>
      </c>
      <c r="P10" s="2">
        <f t="shared" ref="P10:P12" si="10">H5/H10</f>
        <v>0.39285714285714285</v>
      </c>
      <c r="Q10" s="2">
        <f t="shared" ref="Q10:Q12" si="11">M5/M10</f>
        <v>0.67355081732361999</v>
      </c>
      <c r="R10" s="2"/>
    </row>
    <row r="11" spans="2:18" x14ac:dyDescent="0.35">
      <c r="D11">
        <v>768</v>
      </c>
      <c r="G11" t="s">
        <v>43</v>
      </c>
      <c r="H11">
        <v>30</v>
      </c>
      <c r="I11" s="2">
        <f t="shared" si="7"/>
        <v>1.0666666666666667</v>
      </c>
      <c r="J11" s="2">
        <f t="shared" si="8"/>
        <v>7372.8</v>
      </c>
      <c r="K11" s="2">
        <f>20122.02/D11</f>
        <v>26.200546875000001</v>
      </c>
      <c r="L11">
        <v>5653</v>
      </c>
      <c r="M11">
        <f t="shared" si="0"/>
        <v>4.6348039757650806E-3</v>
      </c>
      <c r="N11">
        <v>36214</v>
      </c>
      <c r="O11" s="2">
        <f t="shared" si="9"/>
        <v>1.0002762125731963</v>
      </c>
      <c r="P11" s="2">
        <f t="shared" si="10"/>
        <v>0.36666666666666664</v>
      </c>
      <c r="Q11" s="2">
        <f t="shared" si="11"/>
        <v>0.6852925519760712</v>
      </c>
      <c r="R11" s="2"/>
    </row>
    <row r="12" spans="2:18" x14ac:dyDescent="0.35">
      <c r="D12">
        <v>768</v>
      </c>
      <c r="G12" t="s">
        <v>45</v>
      </c>
      <c r="H12">
        <v>25</v>
      </c>
      <c r="I12" s="2">
        <f t="shared" si="7"/>
        <v>1.28</v>
      </c>
      <c r="J12" s="2">
        <f t="shared" si="8"/>
        <v>8847.36</v>
      </c>
      <c r="K12" s="2">
        <f>16906.45/D12</f>
        <v>22.013606770833334</v>
      </c>
      <c r="L12">
        <v>5634</v>
      </c>
      <c r="M12">
        <f t="shared" si="0"/>
        <v>3.9072784470772694E-3</v>
      </c>
      <c r="N12">
        <v>11945</v>
      </c>
      <c r="O12" s="2">
        <f t="shared" si="9"/>
        <v>0.32993591868301847</v>
      </c>
      <c r="P12" s="2">
        <f t="shared" si="10"/>
        <v>0.4</v>
      </c>
      <c r="Q12" s="2">
        <f t="shared" si="11"/>
        <v>0.65989468750621461</v>
      </c>
      <c r="R12" s="2"/>
    </row>
    <row r="13" spans="2:18" x14ac:dyDescent="0.35">
      <c r="I13" s="2"/>
      <c r="J13" s="2"/>
      <c r="K13" s="2"/>
      <c r="O13" s="2"/>
      <c r="P13" s="2"/>
      <c r="Q13" s="2"/>
      <c r="R13" s="2"/>
    </row>
    <row r="14" spans="2:18" x14ac:dyDescent="0.35">
      <c r="B14">
        <v>384</v>
      </c>
      <c r="C14">
        <v>96</v>
      </c>
      <c r="D14">
        <v>3072</v>
      </c>
      <c r="E14">
        <f t="shared" ref="E14" si="12">B14*B14*6</f>
        <v>884736</v>
      </c>
      <c r="F14">
        <f t="shared" si="6"/>
        <v>288</v>
      </c>
      <c r="G14" t="s">
        <v>42</v>
      </c>
      <c r="H14">
        <v>284</v>
      </c>
      <c r="I14" s="2">
        <f>$H$14/H14</f>
        <v>1</v>
      </c>
      <c r="J14" s="2">
        <f>$E$14/H14</f>
        <v>3115.2676056338028</v>
      </c>
      <c r="K14" s="2">
        <f>844063.32/D14</f>
        <v>274.7601953125</v>
      </c>
      <c r="L14">
        <v>12835</v>
      </c>
      <c r="M14">
        <f>K14/L14</f>
        <v>2.1407105205492792E-2</v>
      </c>
      <c r="N14">
        <v>79449</v>
      </c>
      <c r="O14" s="2">
        <f>N14/$N$14</f>
        <v>1</v>
      </c>
      <c r="P14" s="2">
        <f>H4/H14</f>
        <v>4.2253521126760563E-2</v>
      </c>
      <c r="Q14" s="2">
        <f>M4/M14</f>
        <v>0.15459016128513031</v>
      </c>
      <c r="R14" s="2"/>
    </row>
    <row r="15" spans="2:18" x14ac:dyDescent="0.35">
      <c r="D15">
        <v>3072</v>
      </c>
      <c r="G15" t="s">
        <v>44</v>
      </c>
      <c r="H15">
        <v>105</v>
      </c>
      <c r="I15" s="2">
        <f t="shared" ref="I15:I16" si="13">$H$14/H15</f>
        <v>2.7047619047619049</v>
      </c>
      <c r="J15" s="2">
        <f t="shared" ref="J15:J16" si="14">$E$14/H15</f>
        <v>8426.057142857142</v>
      </c>
      <c r="K15" s="2">
        <f>303994.92/D15</f>
        <v>98.956679687499999</v>
      </c>
      <c r="L15">
        <v>12918</v>
      </c>
      <c r="M15">
        <f t="shared" ref="M15:M16" si="15">K15/L15</f>
        <v>7.6603715503560923E-3</v>
      </c>
      <c r="N15">
        <v>53735</v>
      </c>
      <c r="O15" s="2">
        <f t="shared" ref="O15:O17" si="16">N15/$N$14</f>
        <v>0.67634583191733066</v>
      </c>
      <c r="P15" s="2">
        <f t="shared" ref="P15:P17" si="17">H5/H15</f>
        <v>0.10476190476190476</v>
      </c>
      <c r="Q15" s="2">
        <f t="shared" ref="Q15:Q17" si="18">M5/M15</f>
        <v>0.37940370728796263</v>
      </c>
      <c r="R15" s="2"/>
    </row>
    <row r="16" spans="2:18" x14ac:dyDescent="0.35">
      <c r="D16">
        <v>3072</v>
      </c>
      <c r="G16" t="s">
        <v>43</v>
      </c>
      <c r="H16">
        <v>201</v>
      </c>
      <c r="I16" s="2">
        <f t="shared" si="13"/>
        <v>1.4129353233830846</v>
      </c>
      <c r="J16" s="2">
        <f t="shared" si="14"/>
        <v>4401.6716417910447</v>
      </c>
      <c r="K16" s="2">
        <f>592356.76/D16</f>
        <v>192.82446614583333</v>
      </c>
      <c r="L16">
        <v>12918</v>
      </c>
      <c r="M16">
        <f t="shared" si="15"/>
        <v>1.4926804934651906E-2</v>
      </c>
      <c r="N16">
        <v>79882</v>
      </c>
      <c r="O16" s="2">
        <f t="shared" si="16"/>
        <v>1.005450037130738</v>
      </c>
      <c r="P16" s="2">
        <f t="shared" si="17"/>
        <v>5.4726368159203981E-2</v>
      </c>
      <c r="Q16" s="2">
        <f t="shared" si="18"/>
        <v>0.21278476260431967</v>
      </c>
      <c r="R16" s="2"/>
    </row>
    <row r="17" spans="4:17" x14ac:dyDescent="0.35">
      <c r="D17">
        <v>3072</v>
      </c>
      <c r="G17" t="s">
        <v>45</v>
      </c>
      <c r="H17">
        <v>101</v>
      </c>
      <c r="I17" s="2">
        <f t="shared" ref="I17" si="19">$H$14/H17</f>
        <v>2.8118811881188117</v>
      </c>
      <c r="J17" s="2">
        <f t="shared" ref="J17" si="20">$E$14/H17</f>
        <v>8759.7623762376243</v>
      </c>
      <c r="K17" s="2">
        <f>283766.51/D17</f>
        <v>92.37191080729167</v>
      </c>
      <c r="L17">
        <v>13075</v>
      </c>
      <c r="M17">
        <f t="shared" ref="M17" si="21">K17/L17</f>
        <v>7.0647732931007016E-3</v>
      </c>
      <c r="N17">
        <v>26845</v>
      </c>
      <c r="O17" s="2">
        <f t="shared" si="16"/>
        <v>0.33788971541492024</v>
      </c>
      <c r="P17" s="2">
        <f t="shared" si="17"/>
        <v>9.9009900990099015E-2</v>
      </c>
      <c r="Q17" s="2">
        <f t="shared" si="18"/>
        <v>0.36496461851816564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1"/>
  <sheetViews>
    <sheetView tabSelected="1" workbookViewId="0">
      <selection activeCell="A2" sqref="A2:J14"/>
    </sheetView>
  </sheetViews>
  <sheetFormatPr defaultRowHeight="14.5" x14ac:dyDescent="0.35"/>
  <cols>
    <col min="1" max="1" width="6.90625" customWidth="1"/>
    <col min="2" max="2" width="7" customWidth="1"/>
    <col min="3" max="3" width="6.453125" customWidth="1"/>
    <col min="4" max="4" width="17.6328125" customWidth="1"/>
    <col min="5" max="5" width="9.6328125" customWidth="1"/>
    <col min="6" max="6" width="14.36328125" customWidth="1"/>
    <col min="7" max="7" width="12.81640625" customWidth="1"/>
    <col min="8" max="8" width="11.453125" customWidth="1"/>
    <col min="9" max="9" width="9.7265625" customWidth="1"/>
    <col min="10" max="10" width="13.54296875" customWidth="1"/>
    <col min="11" max="11" width="3.7265625" customWidth="1"/>
    <col min="12" max="12" width="13.26953125" customWidth="1"/>
    <col min="13" max="13" width="16.6328125" customWidth="1"/>
  </cols>
  <sheetData>
    <row r="2" spans="1:23" x14ac:dyDescent="0.35">
      <c r="E2" s="9" t="s">
        <v>58</v>
      </c>
      <c r="F2" s="9"/>
      <c r="G2" s="9"/>
      <c r="H2" s="9"/>
      <c r="I2" s="9"/>
      <c r="J2" s="9"/>
      <c r="K2" s="4"/>
      <c r="L2" s="4"/>
    </row>
    <row r="3" spans="1:23" x14ac:dyDescent="0.35">
      <c r="A3" t="s">
        <v>57</v>
      </c>
      <c r="B3" t="s">
        <v>52</v>
      </c>
      <c r="C3" t="s">
        <v>35</v>
      </c>
      <c r="D3" t="s">
        <v>53</v>
      </c>
      <c r="E3" t="s">
        <v>55</v>
      </c>
      <c r="F3" t="s">
        <v>54</v>
      </c>
      <c r="G3" t="s">
        <v>67</v>
      </c>
      <c r="H3" t="s">
        <v>62</v>
      </c>
      <c r="I3" t="s">
        <v>63</v>
      </c>
      <c r="J3" t="s">
        <v>64</v>
      </c>
      <c r="M3" t="s">
        <v>35</v>
      </c>
      <c r="N3" t="s">
        <v>55</v>
      </c>
    </row>
    <row r="4" spans="1:23" x14ac:dyDescent="0.35">
      <c r="A4">
        <v>56</v>
      </c>
      <c r="B4">
        <v>3</v>
      </c>
      <c r="C4">
        <f>B4*32</f>
        <v>96</v>
      </c>
      <c r="D4" t="s">
        <v>65</v>
      </c>
      <c r="E4">
        <v>5</v>
      </c>
      <c r="F4">
        <v>1415</v>
      </c>
      <c r="G4">
        <v>10818</v>
      </c>
      <c r="H4" s="6">
        <v>0.51910000000000001</v>
      </c>
      <c r="I4" s="6">
        <v>0.30020000000000002</v>
      </c>
      <c r="J4" s="6">
        <v>0.18049999999999999</v>
      </c>
      <c r="M4">
        <v>96</v>
      </c>
      <c r="N4">
        <v>5</v>
      </c>
      <c r="O4">
        <f>N4*H4</f>
        <v>2.5954999999999999</v>
      </c>
      <c r="P4">
        <f>N4*I4</f>
        <v>1.5010000000000001</v>
      </c>
      <c r="Q4">
        <f>N4*J4</f>
        <v>0.90249999999999997</v>
      </c>
    </row>
    <row r="5" spans="1:23" x14ac:dyDescent="0.35">
      <c r="A5">
        <v>96</v>
      </c>
      <c r="B5">
        <v>6</v>
      </c>
      <c r="C5">
        <f t="shared" ref="C5:C8" si="0">B5*32</f>
        <v>192</v>
      </c>
      <c r="D5" t="s">
        <v>65</v>
      </c>
      <c r="E5">
        <v>12</v>
      </c>
      <c r="F5">
        <v>2684</v>
      </c>
      <c r="G5">
        <v>18462</v>
      </c>
      <c r="H5" s="6">
        <v>0.51170000000000004</v>
      </c>
      <c r="I5" s="6">
        <v>0.28370000000000001</v>
      </c>
      <c r="J5" s="6">
        <v>0.20449999999999999</v>
      </c>
      <c r="M5">
        <v>192</v>
      </c>
      <c r="N5">
        <v>12</v>
      </c>
      <c r="O5">
        <f t="shared" ref="O5:O8" si="1">N5*H5</f>
        <v>6.1404000000000005</v>
      </c>
      <c r="P5">
        <f t="shared" ref="P5:P8" si="2">N5*I5</f>
        <v>3.4043999999999999</v>
      </c>
      <c r="Q5">
        <f t="shared" ref="Q5:Q8" si="3">N5*J5</f>
        <v>2.4539999999999997</v>
      </c>
    </row>
    <row r="6" spans="1:23" x14ac:dyDescent="0.35">
      <c r="A6">
        <v>136</v>
      </c>
      <c r="B6">
        <v>12</v>
      </c>
      <c r="C6">
        <f t="shared" si="0"/>
        <v>384</v>
      </c>
      <c r="D6" t="s">
        <v>65</v>
      </c>
      <c r="E6">
        <v>18</v>
      </c>
      <c r="F6">
        <v>3804</v>
      </c>
      <c r="G6">
        <v>25182</v>
      </c>
      <c r="H6" s="6">
        <v>0.45050000000000001</v>
      </c>
      <c r="I6" s="6">
        <v>0.16819999999999999</v>
      </c>
      <c r="J6" s="6">
        <v>0.38119999999999998</v>
      </c>
      <c r="M6">
        <v>384</v>
      </c>
      <c r="N6">
        <v>18</v>
      </c>
      <c r="O6">
        <f t="shared" si="1"/>
        <v>8.109</v>
      </c>
      <c r="P6">
        <f t="shared" si="2"/>
        <v>3.0275999999999996</v>
      </c>
      <c r="Q6">
        <f t="shared" si="3"/>
        <v>6.8615999999999993</v>
      </c>
    </row>
    <row r="7" spans="1:23" x14ac:dyDescent="0.35">
      <c r="A7">
        <v>192</v>
      </c>
      <c r="B7">
        <v>24</v>
      </c>
      <c r="C7">
        <f t="shared" si="0"/>
        <v>768</v>
      </c>
      <c r="D7" t="s">
        <v>65</v>
      </c>
      <c r="E7">
        <v>32</v>
      </c>
      <c r="F7">
        <v>5578</v>
      </c>
      <c r="G7">
        <v>35826</v>
      </c>
      <c r="H7" s="6">
        <v>0.36359999999999998</v>
      </c>
      <c r="I7" s="6">
        <v>0.17349999999999999</v>
      </c>
      <c r="J7" s="6">
        <v>0.46279999999999999</v>
      </c>
      <c r="M7">
        <v>768</v>
      </c>
      <c r="N7">
        <v>32</v>
      </c>
      <c r="O7">
        <f t="shared" si="1"/>
        <v>11.635199999999999</v>
      </c>
      <c r="P7">
        <f t="shared" si="2"/>
        <v>5.5519999999999996</v>
      </c>
      <c r="Q7">
        <f t="shared" si="3"/>
        <v>14.8096</v>
      </c>
    </row>
    <row r="8" spans="1:23" x14ac:dyDescent="0.35">
      <c r="A8">
        <v>272</v>
      </c>
      <c r="B8">
        <v>48</v>
      </c>
      <c r="C8">
        <f t="shared" si="0"/>
        <v>1536</v>
      </c>
      <c r="D8" t="s">
        <v>65</v>
      </c>
      <c r="E8">
        <v>59</v>
      </c>
      <c r="F8">
        <v>8456</v>
      </c>
      <c r="G8">
        <v>53094</v>
      </c>
      <c r="H8" s="6">
        <v>0.29210000000000003</v>
      </c>
      <c r="I8" s="6">
        <v>0.19400000000000001</v>
      </c>
      <c r="J8" s="6">
        <v>0.51370000000000005</v>
      </c>
      <c r="M8">
        <v>1536</v>
      </c>
      <c r="N8">
        <v>59</v>
      </c>
      <c r="O8">
        <f t="shared" si="1"/>
        <v>17.233900000000002</v>
      </c>
      <c r="P8">
        <f t="shared" si="2"/>
        <v>11.446</v>
      </c>
      <c r="Q8">
        <f t="shared" si="3"/>
        <v>30.308300000000003</v>
      </c>
    </row>
    <row r="9" spans="1:23" x14ac:dyDescent="0.35">
      <c r="H9" s="6"/>
      <c r="I9" s="6"/>
      <c r="J9" s="6"/>
    </row>
    <row r="10" spans="1:23" x14ac:dyDescent="0.35">
      <c r="A10">
        <v>56</v>
      </c>
      <c r="B10">
        <v>3</v>
      </c>
      <c r="C10">
        <f>B10*32</f>
        <v>96</v>
      </c>
      <c r="D10" t="s">
        <v>45</v>
      </c>
      <c r="E10">
        <v>7</v>
      </c>
      <c r="F10">
        <v>1783</v>
      </c>
      <c r="G10">
        <v>4243</v>
      </c>
      <c r="H10" s="7">
        <v>0.74309999999999998</v>
      </c>
      <c r="I10" s="7">
        <v>7.1900000000000006E-2</v>
      </c>
      <c r="J10" s="7">
        <v>0.18490000000000001</v>
      </c>
      <c r="M10" t="s">
        <v>35</v>
      </c>
      <c r="N10" t="s">
        <v>55</v>
      </c>
    </row>
    <row r="11" spans="1:23" x14ac:dyDescent="0.35">
      <c r="A11">
        <v>96</v>
      </c>
      <c r="B11">
        <v>6</v>
      </c>
      <c r="C11">
        <f t="shared" ref="C11:C14" si="4">B11*32</f>
        <v>192</v>
      </c>
      <c r="D11" t="s">
        <v>45</v>
      </c>
      <c r="E11">
        <v>10</v>
      </c>
      <c r="F11">
        <v>2697</v>
      </c>
      <c r="G11">
        <v>6071</v>
      </c>
      <c r="H11" s="7">
        <v>0.61509999999999998</v>
      </c>
      <c r="I11" s="7">
        <v>7.6700000000000004E-2</v>
      </c>
      <c r="J11" s="7">
        <v>0.308</v>
      </c>
      <c r="M11">
        <v>96</v>
      </c>
      <c r="N11">
        <v>7</v>
      </c>
      <c r="O11">
        <f>N11*H10</f>
        <v>5.2016999999999998</v>
      </c>
      <c r="P11">
        <f>N11*I10</f>
        <v>0.50330000000000008</v>
      </c>
      <c r="Q11">
        <f>N11*J10</f>
        <v>1.2943</v>
      </c>
      <c r="S11" t="s">
        <v>35</v>
      </c>
      <c r="T11" t="s">
        <v>59</v>
      </c>
      <c r="U11" t="s">
        <v>56</v>
      </c>
      <c r="V11" t="s">
        <v>60</v>
      </c>
      <c r="W11" t="s">
        <v>61</v>
      </c>
    </row>
    <row r="12" spans="1:23" x14ac:dyDescent="0.35">
      <c r="A12">
        <v>136</v>
      </c>
      <c r="B12">
        <v>12</v>
      </c>
      <c r="C12">
        <f t="shared" si="4"/>
        <v>384</v>
      </c>
      <c r="D12" t="s">
        <v>45</v>
      </c>
      <c r="E12">
        <v>16</v>
      </c>
      <c r="F12">
        <v>3823</v>
      </c>
      <c r="G12">
        <v>8323</v>
      </c>
      <c r="H12" s="7">
        <v>0.49099999999999999</v>
      </c>
      <c r="I12" s="7">
        <v>3.7130000000000003E-2</v>
      </c>
      <c r="J12" s="7">
        <v>0.4718</v>
      </c>
      <c r="M12">
        <v>192</v>
      </c>
      <c r="N12">
        <v>10</v>
      </c>
      <c r="O12">
        <f>N12*H11</f>
        <v>6.1509999999999998</v>
      </c>
      <c r="P12">
        <f>N12*I11</f>
        <v>0.76700000000000002</v>
      </c>
      <c r="Q12">
        <f>N12*J11</f>
        <v>3.08</v>
      </c>
      <c r="S12">
        <v>96</v>
      </c>
      <c r="T12">
        <f>E10/(F10/$F$10)</f>
        <v>7</v>
      </c>
      <c r="U12">
        <f>T12*H10</f>
        <v>5.2016999999999998</v>
      </c>
      <c r="V12">
        <f>T12*I10</f>
        <v>0.50330000000000008</v>
      </c>
      <c r="W12">
        <f>T12*J10</f>
        <v>1.2943</v>
      </c>
    </row>
    <row r="13" spans="1:23" x14ac:dyDescent="0.35">
      <c r="A13">
        <v>192</v>
      </c>
      <c r="B13">
        <v>24</v>
      </c>
      <c r="C13">
        <f t="shared" si="4"/>
        <v>768</v>
      </c>
      <c r="D13" t="s">
        <v>45</v>
      </c>
      <c r="E13">
        <v>27</v>
      </c>
      <c r="F13">
        <v>5663</v>
      </c>
      <c r="G13">
        <v>12003</v>
      </c>
      <c r="H13" s="7">
        <v>0.4037</v>
      </c>
      <c r="I13" s="7">
        <v>2.6200000000000001E-2</v>
      </c>
      <c r="J13" s="7">
        <v>0.56999999999999995</v>
      </c>
      <c r="M13">
        <v>384</v>
      </c>
      <c r="N13">
        <v>16</v>
      </c>
      <c r="O13">
        <f>N13*H12</f>
        <v>7.8559999999999999</v>
      </c>
      <c r="P13">
        <f>N13*I12</f>
        <v>0.59408000000000005</v>
      </c>
      <c r="Q13">
        <f>N13*J12</f>
        <v>7.5488</v>
      </c>
      <c r="S13">
        <v>192</v>
      </c>
      <c r="T13">
        <f>E11/(F11/$F$10)</f>
        <v>6.6110493140526509</v>
      </c>
      <c r="U13">
        <f>T13*H11</f>
        <v>4.0664564330737853</v>
      </c>
      <c r="V13">
        <f>T13*I11</f>
        <v>0.50706748238783839</v>
      </c>
      <c r="W13">
        <f>T13*J11</f>
        <v>2.0362031887282166</v>
      </c>
    </row>
    <row r="14" spans="1:23" x14ac:dyDescent="0.35">
      <c r="A14">
        <v>272</v>
      </c>
      <c r="B14">
        <v>48</v>
      </c>
      <c r="C14">
        <f t="shared" si="4"/>
        <v>1536</v>
      </c>
      <c r="D14" t="s">
        <v>45</v>
      </c>
      <c r="E14">
        <v>50</v>
      </c>
      <c r="F14">
        <v>8387</v>
      </c>
      <c r="G14">
        <v>17451</v>
      </c>
      <c r="H14" s="7">
        <v>0.31690000000000002</v>
      </c>
      <c r="I14" s="7">
        <v>6.0100000000000001E-2</v>
      </c>
      <c r="J14" s="7">
        <v>0.62280000000000002</v>
      </c>
      <c r="M14">
        <v>768</v>
      </c>
      <c r="N14">
        <v>27</v>
      </c>
      <c r="O14">
        <f>N14*H13</f>
        <v>10.899900000000001</v>
      </c>
      <c r="P14">
        <f>N14*I13</f>
        <v>0.70740000000000003</v>
      </c>
      <c r="Q14">
        <f>N14*J13</f>
        <v>15.389999999999999</v>
      </c>
      <c r="S14">
        <v>384</v>
      </c>
      <c r="T14">
        <f>E12/(F12/$F$10)</f>
        <v>7.462202458801988</v>
      </c>
      <c r="U14">
        <f>T14*H12</f>
        <v>3.6639414072717762</v>
      </c>
      <c r="V14">
        <f>T14*I12</f>
        <v>0.27707157729531784</v>
      </c>
      <c r="W14">
        <f>T14*J12</f>
        <v>3.5206671200627779</v>
      </c>
    </row>
    <row r="15" spans="1:23" x14ac:dyDescent="0.35">
      <c r="M15">
        <v>1536</v>
      </c>
      <c r="N15">
        <v>50</v>
      </c>
      <c r="O15">
        <f>N15*H14</f>
        <v>15.845000000000001</v>
      </c>
      <c r="P15">
        <f>N15*I14</f>
        <v>3.0049999999999999</v>
      </c>
      <c r="Q15">
        <f>N15*J14</f>
        <v>31.14</v>
      </c>
      <c r="S15">
        <v>768</v>
      </c>
      <c r="T15">
        <f>E13/(F13/$F$10)</f>
        <v>8.5009712166696101</v>
      </c>
      <c r="U15">
        <f>T15*H13</f>
        <v>3.4318420801695217</v>
      </c>
      <c r="V15">
        <f>T15*I13</f>
        <v>0.22272544587674378</v>
      </c>
      <c r="W15">
        <f>T15*J13</f>
        <v>4.8455535935016769</v>
      </c>
    </row>
    <row r="16" spans="1:23" x14ac:dyDescent="0.35">
      <c r="A16">
        <v>56</v>
      </c>
      <c r="B16">
        <v>3</v>
      </c>
      <c r="C16">
        <f>B16*32</f>
        <v>96</v>
      </c>
      <c r="D16" t="s">
        <v>66</v>
      </c>
      <c r="E16">
        <v>4</v>
      </c>
      <c r="F16">
        <v>1414</v>
      </c>
      <c r="G16">
        <v>3489</v>
      </c>
      <c r="H16" s="5"/>
      <c r="I16" s="5"/>
      <c r="J16" s="5"/>
      <c r="S16">
        <v>1536</v>
      </c>
      <c r="T16">
        <f>E14/(F14/$F$10)</f>
        <v>10.629545725527603</v>
      </c>
      <c r="U16">
        <f>T16*H14</f>
        <v>3.3685030404196974</v>
      </c>
      <c r="V16">
        <f>T16*I14</f>
        <v>0.63883569810420893</v>
      </c>
      <c r="W16">
        <f>T16*J14</f>
        <v>6.6200810778585915</v>
      </c>
    </row>
    <row r="17" spans="1:10" x14ac:dyDescent="0.35">
      <c r="A17">
        <v>96</v>
      </c>
      <c r="B17">
        <v>6</v>
      </c>
      <c r="C17">
        <f t="shared" ref="C17:C20" si="5">B17*32</f>
        <v>192</v>
      </c>
      <c r="D17" t="s">
        <v>66</v>
      </c>
      <c r="E17">
        <v>10</v>
      </c>
      <c r="F17">
        <v>2697</v>
      </c>
      <c r="G17">
        <v>6065</v>
      </c>
      <c r="H17" s="5"/>
      <c r="I17" s="5"/>
      <c r="J17" s="5"/>
    </row>
    <row r="18" spans="1:10" x14ac:dyDescent="0.35">
      <c r="A18">
        <v>136</v>
      </c>
      <c r="B18">
        <v>12</v>
      </c>
      <c r="C18">
        <f t="shared" si="5"/>
        <v>384</v>
      </c>
      <c r="D18" t="s">
        <v>66</v>
      </c>
      <c r="E18">
        <v>16</v>
      </c>
      <c r="F18">
        <v>3823</v>
      </c>
      <c r="G18">
        <v>8317</v>
      </c>
      <c r="H18" s="5"/>
      <c r="I18" s="5"/>
      <c r="J18" s="5"/>
    </row>
    <row r="19" spans="1:10" x14ac:dyDescent="0.35">
      <c r="A19">
        <v>192</v>
      </c>
      <c r="B19">
        <v>24</v>
      </c>
      <c r="C19">
        <f t="shared" si="5"/>
        <v>768</v>
      </c>
      <c r="D19" t="s">
        <v>66</v>
      </c>
      <c r="E19">
        <v>27</v>
      </c>
      <c r="F19">
        <v>5663</v>
      </c>
      <c r="G19">
        <v>11997</v>
      </c>
      <c r="H19" s="5"/>
      <c r="I19" s="5"/>
      <c r="J19" s="5"/>
    </row>
    <row r="20" spans="1:10" x14ac:dyDescent="0.35">
      <c r="A20">
        <v>272</v>
      </c>
      <c r="B20">
        <v>48</v>
      </c>
      <c r="C20">
        <f t="shared" si="5"/>
        <v>1536</v>
      </c>
      <c r="D20" t="s">
        <v>66</v>
      </c>
      <c r="E20">
        <v>51</v>
      </c>
      <c r="F20">
        <v>8387</v>
      </c>
      <c r="G20">
        <v>17445</v>
      </c>
      <c r="H20" s="5"/>
      <c r="I20" s="5"/>
      <c r="J20" s="5"/>
    </row>
    <row r="46" spans="6:13" x14ac:dyDescent="0.35">
      <c r="F46" t="s">
        <v>35</v>
      </c>
      <c r="H46" s="9" t="s">
        <v>68</v>
      </c>
      <c r="I46" s="9"/>
      <c r="J46" s="9"/>
      <c r="K46" s="9" t="s">
        <v>69</v>
      </c>
      <c r="L46" s="9"/>
      <c r="M46" s="9"/>
    </row>
    <row r="47" spans="6:13" x14ac:dyDescent="0.35">
      <c r="H47" t="s">
        <v>55</v>
      </c>
      <c r="I47" t="s">
        <v>54</v>
      </c>
      <c r="J47" t="s">
        <v>67</v>
      </c>
      <c r="K47" t="s">
        <v>55</v>
      </c>
      <c r="L47" t="s">
        <v>54</v>
      </c>
      <c r="M47" t="s">
        <v>67</v>
      </c>
    </row>
    <row r="48" spans="6:13" x14ac:dyDescent="0.35">
      <c r="F48">
        <v>192</v>
      </c>
      <c r="G48" t="s">
        <v>66</v>
      </c>
      <c r="H48">
        <v>10</v>
      </c>
      <c r="I48">
        <v>2697</v>
      </c>
      <c r="J48">
        <v>6071</v>
      </c>
      <c r="K48">
        <v>10</v>
      </c>
      <c r="L48">
        <v>2697</v>
      </c>
      <c r="M48">
        <v>6065</v>
      </c>
    </row>
    <row r="49" spans="6:13" x14ac:dyDescent="0.35">
      <c r="F49">
        <v>384</v>
      </c>
      <c r="G49" t="s">
        <v>66</v>
      </c>
      <c r="H49">
        <v>16</v>
      </c>
      <c r="I49">
        <v>3823</v>
      </c>
      <c r="J49">
        <v>8323</v>
      </c>
      <c r="K49">
        <v>16</v>
      </c>
      <c r="L49">
        <v>3823</v>
      </c>
      <c r="M49">
        <v>8317</v>
      </c>
    </row>
    <row r="50" spans="6:13" x14ac:dyDescent="0.35">
      <c r="F50">
        <v>768</v>
      </c>
      <c r="G50" t="s">
        <v>66</v>
      </c>
      <c r="H50">
        <v>27</v>
      </c>
      <c r="I50">
        <v>5663</v>
      </c>
      <c r="J50">
        <v>12003</v>
      </c>
      <c r="K50">
        <v>27</v>
      </c>
      <c r="L50">
        <v>5663</v>
      </c>
      <c r="M50">
        <v>11997</v>
      </c>
    </row>
    <row r="51" spans="6:13" x14ac:dyDescent="0.35">
      <c r="F51">
        <v>1536</v>
      </c>
      <c r="G51" t="s">
        <v>66</v>
      </c>
      <c r="H51">
        <v>50</v>
      </c>
      <c r="I51">
        <v>8387</v>
      </c>
      <c r="J51">
        <v>17451</v>
      </c>
      <c r="K51">
        <v>51</v>
      </c>
      <c r="L51">
        <v>8387</v>
      </c>
      <c r="M51">
        <v>17445</v>
      </c>
    </row>
  </sheetData>
  <mergeCells count="3">
    <mergeCell ref="E2:J2"/>
    <mergeCell ref="H46:J46"/>
    <mergeCell ref="K46:M4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7"/>
  <sheetViews>
    <sheetView workbookViewId="0">
      <selection activeCell="F22" sqref="F22"/>
    </sheetView>
  </sheetViews>
  <sheetFormatPr defaultRowHeight="14.5" x14ac:dyDescent="0.35"/>
  <sheetData>
    <row r="3" spans="1:10" x14ac:dyDescent="0.35">
      <c r="B3" t="s">
        <v>6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16</v>
      </c>
      <c r="I3" t="s">
        <v>17</v>
      </c>
      <c r="J3" t="s">
        <v>18</v>
      </c>
    </row>
    <row r="4" spans="1:10" x14ac:dyDescent="0.35">
      <c r="A4" s="8" t="s">
        <v>7</v>
      </c>
      <c r="B4">
        <v>1</v>
      </c>
      <c r="C4">
        <v>2004</v>
      </c>
      <c r="D4">
        <v>2004</v>
      </c>
      <c r="E4">
        <v>2004</v>
      </c>
      <c r="F4">
        <v>2004</v>
      </c>
      <c r="G4">
        <f>$C$4/C4</f>
        <v>1</v>
      </c>
      <c r="H4">
        <f>$D$4/D4</f>
        <v>1</v>
      </c>
      <c r="I4">
        <f>$E$4/E4</f>
        <v>1</v>
      </c>
      <c r="J4">
        <f>$F$4/F4</f>
        <v>1</v>
      </c>
    </row>
    <row r="5" spans="1:10" x14ac:dyDescent="0.35">
      <c r="A5" s="8"/>
      <c r="B5">
        <v>16</v>
      </c>
      <c r="C5">
        <v>228</v>
      </c>
      <c r="D5">
        <v>204</v>
      </c>
      <c r="G5">
        <f t="shared" ref="G5:G7" si="0">$C$4/C5</f>
        <v>8.7894736842105257</v>
      </c>
      <c r="H5">
        <f t="shared" ref="H5:H7" si="1">$D$4/D5</f>
        <v>9.8235294117647065</v>
      </c>
      <c r="I5" t="e">
        <f t="shared" ref="I5:I7" si="2">$E$4/E5</f>
        <v>#DIV/0!</v>
      </c>
      <c r="J5" t="e">
        <f t="shared" ref="J5:J7" si="3">$F$4/F5</f>
        <v>#DIV/0!</v>
      </c>
    </row>
    <row r="6" spans="1:10" x14ac:dyDescent="0.35">
      <c r="A6" s="8"/>
      <c r="B6">
        <v>24</v>
      </c>
      <c r="C6">
        <v>216</v>
      </c>
      <c r="D6">
        <v>154</v>
      </c>
      <c r="G6">
        <f t="shared" si="0"/>
        <v>9.2777777777777786</v>
      </c>
      <c r="H6">
        <f t="shared" si="1"/>
        <v>13.012987012987013</v>
      </c>
      <c r="I6" t="e">
        <f t="shared" si="2"/>
        <v>#DIV/0!</v>
      </c>
      <c r="J6" t="e">
        <f t="shared" si="3"/>
        <v>#DIV/0!</v>
      </c>
    </row>
    <row r="7" spans="1:10" x14ac:dyDescent="0.35">
      <c r="A7" s="8"/>
      <c r="B7">
        <v>32</v>
      </c>
      <c r="C7">
        <v>201</v>
      </c>
      <c r="D7">
        <v>132</v>
      </c>
      <c r="G7">
        <f t="shared" si="0"/>
        <v>9.9701492537313428</v>
      </c>
      <c r="H7">
        <f t="shared" si="1"/>
        <v>15.181818181818182</v>
      </c>
      <c r="I7" t="e">
        <f t="shared" si="2"/>
        <v>#DIV/0!</v>
      </c>
      <c r="J7" t="e">
        <f t="shared" si="3"/>
        <v>#DIV/0!</v>
      </c>
    </row>
  </sheetData>
  <mergeCells count="1">
    <mergeCell ref="A4:A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G21" sqref="G21"/>
    </sheetView>
  </sheetViews>
  <sheetFormatPr defaultRowHeight="14.5" x14ac:dyDescent="0.35"/>
  <cols>
    <col min="1" max="1" width="12" customWidth="1"/>
    <col min="5" max="5" width="10" customWidth="1"/>
  </cols>
  <sheetData>
    <row r="1" spans="1:12" x14ac:dyDescent="0.35">
      <c r="A1" t="s">
        <v>10</v>
      </c>
      <c r="B1" s="10" t="s">
        <v>14</v>
      </c>
      <c r="C1" s="10"/>
      <c r="D1" s="10"/>
      <c r="E1" s="10"/>
      <c r="F1" s="10"/>
      <c r="G1" s="10"/>
      <c r="H1" s="10"/>
      <c r="I1" s="10"/>
      <c r="J1" s="10"/>
    </row>
    <row r="2" spans="1:12" x14ac:dyDescent="0.35">
      <c r="A2" t="s">
        <v>12</v>
      </c>
      <c r="B2" t="s">
        <v>11</v>
      </c>
      <c r="C2" t="s">
        <v>13</v>
      </c>
      <c r="E2" s="9" t="str">
        <f>"-Ofast -xMIC-AVX512"</f>
        <v>-Ofast -xMIC-AVX512</v>
      </c>
      <c r="F2" s="9"/>
      <c r="G2" s="9"/>
    </row>
    <row r="3" spans="1:12" x14ac:dyDescent="0.35">
      <c r="B3" t="s">
        <v>6</v>
      </c>
      <c r="C3" t="s">
        <v>0</v>
      </c>
      <c r="D3" t="s">
        <v>2</v>
      </c>
      <c r="E3" t="s">
        <v>3</v>
      </c>
      <c r="G3" t="s">
        <v>25</v>
      </c>
      <c r="H3" t="s">
        <v>1</v>
      </c>
      <c r="I3" t="s">
        <v>4</v>
      </c>
      <c r="J3" t="s">
        <v>5</v>
      </c>
      <c r="L3" t="s">
        <v>26</v>
      </c>
    </row>
    <row r="4" spans="1:12" x14ac:dyDescent="0.35">
      <c r="A4" s="8" t="s">
        <v>7</v>
      </c>
      <c r="B4">
        <v>1</v>
      </c>
      <c r="C4">
        <v>25</v>
      </c>
      <c r="D4">
        <v>106</v>
      </c>
      <c r="E4">
        <v>636</v>
      </c>
      <c r="H4">
        <f>$C$4/C4</f>
        <v>1</v>
      </c>
      <c r="I4">
        <f>$D$4/D4</f>
        <v>1</v>
      </c>
      <c r="J4">
        <f>$E$4/E4</f>
        <v>1</v>
      </c>
    </row>
    <row r="5" spans="1:12" x14ac:dyDescent="0.35">
      <c r="A5" s="8"/>
      <c r="B5">
        <v>16</v>
      </c>
      <c r="C5">
        <v>10</v>
      </c>
      <c r="D5">
        <v>22</v>
      </c>
      <c r="E5">
        <v>78</v>
      </c>
      <c r="G5">
        <v>657</v>
      </c>
      <c r="H5">
        <f>$C$4/C5</f>
        <v>2.5</v>
      </c>
      <c r="I5">
        <f>$D$4/D5</f>
        <v>4.8181818181818183</v>
      </c>
      <c r="J5">
        <f>$E$4/E5</f>
        <v>8.1538461538461533</v>
      </c>
    </row>
    <row r="6" spans="1:12" x14ac:dyDescent="0.35">
      <c r="A6" s="8"/>
      <c r="B6">
        <v>32</v>
      </c>
      <c r="C6">
        <v>11</v>
      </c>
      <c r="D6">
        <v>21</v>
      </c>
      <c r="E6">
        <v>64</v>
      </c>
      <c r="G6">
        <v>449</v>
      </c>
      <c r="H6">
        <f>$C$4/C6</f>
        <v>2.2727272727272729</v>
      </c>
      <c r="I6">
        <f>$D$4/D6</f>
        <v>5.0476190476190474</v>
      </c>
      <c r="J6">
        <f>$E$4/E6</f>
        <v>9.9375</v>
      </c>
    </row>
    <row r="7" spans="1:12" x14ac:dyDescent="0.35">
      <c r="A7" s="8"/>
      <c r="B7">
        <v>48</v>
      </c>
      <c r="C7">
        <v>15</v>
      </c>
      <c r="D7">
        <v>24</v>
      </c>
      <c r="E7">
        <v>62</v>
      </c>
      <c r="G7">
        <v>407</v>
      </c>
      <c r="H7">
        <f>$C$4/C7</f>
        <v>1.6666666666666667</v>
      </c>
      <c r="I7">
        <f>$D$4/D7</f>
        <v>4.416666666666667</v>
      </c>
      <c r="J7">
        <f>$E$4/E7</f>
        <v>10.258064516129032</v>
      </c>
    </row>
    <row r="8" spans="1:12" x14ac:dyDescent="0.35">
      <c r="A8" s="8"/>
      <c r="B8">
        <v>64</v>
      </c>
      <c r="C8">
        <v>25</v>
      </c>
      <c r="D8">
        <v>32</v>
      </c>
      <c r="E8">
        <v>81</v>
      </c>
      <c r="G8">
        <v>474</v>
      </c>
      <c r="H8">
        <f>$C$4/C8</f>
        <v>1</v>
      </c>
      <c r="I8">
        <f>$D$4/D8</f>
        <v>3.3125</v>
      </c>
      <c r="J8">
        <f>$E$4/E8</f>
        <v>7.8518518518518521</v>
      </c>
    </row>
    <row r="9" spans="1:12" x14ac:dyDescent="0.35">
      <c r="A9" s="1" t="s">
        <v>30</v>
      </c>
      <c r="C9">
        <v>3456</v>
      </c>
      <c r="D9">
        <v>13824</v>
      </c>
      <c r="E9">
        <v>55296</v>
      </c>
      <c r="G9">
        <v>345600</v>
      </c>
    </row>
    <row r="10" spans="1:12" x14ac:dyDescent="0.35">
      <c r="A10" s="1" t="s">
        <v>31</v>
      </c>
      <c r="C10">
        <f>C9/(MIN(C4:C8))</f>
        <v>345.6</v>
      </c>
      <c r="D10">
        <f t="shared" ref="D10:E10" si="0">D9/(MIN(D4:D8))</f>
        <v>658.28571428571433</v>
      </c>
      <c r="E10">
        <f t="shared" si="0"/>
        <v>891.87096774193549</v>
      </c>
      <c r="G10">
        <f t="shared" ref="G10" si="1">G9/(MIN(G4:G8))</f>
        <v>849.14004914004909</v>
      </c>
    </row>
    <row r="11" spans="1:12" x14ac:dyDescent="0.35">
      <c r="A11" s="8" t="s">
        <v>8</v>
      </c>
      <c r="B11">
        <v>1</v>
      </c>
    </row>
    <row r="12" spans="1:12" x14ac:dyDescent="0.35">
      <c r="A12" s="8"/>
      <c r="B12">
        <v>16</v>
      </c>
    </row>
    <row r="13" spans="1:12" x14ac:dyDescent="0.35">
      <c r="A13" s="8"/>
      <c r="B13">
        <v>32</v>
      </c>
    </row>
    <row r="14" spans="1:12" x14ac:dyDescent="0.35">
      <c r="A14" s="8"/>
      <c r="B14">
        <v>48</v>
      </c>
    </row>
    <row r="15" spans="1:12" x14ac:dyDescent="0.35">
      <c r="A15" s="8"/>
      <c r="B15">
        <v>64</v>
      </c>
    </row>
  </sheetData>
  <mergeCells count="4">
    <mergeCell ref="B1:J1"/>
    <mergeCell ref="A4:A8"/>
    <mergeCell ref="A11:A15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SKL Strong Scalability</vt:lpstr>
      <vt:lpstr>SKL Weak Scalability</vt:lpstr>
      <vt:lpstr>Sheet1</vt:lpstr>
      <vt:lpstr>Affinities</vt:lpstr>
      <vt:lpstr>KNL Strong Scalability</vt:lpstr>
      <vt:lpstr>'SKL Strong Scalability'!ScafellPike</vt:lpstr>
    </vt:vector>
  </TitlesOfParts>
  <Company>Science and Technology Facilities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Siso, Sergi-Enric (STFC,DL,SC)</dc:creator>
  <cp:lastModifiedBy>Siso, Sergi-Enric (STFC,DL,SC)</cp:lastModifiedBy>
  <dcterms:created xsi:type="dcterms:W3CDTF">2018-07-09T10:43:48Z</dcterms:created>
  <dcterms:modified xsi:type="dcterms:W3CDTF">2018-09-24T09:22:30Z</dcterms:modified>
</cp:coreProperties>
</file>